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ecloud-my.sharepoint.com/personal/s_dietz_lse_ac_uk/Documents/Documents/GitHub/As_If_The_Transition_Matters/"/>
    </mc:Choice>
  </mc:AlternateContent>
  <xr:revisionPtr revIDLastSave="307" documentId="13_ncr:1_{64E66C6A-56FC-4E73-A3DE-BC1F1BA27736}" xr6:coauthVersionLast="47" xr6:coauthVersionMax="47" xr10:uidLastSave="{7C667584-0930-40DE-AF32-8918DCC56DC0}"/>
  <bookViews>
    <workbookView xWindow="-108" yWindow="-108" windowWidth="23256" windowHeight="12456" tabRatio="789" activeTab="2" xr2:uid="{1FFC97B4-DE66-4F5D-8FE1-18DDD5502FA4}"/>
  </bookViews>
  <sheets>
    <sheet name="Parameters" sheetId="1" r:id="rId1"/>
    <sheet name="6states" sheetId="6" r:id="rId2"/>
    <sheet name="6states,BAU" sheetId="21" r:id="rId3"/>
    <sheet name="6states,ExoDamages" sheetId="10" r:id="rId4"/>
    <sheet name="6states,constantT&amp;epsilon" sheetId="11" r:id="rId5"/>
    <sheet name="Emissions" sheetId="12" r:id="rId6"/>
    <sheet name="Temperature" sheetId="13" r:id="rId7"/>
    <sheet name="SCC" sheetId="14" r:id="rId8"/>
    <sheet name="Energy capital" sheetId="15" r:id="rId9"/>
    <sheet name="Energy capital per AL" sheetId="16" r:id="rId10"/>
    <sheet name="Adjustment costs" sheetId="20" r:id="rId11"/>
    <sheet name="Final energy" sheetId="17" r:id="rId12"/>
    <sheet name="Growth (levels)" sheetId="18" r:id="rId13"/>
    <sheet name="Growth (rates)" sheetId="19" r:id="rId14"/>
  </sheets>
  <externalReferences>
    <externalReference r:id="rId15"/>
  </externalReference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2" hidden="1">'6states,BAU'!$C$4:$E$24,'6states,BAU'!$C$26:$E$26,'6states,BAU'!$C$28:$E$28,'6states,BAU'!$C$30:$E$30,'6states,BAU'!$C$32:$E$32,'6states,BAU'!$C$34:$E$34,'6states,BAU'!$C$36:$E$36,'6states,BAU'!$C$38:$E$38,'6states,BAU'!$C$40:$E$40,'6states,BAU'!$C$42:$E$42,'6states,BAU'!$C$45:$E$45,'6states,BAU'!$C$48:$E$48,'6states,BAU'!$C$51:$E$51,'6states,BAU'!$C$54:$E$54,'6states,BAU'!$C$59:$E$59,'6states,BAU'!$C$64:$E$64,'6states,BAU'!$C$69:$E$69,'6states,BAU'!$C$74:$E$74,'6states,BAU'!$C$84:$E$84,'6states,BAU'!$C$94:$E$94,'6states,BAU'!$C$119:$E$119</definedName>
    <definedName name="solver_adj" localSheetId="4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3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2" hidden="1">0.000001</definedName>
    <definedName name="solver_cvg" localSheetId="4" hidden="1">0.0001</definedName>
    <definedName name="solver_cvg" localSheetId="3" hidden="1">0.0001</definedName>
    <definedName name="solver_cvg" localSheetId="0" hidden="1">0.0001</definedName>
    <definedName name="solver_drv" localSheetId="1" hidden="1">1</definedName>
    <definedName name="solver_drv" localSheetId="2" hidden="1">1</definedName>
    <definedName name="solver_drv" localSheetId="4" hidden="1">2</definedName>
    <definedName name="solver_drv" localSheetId="3" hidden="1">1</definedName>
    <definedName name="solver_drv" localSheetId="0" hidden="1">1</definedName>
    <definedName name="solver_eng" localSheetId="1" hidden="1">1</definedName>
    <definedName name="solver_eng" localSheetId="2" hidden="1">1</definedName>
    <definedName name="solver_eng" localSheetId="4" hidden="1">1</definedName>
    <definedName name="solver_eng" localSheetId="3" hidden="1">1</definedName>
    <definedName name="solver_eng" localSheetId="0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3" hidden="1">1</definedName>
    <definedName name="solver_est" localSheetId="0" hidden="1">1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3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'6states,BAU'!$C$4:$C$24</definedName>
    <definedName name="solver_lhs1" localSheetId="3" hidden="1">'6states,ExoDamages'!$C$94</definedName>
    <definedName name="solver_lhs1" localSheetId="0" hidden="1">Parameters!$B$12</definedName>
    <definedName name="solver_lhs10" localSheetId="1" hidden="1">'6states'!$C$59</definedName>
    <definedName name="solver_lhs10" localSheetId="2" hidden="1">'6states,BAU'!$C$59</definedName>
    <definedName name="solver_lhs11" localSheetId="1" hidden="1">'6states'!$C$59</definedName>
    <definedName name="solver_lhs11" localSheetId="2" hidden="1">'6states,BAU'!$C$59</definedName>
    <definedName name="solver_lhs12" localSheetId="1" hidden="1">'6states'!$C$59</definedName>
    <definedName name="solver_lhs12" localSheetId="2" hidden="1">'6states,BAU'!$C$59</definedName>
    <definedName name="solver_lhs13" localSheetId="1" hidden="1">'6states'!$C$59</definedName>
    <definedName name="solver_lhs13" localSheetId="2" hidden="1">'6states,BAU'!$C$59</definedName>
    <definedName name="solver_lhs14" localSheetId="1" hidden="1">'6states'!$C$59</definedName>
    <definedName name="solver_lhs14" localSheetId="2" hidden="1">'6states,BAU'!$C$59</definedName>
    <definedName name="solver_lhs15" localSheetId="1" hidden="1">'6states'!$C$59</definedName>
    <definedName name="solver_lhs15" localSheetId="2" hidden="1">'6states,BAU'!$C$59</definedName>
    <definedName name="solver_lhs16" localSheetId="1" hidden="1">'6states'!$C$59</definedName>
    <definedName name="solver_lhs16" localSheetId="2" hidden="1">'6states,BAU'!$C$59</definedName>
    <definedName name="solver_lhs17" localSheetId="1" hidden="1">'6states'!$C$59</definedName>
    <definedName name="solver_lhs17" localSheetId="2" hidden="1">'6states,BAU'!$C$59</definedName>
    <definedName name="solver_lhs18" localSheetId="1" hidden="1">'6states'!$C$59</definedName>
    <definedName name="solver_lhs18" localSheetId="2" hidden="1">'6states,BAU'!$C$59</definedName>
    <definedName name="solver_lhs19" localSheetId="1" hidden="1">'6states'!$C$59</definedName>
    <definedName name="solver_lhs19" localSheetId="2" hidden="1">'6states,BAU'!$C$59</definedName>
    <definedName name="solver_lhs2" localSheetId="1" hidden="1">'6states'!$C$4:$C$74</definedName>
    <definedName name="solver_lhs2" localSheetId="2" hidden="1">'6states,BAU'!$C$4:$C$74</definedName>
    <definedName name="solver_lhs2" localSheetId="0" hidden="1">Parameters!$B$12</definedName>
    <definedName name="solver_lhs20" localSheetId="1" hidden="1">'6states'!$C$59</definedName>
    <definedName name="solver_lhs20" localSheetId="2" hidden="1">'6states,BAU'!$C$59</definedName>
    <definedName name="solver_lhs21" localSheetId="1" hidden="1">'6states'!$C$59</definedName>
    <definedName name="solver_lhs21" localSheetId="2" hidden="1">'6states,BAU'!$C$59</definedName>
    <definedName name="solver_lhs22" localSheetId="1" hidden="1">'6states'!$C$94</definedName>
    <definedName name="solver_lhs22" localSheetId="2" hidden="1">'6states,BAU'!$C$94</definedName>
    <definedName name="solver_lhs23" localSheetId="1" hidden="1">'6states'!$C$94</definedName>
    <definedName name="solver_lhs23" localSheetId="2" hidden="1">'6states,BAU'!$C$94</definedName>
    <definedName name="solver_lhs24" localSheetId="1" hidden="1">'6states'!$C$94</definedName>
    <definedName name="solver_lhs24" localSheetId="2" hidden="1">'6states,BAU'!$C$94</definedName>
    <definedName name="solver_lhs3" localSheetId="1" hidden="1">'6states'!$C$94</definedName>
    <definedName name="solver_lhs3" localSheetId="2" hidden="1">'6states,BAU'!$C$94</definedName>
    <definedName name="solver_lhs3" localSheetId="0" hidden="1">Parameters!$B$60</definedName>
    <definedName name="solver_lhs4" localSheetId="1" hidden="1">'6states'!$C$94</definedName>
    <definedName name="solver_lhs4" localSheetId="2" hidden="1">'6states,BAU'!$C$94</definedName>
    <definedName name="solver_lhs4" localSheetId="0" hidden="1">Parameters!$B$60</definedName>
    <definedName name="solver_lhs5" localSheetId="1" hidden="1">'6states'!$C$94</definedName>
    <definedName name="solver_lhs5" localSheetId="2" hidden="1">'6states,BAU'!$C$94</definedName>
    <definedName name="solver_lhs5" localSheetId="0" hidden="1">Parameters!$B$62</definedName>
    <definedName name="solver_lhs6" localSheetId="1" hidden="1">'6states'!$C$59</definedName>
    <definedName name="solver_lhs6" localSheetId="2" hidden="1">'6states,BAU'!$C$59</definedName>
    <definedName name="solver_lhs6" localSheetId="0" hidden="1">Parameters!$B$62</definedName>
    <definedName name="solver_lhs7" localSheetId="1" hidden="1">'6states'!$C$59</definedName>
    <definedName name="solver_lhs7" localSheetId="2" hidden="1">'6states,BAU'!$C$59</definedName>
    <definedName name="solver_lhs7" localSheetId="0" hidden="1">Parameters!$B$63</definedName>
    <definedName name="solver_lhs8" localSheetId="1" hidden="1">'6states'!$C$59</definedName>
    <definedName name="solver_lhs8" localSheetId="2" hidden="1">'6states,BAU'!$C$59</definedName>
    <definedName name="solver_lhs8" localSheetId="0" hidden="1">Parameters!$B$63</definedName>
    <definedName name="solver_lhs9" localSheetId="1" hidden="1">'6states'!$C$59</definedName>
    <definedName name="solver_lhs9" localSheetId="2" hidden="1">'6states,BAU'!$C$59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3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3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3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3" hidden="1">2</definedName>
    <definedName name="solver_msl" localSheetId="0" hidden="1">2</definedName>
    <definedName name="solver_neg" localSheetId="1" hidden="1">2</definedName>
    <definedName name="solver_neg" localSheetId="2" hidden="1">2</definedName>
    <definedName name="solver_neg" localSheetId="4" hidden="1">1</definedName>
    <definedName name="solver_neg" localSheetId="3" hidden="1">1</definedName>
    <definedName name="solver_neg" localSheetId="0" hidden="1">2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3" hidden="1">2147483647</definedName>
    <definedName name="solver_nod" localSheetId="0" hidden="1">2147483647</definedName>
    <definedName name="solver_num" localSheetId="1" hidden="1">0</definedName>
    <definedName name="solver_num" localSheetId="2" hidden="1">0</definedName>
    <definedName name="solver_num" localSheetId="4" hidden="1">0</definedName>
    <definedName name="solver_num" localSheetId="3" hidden="1">1</definedName>
    <definedName name="solver_num" localSheetId="0" hidden="1">8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3" hidden="1">1</definedName>
    <definedName name="solver_nwt" localSheetId="0" hidden="1">1</definedName>
    <definedName name="solver_opt" localSheetId="1" hidden="1">'6states'!#REF!</definedName>
    <definedName name="solver_opt" localSheetId="2" hidden="1">'6states,BAU'!#REF!</definedName>
    <definedName name="solver_opt" localSheetId="4" hidden="1">'6states,constantT&amp;epsilon'!$S$4</definedName>
    <definedName name="solver_opt" localSheetId="3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3" hidden="1">0.000001</definedName>
    <definedName name="solver_pre" localSheetId="0" hidden="1">0.000001</definedName>
    <definedName name="solver_rbv" localSheetId="1" hidden="1">2</definedName>
    <definedName name="solver_rbv" localSheetId="2" hidden="1">2</definedName>
    <definedName name="solver_rbv" localSheetId="4" hidden="1">2</definedName>
    <definedName name="solver_rbv" localSheetId="3" hidden="1">2</definedName>
    <definedName name="solver_rbv" localSheetId="0" hidden="1">1</definedName>
    <definedName name="solver_rel1" localSheetId="1" hidden="1">3</definedName>
    <definedName name="solver_rel1" localSheetId="2" hidden="1">3</definedName>
    <definedName name="solver_rel1" localSheetId="3" hidden="1">1</definedName>
    <definedName name="solver_rel1" localSheetId="0" hidden="1">3</definedName>
    <definedName name="solver_rel10" localSheetId="1" hidden="1">1</definedName>
    <definedName name="solver_rel10" localSheetId="2" hidden="1">1</definedName>
    <definedName name="solver_rel11" localSheetId="1" hidden="1">1</definedName>
    <definedName name="solver_rel11" localSheetId="2" hidden="1">1</definedName>
    <definedName name="solver_rel12" localSheetId="1" hidden="1">1</definedName>
    <definedName name="solver_rel12" localSheetId="2" hidden="1">1</definedName>
    <definedName name="solver_rel13" localSheetId="1" hidden="1">1</definedName>
    <definedName name="solver_rel13" localSheetId="2" hidden="1">1</definedName>
    <definedName name="solver_rel14" localSheetId="1" hidden="1">1</definedName>
    <definedName name="solver_rel14" localSheetId="2" hidden="1">1</definedName>
    <definedName name="solver_rel15" localSheetId="1" hidden="1">1</definedName>
    <definedName name="solver_rel15" localSheetId="2" hidden="1">1</definedName>
    <definedName name="solver_rel16" localSheetId="1" hidden="1">1</definedName>
    <definedName name="solver_rel16" localSheetId="2" hidden="1">1</definedName>
    <definedName name="solver_rel17" localSheetId="1" hidden="1">1</definedName>
    <definedName name="solver_rel17" localSheetId="2" hidden="1">1</definedName>
    <definedName name="solver_rel18" localSheetId="1" hidden="1">1</definedName>
    <definedName name="solver_rel18" localSheetId="2" hidden="1">1</definedName>
    <definedName name="solver_rel19" localSheetId="1" hidden="1">1</definedName>
    <definedName name="solver_rel19" localSheetId="2" hidden="1">1</definedName>
    <definedName name="solver_rel2" localSheetId="1" hidden="1">1</definedName>
    <definedName name="solver_rel2" localSheetId="2" hidden="1">1</definedName>
    <definedName name="solver_rel2" localSheetId="0" hidden="1">1</definedName>
    <definedName name="solver_rel20" localSheetId="1" hidden="1">1</definedName>
    <definedName name="solver_rel20" localSheetId="2" hidden="1">1</definedName>
    <definedName name="solver_rel21" localSheetId="1" hidden="1">1</definedName>
    <definedName name="solver_rel21" localSheetId="2" hidden="1">1</definedName>
    <definedName name="solver_rel22" localSheetId="1" hidden="1">1</definedName>
    <definedName name="solver_rel22" localSheetId="2" hidden="1">1</definedName>
    <definedName name="solver_rel23" localSheetId="1" hidden="1">1</definedName>
    <definedName name="solver_rel23" localSheetId="2" hidden="1">1</definedName>
    <definedName name="solver_rel24" localSheetId="1" hidden="1">1</definedName>
    <definedName name="solver_rel24" localSheetId="2" hidden="1">1</definedName>
    <definedName name="solver_rel3" localSheetId="1" hidden="1">1</definedName>
    <definedName name="solver_rel3" localSheetId="2" hidden="1">1</definedName>
    <definedName name="solver_rel3" localSheetId="0" hidden="1">1</definedName>
    <definedName name="solver_rel4" localSheetId="1" hidden="1">1</definedName>
    <definedName name="solver_rel4" localSheetId="2" hidden="1">1</definedName>
    <definedName name="solver_rel4" localSheetId="0" hidden="1">3</definedName>
    <definedName name="solver_rel5" localSheetId="1" hidden="1">1</definedName>
    <definedName name="solver_rel5" localSheetId="2" hidden="1">1</definedName>
    <definedName name="solver_rel5" localSheetId="0" hidden="1">1</definedName>
    <definedName name="solver_rel6" localSheetId="1" hidden="1">1</definedName>
    <definedName name="solver_rel6" localSheetId="2" hidden="1">1</definedName>
    <definedName name="solver_rel6" localSheetId="0" hidden="1">3</definedName>
    <definedName name="solver_rel7" localSheetId="1" hidden="1">1</definedName>
    <definedName name="solver_rel7" localSheetId="2" hidden="1">1</definedName>
    <definedName name="solver_rel7" localSheetId="0" hidden="1">1</definedName>
    <definedName name="solver_rel8" localSheetId="1" hidden="1">1</definedName>
    <definedName name="solver_rel8" localSheetId="2" hidden="1">1</definedName>
    <definedName name="solver_rel8" localSheetId="0" hidden="1">3</definedName>
    <definedName name="solver_rel9" localSheetId="1" hidden="1">1</definedName>
    <definedName name="solver_rel9" localSheetId="2" hidden="1">1</definedName>
    <definedName name="solver_rhs1" localSheetId="1" hidden="1">-0.3</definedName>
    <definedName name="solver_rhs1" localSheetId="2" hidden="1">-0.3</definedName>
    <definedName name="solver_rhs1" localSheetId="3" hidden="1">0.03</definedName>
    <definedName name="solver_rhs1" localSheetId="0" hidden="1">2/1.25</definedName>
    <definedName name="solver_rhs10" localSheetId="1" hidden="1">0.003</definedName>
    <definedName name="solver_rhs10" localSheetId="2" hidden="1">0.003</definedName>
    <definedName name="solver_rhs11" localSheetId="1" hidden="1">0.003</definedName>
    <definedName name="solver_rhs11" localSheetId="2" hidden="1">0.003</definedName>
    <definedName name="solver_rhs12" localSheetId="1" hidden="1">0.003</definedName>
    <definedName name="solver_rhs12" localSheetId="2" hidden="1">0.003</definedName>
    <definedName name="solver_rhs13" localSheetId="1" hidden="1">0.003</definedName>
    <definedName name="solver_rhs13" localSheetId="2" hidden="1">0.003</definedName>
    <definedName name="solver_rhs14" localSheetId="1" hidden="1">0.003</definedName>
    <definedName name="solver_rhs14" localSheetId="2" hidden="1">0.003</definedName>
    <definedName name="solver_rhs15" localSheetId="1" hidden="1">0.003</definedName>
    <definedName name="solver_rhs15" localSheetId="2" hidden="1">0.003</definedName>
    <definedName name="solver_rhs16" localSheetId="1" hidden="1">0.003</definedName>
    <definedName name="solver_rhs16" localSheetId="2" hidden="1">0.003</definedName>
    <definedName name="solver_rhs17" localSheetId="1" hidden="1">0.003</definedName>
    <definedName name="solver_rhs17" localSheetId="2" hidden="1">0.003</definedName>
    <definedName name="solver_rhs18" localSheetId="1" hidden="1">0.003</definedName>
    <definedName name="solver_rhs18" localSheetId="2" hidden="1">0.003</definedName>
    <definedName name="solver_rhs19" localSheetId="1" hidden="1">0.003</definedName>
    <definedName name="solver_rhs19" localSheetId="2" hidden="1">0.003</definedName>
    <definedName name="solver_rhs2" localSheetId="1" hidden="1">0.005</definedName>
    <definedName name="solver_rhs2" localSheetId="2" hidden="1">0.005</definedName>
    <definedName name="solver_rhs2" localSheetId="0" hidden="1">2*1.25</definedName>
    <definedName name="solver_rhs20" localSheetId="1" hidden="1">0.003</definedName>
    <definedName name="solver_rhs20" localSheetId="2" hidden="1">0.003</definedName>
    <definedName name="solver_rhs21" localSheetId="1" hidden="1">0.003</definedName>
    <definedName name="solver_rhs21" localSheetId="2" hidden="1">0.003</definedName>
    <definedName name="solver_rhs22" localSheetId="1" hidden="1">0.003</definedName>
    <definedName name="solver_rhs22" localSheetId="2" hidden="1">0.003</definedName>
    <definedName name="solver_rhs23" localSheetId="1" hidden="1">0.003</definedName>
    <definedName name="solver_rhs23" localSheetId="2" hidden="1">0.003</definedName>
    <definedName name="solver_rhs24" localSheetId="1" hidden="1">0.003</definedName>
    <definedName name="solver_rhs24" localSheetId="2" hidden="1">0.003</definedName>
    <definedName name="solver_rhs3" localSheetId="1" hidden="1">0.003</definedName>
    <definedName name="solver_rhs3" localSheetId="2" hidden="1">0.003</definedName>
    <definedName name="solver_rhs3" localSheetId="0" hidden="1">0.027*1.25</definedName>
    <definedName name="solver_rhs4" localSheetId="1" hidden="1">0.003</definedName>
    <definedName name="solver_rhs4" localSheetId="2" hidden="1">0.003</definedName>
    <definedName name="solver_rhs4" localSheetId="0" hidden="1">0.027/1.25</definedName>
    <definedName name="solver_rhs5" localSheetId="1" hidden="1">0.003</definedName>
    <definedName name="solver_rhs5" localSheetId="2" hidden="1">0.003</definedName>
    <definedName name="solver_rhs5" localSheetId="0" hidden="1">36.6*1.25</definedName>
    <definedName name="solver_rhs6" localSheetId="1" hidden="1">0.003</definedName>
    <definedName name="solver_rhs6" localSheetId="2" hidden="1">0.003</definedName>
    <definedName name="solver_rhs6" localSheetId="0" hidden="1">36.6/1.25</definedName>
    <definedName name="solver_rhs7" localSheetId="1" hidden="1">0.003</definedName>
    <definedName name="solver_rhs7" localSheetId="2" hidden="1">0.003</definedName>
    <definedName name="solver_rhs7" localSheetId="0" hidden="1">0.211*1.25</definedName>
    <definedName name="solver_rhs8" localSheetId="1" hidden="1">0.003</definedName>
    <definedName name="solver_rhs8" localSheetId="2" hidden="1">0.003</definedName>
    <definedName name="solver_rhs8" localSheetId="0" hidden="1">0.211/1.25</definedName>
    <definedName name="solver_rhs9" localSheetId="1" hidden="1">0.003</definedName>
    <definedName name="solver_rhs9" localSheetId="2" hidden="1">0.003</definedName>
    <definedName name="solver_rlx" localSheetId="1" hidden="1">2</definedName>
    <definedName name="solver_rlx" localSheetId="2" hidden="1">2</definedName>
    <definedName name="solver_rlx" localSheetId="4" hidden="1">2</definedName>
    <definedName name="solver_rlx" localSheetId="3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3" hidden="1">0</definedName>
    <definedName name="solver_rsd" localSheetId="0" hidden="1">0</definedName>
    <definedName name="solver_scl" localSheetId="1" hidden="1">1</definedName>
    <definedName name="solver_scl" localSheetId="2" hidden="1">1</definedName>
    <definedName name="solver_scl" localSheetId="4" hidden="1">2</definedName>
    <definedName name="solver_scl" localSheetId="3" hidden="1">2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3" hidden="1">2</definedName>
    <definedName name="solver_sho" localSheetId="0" hidden="1">2</definedName>
    <definedName name="solver_ssz" localSheetId="1" hidden="1">0</definedName>
    <definedName name="solver_ssz" localSheetId="2" hidden="1">0</definedName>
    <definedName name="solver_ssz" localSheetId="4" hidden="1">100</definedName>
    <definedName name="solver_ssz" localSheetId="3" hidden="1">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4" hidden="1">2147483647</definedName>
    <definedName name="solver_tim" localSheetId="3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4" hidden="1">0.01</definedName>
    <definedName name="solver_tol" localSheetId="3" hidden="1">0.01</definedName>
    <definedName name="solver_tol" localSheetId="0" hidden="1">0.01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3" hidden="1">1</definedName>
    <definedName name="solver_typ" localSheetId="0" hidden="1">2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3" hidden="1">0</definedName>
    <definedName name="solver_val" localSheetId="0" hidden="1">0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3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03" i="21" l="1"/>
  <c r="BC202" i="21"/>
  <c r="BC201" i="21"/>
  <c r="BC200" i="21"/>
  <c r="BC199" i="21"/>
  <c r="BC198" i="21"/>
  <c r="BC197" i="21"/>
  <c r="BC196" i="21"/>
  <c r="BC195" i="21"/>
  <c r="BC194" i="21"/>
  <c r="BC193" i="21"/>
  <c r="BC192" i="21"/>
  <c r="BC191" i="21"/>
  <c r="BC190" i="21"/>
  <c r="BC189" i="21"/>
  <c r="BC188" i="21"/>
  <c r="BC187" i="21"/>
  <c r="BC186" i="21"/>
  <c r="BC185" i="21"/>
  <c r="BC184" i="21"/>
  <c r="BC183" i="21"/>
  <c r="BC182" i="21"/>
  <c r="BC181" i="21"/>
  <c r="BC180" i="21"/>
  <c r="BC179" i="21"/>
  <c r="BC178" i="21"/>
  <c r="BC177" i="21"/>
  <c r="BC176" i="21"/>
  <c r="BC175" i="21"/>
  <c r="BC174" i="21"/>
  <c r="BC173" i="21"/>
  <c r="BC172" i="21"/>
  <c r="BC171" i="21"/>
  <c r="BC170" i="21"/>
  <c r="BC169" i="21"/>
  <c r="BC168" i="21"/>
  <c r="BC167" i="21"/>
  <c r="BC166" i="21"/>
  <c r="BC165" i="21"/>
  <c r="BC164" i="21"/>
  <c r="BC163" i="21"/>
  <c r="BC162" i="21"/>
  <c r="BC161" i="21"/>
  <c r="BC160" i="21"/>
  <c r="BC159" i="21"/>
  <c r="BC158" i="21"/>
  <c r="BC157" i="21"/>
  <c r="BC156" i="21"/>
  <c r="BC155" i="21"/>
  <c r="BC154" i="21"/>
  <c r="BC153" i="21"/>
  <c r="BC152" i="21"/>
  <c r="BC151" i="21"/>
  <c r="BC150" i="21"/>
  <c r="BC149" i="21"/>
  <c r="BC148" i="21"/>
  <c r="BC147" i="21"/>
  <c r="BC146" i="21"/>
  <c r="BC145" i="21"/>
  <c r="BC144" i="21"/>
  <c r="BC143" i="21"/>
  <c r="BC142" i="21"/>
  <c r="BC141" i="21"/>
  <c r="BC140" i="21"/>
  <c r="BC139" i="21"/>
  <c r="BC136" i="21"/>
  <c r="BC135" i="21"/>
  <c r="BC134" i="21"/>
  <c r="BC133" i="21"/>
  <c r="BC132" i="21"/>
  <c r="BC131" i="21"/>
  <c r="BC130" i="21"/>
  <c r="BC129" i="21"/>
  <c r="BC128" i="21"/>
  <c r="BC127" i="21"/>
  <c r="BC125" i="21"/>
  <c r="BC122" i="21"/>
  <c r="BC121" i="21"/>
  <c r="BC120" i="21"/>
  <c r="BC119" i="21"/>
  <c r="BC118" i="21"/>
  <c r="BC117" i="21"/>
  <c r="BC116" i="21"/>
  <c r="BC115" i="21"/>
  <c r="BC114" i="21"/>
  <c r="BC113" i="21"/>
  <c r="BC112" i="21"/>
  <c r="BC111" i="21"/>
  <c r="BC110" i="21"/>
  <c r="BC109" i="21"/>
  <c r="BC108" i="21"/>
  <c r="BC107" i="21"/>
  <c r="BC106" i="21"/>
  <c r="BC105" i="21"/>
  <c r="BC104" i="21"/>
  <c r="BC103" i="21"/>
  <c r="BC102" i="21"/>
  <c r="BC101" i="21"/>
  <c r="BC100" i="21"/>
  <c r="BC99" i="21"/>
  <c r="BC98" i="21"/>
  <c r="BC97" i="21"/>
  <c r="BC96" i="21"/>
  <c r="BC95" i="21"/>
  <c r="BC94" i="21"/>
  <c r="BC93" i="21"/>
  <c r="BC92" i="21"/>
  <c r="BC91" i="21"/>
  <c r="BC90" i="21"/>
  <c r="BC89" i="21"/>
  <c r="BC88" i="21"/>
  <c r="BC87" i="21"/>
  <c r="BC86" i="21"/>
  <c r="BC85" i="21"/>
  <c r="BC84" i="21"/>
  <c r="BC83" i="21"/>
  <c r="BC82" i="21"/>
  <c r="BC81" i="21"/>
  <c r="BC80" i="21"/>
  <c r="BC79" i="21"/>
  <c r="BC78" i="21"/>
  <c r="BC77" i="21"/>
  <c r="BC76" i="21"/>
  <c r="BC75" i="21"/>
  <c r="BC74" i="21"/>
  <c r="BC73" i="21"/>
  <c r="BC72" i="21"/>
  <c r="BC71" i="21"/>
  <c r="BC70" i="21"/>
  <c r="BC69" i="21"/>
  <c r="BC68" i="21"/>
  <c r="BC67" i="21"/>
  <c r="BC66" i="21"/>
  <c r="BC65" i="21"/>
  <c r="BC64" i="21"/>
  <c r="BC63" i="21"/>
  <c r="BC62" i="21"/>
  <c r="BC61" i="21"/>
  <c r="BC60" i="21"/>
  <c r="BC59" i="21"/>
  <c r="BC58" i="21"/>
  <c r="BC55" i="21"/>
  <c r="BC54" i="21"/>
  <c r="BC53" i="21"/>
  <c r="BC52" i="21"/>
  <c r="BC51" i="21"/>
  <c r="BC50" i="21"/>
  <c r="BC49" i="21"/>
  <c r="BC48" i="21"/>
  <c r="BC46" i="21"/>
  <c r="BC45" i="21"/>
  <c r="BC44" i="21"/>
  <c r="BC43" i="21"/>
  <c r="BC41" i="21"/>
  <c r="BC40" i="21"/>
  <c r="BC38" i="21"/>
  <c r="BC37" i="21"/>
  <c r="BC36" i="21"/>
  <c r="BC35" i="21"/>
  <c r="BC34" i="21"/>
  <c r="BC33" i="21"/>
  <c r="BC32" i="21"/>
  <c r="BC31" i="21"/>
  <c r="BC30" i="21"/>
  <c r="BC29" i="21"/>
  <c r="BC28" i="21"/>
  <c r="BC27" i="21"/>
  <c r="BC26" i="21"/>
  <c r="BC25" i="21"/>
  <c r="BC24" i="21"/>
  <c r="BC23" i="21"/>
  <c r="BC22" i="21"/>
  <c r="BC21" i="21"/>
  <c r="BC20" i="21"/>
  <c r="BC19" i="21"/>
  <c r="BC18" i="21"/>
  <c r="BC17" i="21"/>
  <c r="BC16" i="21"/>
  <c r="BC15" i="21"/>
  <c r="BC14" i="21"/>
  <c r="BC13" i="21"/>
  <c r="BC12" i="21"/>
  <c r="BC11" i="21"/>
  <c r="BC8" i="21"/>
  <c r="BC7" i="21"/>
  <c r="A6" i="21"/>
  <c r="K5" i="2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K85" i="21" s="1"/>
  <c r="K86" i="21" s="1"/>
  <c r="K87" i="21" s="1"/>
  <c r="K88" i="21" s="1"/>
  <c r="K89" i="21" s="1"/>
  <c r="K90" i="21" s="1"/>
  <c r="K91" i="21" s="1"/>
  <c r="K92" i="21" s="1"/>
  <c r="K93" i="21" s="1"/>
  <c r="K94" i="21" s="1"/>
  <c r="K95" i="21" s="1"/>
  <c r="K96" i="21" s="1"/>
  <c r="K97" i="21" s="1"/>
  <c r="K98" i="21" s="1"/>
  <c r="K99" i="21" s="1"/>
  <c r="K100" i="21" s="1"/>
  <c r="K101" i="21" s="1"/>
  <c r="K102" i="21" s="1"/>
  <c r="K103" i="21" s="1"/>
  <c r="K104" i="21" s="1"/>
  <c r="K105" i="21" s="1"/>
  <c r="K106" i="21" s="1"/>
  <c r="K107" i="21" s="1"/>
  <c r="K108" i="21" s="1"/>
  <c r="K109" i="21" s="1"/>
  <c r="K110" i="21" s="1"/>
  <c r="K111" i="21" s="1"/>
  <c r="K112" i="21" s="1"/>
  <c r="K113" i="21" s="1"/>
  <c r="K114" i="21" s="1"/>
  <c r="K115" i="21" s="1"/>
  <c r="K116" i="21" s="1"/>
  <c r="K117" i="21" s="1"/>
  <c r="K118" i="21" s="1"/>
  <c r="K119" i="21" s="1"/>
  <c r="K120" i="21" s="1"/>
  <c r="K121" i="21" s="1"/>
  <c r="K122" i="21" s="1"/>
  <c r="K123" i="21" s="1"/>
  <c r="K124" i="21" s="1"/>
  <c r="K125" i="21" s="1"/>
  <c r="K126" i="21" s="1"/>
  <c r="K127" i="21" s="1"/>
  <c r="K128" i="21" s="1"/>
  <c r="K129" i="21" s="1"/>
  <c r="K130" i="21" s="1"/>
  <c r="K131" i="21" s="1"/>
  <c r="K132" i="21" s="1"/>
  <c r="K133" i="21" s="1"/>
  <c r="K134" i="21" s="1"/>
  <c r="K135" i="21" s="1"/>
  <c r="K136" i="21" s="1"/>
  <c r="K137" i="21" s="1"/>
  <c r="K138" i="21" s="1"/>
  <c r="K139" i="21" s="1"/>
  <c r="K140" i="21" s="1"/>
  <c r="K141" i="21" s="1"/>
  <c r="K142" i="21" s="1"/>
  <c r="K143" i="21" s="1"/>
  <c r="K144" i="21" s="1"/>
  <c r="K145" i="21" s="1"/>
  <c r="K146" i="21" s="1"/>
  <c r="K147" i="21" s="1"/>
  <c r="K148" i="21" s="1"/>
  <c r="K149" i="21" s="1"/>
  <c r="K150" i="21" s="1"/>
  <c r="K151" i="21" s="1"/>
  <c r="K152" i="21" s="1"/>
  <c r="K153" i="21" s="1"/>
  <c r="K154" i="21" s="1"/>
  <c r="K155" i="21" s="1"/>
  <c r="K156" i="21" s="1"/>
  <c r="K157" i="21" s="1"/>
  <c r="K158" i="21" s="1"/>
  <c r="K159" i="21" s="1"/>
  <c r="K160" i="21" s="1"/>
  <c r="K161" i="21" s="1"/>
  <c r="K162" i="21" s="1"/>
  <c r="K163" i="21" s="1"/>
  <c r="K164" i="21" s="1"/>
  <c r="K165" i="21" s="1"/>
  <c r="K166" i="21" s="1"/>
  <c r="K167" i="21" s="1"/>
  <c r="K168" i="21" s="1"/>
  <c r="K169" i="21" s="1"/>
  <c r="K170" i="21" s="1"/>
  <c r="K171" i="21" s="1"/>
  <c r="K172" i="21" s="1"/>
  <c r="K173" i="21" s="1"/>
  <c r="K174" i="21" s="1"/>
  <c r="K175" i="21" s="1"/>
  <c r="K176" i="21" s="1"/>
  <c r="K177" i="21" s="1"/>
  <c r="K178" i="21" s="1"/>
  <c r="K179" i="21" s="1"/>
  <c r="K180" i="21" s="1"/>
  <c r="K181" i="21" s="1"/>
  <c r="K182" i="21" s="1"/>
  <c r="K183" i="21" s="1"/>
  <c r="K184" i="21" s="1"/>
  <c r="K185" i="21" s="1"/>
  <c r="K186" i="21" s="1"/>
  <c r="K187" i="21" s="1"/>
  <c r="K188" i="21" s="1"/>
  <c r="K189" i="21" s="1"/>
  <c r="K190" i="21" s="1"/>
  <c r="K191" i="21" s="1"/>
  <c r="K192" i="21" s="1"/>
  <c r="K193" i="21" s="1"/>
  <c r="K194" i="21" s="1"/>
  <c r="K195" i="21" s="1"/>
  <c r="K196" i="21" s="1"/>
  <c r="K197" i="21" s="1"/>
  <c r="K198" i="21" s="1"/>
  <c r="K199" i="21" s="1"/>
  <c r="K200" i="21" s="1"/>
  <c r="K201" i="21" s="1"/>
  <c r="K202" i="21" s="1"/>
  <c r="K203" i="21" s="1"/>
  <c r="K204" i="21" s="1"/>
  <c r="I5" i="21"/>
  <c r="I6" i="21" s="1"/>
  <c r="H5" i="21"/>
  <c r="F5" i="21"/>
  <c r="F6" i="21" s="1"/>
  <c r="A5" i="21"/>
  <c r="Y4" i="21"/>
  <c r="Q4" i="21"/>
  <c r="N4" i="21"/>
  <c r="O4" i="21" s="1"/>
  <c r="K4" i="21"/>
  <c r="J4" i="21"/>
  <c r="H4" i="21"/>
  <c r="G4" i="21"/>
  <c r="AG4" i="21" s="1"/>
  <c r="F4" i="21"/>
  <c r="AF4" i="21" s="1"/>
  <c r="B37" i="1"/>
  <c r="B39" i="1"/>
  <c r="BC11" i="6"/>
  <c r="BC12" i="6"/>
  <c r="BC13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40" i="6"/>
  <c r="BC41" i="6"/>
  <c r="BC44" i="6"/>
  <c r="BC45" i="6"/>
  <c r="BC46" i="6"/>
  <c r="BC48" i="6"/>
  <c r="BC50" i="6"/>
  <c r="BC52" i="6"/>
  <c r="BC53" i="6"/>
  <c r="BC54" i="6"/>
  <c r="BC55" i="6"/>
  <c r="BC58" i="6"/>
  <c r="BC59" i="6"/>
  <c r="BC60" i="6"/>
  <c r="BC61" i="6"/>
  <c r="BC62" i="6"/>
  <c r="BC63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6" i="6"/>
  <c r="BC107" i="6"/>
  <c r="BC108" i="6"/>
  <c r="BC109" i="6"/>
  <c r="BC111" i="6"/>
  <c r="BC112" i="6"/>
  <c r="BC113" i="6"/>
  <c r="BC115" i="6"/>
  <c r="BC117" i="6"/>
  <c r="BC118" i="6"/>
  <c r="BC119" i="6"/>
  <c r="BC120" i="6"/>
  <c r="BC125" i="6"/>
  <c r="BC127" i="6"/>
  <c r="BC128" i="6"/>
  <c r="BC129" i="6"/>
  <c r="BC130" i="6"/>
  <c r="BC131" i="6"/>
  <c r="BC132" i="6"/>
  <c r="BC133" i="6"/>
  <c r="BC134" i="6"/>
  <c r="BC135" i="6"/>
  <c r="BC136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C174" i="6"/>
  <c r="BC175" i="6"/>
  <c r="BC176" i="6"/>
  <c r="BC177" i="6"/>
  <c r="BC178" i="6"/>
  <c r="BC179" i="6"/>
  <c r="BC180" i="6"/>
  <c r="BC181" i="6"/>
  <c r="BC182" i="6"/>
  <c r="BC183" i="6"/>
  <c r="BC184" i="6"/>
  <c r="BC185" i="6"/>
  <c r="BC186" i="6"/>
  <c r="BC187" i="6"/>
  <c r="BC188" i="6"/>
  <c r="BC189" i="6"/>
  <c r="BC190" i="6"/>
  <c r="BC191" i="6"/>
  <c r="BC192" i="6"/>
  <c r="BC193" i="6"/>
  <c r="BC194" i="6"/>
  <c r="BC195" i="6"/>
  <c r="BC196" i="6"/>
  <c r="BC197" i="6"/>
  <c r="BC198" i="6"/>
  <c r="BC199" i="6"/>
  <c r="BC200" i="6"/>
  <c r="BC201" i="6"/>
  <c r="BC202" i="6"/>
  <c r="BC203" i="6"/>
  <c r="B36" i="1"/>
  <c r="I5" i="6"/>
  <c r="AE5" i="21" l="1"/>
  <c r="F7" i="21"/>
  <c r="H6" i="21"/>
  <c r="AE4" i="21"/>
  <c r="AD4" i="21"/>
  <c r="BD4" i="21" s="1"/>
  <c r="BF4" i="21" s="1"/>
  <c r="AC4" i="21"/>
  <c r="BC4" i="21" s="1"/>
  <c r="BE4" i="21" s="1"/>
  <c r="J5" i="21"/>
  <c r="BN4" i="21"/>
  <c r="AV4" i="21"/>
  <c r="L4" i="21"/>
  <c r="AU6" i="21"/>
  <c r="Y6" i="21"/>
  <c r="A7" i="21"/>
  <c r="Q6" i="21"/>
  <c r="BO6" i="21"/>
  <c r="BM5" i="21"/>
  <c r="BP5" i="21" s="1"/>
  <c r="AF5" i="21"/>
  <c r="BO5" i="21"/>
  <c r="G5" i="21"/>
  <c r="AT5" i="21" s="1"/>
  <c r="AU4" i="21"/>
  <c r="BM4" i="21"/>
  <c r="BP4" i="21" s="1"/>
  <c r="M4" i="21"/>
  <c r="BO4" i="21"/>
  <c r="Y5" i="21"/>
  <c r="I7" i="21"/>
  <c r="AU5" i="21"/>
  <c r="Q5" i="21"/>
  <c r="I6" i="6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F8" i="21" l="1"/>
  <c r="Y7" i="21"/>
  <c r="A8" i="21"/>
  <c r="AU7" i="21"/>
  <c r="Q7" i="21"/>
  <c r="H7" i="21"/>
  <c r="P4" i="21"/>
  <c r="I8" i="21"/>
  <c r="BO7" i="21"/>
  <c r="AG5" i="21"/>
  <c r="G6" i="21"/>
  <c r="AV5" i="21"/>
  <c r="AD5" i="21"/>
  <c r="AC5" i="21"/>
  <c r="BC5" i="21" s="1"/>
  <c r="BE5" i="21" s="1"/>
  <c r="J6" i="21"/>
  <c r="L5" i="21"/>
  <c r="M5" i="21" s="1"/>
  <c r="BN5" i="21"/>
  <c r="H4" i="6"/>
  <c r="J4" i="6"/>
  <c r="N4" i="6"/>
  <c r="M4" i="6" s="1"/>
  <c r="Q4" i="6"/>
  <c r="N5" i="21" l="1"/>
  <c r="O5" i="21" s="1"/>
  <c r="P5" i="21"/>
  <c r="I9" i="21"/>
  <c r="BO8" i="21"/>
  <c r="H8" i="21"/>
  <c r="AV6" i="21"/>
  <c r="AD6" i="21"/>
  <c r="AC6" i="21"/>
  <c r="BC6" i="21" s="1"/>
  <c r="BE6" i="21" s="1"/>
  <c r="J7" i="21"/>
  <c r="L6" i="21"/>
  <c r="M6" i="21" s="1"/>
  <c r="BN6" i="21"/>
  <c r="AF6" i="21"/>
  <c r="AE6" i="21"/>
  <c r="BM6" i="21" s="1"/>
  <c r="BP6" i="21" s="1"/>
  <c r="Y8" i="21"/>
  <c r="A9" i="21"/>
  <c r="Q8" i="21"/>
  <c r="AU8" i="21"/>
  <c r="S4" i="21"/>
  <c r="T4" i="21" s="1"/>
  <c r="R4" i="21"/>
  <c r="BD5" i="21"/>
  <c r="BF5" i="21" s="1"/>
  <c r="F9" i="21"/>
  <c r="G7" i="21"/>
  <c r="AG6" i="21"/>
  <c r="AS5" i="21"/>
  <c r="AT6" i="21"/>
  <c r="J5" i="6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N6" i="21" l="1"/>
  <c r="O6" i="21" s="1"/>
  <c r="P6" i="21"/>
  <c r="H9" i="21"/>
  <c r="A10" i="21"/>
  <c r="Q9" i="21"/>
  <c r="AU9" i="21"/>
  <c r="Y9" i="21"/>
  <c r="F10" i="21"/>
  <c r="BO9" i="21"/>
  <c r="I10" i="21"/>
  <c r="BD6" i="21"/>
  <c r="BF6" i="21" s="1"/>
  <c r="R5" i="21"/>
  <c r="S5" i="21"/>
  <c r="T5" i="21" s="1"/>
  <c r="G8" i="21"/>
  <c r="AG7" i="21"/>
  <c r="AS6" i="21"/>
  <c r="AT7" i="21"/>
  <c r="AC7" i="21"/>
  <c r="BE7" i="21" s="1"/>
  <c r="J8" i="21"/>
  <c r="L7" i="21"/>
  <c r="M7" i="21" s="1"/>
  <c r="AV7" i="21"/>
  <c r="BN7" i="21"/>
  <c r="AD7" i="21"/>
  <c r="BD7" i="21" s="1"/>
  <c r="BF7" i="21" s="1"/>
  <c r="AE7" i="21"/>
  <c r="BM7" i="21" s="1"/>
  <c r="BP7" i="21" s="1"/>
  <c r="AF7" i="21"/>
  <c r="U4" i="21"/>
  <c r="V4" i="21"/>
  <c r="CE4" i="21"/>
  <c r="J6" i="6"/>
  <c r="J7" i="6" s="1"/>
  <c r="E4" i="11"/>
  <c r="E2" i="11" s="1"/>
  <c r="F4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N7" i="21" l="1"/>
  <c r="O7" i="21" s="1"/>
  <c r="P7" i="21"/>
  <c r="BN8" i="21"/>
  <c r="AV8" i="21"/>
  <c r="AC8" i="21"/>
  <c r="BE8" i="21" s="1"/>
  <c r="AD8" i="21"/>
  <c r="L8" i="21"/>
  <c r="M8" i="21" s="1"/>
  <c r="J9" i="21"/>
  <c r="AF8" i="21"/>
  <c r="AE8" i="21"/>
  <c r="BM8" i="21" s="1"/>
  <c r="BP8" i="21" s="1"/>
  <c r="A11" i="21"/>
  <c r="Q10" i="21"/>
  <c r="AU10" i="21"/>
  <c r="Y10" i="21"/>
  <c r="H10" i="21"/>
  <c r="R6" i="21"/>
  <c r="S6" i="21"/>
  <c r="T6" i="21" s="1"/>
  <c r="BO10" i="21"/>
  <c r="I11" i="21"/>
  <c r="G9" i="21"/>
  <c r="AG8" i="21"/>
  <c r="AT8" i="21"/>
  <c r="AS7" i="21"/>
  <c r="F11" i="21"/>
  <c r="AH4" i="21"/>
  <c r="AI4" i="21" s="1"/>
  <c r="W4" i="21"/>
  <c r="CE5" i="21"/>
  <c r="CD5" i="21"/>
  <c r="CG5" i="21" s="1"/>
  <c r="U5" i="21"/>
  <c r="V5" i="21"/>
  <c r="Q5" i="6"/>
  <c r="J8" i="6"/>
  <c r="U4" i="6"/>
  <c r="V4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BD8" i="21" l="1"/>
  <c r="BF8" i="21" s="1"/>
  <c r="N8" i="21"/>
  <c r="O8" i="21" s="1"/>
  <c r="P8" i="21"/>
  <c r="F12" i="21"/>
  <c r="U6" i="21"/>
  <c r="CE6" i="21"/>
  <c r="CD6" i="21"/>
  <c r="CG6" i="21" s="1"/>
  <c r="V6" i="21"/>
  <c r="BN9" i="21"/>
  <c r="AV9" i="21"/>
  <c r="J10" i="21"/>
  <c r="AD9" i="21"/>
  <c r="L9" i="21"/>
  <c r="M9" i="21" s="1"/>
  <c r="AC9" i="21"/>
  <c r="BC9" i="21" s="1"/>
  <c r="BE9" i="21" s="1"/>
  <c r="AF9" i="21"/>
  <c r="AE9" i="21"/>
  <c r="BM9" i="21" s="1"/>
  <c r="BP9" i="21" s="1"/>
  <c r="H11" i="21"/>
  <c r="CF5" i="21"/>
  <c r="CH5" i="21"/>
  <c r="R7" i="21"/>
  <c r="S7" i="21"/>
  <c r="T7" i="21" s="1"/>
  <c r="BO11" i="21"/>
  <c r="I12" i="21"/>
  <c r="AH5" i="21"/>
  <c r="AI5" i="21" s="1"/>
  <c r="W5" i="21"/>
  <c r="BB4" i="21"/>
  <c r="AX4" i="21"/>
  <c r="AJ4" i="21"/>
  <c r="AQ4" i="21"/>
  <c r="AZ4" i="21" s="1"/>
  <c r="X4" i="21"/>
  <c r="AR4" i="21"/>
  <c r="Q11" i="21"/>
  <c r="AU11" i="21"/>
  <c r="Y11" i="21"/>
  <c r="A12" i="21"/>
  <c r="G10" i="21"/>
  <c r="AG9" i="21"/>
  <c r="AT9" i="21"/>
  <c r="AS8" i="21"/>
  <c r="H5" i="6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N9" i="21" l="1"/>
  <c r="O9" i="21" s="1"/>
  <c r="P9" i="21"/>
  <c r="AH6" i="21"/>
  <c r="AI6" i="21" s="1"/>
  <c r="W6" i="21"/>
  <c r="AX5" i="21"/>
  <c r="AR5" i="21"/>
  <c r="AW5" i="21" s="1"/>
  <c r="AQ5" i="21"/>
  <c r="AZ5" i="21" s="1"/>
  <c r="X5" i="21"/>
  <c r="BB5" i="21"/>
  <c r="AJ5" i="21"/>
  <c r="AL5" i="21" s="1"/>
  <c r="AY5" i="21"/>
  <c r="CA4" i="21"/>
  <c r="BY4" i="21"/>
  <c r="BW4" i="21"/>
  <c r="Z4" i="21"/>
  <c r="AK4" i="21"/>
  <c r="BL4" i="21"/>
  <c r="BK4" i="21"/>
  <c r="Q12" i="21"/>
  <c r="AU12" i="21"/>
  <c r="Y12" i="21"/>
  <c r="A13" i="21"/>
  <c r="AG10" i="21"/>
  <c r="G11" i="21"/>
  <c r="AT10" i="21"/>
  <c r="AS9" i="21"/>
  <c r="H12" i="21"/>
  <c r="R8" i="21"/>
  <c r="S8" i="21"/>
  <c r="T8" i="21" s="1"/>
  <c r="F13" i="21"/>
  <c r="I13" i="21"/>
  <c r="BO12" i="21"/>
  <c r="BN10" i="21"/>
  <c r="AV10" i="21"/>
  <c r="AD10" i="21"/>
  <c r="AC10" i="21"/>
  <c r="J11" i="21"/>
  <c r="L10" i="21"/>
  <c r="M10" i="21" s="1"/>
  <c r="AF10" i="21"/>
  <c r="AE10" i="21"/>
  <c r="BM10" i="21" s="1"/>
  <c r="BP10" i="21" s="1"/>
  <c r="CF6" i="21"/>
  <c r="CH6" i="21"/>
  <c r="BD9" i="21"/>
  <c r="BF9" i="21" s="1"/>
  <c r="U7" i="21"/>
  <c r="CE7" i="21"/>
  <c r="CD7" i="21"/>
  <c r="CG7" i="21" s="1"/>
  <c r="V7" i="21"/>
  <c r="F6" i="6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BD10" i="21" l="1"/>
  <c r="BF10" i="21" s="1"/>
  <c r="N10" i="21"/>
  <c r="O10" i="21" s="1"/>
  <c r="P10" i="21"/>
  <c r="BL5" i="21"/>
  <c r="CA5" i="21"/>
  <c r="Z5" i="21"/>
  <c r="BY5" i="21"/>
  <c r="BZ5" i="21" s="1"/>
  <c r="BW5" i="21"/>
  <c r="BX5" i="21" s="1"/>
  <c r="AK5" i="21"/>
  <c r="AM5" i="21" s="1"/>
  <c r="BK5" i="21"/>
  <c r="AR6" i="21"/>
  <c r="AW6" i="21" s="1"/>
  <c r="AQ6" i="21"/>
  <c r="AZ6" i="21" s="1"/>
  <c r="X6" i="21"/>
  <c r="AY6" i="21" s="1"/>
  <c r="BB6" i="21"/>
  <c r="AX6" i="21"/>
  <c r="AJ6" i="21"/>
  <c r="AL6" i="21" s="1"/>
  <c r="BN11" i="21"/>
  <c r="AV11" i="21"/>
  <c r="AD11" i="21"/>
  <c r="AC11" i="21"/>
  <c r="BE11" i="21" s="1"/>
  <c r="J12" i="21"/>
  <c r="L11" i="21"/>
  <c r="M11" i="21" s="1"/>
  <c r="AE11" i="21"/>
  <c r="BM11" i="21" s="1"/>
  <c r="BP11" i="21" s="1"/>
  <c r="AF11" i="21"/>
  <c r="BC10" i="21"/>
  <c r="BE10" i="21" s="1"/>
  <c r="I14" i="21"/>
  <c r="BO13" i="21"/>
  <c r="U8" i="21"/>
  <c r="CE8" i="21"/>
  <c r="CD8" i="21"/>
  <c r="CG8" i="21" s="1"/>
  <c r="V8" i="21"/>
  <c r="AG11" i="21"/>
  <c r="G12" i="21"/>
  <c r="AT11" i="21"/>
  <c r="AS10" i="21"/>
  <c r="R9" i="21"/>
  <c r="S9" i="21"/>
  <c r="T9" i="21" s="1"/>
  <c r="H13" i="21"/>
  <c r="F14" i="21"/>
  <c r="AH7" i="21"/>
  <c r="AI7" i="21" s="1"/>
  <c r="W7" i="21"/>
  <c r="CH7" i="21"/>
  <c r="CF7" i="21"/>
  <c r="Y13" i="21"/>
  <c r="A14" i="21"/>
  <c r="Q13" i="21"/>
  <c r="AU13" i="21"/>
  <c r="G7" i="6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N11" i="21" l="1"/>
  <c r="O11" i="21" s="1"/>
  <c r="P11" i="21"/>
  <c r="CC5" i="21"/>
  <c r="CB5" i="21"/>
  <c r="U9" i="21"/>
  <c r="CE9" i="21"/>
  <c r="CD9" i="21"/>
  <c r="CG9" i="21" s="1"/>
  <c r="V9" i="21"/>
  <c r="BD11" i="21"/>
  <c r="BF11" i="21" s="1"/>
  <c r="CH8" i="21"/>
  <c r="CF8" i="21"/>
  <c r="AG12" i="21"/>
  <c r="G13" i="21"/>
  <c r="AT12" i="21"/>
  <c r="AS11" i="21"/>
  <c r="AH8" i="21"/>
  <c r="AI8" i="21" s="1"/>
  <c r="W8" i="21"/>
  <c r="R10" i="21"/>
  <c r="S10" i="21"/>
  <c r="T10" i="21" s="1"/>
  <c r="AV12" i="21"/>
  <c r="AD12" i="21"/>
  <c r="AC12" i="21"/>
  <c r="BE12" i="21" s="1"/>
  <c r="J13" i="21"/>
  <c r="L12" i="21"/>
  <c r="M12" i="21" s="1"/>
  <c r="BN12" i="21"/>
  <c r="AE12" i="21"/>
  <c r="BM12" i="21" s="1"/>
  <c r="BP12" i="21" s="1"/>
  <c r="AF12" i="21"/>
  <c r="F15" i="21"/>
  <c r="Y14" i="21"/>
  <c r="A15" i="21"/>
  <c r="Q14" i="21"/>
  <c r="AU14" i="21"/>
  <c r="H14" i="21"/>
  <c r="I15" i="21"/>
  <c r="BO14" i="21"/>
  <c r="AR7" i="21"/>
  <c r="AW7" i="21" s="1"/>
  <c r="AQ7" i="21"/>
  <c r="AZ7" i="21" s="1"/>
  <c r="X7" i="21"/>
  <c r="BB7" i="21"/>
  <c r="AJ7" i="21"/>
  <c r="AL7" i="21" s="1"/>
  <c r="AX7" i="21"/>
  <c r="AY7" i="21"/>
  <c r="CA6" i="21"/>
  <c r="Z6" i="21"/>
  <c r="BY6" i="21"/>
  <c r="BZ6" i="21" s="1"/>
  <c r="BW6" i="21"/>
  <c r="BX6" i="21" s="1"/>
  <c r="AK6" i="21"/>
  <c r="AM6" i="21" s="1"/>
  <c r="BL6" i="21"/>
  <c r="BK6" i="21"/>
  <c r="G8" i="6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BD12" i="21" l="1"/>
  <c r="BF12" i="21" s="1"/>
  <c r="N12" i="21"/>
  <c r="O12" i="21" s="1"/>
  <c r="P12" i="21"/>
  <c r="H15" i="21"/>
  <c r="CC6" i="21"/>
  <c r="CB6" i="21"/>
  <c r="X8" i="21"/>
  <c r="AY8" i="21" s="1"/>
  <c r="BB8" i="21"/>
  <c r="AJ8" i="21"/>
  <c r="AL8" i="21" s="1"/>
  <c r="AX8" i="21"/>
  <c r="AR8" i="21"/>
  <c r="AW8" i="21" s="1"/>
  <c r="AQ8" i="21"/>
  <c r="AZ8" i="21" s="1"/>
  <c r="Y15" i="21"/>
  <c r="A16" i="21"/>
  <c r="Q15" i="21"/>
  <c r="AU15" i="21"/>
  <c r="G14" i="21"/>
  <c r="AG13" i="21"/>
  <c r="AT13" i="21"/>
  <c r="AS12" i="21"/>
  <c r="AD13" i="21"/>
  <c r="AC13" i="21"/>
  <c r="BE13" i="21" s="1"/>
  <c r="J14" i="21"/>
  <c r="L13" i="21"/>
  <c r="M13" i="21" s="1"/>
  <c r="AV13" i="21"/>
  <c r="BN13" i="21"/>
  <c r="AE13" i="21"/>
  <c r="BM13" i="21" s="1"/>
  <c r="BP13" i="21" s="1"/>
  <c r="AF13" i="21"/>
  <c r="R11" i="21"/>
  <c r="S11" i="21"/>
  <c r="T11" i="21" s="1"/>
  <c r="CA7" i="21"/>
  <c r="Z7" i="21"/>
  <c r="BY7" i="21"/>
  <c r="BZ7" i="21" s="1"/>
  <c r="BW7" i="21"/>
  <c r="BX7" i="21" s="1"/>
  <c r="AK7" i="21"/>
  <c r="AM7" i="21" s="1"/>
  <c r="F16" i="21"/>
  <c r="AH9" i="21"/>
  <c r="AI9" i="21" s="1"/>
  <c r="W9" i="21"/>
  <c r="CH9" i="21"/>
  <c r="CF9" i="21"/>
  <c r="I16" i="21"/>
  <c r="BO15" i="21"/>
  <c r="U10" i="21"/>
  <c r="CE10" i="21"/>
  <c r="CD10" i="21"/>
  <c r="CG10" i="21" s="1"/>
  <c r="V10" i="21"/>
  <c r="G9" i="6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BD13" i="21" l="1"/>
  <c r="BF13" i="21" s="1"/>
  <c r="N13" i="21"/>
  <c r="O13" i="21" s="1"/>
  <c r="P13" i="21"/>
  <c r="G15" i="21"/>
  <c r="AG14" i="21"/>
  <c r="AT14" i="21"/>
  <c r="AS13" i="21"/>
  <c r="BO16" i="21"/>
  <c r="I17" i="21"/>
  <c r="F17" i="21"/>
  <c r="AC14" i="21"/>
  <c r="BE14" i="21" s="1"/>
  <c r="J15" i="21"/>
  <c r="L14" i="21"/>
  <c r="M14" i="21" s="1"/>
  <c r="BN14" i="21"/>
  <c r="AV14" i="21"/>
  <c r="AD14" i="21"/>
  <c r="BD14" i="21" s="1"/>
  <c r="BF14" i="21" s="1"/>
  <c r="AE14" i="21"/>
  <c r="BM14" i="21" s="1"/>
  <c r="BP14" i="21" s="1"/>
  <c r="AF14" i="21"/>
  <c r="A17" i="21"/>
  <c r="Q16" i="21"/>
  <c r="AU16" i="21"/>
  <c r="Y16" i="21"/>
  <c r="BB9" i="21"/>
  <c r="AJ9" i="21"/>
  <c r="AL9" i="21" s="1"/>
  <c r="AX9" i="21"/>
  <c r="AR9" i="21"/>
  <c r="AW9" i="21" s="1"/>
  <c r="AQ9" i="21"/>
  <c r="AZ9" i="21" s="1"/>
  <c r="X9" i="21"/>
  <c r="AY9" i="21"/>
  <c r="H16" i="21"/>
  <c r="CC7" i="21"/>
  <c r="CB7" i="21"/>
  <c r="R12" i="21"/>
  <c r="S12" i="21"/>
  <c r="T12" i="21" s="1"/>
  <c r="CE11" i="21"/>
  <c r="CD11" i="21"/>
  <c r="CG11" i="21" s="1"/>
  <c r="U11" i="21"/>
  <c r="V11" i="21"/>
  <c r="CH10" i="21"/>
  <c r="CF10" i="21"/>
  <c r="BY8" i="21"/>
  <c r="BZ8" i="21" s="1"/>
  <c r="BW8" i="21"/>
  <c r="BX8" i="21" s="1"/>
  <c r="AK8" i="21"/>
  <c r="AM8" i="21" s="1"/>
  <c r="CA8" i="21"/>
  <c r="Z8" i="21"/>
  <c r="AH10" i="21"/>
  <c r="AI10" i="21" s="1"/>
  <c r="W10" i="21"/>
  <c r="G10" i="6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N14" i="21" l="1"/>
  <c r="O14" i="21" s="1"/>
  <c r="P14" i="21"/>
  <c r="CB8" i="21"/>
  <c r="CC8" i="21"/>
  <c r="H17" i="21"/>
  <c r="BW9" i="21"/>
  <c r="BX9" i="21" s="1"/>
  <c r="AK9" i="21"/>
  <c r="AM9" i="21" s="1"/>
  <c r="AO7" i="21" s="1"/>
  <c r="BY9" i="21"/>
  <c r="BZ9" i="21" s="1"/>
  <c r="Z9" i="21"/>
  <c r="CA9" i="21"/>
  <c r="BN15" i="21"/>
  <c r="AV15" i="21"/>
  <c r="AC15" i="21"/>
  <c r="BE15" i="21" s="1"/>
  <c r="J16" i="21"/>
  <c r="AD15" i="21"/>
  <c r="L15" i="21"/>
  <c r="M15" i="21" s="1"/>
  <c r="AF15" i="21"/>
  <c r="AE15" i="21"/>
  <c r="BM15" i="21" s="1"/>
  <c r="BP15" i="21" s="1"/>
  <c r="A18" i="21"/>
  <c r="Q17" i="21"/>
  <c r="AU17" i="21"/>
  <c r="Y17" i="21"/>
  <c r="G16" i="21"/>
  <c r="AG15" i="21"/>
  <c r="AT15" i="21"/>
  <c r="AS14" i="21"/>
  <c r="F18" i="21"/>
  <c r="R13" i="21"/>
  <c r="S13" i="21"/>
  <c r="T13" i="21" s="1"/>
  <c r="AH11" i="21"/>
  <c r="AI11" i="21" s="1"/>
  <c r="W11" i="21"/>
  <c r="CF11" i="21"/>
  <c r="CH11" i="21"/>
  <c r="CE12" i="21"/>
  <c r="CD12" i="21"/>
  <c r="CG12" i="21" s="1"/>
  <c r="U12" i="21"/>
  <c r="V12" i="21"/>
  <c r="BO17" i="21"/>
  <c r="I18" i="21"/>
  <c r="AJ10" i="21"/>
  <c r="AL10" i="21" s="1"/>
  <c r="AX10" i="21"/>
  <c r="AR10" i="21"/>
  <c r="AW10" i="21" s="1"/>
  <c r="BB10" i="21"/>
  <c r="X10" i="21"/>
  <c r="AQ10" i="21"/>
  <c r="AZ10" i="21" s="1"/>
  <c r="AY10" i="21"/>
  <c r="AN7" i="21"/>
  <c r="G11" i="6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N15" i="21" l="1"/>
  <c r="O15" i="21" s="1"/>
  <c r="P15" i="21"/>
  <c r="AX11" i="21"/>
  <c r="AR11" i="21"/>
  <c r="AW11" i="21" s="1"/>
  <c r="AQ11" i="21"/>
  <c r="AZ11" i="21" s="1"/>
  <c r="AJ11" i="21"/>
  <c r="AL11" i="21" s="1"/>
  <c r="X11" i="21"/>
  <c r="BB11" i="21"/>
  <c r="AY11" i="21"/>
  <c r="BD15" i="21"/>
  <c r="BF15" i="21" s="1"/>
  <c r="H18" i="21"/>
  <c r="BM18" i="21"/>
  <c r="Q18" i="21"/>
  <c r="AU18" i="21"/>
  <c r="Y18" i="21"/>
  <c r="A19" i="21"/>
  <c r="AH12" i="21"/>
  <c r="AI12" i="21" s="1"/>
  <c r="W12" i="21"/>
  <c r="AK10" i="21"/>
  <c r="AM10" i="21" s="1"/>
  <c r="AO8" i="21" s="1"/>
  <c r="CA10" i="21"/>
  <c r="BW10" i="21"/>
  <c r="BX10" i="21" s="1"/>
  <c r="BY10" i="21"/>
  <c r="BZ10" i="21" s="1"/>
  <c r="Z10" i="21"/>
  <c r="R14" i="21"/>
  <c r="S14" i="21"/>
  <c r="T14" i="21" s="1"/>
  <c r="CC9" i="21"/>
  <c r="CB9" i="21"/>
  <c r="BO18" i="21"/>
  <c r="I19" i="21"/>
  <c r="F19" i="21"/>
  <c r="CF12" i="21"/>
  <c r="CH12" i="21"/>
  <c r="G17" i="21"/>
  <c r="AG16" i="21"/>
  <c r="AT16" i="21"/>
  <c r="AS15" i="21"/>
  <c r="U13" i="21"/>
  <c r="CE13" i="21"/>
  <c r="CD13" i="21"/>
  <c r="CG13" i="21" s="1"/>
  <c r="V13" i="21"/>
  <c r="BN16" i="21"/>
  <c r="AV16" i="21"/>
  <c r="AD16" i="21"/>
  <c r="AC16" i="21"/>
  <c r="BE16" i="21" s="1"/>
  <c r="L16" i="21"/>
  <c r="M16" i="21" s="1"/>
  <c r="J17" i="21"/>
  <c r="AE16" i="21"/>
  <c r="BM16" i="21" s="1"/>
  <c r="BP16" i="21" s="1"/>
  <c r="AF16" i="21"/>
  <c r="AN8" i="21"/>
  <c r="G12" i="6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G27" i="1"/>
  <c r="G25" i="1" s="1"/>
  <c r="O8" i="11"/>
  <c r="P8" i="11" s="1"/>
  <c r="R8" i="11" s="1"/>
  <c r="Q15" i="11"/>
  <c r="A16" i="11"/>
  <c r="M10" i="11"/>
  <c r="N10" i="11"/>
  <c r="O10" i="11" s="1"/>
  <c r="G6" i="10"/>
  <c r="E31" i="1"/>
  <c r="E5" i="10"/>
  <c r="A14" i="6"/>
  <c r="A15" i="10"/>
  <c r="V14" i="10"/>
  <c r="N16" i="21" l="1"/>
  <c r="O16" i="21" s="1"/>
  <c r="P16" i="21"/>
  <c r="U14" i="21"/>
  <c r="CE14" i="21"/>
  <c r="CD14" i="21"/>
  <c r="CG14" i="21" s="1"/>
  <c r="V14" i="21"/>
  <c r="BD16" i="21"/>
  <c r="BF16" i="21" s="1"/>
  <c r="H19" i="21"/>
  <c r="AH13" i="21"/>
  <c r="AI13" i="21" s="1"/>
  <c r="W13" i="21"/>
  <c r="R15" i="21"/>
  <c r="S15" i="21"/>
  <c r="T15" i="21" s="1"/>
  <c r="AR12" i="21"/>
  <c r="AW12" i="21" s="1"/>
  <c r="AQ12" i="21"/>
  <c r="AZ12" i="21" s="1"/>
  <c r="X12" i="21"/>
  <c r="BB12" i="21"/>
  <c r="AX12" i="21"/>
  <c r="AJ12" i="21"/>
  <c r="AL12" i="21" s="1"/>
  <c r="AY12" i="21"/>
  <c r="F20" i="21"/>
  <c r="CC10" i="21"/>
  <c r="CB10" i="21"/>
  <c r="AG17" i="21"/>
  <c r="G18" i="21"/>
  <c r="AT17" i="21"/>
  <c r="AS16" i="21"/>
  <c r="CA11" i="21"/>
  <c r="Z11" i="21"/>
  <c r="BY11" i="21"/>
  <c r="BZ11" i="21" s="1"/>
  <c r="AK11" i="21"/>
  <c r="AM11" i="21" s="1"/>
  <c r="BW11" i="21"/>
  <c r="BX11" i="21" s="1"/>
  <c r="BM19" i="21"/>
  <c r="Q19" i="21"/>
  <c r="AU19" i="21"/>
  <c r="Y19" i="21"/>
  <c r="A20" i="21"/>
  <c r="CH13" i="21"/>
  <c r="CF13" i="21"/>
  <c r="BP18" i="21"/>
  <c r="BN17" i="21"/>
  <c r="AV17" i="21"/>
  <c r="AD17" i="21"/>
  <c r="AC17" i="21"/>
  <c r="BE17" i="21" s="1"/>
  <c r="J18" i="21"/>
  <c r="L17" i="21"/>
  <c r="M17" i="21" s="1"/>
  <c r="AF17" i="21"/>
  <c r="AE17" i="21"/>
  <c r="BM17" i="21" s="1"/>
  <c r="BP17" i="21" s="1"/>
  <c r="AN9" i="21"/>
  <c r="I20" i="21"/>
  <c r="BO19" i="21"/>
  <c r="AH4" i="6"/>
  <c r="AI4" i="6" s="1"/>
  <c r="AC4" i="6"/>
  <c r="AD4" i="6"/>
  <c r="X4" i="6"/>
  <c r="AJ4" i="6"/>
  <c r="G13" i="6"/>
  <c r="AE4" i="6"/>
  <c r="AG4" i="6"/>
  <c r="AF4" i="6"/>
  <c r="K5" i="6"/>
  <c r="F14" i="6"/>
  <c r="Y14" i="6"/>
  <c r="Q14" i="6"/>
  <c r="H17" i="6"/>
  <c r="J17" i="6"/>
  <c r="P7" i="11"/>
  <c r="R7" i="11" s="1"/>
  <c r="E27" i="1"/>
  <c r="E25" i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O4" i="6"/>
  <c r="E6" i="10"/>
  <c r="G7" i="10"/>
  <c r="F5" i="10"/>
  <c r="A15" i="6"/>
  <c r="A16" i="10"/>
  <c r="V15" i="10"/>
  <c r="N17" i="21" l="1"/>
  <c r="O17" i="21" s="1"/>
  <c r="P17" i="21"/>
  <c r="BN18" i="21"/>
  <c r="AV18" i="21"/>
  <c r="AD18" i="21"/>
  <c r="BD18" i="21" s="1"/>
  <c r="BF18" i="21" s="1"/>
  <c r="AC18" i="21"/>
  <c r="BE18" i="21" s="1"/>
  <c r="J19" i="21"/>
  <c r="L18" i="21"/>
  <c r="M18" i="21" s="1"/>
  <c r="AF18" i="21"/>
  <c r="AE18" i="21"/>
  <c r="AH14" i="21"/>
  <c r="AI14" i="21" s="1"/>
  <c r="W14" i="21"/>
  <c r="CC11" i="21"/>
  <c r="CB11" i="21"/>
  <c r="AG18" i="21"/>
  <c r="G19" i="21"/>
  <c r="AS17" i="21"/>
  <c r="AT18" i="21"/>
  <c r="I21" i="21"/>
  <c r="BO20" i="21"/>
  <c r="CH14" i="21"/>
  <c r="CF14" i="21"/>
  <c r="AN10" i="21"/>
  <c r="BP19" i="21"/>
  <c r="AR13" i="21"/>
  <c r="AW13" i="21" s="1"/>
  <c r="AQ13" i="21"/>
  <c r="AZ13" i="21" s="1"/>
  <c r="X13" i="21"/>
  <c r="AY13" i="21" s="1"/>
  <c r="BB13" i="21"/>
  <c r="AX13" i="21"/>
  <c r="AJ13" i="21"/>
  <c r="AL13" i="21" s="1"/>
  <c r="CA12" i="21"/>
  <c r="Z12" i="21"/>
  <c r="BY12" i="21"/>
  <c r="BZ12" i="21" s="1"/>
  <c r="BW12" i="21"/>
  <c r="BX12" i="21" s="1"/>
  <c r="AK12" i="21"/>
  <c r="AM12" i="21" s="1"/>
  <c r="U15" i="21"/>
  <c r="CE15" i="21"/>
  <c r="CD15" i="21"/>
  <c r="CG15" i="21" s="1"/>
  <c r="V15" i="21"/>
  <c r="R16" i="21"/>
  <c r="S16" i="21"/>
  <c r="T16" i="21" s="1"/>
  <c r="H20" i="21"/>
  <c r="BD17" i="21"/>
  <c r="BF17" i="21" s="1"/>
  <c r="F21" i="21"/>
  <c r="Y20" i="21"/>
  <c r="Q20" i="21"/>
  <c r="A21" i="21"/>
  <c r="BM20" i="21"/>
  <c r="AU20" i="21"/>
  <c r="AO9" i="21"/>
  <c r="BD4" i="6"/>
  <c r="BF4" i="6" s="1"/>
  <c r="BC4" i="6"/>
  <c r="BE4" i="6" s="1"/>
  <c r="AC5" i="6"/>
  <c r="AD5" i="6"/>
  <c r="Z4" i="6"/>
  <c r="AK4" i="6"/>
  <c r="AE5" i="6"/>
  <c r="AF5" i="6"/>
  <c r="AG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O5" i="6"/>
  <c r="AT5" i="6"/>
  <c r="F6" i="10"/>
  <c r="E7" i="10"/>
  <c r="G8" i="10"/>
  <c r="A16" i="6"/>
  <c r="V16" i="10"/>
  <c r="A17" i="10"/>
  <c r="N18" i="21" l="1"/>
  <c r="O18" i="21" s="1"/>
  <c r="P18" i="21"/>
  <c r="A22" i="21"/>
  <c r="BM21" i="21"/>
  <c r="AU21" i="21"/>
  <c r="Y21" i="21"/>
  <c r="Q21" i="21"/>
  <c r="CC12" i="21"/>
  <c r="CB12" i="21"/>
  <c r="BO21" i="21"/>
  <c r="I22" i="21"/>
  <c r="AV19" i="21"/>
  <c r="AD19" i="21"/>
  <c r="AC19" i="21"/>
  <c r="BE19" i="21" s="1"/>
  <c r="J20" i="21"/>
  <c r="L19" i="21"/>
  <c r="M19" i="21" s="1"/>
  <c r="BN19" i="21"/>
  <c r="AF19" i="21"/>
  <c r="AE19" i="21"/>
  <c r="CA13" i="21"/>
  <c r="Z13" i="21"/>
  <c r="BY13" i="21"/>
  <c r="BZ13" i="21" s="1"/>
  <c r="BW13" i="21"/>
  <c r="BX13" i="21" s="1"/>
  <c r="AK13" i="21"/>
  <c r="AM13" i="21" s="1"/>
  <c r="R17" i="21"/>
  <c r="S17" i="21"/>
  <c r="T17" i="21" s="1"/>
  <c r="H21" i="21"/>
  <c r="AG19" i="21"/>
  <c r="G20" i="21"/>
  <c r="AT19" i="21"/>
  <c r="AS18" i="21"/>
  <c r="F22" i="21"/>
  <c r="CH15" i="21"/>
  <c r="CF15" i="21"/>
  <c r="U16" i="21"/>
  <c r="CE16" i="21"/>
  <c r="CD16" i="21"/>
  <c r="CG16" i="21" s="1"/>
  <c r="V16" i="21"/>
  <c r="AR14" i="21"/>
  <c r="AW14" i="21" s="1"/>
  <c r="AQ14" i="21"/>
  <c r="AZ14" i="21" s="1"/>
  <c r="X14" i="21"/>
  <c r="AY14" i="21" s="1"/>
  <c r="BB14" i="21"/>
  <c r="AJ14" i="21"/>
  <c r="AL14" i="21" s="1"/>
  <c r="AX14" i="21"/>
  <c r="AH15" i="21"/>
  <c r="AI15" i="21" s="1"/>
  <c r="W15" i="21"/>
  <c r="BP20" i="21"/>
  <c r="AN11" i="21"/>
  <c r="AO10" i="21"/>
  <c r="BD5" i="6"/>
  <c r="BF5" i="6" s="1"/>
  <c r="BC5" i="6"/>
  <c r="BE5" i="6" s="1"/>
  <c r="AC6" i="6"/>
  <c r="AD6" i="6"/>
  <c r="G15" i="6"/>
  <c r="AE6" i="6"/>
  <c r="AG6" i="6"/>
  <c r="AF6" i="6"/>
  <c r="F16" i="6"/>
  <c r="K7" i="6"/>
  <c r="H19" i="6"/>
  <c r="J19" i="6"/>
  <c r="Q16" i="6"/>
  <c r="Y16" i="6"/>
  <c r="P12" i="11"/>
  <c r="R12" i="11" s="1"/>
  <c r="W12" i="11"/>
  <c r="M13" i="11"/>
  <c r="N13" i="11"/>
  <c r="O13" i="11" s="1"/>
  <c r="Q18" i="11"/>
  <c r="A19" i="11"/>
  <c r="BO6" i="6"/>
  <c r="AS5" i="6"/>
  <c r="AT6" i="6"/>
  <c r="F7" i="10"/>
  <c r="E8" i="10"/>
  <c r="G9" i="10"/>
  <c r="A17" i="6"/>
  <c r="A18" i="10"/>
  <c r="V17" i="10"/>
  <c r="N19" i="21" l="1"/>
  <c r="O19" i="21" s="1"/>
  <c r="P19" i="21"/>
  <c r="BD19" i="21"/>
  <c r="BF19" i="21" s="1"/>
  <c r="BP21" i="21"/>
  <c r="AO11" i="21"/>
  <c r="I23" i="21"/>
  <c r="BO22" i="21"/>
  <c r="AH16" i="21"/>
  <c r="AI16" i="21" s="1"/>
  <c r="W16" i="21"/>
  <c r="CC13" i="21"/>
  <c r="CB13" i="21"/>
  <c r="AN12" i="21"/>
  <c r="AD20" i="21"/>
  <c r="AC20" i="21"/>
  <c r="BE20" i="21" s="1"/>
  <c r="L20" i="21"/>
  <c r="M20" i="21" s="1"/>
  <c r="J21" i="21"/>
  <c r="BN20" i="21"/>
  <c r="AV20" i="21"/>
  <c r="AE20" i="21"/>
  <c r="AF20" i="21"/>
  <c r="Y22" i="21"/>
  <c r="AU22" i="21"/>
  <c r="BM22" i="21"/>
  <c r="BP22" i="21" s="1"/>
  <c r="Q22" i="21"/>
  <c r="A23" i="21"/>
  <c r="F23" i="21"/>
  <c r="R18" i="21"/>
  <c r="S18" i="21"/>
  <c r="T18" i="21" s="1"/>
  <c r="H22" i="21"/>
  <c r="U17" i="21"/>
  <c r="CE17" i="21"/>
  <c r="CD17" i="21"/>
  <c r="CG17" i="21" s="1"/>
  <c r="V17" i="21"/>
  <c r="CA14" i="21"/>
  <c r="Z14" i="21"/>
  <c r="BY14" i="21"/>
  <c r="BZ14" i="21" s="1"/>
  <c r="BW14" i="21"/>
  <c r="BX14" i="21" s="1"/>
  <c r="AK14" i="21"/>
  <c r="AM14" i="21" s="1"/>
  <c r="AO12" i="21" s="1"/>
  <c r="CH16" i="21"/>
  <c r="CF16" i="21"/>
  <c r="X15" i="21"/>
  <c r="BB15" i="21"/>
  <c r="AJ15" i="21"/>
  <c r="AL15" i="21" s="1"/>
  <c r="AX15" i="21"/>
  <c r="AR15" i="21"/>
  <c r="AW15" i="21" s="1"/>
  <c r="AQ15" i="21"/>
  <c r="AZ15" i="21" s="1"/>
  <c r="G21" i="21"/>
  <c r="AG20" i="21"/>
  <c r="AS19" i="21"/>
  <c r="AT20" i="21"/>
  <c r="BD6" i="6"/>
  <c r="BF6" i="6" s="1"/>
  <c r="BC6" i="6"/>
  <c r="BE6" i="6" s="1"/>
  <c r="AC7" i="6"/>
  <c r="AD7" i="6"/>
  <c r="AF7" i="6"/>
  <c r="AE7" i="6"/>
  <c r="AG7" i="6"/>
  <c r="G16" i="6"/>
  <c r="F17" i="6"/>
  <c r="K8" i="6"/>
  <c r="H20" i="6"/>
  <c r="Y17" i="6"/>
  <c r="Q17" i="6"/>
  <c r="J20" i="6"/>
  <c r="A20" i="11"/>
  <c r="Q19" i="11"/>
  <c r="M14" i="11"/>
  <c r="N14" i="11"/>
  <c r="O14" i="11" s="1"/>
  <c r="P13" i="11"/>
  <c r="R13" i="11" s="1"/>
  <c r="W13" i="11"/>
  <c r="BO7" i="6"/>
  <c r="AS6" i="6"/>
  <c r="AT7" i="6"/>
  <c r="F8" i="10"/>
  <c r="F9" i="10" s="1"/>
  <c r="E9" i="10"/>
  <c r="G10" i="10"/>
  <c r="A18" i="6"/>
  <c r="A19" i="10"/>
  <c r="V18" i="10"/>
  <c r="N20" i="21" l="1"/>
  <c r="O20" i="21" s="1"/>
  <c r="P20" i="21"/>
  <c r="CH17" i="21"/>
  <c r="CF17" i="21"/>
  <c r="H23" i="21"/>
  <c r="BD20" i="21"/>
  <c r="BF20" i="21" s="1"/>
  <c r="AH17" i="21"/>
  <c r="AI17" i="21" s="1"/>
  <c r="W17" i="21"/>
  <c r="BY15" i="21"/>
  <c r="BZ15" i="21" s="1"/>
  <c r="BW15" i="21"/>
  <c r="BX15" i="21" s="1"/>
  <c r="AK15" i="21"/>
  <c r="AM15" i="21" s="1"/>
  <c r="AO13" i="21" s="1"/>
  <c r="CA15" i="21"/>
  <c r="Z15" i="21"/>
  <c r="CE18" i="21"/>
  <c r="CD18" i="21"/>
  <c r="CG18" i="21" s="1"/>
  <c r="U18" i="21"/>
  <c r="V18" i="21"/>
  <c r="F24" i="21"/>
  <c r="I24" i="21"/>
  <c r="BO23" i="21"/>
  <c r="AN13" i="21"/>
  <c r="BB16" i="21"/>
  <c r="AJ16" i="21"/>
  <c r="AL16" i="21" s="1"/>
  <c r="AN14" i="21" s="1"/>
  <c r="AX16" i="21"/>
  <c r="AR16" i="21"/>
  <c r="AW16" i="21" s="1"/>
  <c r="AQ16" i="21"/>
  <c r="AZ16" i="21" s="1"/>
  <c r="X16" i="21"/>
  <c r="AY16" i="21"/>
  <c r="AG21" i="21"/>
  <c r="G22" i="21"/>
  <c r="AS20" i="21"/>
  <c r="AT21" i="21"/>
  <c r="R19" i="21"/>
  <c r="S19" i="21"/>
  <c r="T19" i="21" s="1"/>
  <c r="Y23" i="21"/>
  <c r="AU23" i="21"/>
  <c r="Q23" i="21"/>
  <c r="BM23" i="21"/>
  <c r="A24" i="21"/>
  <c r="J22" i="21"/>
  <c r="BN21" i="21"/>
  <c r="AV21" i="21"/>
  <c r="AD21" i="21"/>
  <c r="BD21" i="21" s="1"/>
  <c r="BF21" i="21" s="1"/>
  <c r="AC21" i="21"/>
  <c r="BE21" i="21" s="1"/>
  <c r="L21" i="21"/>
  <c r="M21" i="21" s="1"/>
  <c r="AE21" i="21"/>
  <c r="AF21" i="21"/>
  <c r="AY15" i="21"/>
  <c r="CC14" i="21"/>
  <c r="CB14" i="21"/>
  <c r="BC7" i="6"/>
  <c r="BE7" i="6" s="1"/>
  <c r="BD7" i="6"/>
  <c r="BF7" i="6" s="1"/>
  <c r="AD8" i="6"/>
  <c r="AC8" i="6"/>
  <c r="AF8" i="6"/>
  <c r="AE8" i="6"/>
  <c r="AG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O8" i="6"/>
  <c r="AS7" i="6"/>
  <c r="AT8" i="6"/>
  <c r="G11" i="10"/>
  <c r="E10" i="10"/>
  <c r="F10" i="10"/>
  <c r="A19" i="6"/>
  <c r="V19" i="10"/>
  <c r="A20" i="10"/>
  <c r="N21" i="21" l="1"/>
  <c r="O21" i="21" s="1"/>
  <c r="P21" i="21"/>
  <c r="AJ17" i="21"/>
  <c r="AL17" i="21" s="1"/>
  <c r="AX17" i="21"/>
  <c r="AR17" i="21"/>
  <c r="AW17" i="21" s="1"/>
  <c r="BB17" i="21"/>
  <c r="AQ17" i="21"/>
  <c r="AZ17" i="21" s="1"/>
  <c r="X17" i="21"/>
  <c r="AY17" i="21"/>
  <c r="CE19" i="21"/>
  <c r="CD19" i="21"/>
  <c r="CG19" i="21" s="1"/>
  <c r="U19" i="21"/>
  <c r="V19" i="21"/>
  <c r="AH18" i="21"/>
  <c r="AI18" i="21" s="1"/>
  <c r="W18" i="21"/>
  <c r="J23" i="21"/>
  <c r="AV22" i="21"/>
  <c r="BN22" i="21"/>
  <c r="AC22" i="21"/>
  <c r="BE22" i="21" s="1"/>
  <c r="L22" i="21"/>
  <c r="M22" i="21" s="1"/>
  <c r="AD22" i="21"/>
  <c r="BD22" i="21" s="1"/>
  <c r="BF22" i="21" s="1"/>
  <c r="AE22" i="21"/>
  <c r="AF22" i="21"/>
  <c r="CF18" i="21"/>
  <c r="CH18" i="21"/>
  <c r="H24" i="21"/>
  <c r="A25" i="21"/>
  <c r="Q24" i="21"/>
  <c r="BM24" i="21"/>
  <c r="AU24" i="21"/>
  <c r="Y24" i="21"/>
  <c r="G23" i="21"/>
  <c r="AG22" i="21"/>
  <c r="AT22" i="21"/>
  <c r="AS21" i="21"/>
  <c r="BO24" i="21"/>
  <c r="I25" i="21"/>
  <c r="BP23" i="21"/>
  <c r="CC15" i="21"/>
  <c r="CB15" i="21"/>
  <c r="F25" i="21"/>
  <c r="R20" i="21"/>
  <c r="S20" i="21"/>
  <c r="T20" i="21" s="1"/>
  <c r="BW16" i="21"/>
  <c r="BX16" i="21" s="1"/>
  <c r="AK16" i="21"/>
  <c r="AM16" i="21" s="1"/>
  <c r="AO14" i="21" s="1"/>
  <c r="BY16" i="21"/>
  <c r="BZ16" i="21" s="1"/>
  <c r="Z16" i="21"/>
  <c r="CA16" i="21"/>
  <c r="BC8" i="6"/>
  <c r="BE8" i="6" s="1"/>
  <c r="BD8" i="6"/>
  <c r="BF8" i="6" s="1"/>
  <c r="AD9" i="6"/>
  <c r="AC9" i="6"/>
  <c r="AF9" i="6"/>
  <c r="AE9" i="6"/>
  <c r="AG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O9" i="6"/>
  <c r="AT9" i="6"/>
  <c r="AS8" i="6"/>
  <c r="E11" i="10"/>
  <c r="G12" i="10"/>
  <c r="F11" i="10"/>
  <c r="A20" i="6"/>
  <c r="A21" i="10"/>
  <c r="V20" i="10"/>
  <c r="N22" i="21" l="1"/>
  <c r="O22" i="21" s="1"/>
  <c r="P22" i="21"/>
  <c r="CE20" i="21"/>
  <c r="CD20" i="21"/>
  <c r="CG20" i="21" s="1"/>
  <c r="U20" i="21"/>
  <c r="V20" i="21"/>
  <c r="BO25" i="21"/>
  <c r="I26" i="21"/>
  <c r="H25" i="21"/>
  <c r="G24" i="21"/>
  <c r="AG23" i="21"/>
  <c r="AT23" i="21"/>
  <c r="AS22" i="21"/>
  <c r="AH19" i="21"/>
  <c r="AI19" i="21" s="1"/>
  <c r="W19" i="21"/>
  <c r="R21" i="21"/>
  <c r="S21" i="21"/>
  <c r="T21" i="21" s="1"/>
  <c r="A26" i="21"/>
  <c r="BM25" i="21"/>
  <c r="AU25" i="21"/>
  <c r="Y25" i="21"/>
  <c r="Q25" i="21"/>
  <c r="CC16" i="21"/>
  <c r="CB16" i="21"/>
  <c r="AK17" i="21"/>
  <c r="AM17" i="21" s="1"/>
  <c r="CA17" i="21"/>
  <c r="BW17" i="21"/>
  <c r="BX17" i="21" s="1"/>
  <c r="Z17" i="21"/>
  <c r="BY17" i="21"/>
  <c r="BZ17" i="21" s="1"/>
  <c r="J24" i="21"/>
  <c r="L23" i="21"/>
  <c r="M23" i="21" s="1"/>
  <c r="AD23" i="21"/>
  <c r="BN23" i="21"/>
  <c r="AV23" i="21"/>
  <c r="AC23" i="21"/>
  <c r="BE23" i="21" s="1"/>
  <c r="AF23" i="21"/>
  <c r="AE23" i="21"/>
  <c r="F26" i="21"/>
  <c r="CH19" i="21"/>
  <c r="CF19" i="21"/>
  <c r="AX18" i="21"/>
  <c r="AR18" i="21"/>
  <c r="AW18" i="21" s="1"/>
  <c r="AQ18" i="21"/>
  <c r="AZ18" i="21" s="1"/>
  <c r="AJ18" i="21"/>
  <c r="AL18" i="21" s="1"/>
  <c r="BB18" i="21"/>
  <c r="X18" i="21"/>
  <c r="BP24" i="21"/>
  <c r="AN15" i="21"/>
  <c r="BC9" i="6"/>
  <c r="BE9" i="6" s="1"/>
  <c r="BD9" i="6"/>
  <c r="BF9" i="6" s="1"/>
  <c r="AC10" i="6"/>
  <c r="AD10" i="6"/>
  <c r="AF10" i="6"/>
  <c r="AE10" i="6"/>
  <c r="AG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O10" i="6"/>
  <c r="AS9" i="6"/>
  <c r="AT10" i="6"/>
  <c r="G13" i="10"/>
  <c r="E12" i="10"/>
  <c r="F12" i="10"/>
  <c r="A21" i="6"/>
  <c r="A22" i="10"/>
  <c r="V21" i="10"/>
  <c r="BD23" i="21" l="1"/>
  <c r="BF23" i="21" s="1"/>
  <c r="N23" i="21"/>
  <c r="O23" i="21" s="1"/>
  <c r="P23" i="21"/>
  <c r="G25" i="21"/>
  <c r="AG24" i="21"/>
  <c r="AS23" i="21"/>
  <c r="AT24" i="21"/>
  <c r="F27" i="21"/>
  <c r="AN16" i="21"/>
  <c r="CA18" i="21"/>
  <c r="Z18" i="21"/>
  <c r="BY18" i="21"/>
  <c r="BZ18" i="21" s="1"/>
  <c r="AK18" i="21"/>
  <c r="AM18" i="21" s="1"/>
  <c r="BW18" i="21"/>
  <c r="BX18" i="21" s="1"/>
  <c r="H26" i="21"/>
  <c r="BO26" i="21"/>
  <c r="I27" i="21"/>
  <c r="AH20" i="21"/>
  <c r="AI20" i="21" s="1"/>
  <c r="W20" i="21"/>
  <c r="BP25" i="21"/>
  <c r="CH20" i="21"/>
  <c r="CF20" i="21"/>
  <c r="AR19" i="21"/>
  <c r="AW19" i="21" s="1"/>
  <c r="AQ19" i="21"/>
  <c r="AZ19" i="21" s="1"/>
  <c r="X19" i="21"/>
  <c r="AY19" i="21" s="1"/>
  <c r="BB19" i="21"/>
  <c r="AX19" i="21"/>
  <c r="AJ19" i="21"/>
  <c r="AL19" i="21" s="1"/>
  <c r="AN17" i="21" s="1"/>
  <c r="R22" i="21"/>
  <c r="S22" i="21"/>
  <c r="T22" i="21" s="1"/>
  <c r="CE21" i="21"/>
  <c r="CD21" i="21"/>
  <c r="CG21" i="21" s="1"/>
  <c r="U21" i="21"/>
  <c r="V21" i="21"/>
  <c r="J25" i="21"/>
  <c r="L24" i="21"/>
  <c r="M24" i="21" s="1"/>
  <c r="BN24" i="21"/>
  <c r="AD24" i="21"/>
  <c r="BD24" i="21" s="1"/>
  <c r="BF24" i="21" s="1"/>
  <c r="AV24" i="21"/>
  <c r="AC24" i="21"/>
  <c r="BE24" i="21" s="1"/>
  <c r="AF24" i="21"/>
  <c r="AE24" i="21"/>
  <c r="CC17" i="21"/>
  <c r="CB17" i="21"/>
  <c r="AY18" i="21"/>
  <c r="AO15" i="21"/>
  <c r="A27" i="21"/>
  <c r="BM26" i="21"/>
  <c r="Q26" i="21"/>
  <c r="AU26" i="21"/>
  <c r="Y26" i="21"/>
  <c r="BD10" i="6"/>
  <c r="BF10" i="6" s="1"/>
  <c r="BC10" i="6"/>
  <c r="BE10" i="6" s="1"/>
  <c r="AC11" i="6"/>
  <c r="BE11" i="6" s="1"/>
  <c r="AD11" i="6"/>
  <c r="AF11" i="6"/>
  <c r="AE11" i="6"/>
  <c r="AG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O11" i="6"/>
  <c r="AT11" i="6"/>
  <c r="AS10" i="6"/>
  <c r="E13" i="10"/>
  <c r="G14" i="10"/>
  <c r="F13" i="10"/>
  <c r="A22" i="6"/>
  <c r="V22" i="10"/>
  <c r="A23" i="10"/>
  <c r="N24" i="21" l="1"/>
  <c r="O24" i="21" s="1"/>
  <c r="P24" i="21"/>
  <c r="CA19" i="21"/>
  <c r="Z19" i="21"/>
  <c r="BY19" i="21"/>
  <c r="BZ19" i="21" s="1"/>
  <c r="BW19" i="21"/>
  <c r="BX19" i="21" s="1"/>
  <c r="AK19" i="21"/>
  <c r="AM19" i="21" s="1"/>
  <c r="AO16" i="21"/>
  <c r="BN25" i="21"/>
  <c r="L25" i="21"/>
  <c r="M25" i="21" s="1"/>
  <c r="AD25" i="21"/>
  <c r="AC25" i="21"/>
  <c r="BE25" i="21" s="1"/>
  <c r="J26" i="21"/>
  <c r="AV25" i="21"/>
  <c r="AF25" i="21"/>
  <c r="AE25" i="21"/>
  <c r="AH21" i="21"/>
  <c r="AI21" i="21" s="1"/>
  <c r="W21" i="21"/>
  <c r="H27" i="21"/>
  <c r="BM27" i="21"/>
  <c r="Q27" i="21"/>
  <c r="AU27" i="21"/>
  <c r="A28" i="21"/>
  <c r="Y27" i="21"/>
  <c r="BO27" i="21"/>
  <c r="I28" i="21"/>
  <c r="G26" i="21"/>
  <c r="AG25" i="21"/>
  <c r="AS24" i="21"/>
  <c r="AT25" i="21"/>
  <c r="CF21" i="21"/>
  <c r="CH21" i="21"/>
  <c r="AN18" i="21"/>
  <c r="R23" i="21"/>
  <c r="S23" i="21"/>
  <c r="T23" i="21" s="1"/>
  <c r="CC18" i="21"/>
  <c r="CB18" i="21"/>
  <c r="CD22" i="21"/>
  <c r="CG22" i="21" s="1"/>
  <c r="U22" i="21"/>
  <c r="CE22" i="21"/>
  <c r="V22" i="21"/>
  <c r="AR20" i="21"/>
  <c r="AW20" i="21" s="1"/>
  <c r="AJ20" i="21"/>
  <c r="AL20" i="21" s="1"/>
  <c r="AQ20" i="21"/>
  <c r="AZ20" i="21" s="1"/>
  <c r="X20" i="21"/>
  <c r="BB20" i="21"/>
  <c r="AX20" i="21"/>
  <c r="AY20" i="21"/>
  <c r="F28" i="21"/>
  <c r="BD11" i="6"/>
  <c r="BF11" i="6" s="1"/>
  <c r="AD12" i="6"/>
  <c r="AC12" i="6"/>
  <c r="BE12" i="6" s="1"/>
  <c r="AF12" i="6"/>
  <c r="AE12" i="6"/>
  <c r="AG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O12" i="6"/>
  <c r="AT12" i="6"/>
  <c r="AS11" i="6"/>
  <c r="G15" i="10"/>
  <c r="E14" i="10"/>
  <c r="F14" i="10"/>
  <c r="A23" i="6"/>
  <c r="A24" i="10"/>
  <c r="V23" i="10"/>
  <c r="N25" i="21" l="1"/>
  <c r="O25" i="21" s="1"/>
  <c r="P25" i="21"/>
  <c r="F29" i="21"/>
  <c r="AX21" i="21"/>
  <c r="AR21" i="21"/>
  <c r="AW21" i="21" s="1"/>
  <c r="AQ21" i="21"/>
  <c r="AZ21" i="21" s="1"/>
  <c r="X21" i="21"/>
  <c r="AJ21" i="21"/>
  <c r="AL21" i="21" s="1"/>
  <c r="AN19" i="21" s="1"/>
  <c r="BB21" i="21"/>
  <c r="AY21" i="21"/>
  <c r="AO17" i="21"/>
  <c r="U23" i="21"/>
  <c r="CD23" i="21"/>
  <c r="CG23" i="21" s="1"/>
  <c r="CE23" i="21"/>
  <c r="V23" i="21"/>
  <c r="Z20" i="21"/>
  <c r="CA20" i="21"/>
  <c r="BY20" i="21"/>
  <c r="BZ20" i="21" s="1"/>
  <c r="BW20" i="21"/>
  <c r="BX20" i="21" s="1"/>
  <c r="AK20" i="21"/>
  <c r="AM20" i="21" s="1"/>
  <c r="BM28" i="21"/>
  <c r="Q28" i="21"/>
  <c r="AU28" i="21"/>
  <c r="Y28" i="21"/>
  <c r="A29" i="21"/>
  <c r="CC19" i="21"/>
  <c r="CB19" i="21"/>
  <c r="BN26" i="21"/>
  <c r="AV26" i="21"/>
  <c r="AD26" i="21"/>
  <c r="AC26" i="21"/>
  <c r="BE26" i="21" s="1"/>
  <c r="J27" i="21"/>
  <c r="L26" i="21"/>
  <c r="M26" i="21" s="1"/>
  <c r="AE26" i="21"/>
  <c r="AF26" i="21"/>
  <c r="R24" i="21"/>
  <c r="S24" i="21"/>
  <c r="T24" i="21" s="1"/>
  <c r="AH22" i="21"/>
  <c r="AI22" i="21" s="1"/>
  <c r="W22" i="21"/>
  <c r="AG26" i="21"/>
  <c r="G27" i="21"/>
  <c r="AT26" i="21"/>
  <c r="AS25" i="21"/>
  <c r="BD25" i="21"/>
  <c r="BF25" i="21" s="1"/>
  <c r="H28" i="21"/>
  <c r="CH22" i="21"/>
  <c r="CF22" i="21"/>
  <c r="BO28" i="21"/>
  <c r="I29" i="21"/>
  <c r="BD12" i="6"/>
  <c r="BF12" i="6" s="1"/>
  <c r="AC13" i="6"/>
  <c r="BE13" i="6" s="1"/>
  <c r="AD13" i="6"/>
  <c r="AF13" i="6"/>
  <c r="AE13" i="6"/>
  <c r="AG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O13" i="6"/>
  <c r="AT13" i="6"/>
  <c r="AS12" i="6"/>
  <c r="E15" i="10"/>
  <c r="G16" i="10"/>
  <c r="F15" i="10"/>
  <c r="A24" i="6"/>
  <c r="V24" i="10"/>
  <c r="A25" i="10"/>
  <c r="BD26" i="21" l="1"/>
  <c r="BF26" i="21" s="1"/>
  <c r="N26" i="21"/>
  <c r="O26" i="21" s="1"/>
  <c r="P26" i="21"/>
  <c r="H29" i="21"/>
  <c r="AH23" i="21"/>
  <c r="AI23" i="21" s="1"/>
  <c r="W23" i="21"/>
  <c r="BN27" i="21"/>
  <c r="AV27" i="21"/>
  <c r="AD27" i="21"/>
  <c r="BD27" i="21" s="1"/>
  <c r="BF27" i="21" s="1"/>
  <c r="AC27" i="21"/>
  <c r="BE27" i="21" s="1"/>
  <c r="L27" i="21"/>
  <c r="M27" i="21" s="1"/>
  <c r="J28" i="21"/>
  <c r="AE27" i="21"/>
  <c r="AF27" i="21"/>
  <c r="F30" i="21"/>
  <c r="I30" i="21"/>
  <c r="BO29" i="21"/>
  <c r="U24" i="21"/>
  <c r="CE24" i="21"/>
  <c r="CD24" i="21"/>
  <c r="CG24" i="21" s="1"/>
  <c r="V24" i="21"/>
  <c r="AO18" i="21"/>
  <c r="BM29" i="21"/>
  <c r="Q29" i="21"/>
  <c r="AU29" i="21"/>
  <c r="Y29" i="21"/>
  <c r="A30" i="21"/>
  <c r="R25" i="21"/>
  <c r="S25" i="21"/>
  <c r="T25" i="21" s="1"/>
  <c r="CH23" i="21"/>
  <c r="CF23" i="21"/>
  <c r="CC20" i="21"/>
  <c r="CB20" i="21"/>
  <c r="AG27" i="21"/>
  <c r="G28" i="21"/>
  <c r="AS26" i="21"/>
  <c r="AT27" i="21"/>
  <c r="AR22" i="21"/>
  <c r="AW22" i="21" s="1"/>
  <c r="AQ22" i="21"/>
  <c r="AZ22" i="21" s="1"/>
  <c r="X22" i="21"/>
  <c r="AY22" i="21" s="1"/>
  <c r="AJ22" i="21"/>
  <c r="AL22" i="21" s="1"/>
  <c r="BB22" i="21"/>
  <c r="AX22" i="21"/>
  <c r="BY21" i="21"/>
  <c r="BZ21" i="21" s="1"/>
  <c r="Z21" i="21"/>
  <c r="CA21" i="21"/>
  <c r="BW21" i="21"/>
  <c r="BX21" i="21" s="1"/>
  <c r="AK21" i="21"/>
  <c r="AM21" i="21" s="1"/>
  <c r="BD13" i="6"/>
  <c r="BF13" i="6" s="1"/>
  <c r="AC14" i="6"/>
  <c r="AD14" i="6"/>
  <c r="AF14" i="6"/>
  <c r="AE14" i="6"/>
  <c r="AG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O14" i="6"/>
  <c r="AT14" i="6"/>
  <c r="AS13" i="6"/>
  <c r="G17" i="10"/>
  <c r="E16" i="10"/>
  <c r="F16" i="10"/>
  <c r="A25" i="6"/>
  <c r="V25" i="10"/>
  <c r="A26" i="10"/>
  <c r="N27" i="21" l="1"/>
  <c r="O27" i="21" s="1"/>
  <c r="P27" i="21"/>
  <c r="CA22" i="21"/>
  <c r="BY22" i="21"/>
  <c r="BZ22" i="21" s="1"/>
  <c r="AK22" i="21"/>
  <c r="AM22" i="21" s="1"/>
  <c r="Z22" i="21"/>
  <c r="BW22" i="21"/>
  <c r="BX22" i="21" s="1"/>
  <c r="U25" i="21"/>
  <c r="CE25" i="21"/>
  <c r="CD25" i="21"/>
  <c r="CG25" i="21" s="1"/>
  <c r="V25" i="21"/>
  <c r="I31" i="21"/>
  <c r="BO30" i="21"/>
  <c r="H30" i="21"/>
  <c r="R26" i="21"/>
  <c r="S26" i="21"/>
  <c r="T26" i="21" s="1"/>
  <c r="F31" i="21"/>
  <c r="AO19" i="21"/>
  <c r="AG28" i="21"/>
  <c r="G29" i="21"/>
  <c r="AS27" i="21"/>
  <c r="AT28" i="21"/>
  <c r="AU30" i="21"/>
  <c r="Y30" i="21"/>
  <c r="BM30" i="21"/>
  <c r="Q30" i="21"/>
  <c r="A31" i="21"/>
  <c r="AH24" i="21"/>
  <c r="AI24" i="21" s="1"/>
  <c r="W24" i="21"/>
  <c r="BN28" i="21"/>
  <c r="AV28" i="21"/>
  <c r="AD28" i="21"/>
  <c r="AC28" i="21"/>
  <c r="BE28" i="21" s="1"/>
  <c r="L28" i="21"/>
  <c r="M28" i="21" s="1"/>
  <c r="J29" i="21"/>
  <c r="AE28" i="21"/>
  <c r="AF28" i="21"/>
  <c r="AQ23" i="21"/>
  <c r="AZ23" i="21" s="1"/>
  <c r="X23" i="21"/>
  <c r="BB23" i="21"/>
  <c r="AR23" i="21"/>
  <c r="AW23" i="21" s="1"/>
  <c r="AJ23" i="21"/>
  <c r="AL23" i="21" s="1"/>
  <c r="AN21" i="21" s="1"/>
  <c r="AX23" i="21"/>
  <c r="CC21" i="21"/>
  <c r="CB21" i="21"/>
  <c r="AN20" i="21"/>
  <c r="CH24" i="21"/>
  <c r="CF24" i="21"/>
  <c r="BC14" i="6"/>
  <c r="BE14" i="6" s="1"/>
  <c r="BD14" i="6"/>
  <c r="BF14" i="6" s="1"/>
  <c r="AD15" i="6"/>
  <c r="AC15" i="6"/>
  <c r="BE15" i="6" s="1"/>
  <c r="AF15" i="6"/>
  <c r="AE15" i="6"/>
  <c r="AG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O15" i="6"/>
  <c r="AT15" i="6"/>
  <c r="AS14" i="6"/>
  <c r="E17" i="10"/>
  <c r="G18" i="10"/>
  <c r="F17" i="10"/>
  <c r="A26" i="6"/>
  <c r="A27" i="10"/>
  <c r="V26" i="10"/>
  <c r="N28" i="21" l="1"/>
  <c r="O28" i="21" s="1"/>
  <c r="P28" i="21"/>
  <c r="CB22" i="21"/>
  <c r="CC22" i="21"/>
  <c r="F32" i="21"/>
  <c r="Z23" i="21"/>
  <c r="BY23" i="21"/>
  <c r="BZ23" i="21" s="1"/>
  <c r="BW23" i="21"/>
  <c r="BX23" i="21" s="1"/>
  <c r="AK23" i="21"/>
  <c r="AM23" i="21" s="1"/>
  <c r="AO21" i="21" s="1"/>
  <c r="CA23" i="21"/>
  <c r="I32" i="21"/>
  <c r="BO31" i="21"/>
  <c r="AH25" i="21"/>
  <c r="AI25" i="21" s="1"/>
  <c r="W25" i="21"/>
  <c r="AG29" i="21"/>
  <c r="G30" i="21"/>
  <c r="AT29" i="21"/>
  <c r="AS28" i="21"/>
  <c r="H31" i="21"/>
  <c r="Y31" i="21"/>
  <c r="BM31" i="21"/>
  <c r="Q31" i="21"/>
  <c r="A32" i="21"/>
  <c r="AU31" i="21"/>
  <c r="R27" i="21"/>
  <c r="S27" i="21"/>
  <c r="T27" i="21" s="1"/>
  <c r="AO20" i="21"/>
  <c r="AV29" i="21"/>
  <c r="AD29" i="21"/>
  <c r="BD29" i="21" s="1"/>
  <c r="BF29" i="21" s="1"/>
  <c r="AC29" i="21"/>
  <c r="BE29" i="21" s="1"/>
  <c r="L29" i="21"/>
  <c r="M29" i="21" s="1"/>
  <c r="J30" i="21"/>
  <c r="BN29" i="21"/>
  <c r="AF29" i="21"/>
  <c r="AE29" i="21"/>
  <c r="CH25" i="21"/>
  <c r="CF25" i="21"/>
  <c r="BD28" i="21"/>
  <c r="BF28" i="21" s="1"/>
  <c r="X24" i="21"/>
  <c r="BB24" i="21"/>
  <c r="AJ24" i="21"/>
  <c r="AL24" i="21" s="1"/>
  <c r="AQ24" i="21"/>
  <c r="AZ24" i="21" s="1"/>
  <c r="AR24" i="21"/>
  <c r="AW24" i="21" s="1"/>
  <c r="AX24" i="21"/>
  <c r="AY23" i="21"/>
  <c r="CE26" i="21"/>
  <c r="CD26" i="21"/>
  <c r="CG26" i="21" s="1"/>
  <c r="U26" i="21"/>
  <c r="V26" i="21"/>
  <c r="BD15" i="6"/>
  <c r="BF15" i="6" s="1"/>
  <c r="AD16" i="6"/>
  <c r="AC16" i="6"/>
  <c r="BE16" i="6" s="1"/>
  <c r="AF16" i="6"/>
  <c r="AE16" i="6"/>
  <c r="AG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O16" i="6"/>
  <c r="AT16" i="6"/>
  <c r="AS15" i="6"/>
  <c r="G19" i="10"/>
  <c r="E18" i="10"/>
  <c r="F18" i="10"/>
  <c r="A27" i="6"/>
  <c r="A28" i="10"/>
  <c r="V27" i="10"/>
  <c r="N29" i="21" l="1"/>
  <c r="O29" i="21" s="1"/>
  <c r="P29" i="21"/>
  <c r="CE27" i="21"/>
  <c r="CD27" i="21"/>
  <c r="CG27" i="21" s="1"/>
  <c r="U27" i="21"/>
  <c r="V27" i="21"/>
  <c r="AH26" i="21"/>
  <c r="AI26" i="21" s="1"/>
  <c r="W26" i="21"/>
  <c r="AG30" i="21"/>
  <c r="G31" i="21"/>
  <c r="AS29" i="21"/>
  <c r="AT30" i="21"/>
  <c r="CB23" i="21"/>
  <c r="CC23" i="21"/>
  <c r="BW24" i="21"/>
  <c r="BX24" i="21" s="1"/>
  <c r="AK24" i="21"/>
  <c r="AM24" i="21" s="1"/>
  <c r="Z24" i="21"/>
  <c r="BY24" i="21"/>
  <c r="BZ24" i="21" s="1"/>
  <c r="CA24" i="21"/>
  <c r="I33" i="21"/>
  <c r="BO32" i="21"/>
  <c r="AJ25" i="21"/>
  <c r="AL25" i="21" s="1"/>
  <c r="AX25" i="21"/>
  <c r="X25" i="21"/>
  <c r="AY25" i="21" s="1"/>
  <c r="AR25" i="21"/>
  <c r="AW25" i="21" s="1"/>
  <c r="AQ25" i="21"/>
  <c r="AZ25" i="21" s="1"/>
  <c r="BB25" i="21"/>
  <c r="R28" i="21"/>
  <c r="S28" i="21"/>
  <c r="T28" i="21" s="1"/>
  <c r="CH26" i="21"/>
  <c r="CF26" i="21"/>
  <c r="AD30" i="21"/>
  <c r="AC30" i="21"/>
  <c r="BE30" i="21" s="1"/>
  <c r="L30" i="21"/>
  <c r="M30" i="21" s="1"/>
  <c r="J31" i="21"/>
  <c r="BN30" i="21"/>
  <c r="AV30" i="21"/>
  <c r="AF30" i="21"/>
  <c r="AE30" i="21"/>
  <c r="F33" i="21"/>
  <c r="H32" i="21"/>
  <c r="Y32" i="21"/>
  <c r="AU32" i="21"/>
  <c r="A33" i="21"/>
  <c r="BM32" i="21"/>
  <c r="Q32" i="21"/>
  <c r="AY24" i="21"/>
  <c r="AN22" i="21"/>
  <c r="BD16" i="6"/>
  <c r="BF16" i="6" s="1"/>
  <c r="AC17" i="6"/>
  <c r="BE17" i="6" s="1"/>
  <c r="AD17" i="6"/>
  <c r="AF17" i="6"/>
  <c r="AE17" i="6"/>
  <c r="AG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O17" i="6"/>
  <c r="AS16" i="6"/>
  <c r="AT17" i="6"/>
  <c r="E19" i="10"/>
  <c r="G20" i="10"/>
  <c r="F19" i="10"/>
  <c r="A28" i="6"/>
  <c r="A29" i="10"/>
  <c r="V28" i="10"/>
  <c r="N30" i="21" l="1"/>
  <c r="O30" i="21" s="1"/>
  <c r="P30" i="21"/>
  <c r="G32" i="21"/>
  <c r="AG31" i="21"/>
  <c r="AT31" i="21"/>
  <c r="AS30" i="21"/>
  <c r="CE28" i="21"/>
  <c r="CD28" i="21"/>
  <c r="CG28" i="21" s="1"/>
  <c r="U28" i="21"/>
  <c r="V28" i="21"/>
  <c r="CB24" i="21"/>
  <c r="CC24" i="21"/>
  <c r="H33" i="21"/>
  <c r="AH27" i="21"/>
  <c r="AI27" i="21" s="1"/>
  <c r="W27" i="21"/>
  <c r="I34" i="21"/>
  <c r="BO33" i="21"/>
  <c r="BD30" i="21"/>
  <c r="BF30" i="21" s="1"/>
  <c r="AO22" i="21"/>
  <c r="CH27" i="21"/>
  <c r="CF27" i="21"/>
  <c r="AK25" i="21"/>
  <c r="AM25" i="21" s="1"/>
  <c r="CA25" i="21"/>
  <c r="BY25" i="21"/>
  <c r="BZ25" i="21" s="1"/>
  <c r="BW25" i="21"/>
  <c r="BX25" i="21" s="1"/>
  <c r="Z25" i="21"/>
  <c r="R29" i="21"/>
  <c r="S29" i="21"/>
  <c r="T29" i="21" s="1"/>
  <c r="AD31" i="21"/>
  <c r="AC31" i="21"/>
  <c r="BE31" i="21" s="1"/>
  <c r="L31" i="21"/>
  <c r="M31" i="21" s="1"/>
  <c r="J32" i="21"/>
  <c r="AV31" i="21"/>
  <c r="BN31" i="21"/>
  <c r="AE31" i="21"/>
  <c r="AF31" i="21"/>
  <c r="AJ26" i="21"/>
  <c r="AL26" i="21" s="1"/>
  <c r="AN24" i="21" s="1"/>
  <c r="AX26" i="21"/>
  <c r="AR26" i="21"/>
  <c r="AW26" i="21" s="1"/>
  <c r="AQ26" i="21"/>
  <c r="AZ26" i="21" s="1"/>
  <c r="X26" i="21"/>
  <c r="BB26" i="21"/>
  <c r="F34" i="21"/>
  <c r="AN23" i="21"/>
  <c r="Y33" i="21"/>
  <c r="A34" i="21"/>
  <c r="AU33" i="21"/>
  <c r="BM33" i="21"/>
  <c r="Q33" i="21"/>
  <c r="BD17" i="6"/>
  <c r="BF17" i="6" s="1"/>
  <c r="AC18" i="6"/>
  <c r="BE18" i="6" s="1"/>
  <c r="AD18" i="6"/>
  <c r="AF18" i="6"/>
  <c r="AE18" i="6"/>
  <c r="AG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O18" i="6"/>
  <c r="AS17" i="6"/>
  <c r="AT18" i="6"/>
  <c r="G21" i="10"/>
  <c r="E20" i="10"/>
  <c r="F20" i="10"/>
  <c r="A29" i="6"/>
  <c r="A30" i="10"/>
  <c r="V29" i="10"/>
  <c r="BD31" i="21" l="1"/>
  <c r="BF31" i="21" s="1"/>
  <c r="N31" i="21"/>
  <c r="O31" i="21" s="1"/>
  <c r="P31" i="21"/>
  <c r="BW26" i="21"/>
  <c r="BX26" i="21" s="1"/>
  <c r="CA26" i="21"/>
  <c r="AK26" i="21"/>
  <c r="AM26" i="21" s="1"/>
  <c r="Z26" i="21"/>
  <c r="BY26" i="21"/>
  <c r="BZ26" i="21" s="1"/>
  <c r="AY26" i="21"/>
  <c r="AH28" i="21"/>
  <c r="AI28" i="21" s="1"/>
  <c r="W28" i="21"/>
  <c r="I35" i="21"/>
  <c r="BO34" i="21"/>
  <c r="G33" i="21"/>
  <c r="AG32" i="21"/>
  <c r="AS31" i="21"/>
  <c r="AT32" i="21"/>
  <c r="CC25" i="21"/>
  <c r="CB25" i="21"/>
  <c r="AX27" i="21"/>
  <c r="AR27" i="21"/>
  <c r="AW27" i="21" s="1"/>
  <c r="AQ27" i="21"/>
  <c r="AZ27" i="21" s="1"/>
  <c r="BB27" i="21"/>
  <c r="AJ27" i="21"/>
  <c r="AL27" i="21" s="1"/>
  <c r="X27" i="21"/>
  <c r="R30" i="21"/>
  <c r="S30" i="21"/>
  <c r="T30" i="21" s="1"/>
  <c r="CF28" i="21"/>
  <c r="CH28" i="21"/>
  <c r="AO23" i="21"/>
  <c r="F35" i="21"/>
  <c r="H34" i="21"/>
  <c r="CE29" i="21"/>
  <c r="CD29" i="21"/>
  <c r="CG29" i="21" s="1"/>
  <c r="U29" i="21"/>
  <c r="V29" i="21"/>
  <c r="Y34" i="21"/>
  <c r="A35" i="21"/>
  <c r="AU34" i="21"/>
  <c r="Q34" i="21"/>
  <c r="BM34" i="21"/>
  <c r="AD32" i="21"/>
  <c r="AC32" i="21"/>
  <c r="BE32" i="21" s="1"/>
  <c r="L32" i="21"/>
  <c r="M32" i="21" s="1"/>
  <c r="J33" i="21"/>
  <c r="AV32" i="21"/>
  <c r="BN32" i="21"/>
  <c r="AF32" i="21"/>
  <c r="AE32" i="21"/>
  <c r="BD18" i="6"/>
  <c r="BF18" i="6" s="1"/>
  <c r="AC19" i="6"/>
  <c r="BE19" i="6" s="1"/>
  <c r="AD19" i="6"/>
  <c r="AF19" i="6"/>
  <c r="AE19" i="6"/>
  <c r="AG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O19" i="6"/>
  <c r="AT19" i="6"/>
  <c r="AS18" i="6"/>
  <c r="G22" i="10"/>
  <c r="E21" i="10"/>
  <c r="F21" i="10"/>
  <c r="A30" i="6"/>
  <c r="V30" i="10"/>
  <c r="A31" i="10"/>
  <c r="BD32" i="21" l="1"/>
  <c r="BF32" i="21" s="1"/>
  <c r="N32" i="21"/>
  <c r="O32" i="21" s="1"/>
  <c r="P32" i="21"/>
  <c r="CA27" i="21"/>
  <c r="Z27" i="21"/>
  <c r="AK27" i="21"/>
  <c r="AM27" i="21" s="1"/>
  <c r="BY27" i="21"/>
  <c r="BZ27" i="21" s="1"/>
  <c r="BW27" i="21"/>
  <c r="BX27" i="21" s="1"/>
  <c r="I36" i="21"/>
  <c r="BO35" i="21"/>
  <c r="AR28" i="21"/>
  <c r="AW28" i="21" s="1"/>
  <c r="AQ28" i="21"/>
  <c r="AZ28" i="21" s="1"/>
  <c r="AJ28" i="21"/>
  <c r="AL28" i="21" s="1"/>
  <c r="AN26" i="21" s="1"/>
  <c r="BB28" i="21"/>
  <c r="AX28" i="21"/>
  <c r="X28" i="21"/>
  <c r="AY28" i="21"/>
  <c r="AC33" i="21"/>
  <c r="BE33" i="21" s="1"/>
  <c r="L33" i="21"/>
  <c r="M33" i="21" s="1"/>
  <c r="J34" i="21"/>
  <c r="AV33" i="21"/>
  <c r="BN33" i="21"/>
  <c r="AD33" i="21"/>
  <c r="AF33" i="21"/>
  <c r="AE33" i="21"/>
  <c r="CC26" i="21"/>
  <c r="CB26" i="21"/>
  <c r="F36" i="21"/>
  <c r="AH29" i="21"/>
  <c r="AI29" i="21" s="1"/>
  <c r="W29" i="21"/>
  <c r="R31" i="21"/>
  <c r="S31" i="21"/>
  <c r="T31" i="21" s="1"/>
  <c r="CF29" i="21"/>
  <c r="CH29" i="21"/>
  <c r="G34" i="21"/>
  <c r="AG33" i="21"/>
  <c r="AS32" i="21"/>
  <c r="AT33" i="21"/>
  <c r="AN25" i="21"/>
  <c r="H35" i="21"/>
  <c r="CE30" i="21"/>
  <c r="CD30" i="21"/>
  <c r="CG30" i="21" s="1"/>
  <c r="U30" i="21"/>
  <c r="V30" i="21"/>
  <c r="AO24" i="21"/>
  <c r="Y35" i="21"/>
  <c r="A36" i="21"/>
  <c r="AU35" i="21"/>
  <c r="BM35" i="21"/>
  <c r="Q35" i="21"/>
  <c r="AY27" i="21"/>
  <c r="BD19" i="6"/>
  <c r="BF19" i="6" s="1"/>
  <c r="AC20" i="6"/>
  <c r="BE20" i="6" s="1"/>
  <c r="AD20" i="6"/>
  <c r="AF20" i="6"/>
  <c r="AE20" i="6"/>
  <c r="AG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O20" i="6"/>
  <c r="AT20" i="6"/>
  <c r="AS19" i="6"/>
  <c r="E22" i="10"/>
  <c r="G23" i="10"/>
  <c r="F22" i="10"/>
  <c r="A31" i="6"/>
  <c r="A32" i="10"/>
  <c r="V31" i="10"/>
  <c r="N33" i="21" l="1"/>
  <c r="O33" i="21" s="1"/>
  <c r="P33" i="21"/>
  <c r="AR29" i="21"/>
  <c r="AW29" i="21" s="1"/>
  <c r="AQ29" i="21"/>
  <c r="AZ29" i="21" s="1"/>
  <c r="X29" i="21"/>
  <c r="AX29" i="21"/>
  <c r="BB29" i="21"/>
  <c r="AJ29" i="21"/>
  <c r="AL29" i="21" s="1"/>
  <c r="AY29" i="21"/>
  <c r="AO25" i="21"/>
  <c r="H36" i="21"/>
  <c r="G35" i="21"/>
  <c r="AG34" i="21"/>
  <c r="AS33" i="21"/>
  <c r="AT34" i="21"/>
  <c r="CD31" i="21"/>
  <c r="CG31" i="21" s="1"/>
  <c r="CE31" i="21"/>
  <c r="U31" i="21"/>
  <c r="V31" i="21"/>
  <c r="CC27" i="21"/>
  <c r="CB27" i="21"/>
  <c r="CA28" i="21"/>
  <c r="Z28" i="21"/>
  <c r="AK28" i="21"/>
  <c r="AM28" i="21" s="1"/>
  <c r="BY28" i="21"/>
  <c r="BZ28" i="21" s="1"/>
  <c r="BW28" i="21"/>
  <c r="BX28" i="21" s="1"/>
  <c r="R32" i="21"/>
  <c r="S32" i="21"/>
  <c r="T32" i="21" s="1"/>
  <c r="BD33" i="21"/>
  <c r="BF33" i="21" s="1"/>
  <c r="L34" i="21"/>
  <c r="M34" i="21" s="1"/>
  <c r="J35" i="21"/>
  <c r="AD34" i="21"/>
  <c r="AV34" i="21"/>
  <c r="BN34" i="21"/>
  <c r="AC34" i="21"/>
  <c r="BE34" i="21" s="1"/>
  <c r="AF34" i="21"/>
  <c r="AE34" i="21"/>
  <c r="A37" i="21"/>
  <c r="BM36" i="21"/>
  <c r="Q36" i="21"/>
  <c r="Y36" i="21"/>
  <c r="AU36" i="21"/>
  <c r="AH30" i="21"/>
  <c r="AI30" i="21" s="1"/>
  <c r="W30" i="21"/>
  <c r="I37" i="21"/>
  <c r="BO36" i="21"/>
  <c r="CF30" i="21"/>
  <c r="CH30" i="21"/>
  <c r="F37" i="21"/>
  <c r="BD20" i="6"/>
  <c r="BF20" i="6" s="1"/>
  <c r="AC21" i="6"/>
  <c r="BE21" i="6" s="1"/>
  <c r="AD21" i="6"/>
  <c r="AF21" i="6"/>
  <c r="AE21" i="6"/>
  <c r="AG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O21" i="6"/>
  <c r="AT21" i="6"/>
  <c r="AS20" i="6"/>
  <c r="G24" i="10"/>
  <c r="E23" i="10"/>
  <c r="F23" i="10"/>
  <c r="A32" i="6"/>
  <c r="A33" i="10"/>
  <c r="V32" i="10"/>
  <c r="BD34" i="21" l="1"/>
  <c r="BF34" i="21" s="1"/>
  <c r="N34" i="21"/>
  <c r="O34" i="21" s="1"/>
  <c r="P34" i="21"/>
  <c r="J36" i="21"/>
  <c r="BN35" i="21"/>
  <c r="AC35" i="21"/>
  <c r="BE35" i="21" s="1"/>
  <c r="L35" i="21"/>
  <c r="M35" i="21" s="1"/>
  <c r="AV35" i="21"/>
  <c r="AD35" i="21"/>
  <c r="AF35" i="21"/>
  <c r="AE35" i="21"/>
  <c r="AH31" i="21"/>
  <c r="AI31" i="21" s="1"/>
  <c r="W31" i="21"/>
  <c r="CF31" i="21"/>
  <c r="CH31" i="21"/>
  <c r="CA29" i="21"/>
  <c r="Z29" i="21"/>
  <c r="BY29" i="21"/>
  <c r="BZ29" i="21" s="1"/>
  <c r="BW29" i="21"/>
  <c r="BX29" i="21" s="1"/>
  <c r="AK29" i="21"/>
  <c r="AM29" i="21" s="1"/>
  <c r="AO27" i="21" s="1"/>
  <c r="BO37" i="21"/>
  <c r="I38" i="21"/>
  <c r="AR30" i="21"/>
  <c r="AW30" i="21" s="1"/>
  <c r="AQ30" i="21"/>
  <c r="AZ30" i="21" s="1"/>
  <c r="X30" i="21"/>
  <c r="BB30" i="21"/>
  <c r="AJ30" i="21"/>
  <c r="AL30" i="21" s="1"/>
  <c r="AX30" i="21"/>
  <c r="A38" i="21"/>
  <c r="BM37" i="21"/>
  <c r="Q37" i="21"/>
  <c r="AU37" i="21"/>
  <c r="Y37" i="21"/>
  <c r="U32" i="21"/>
  <c r="CE32" i="21"/>
  <c r="CD32" i="21"/>
  <c r="CG32" i="21" s="1"/>
  <c r="V32" i="21"/>
  <c r="G36" i="21"/>
  <c r="AG35" i="21"/>
  <c r="AT35" i="21"/>
  <c r="AS34" i="21"/>
  <c r="AN27" i="21"/>
  <c r="AO26" i="21"/>
  <c r="R33" i="21"/>
  <c r="S33" i="21"/>
  <c r="T33" i="21" s="1"/>
  <c r="F38" i="21"/>
  <c r="H37" i="21"/>
  <c r="CC28" i="21"/>
  <c r="CB28" i="21"/>
  <c r="BD21" i="6"/>
  <c r="BF21" i="6" s="1"/>
  <c r="AD22" i="6"/>
  <c r="AC22" i="6"/>
  <c r="BE22" i="6" s="1"/>
  <c r="AF22" i="6"/>
  <c r="AE22" i="6"/>
  <c r="AG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O22" i="6"/>
  <c r="AS21" i="6"/>
  <c r="AT22" i="6"/>
  <c r="E24" i="10"/>
  <c r="G25" i="10"/>
  <c r="F24" i="10"/>
  <c r="A33" i="6"/>
  <c r="A34" i="10"/>
  <c r="V33" i="10"/>
  <c r="BD35" i="21" l="1"/>
  <c r="BF35" i="21" s="1"/>
  <c r="N35" i="21"/>
  <c r="O35" i="21" s="1"/>
  <c r="P35" i="21"/>
  <c r="BO38" i="21"/>
  <c r="I39" i="21"/>
  <c r="AR31" i="21"/>
  <c r="AW31" i="21" s="1"/>
  <c r="AQ31" i="21"/>
  <c r="AZ31" i="21" s="1"/>
  <c r="X31" i="21"/>
  <c r="BB31" i="21"/>
  <c r="AJ31" i="21"/>
  <c r="AL31" i="21" s="1"/>
  <c r="AX31" i="21"/>
  <c r="F39" i="21"/>
  <c r="A39" i="21"/>
  <c r="BM38" i="21"/>
  <c r="Q38" i="21"/>
  <c r="AU38" i="21"/>
  <c r="Y38" i="21"/>
  <c r="G37" i="21"/>
  <c r="AG36" i="21"/>
  <c r="AS35" i="21"/>
  <c r="AT36" i="21"/>
  <c r="U33" i="21"/>
  <c r="CD33" i="21"/>
  <c r="CG33" i="21" s="1"/>
  <c r="CE33" i="21"/>
  <c r="V33" i="21"/>
  <c r="BN36" i="21"/>
  <c r="AV36" i="21"/>
  <c r="L36" i="21"/>
  <c r="M36" i="21" s="1"/>
  <c r="J37" i="21"/>
  <c r="AD36" i="21"/>
  <c r="AC36" i="21"/>
  <c r="BE36" i="21" s="1"/>
  <c r="AF36" i="21"/>
  <c r="AE36" i="21"/>
  <c r="R34" i="21"/>
  <c r="S34" i="21"/>
  <c r="T34" i="21" s="1"/>
  <c r="CA30" i="21"/>
  <c r="Z30" i="21"/>
  <c r="BY30" i="21"/>
  <c r="BZ30" i="21" s="1"/>
  <c r="BW30" i="21"/>
  <c r="BX30" i="21" s="1"/>
  <c r="AK30" i="21"/>
  <c r="AM30" i="21" s="1"/>
  <c r="AY30" i="21"/>
  <c r="AN28" i="21"/>
  <c r="H38" i="21"/>
  <c r="AH32" i="21"/>
  <c r="AI32" i="21" s="1"/>
  <c r="W32" i="21"/>
  <c r="CC29" i="21"/>
  <c r="CB29" i="21"/>
  <c r="CH32" i="21"/>
  <c r="CF32" i="21"/>
  <c r="BD22" i="6"/>
  <c r="BF22" i="6" s="1"/>
  <c r="AD23" i="6"/>
  <c r="AC23" i="6"/>
  <c r="BE23" i="6" s="1"/>
  <c r="AF23" i="6"/>
  <c r="AE23" i="6"/>
  <c r="AG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O23" i="6"/>
  <c r="AT23" i="6"/>
  <c r="AS22" i="6"/>
  <c r="G26" i="10"/>
  <c r="E25" i="10"/>
  <c r="F25" i="10"/>
  <c r="A34" i="6"/>
  <c r="V34" i="10"/>
  <c r="A35" i="10"/>
  <c r="N36" i="21" l="1"/>
  <c r="O36" i="21" s="1"/>
  <c r="P36" i="21"/>
  <c r="BO39" i="21"/>
  <c r="I40" i="21"/>
  <c r="BD36" i="21"/>
  <c r="BF36" i="21" s="1"/>
  <c r="AR32" i="21"/>
  <c r="AW32" i="21" s="1"/>
  <c r="AQ32" i="21"/>
  <c r="AZ32" i="21" s="1"/>
  <c r="X32" i="21"/>
  <c r="BB32" i="21"/>
  <c r="AJ32" i="21"/>
  <c r="AL32" i="21" s="1"/>
  <c r="AX32" i="21"/>
  <c r="A40" i="21"/>
  <c r="BM39" i="21"/>
  <c r="Q39" i="21"/>
  <c r="AU39" i="21"/>
  <c r="Y39" i="21"/>
  <c r="H39" i="21"/>
  <c r="BN37" i="21"/>
  <c r="AV37" i="21"/>
  <c r="AD37" i="21"/>
  <c r="J38" i="21"/>
  <c r="L37" i="21"/>
  <c r="M37" i="21" s="1"/>
  <c r="AC37" i="21"/>
  <c r="BE37" i="21" s="1"/>
  <c r="AE37" i="21"/>
  <c r="AF37" i="21"/>
  <c r="F40" i="21"/>
  <c r="CA31" i="21"/>
  <c r="Z31" i="21"/>
  <c r="BY31" i="21"/>
  <c r="BZ31" i="21" s="1"/>
  <c r="BW31" i="21"/>
  <c r="BX31" i="21" s="1"/>
  <c r="AK31" i="21"/>
  <c r="AM31" i="21" s="1"/>
  <c r="CH33" i="21"/>
  <c r="CF33" i="21"/>
  <c r="U34" i="21"/>
  <c r="CE34" i="21"/>
  <c r="CD34" i="21"/>
  <c r="CG34" i="21" s="1"/>
  <c r="V34" i="21"/>
  <c r="AY31" i="21"/>
  <c r="R35" i="21"/>
  <c r="S35" i="21"/>
  <c r="T35" i="21" s="1"/>
  <c r="G38" i="21"/>
  <c r="AG37" i="21"/>
  <c r="AT37" i="21"/>
  <c r="AS36" i="21"/>
  <c r="AO28" i="21"/>
  <c r="CC30" i="21"/>
  <c r="CB30" i="21"/>
  <c r="AH33" i="21"/>
  <c r="AI33" i="21" s="1"/>
  <c r="W33" i="21"/>
  <c r="AN29" i="21"/>
  <c r="BD23" i="6"/>
  <c r="BF23" i="6" s="1"/>
  <c r="AC24" i="6"/>
  <c r="BE24" i="6" s="1"/>
  <c r="AD24" i="6"/>
  <c r="AF24" i="6"/>
  <c r="AE24" i="6"/>
  <c r="AG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O24" i="6"/>
  <c r="AT24" i="6"/>
  <c r="AS23" i="6"/>
  <c r="E26" i="10"/>
  <c r="G27" i="10"/>
  <c r="F26" i="10"/>
  <c r="A35" i="6"/>
  <c r="A36" i="10"/>
  <c r="V35" i="10"/>
  <c r="N37" i="21" l="1"/>
  <c r="O37" i="21" s="1"/>
  <c r="P37" i="21"/>
  <c r="AN30" i="21"/>
  <c r="CH34" i="21"/>
  <c r="CF34" i="21"/>
  <c r="H40" i="21"/>
  <c r="BO40" i="21"/>
  <c r="I41" i="21"/>
  <c r="AO29" i="21"/>
  <c r="AR33" i="21"/>
  <c r="AW33" i="21" s="1"/>
  <c r="AQ33" i="21"/>
  <c r="AZ33" i="21" s="1"/>
  <c r="X33" i="21"/>
  <c r="BB33" i="21"/>
  <c r="AJ33" i="21"/>
  <c r="AL33" i="21" s="1"/>
  <c r="AX33" i="21"/>
  <c r="U35" i="21"/>
  <c r="CE35" i="21"/>
  <c r="CD35" i="21"/>
  <c r="CG35" i="21" s="1"/>
  <c r="V35" i="21"/>
  <c r="BN38" i="21"/>
  <c r="AV38" i="21"/>
  <c r="AD38" i="21"/>
  <c r="AC38" i="21"/>
  <c r="BE38" i="21" s="1"/>
  <c r="J39" i="21"/>
  <c r="L38" i="21"/>
  <c r="M38" i="21" s="1"/>
  <c r="AE38" i="21"/>
  <c r="AF38" i="21"/>
  <c r="A41" i="21"/>
  <c r="BM40" i="21"/>
  <c r="Q40" i="21"/>
  <c r="AU40" i="21"/>
  <c r="Y40" i="21"/>
  <c r="R36" i="21"/>
  <c r="S36" i="21"/>
  <c r="T36" i="21" s="1"/>
  <c r="F41" i="21"/>
  <c r="G39" i="21"/>
  <c r="AG38" i="21"/>
  <c r="AT38" i="21"/>
  <c r="AS37" i="21"/>
  <c r="CC31" i="21"/>
  <c r="CB31" i="21"/>
  <c r="BD37" i="21"/>
  <c r="BF37" i="21" s="1"/>
  <c r="CA32" i="21"/>
  <c r="Z32" i="21"/>
  <c r="BY32" i="21"/>
  <c r="BZ32" i="21" s="1"/>
  <c r="BW32" i="21"/>
  <c r="BX32" i="21" s="1"/>
  <c r="AK32" i="21"/>
  <c r="AM32" i="21" s="1"/>
  <c r="AY32" i="21"/>
  <c r="AH34" i="21"/>
  <c r="AI34" i="21" s="1"/>
  <c r="W34" i="21"/>
  <c r="BD24" i="6"/>
  <c r="BF24" i="6" s="1"/>
  <c r="AC25" i="6"/>
  <c r="BE25" i="6" s="1"/>
  <c r="AD25" i="6"/>
  <c r="AF25" i="6"/>
  <c r="AE25" i="6"/>
  <c r="AG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O25" i="6"/>
  <c r="AT25" i="6"/>
  <c r="AS24" i="6"/>
  <c r="G28" i="10"/>
  <c r="E27" i="10"/>
  <c r="F27" i="10"/>
  <c r="A36" i="6"/>
  <c r="A37" i="10"/>
  <c r="V36" i="10"/>
  <c r="N38" i="21" l="1"/>
  <c r="O38" i="21" s="1"/>
  <c r="P38" i="21"/>
  <c r="CC32" i="21"/>
  <c r="CB32" i="21"/>
  <c r="H41" i="21"/>
  <c r="U36" i="21"/>
  <c r="CD36" i="21"/>
  <c r="CG36" i="21" s="1"/>
  <c r="CE36" i="21"/>
  <c r="V36" i="21"/>
  <c r="BD38" i="21"/>
  <c r="BF38" i="21" s="1"/>
  <c r="AN31" i="21"/>
  <c r="AG39" i="21"/>
  <c r="G40" i="21"/>
  <c r="AS38" i="21"/>
  <c r="AT39" i="21"/>
  <c r="AH35" i="21"/>
  <c r="AI35" i="21" s="1"/>
  <c r="W35" i="21"/>
  <c r="AO30" i="21"/>
  <c r="AQ34" i="21"/>
  <c r="AZ34" i="21" s="1"/>
  <c r="X34" i="21"/>
  <c r="AY34" i="21" s="1"/>
  <c r="BB34" i="21"/>
  <c r="AJ34" i="21"/>
  <c r="AL34" i="21" s="1"/>
  <c r="AN32" i="21" s="1"/>
  <c r="AX34" i="21"/>
  <c r="AR34" i="21"/>
  <c r="AW34" i="21" s="1"/>
  <c r="Q41" i="21"/>
  <c r="AU41" i="21"/>
  <c r="Y41" i="21"/>
  <c r="A42" i="21"/>
  <c r="BM41" i="21"/>
  <c r="BN39" i="21"/>
  <c r="AV39" i="21"/>
  <c r="AD39" i="21"/>
  <c r="AC39" i="21"/>
  <c r="L39" i="21"/>
  <c r="M39" i="21" s="1"/>
  <c r="J40" i="21"/>
  <c r="AE39" i="21"/>
  <c r="AF39" i="21"/>
  <c r="CH35" i="21"/>
  <c r="CF35" i="21"/>
  <c r="BO41" i="21"/>
  <c r="I42" i="21"/>
  <c r="R37" i="21"/>
  <c r="S37" i="21"/>
  <c r="T37" i="21" s="1"/>
  <c r="F42" i="21"/>
  <c r="CA33" i="21"/>
  <c r="Z33" i="21"/>
  <c r="BY33" i="21"/>
  <c r="BZ33" i="21" s="1"/>
  <c r="BW33" i="21"/>
  <c r="BX33" i="21" s="1"/>
  <c r="AK33" i="21"/>
  <c r="AM33" i="21" s="1"/>
  <c r="AY33" i="21"/>
  <c r="BD25" i="6"/>
  <c r="BF25" i="6" s="1"/>
  <c r="AC26" i="6"/>
  <c r="BE26" i="6" s="1"/>
  <c r="AD26" i="6"/>
  <c r="AF26" i="6"/>
  <c r="AE26" i="6"/>
  <c r="AG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O26" i="6"/>
  <c r="AS25" i="6"/>
  <c r="AT26" i="6"/>
  <c r="E28" i="10"/>
  <c r="G29" i="10"/>
  <c r="F28" i="10"/>
  <c r="A37" i="6"/>
  <c r="A38" i="10"/>
  <c r="V37" i="10"/>
  <c r="N39" i="21" l="1"/>
  <c r="O39" i="21" s="1"/>
  <c r="P39" i="21"/>
  <c r="CH36" i="21"/>
  <c r="CF36" i="21"/>
  <c r="X35" i="21"/>
  <c r="AY35" i="21" s="1"/>
  <c r="BB35" i="21"/>
  <c r="AJ35" i="21"/>
  <c r="AL35" i="21" s="1"/>
  <c r="AX35" i="21"/>
  <c r="AR35" i="21"/>
  <c r="AW35" i="21" s="1"/>
  <c r="AQ35" i="21"/>
  <c r="AZ35" i="21" s="1"/>
  <c r="BN40" i="21"/>
  <c r="AV40" i="21"/>
  <c r="AD40" i="21"/>
  <c r="AC40" i="21"/>
  <c r="BE40" i="21" s="1"/>
  <c r="L40" i="21"/>
  <c r="M40" i="21" s="1"/>
  <c r="J41" i="21"/>
  <c r="AE40" i="21"/>
  <c r="AF40" i="21"/>
  <c r="AO31" i="21"/>
  <c r="AG40" i="21"/>
  <c r="G41" i="21"/>
  <c r="AS39" i="21"/>
  <c r="AT40" i="21"/>
  <c r="R38" i="21"/>
  <c r="S38" i="21"/>
  <c r="T38" i="21" s="1"/>
  <c r="H42" i="21"/>
  <c r="F43" i="21"/>
  <c r="U37" i="21"/>
  <c r="CE37" i="21"/>
  <c r="CD37" i="21"/>
  <c r="CG37" i="21" s="1"/>
  <c r="V37" i="21"/>
  <c r="BC39" i="21"/>
  <c r="BE39" i="21" s="1"/>
  <c r="BD39" i="21"/>
  <c r="BF39" i="21" s="1"/>
  <c r="BO42" i="21"/>
  <c r="I43" i="21"/>
  <c r="CB33" i="21"/>
  <c r="CC33" i="21"/>
  <c r="BM42" i="21"/>
  <c r="Q42" i="21"/>
  <c r="Y42" i="21"/>
  <c r="A43" i="21"/>
  <c r="AU42" i="21"/>
  <c r="CA34" i="21"/>
  <c r="Z34" i="21"/>
  <c r="BY34" i="21"/>
  <c r="BZ34" i="21" s="1"/>
  <c r="BW34" i="21"/>
  <c r="BX34" i="21" s="1"/>
  <c r="AK34" i="21"/>
  <c r="AM34" i="21" s="1"/>
  <c r="AH36" i="21"/>
  <c r="AI36" i="21" s="1"/>
  <c r="W36" i="21"/>
  <c r="BD26" i="6"/>
  <c r="BF26" i="6" s="1"/>
  <c r="AD27" i="6"/>
  <c r="AC27" i="6"/>
  <c r="BE27" i="6" s="1"/>
  <c r="AF27" i="6"/>
  <c r="AE27" i="6"/>
  <c r="AG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O27" i="6"/>
  <c r="AT27" i="6"/>
  <c r="AS26" i="6"/>
  <c r="G30" i="10"/>
  <c r="E29" i="10"/>
  <c r="F29" i="10"/>
  <c r="A38" i="6"/>
  <c r="V38" i="10"/>
  <c r="A39" i="10"/>
  <c r="N40" i="21" l="1"/>
  <c r="O40" i="21" s="1"/>
  <c r="P40" i="21"/>
  <c r="G42" i="21"/>
  <c r="AG41" i="21"/>
  <c r="AS40" i="21"/>
  <c r="AT41" i="21"/>
  <c r="F44" i="21"/>
  <c r="AN33" i="21"/>
  <c r="BO43" i="21"/>
  <c r="I44" i="21"/>
  <c r="A44" i="21"/>
  <c r="BM43" i="21"/>
  <c r="AU43" i="21"/>
  <c r="Y43" i="21"/>
  <c r="Q43" i="21"/>
  <c r="BY35" i="21"/>
  <c r="BZ35" i="21" s="1"/>
  <c r="BW35" i="21"/>
  <c r="BX35" i="21" s="1"/>
  <c r="AK35" i="21"/>
  <c r="AM35" i="21" s="1"/>
  <c r="CA35" i="21"/>
  <c r="Z35" i="21"/>
  <c r="X36" i="21"/>
  <c r="BB36" i="21"/>
  <c r="AJ36" i="21"/>
  <c r="AL36" i="21" s="1"/>
  <c r="AX36" i="21"/>
  <c r="AQ36" i="21"/>
  <c r="AZ36" i="21" s="1"/>
  <c r="AR36" i="21"/>
  <c r="AW36" i="21" s="1"/>
  <c r="BN41" i="21"/>
  <c r="AV41" i="21"/>
  <c r="AD41" i="21"/>
  <c r="BD41" i="21" s="1"/>
  <c r="BF41" i="21" s="1"/>
  <c r="AC41" i="21"/>
  <c r="BE41" i="21" s="1"/>
  <c r="L41" i="21"/>
  <c r="M41" i="21" s="1"/>
  <c r="J42" i="21"/>
  <c r="AE41" i="21"/>
  <c r="AF41" i="21"/>
  <c r="CH37" i="21"/>
  <c r="CF37" i="21"/>
  <c r="H43" i="21"/>
  <c r="AO32" i="21"/>
  <c r="U38" i="21"/>
  <c r="CE38" i="21"/>
  <c r="CD38" i="21"/>
  <c r="CG38" i="21" s="1"/>
  <c r="V38" i="21"/>
  <c r="R39" i="21"/>
  <c r="S39" i="21"/>
  <c r="T39" i="21" s="1"/>
  <c r="AH37" i="21"/>
  <c r="AI37" i="21" s="1"/>
  <c r="W37" i="21"/>
  <c r="BD40" i="21"/>
  <c r="BF40" i="21" s="1"/>
  <c r="CC34" i="21"/>
  <c r="CB34" i="21"/>
  <c r="BD27" i="6"/>
  <c r="BF27" i="6" s="1"/>
  <c r="AC28" i="6"/>
  <c r="BE28" i="6" s="1"/>
  <c r="AD28" i="6"/>
  <c r="AF28" i="6"/>
  <c r="AE28" i="6"/>
  <c r="AG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O28" i="6"/>
  <c r="AT28" i="6"/>
  <c r="AS27" i="6"/>
  <c r="E30" i="10"/>
  <c r="G31" i="10"/>
  <c r="F30" i="10"/>
  <c r="A39" i="6"/>
  <c r="V39" i="10"/>
  <c r="A40" i="10"/>
  <c r="N41" i="21" l="1"/>
  <c r="O41" i="21" s="1"/>
  <c r="P41" i="21"/>
  <c r="F45" i="21"/>
  <c r="BY36" i="21"/>
  <c r="BZ36" i="21" s="1"/>
  <c r="BW36" i="21"/>
  <c r="BX36" i="21" s="1"/>
  <c r="AK36" i="21"/>
  <c r="AM36" i="21" s="1"/>
  <c r="AO34" i="21" s="1"/>
  <c r="CA36" i="21"/>
  <c r="Z36" i="21"/>
  <c r="A45" i="21"/>
  <c r="BM44" i="21"/>
  <c r="Q44" i="21"/>
  <c r="AU44" i="21"/>
  <c r="Y44" i="21"/>
  <c r="CH38" i="21"/>
  <c r="CF38" i="21"/>
  <c r="AO33" i="21"/>
  <c r="BO44" i="21"/>
  <c r="I45" i="21"/>
  <c r="AV42" i="21"/>
  <c r="J43" i="21"/>
  <c r="BN42" i="21"/>
  <c r="L42" i="21"/>
  <c r="M42" i="21" s="1"/>
  <c r="AD42" i="21"/>
  <c r="BD42" i="21" s="1"/>
  <c r="BF42" i="21" s="1"/>
  <c r="AC42" i="21"/>
  <c r="BC42" i="21" s="1"/>
  <c r="BE42" i="21" s="1"/>
  <c r="AF42" i="21"/>
  <c r="AE42" i="21"/>
  <c r="G43" i="21"/>
  <c r="AG42" i="21"/>
  <c r="AS41" i="21"/>
  <c r="AT42" i="21"/>
  <c r="R40" i="21"/>
  <c r="S40" i="21"/>
  <c r="T40" i="21" s="1"/>
  <c r="AY36" i="21"/>
  <c r="U39" i="21"/>
  <c r="CE39" i="21"/>
  <c r="CD39" i="21"/>
  <c r="CG39" i="21" s="1"/>
  <c r="V39" i="21"/>
  <c r="CB35" i="21"/>
  <c r="CC35" i="21"/>
  <c r="H44" i="21"/>
  <c r="AN34" i="21"/>
  <c r="BB37" i="21"/>
  <c r="AJ37" i="21"/>
  <c r="AL37" i="21" s="1"/>
  <c r="AX37" i="21"/>
  <c r="AR37" i="21"/>
  <c r="AW37" i="21" s="1"/>
  <c r="AQ37" i="21"/>
  <c r="AZ37" i="21" s="1"/>
  <c r="X37" i="21"/>
  <c r="AH38" i="21"/>
  <c r="AI38" i="21" s="1"/>
  <c r="W38" i="21"/>
  <c r="BD28" i="6"/>
  <c r="BF28" i="6" s="1"/>
  <c r="AD29" i="6"/>
  <c r="AC29" i="6"/>
  <c r="BE29" i="6" s="1"/>
  <c r="AF29" i="6"/>
  <c r="AE29" i="6"/>
  <c r="AG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O29" i="6"/>
  <c r="AT29" i="6"/>
  <c r="AS28" i="6"/>
  <c r="G32" i="10"/>
  <c r="E31" i="10"/>
  <c r="F31" i="10"/>
  <c r="A40" i="6"/>
  <c r="A41" i="10"/>
  <c r="V40" i="10"/>
  <c r="N42" i="21" l="1"/>
  <c r="O42" i="21" s="1"/>
  <c r="P42" i="21"/>
  <c r="BW37" i="21"/>
  <c r="BX37" i="21" s="1"/>
  <c r="AK37" i="21"/>
  <c r="AM37" i="21" s="1"/>
  <c r="CA37" i="21"/>
  <c r="Z37" i="21"/>
  <c r="BY37" i="21"/>
  <c r="BZ37" i="21" s="1"/>
  <c r="CH39" i="21"/>
  <c r="CF39" i="21"/>
  <c r="CE40" i="21"/>
  <c r="CD40" i="21"/>
  <c r="CG40" i="21" s="1"/>
  <c r="U40" i="21"/>
  <c r="V40" i="21"/>
  <c r="AD43" i="21"/>
  <c r="AC43" i="21"/>
  <c r="BE43" i="21" s="1"/>
  <c r="AV43" i="21"/>
  <c r="BN43" i="21"/>
  <c r="L43" i="21"/>
  <c r="M43" i="21" s="1"/>
  <c r="J44" i="21"/>
  <c r="AF43" i="21"/>
  <c r="AE43" i="21"/>
  <c r="F46" i="21"/>
  <c r="BO45" i="21"/>
  <c r="I46" i="21"/>
  <c r="A46" i="21"/>
  <c r="BM45" i="21"/>
  <c r="Q45" i="21"/>
  <c r="AU45" i="21"/>
  <c r="Y45" i="21"/>
  <c r="AN35" i="21"/>
  <c r="R41" i="21"/>
  <c r="S41" i="21"/>
  <c r="T41" i="21" s="1"/>
  <c r="H45" i="21"/>
  <c r="AJ38" i="21"/>
  <c r="AL38" i="21" s="1"/>
  <c r="AX38" i="21"/>
  <c r="AR38" i="21"/>
  <c r="AW38" i="21" s="1"/>
  <c r="X38" i="21"/>
  <c r="AY38" i="21" s="1"/>
  <c r="AQ38" i="21"/>
  <c r="AZ38" i="21" s="1"/>
  <c r="BB38" i="21"/>
  <c r="G44" i="21"/>
  <c r="AG43" i="21"/>
  <c r="AS42" i="21"/>
  <c r="AT43" i="21"/>
  <c r="CC36" i="21"/>
  <c r="CB36" i="21"/>
  <c r="AY37" i="21"/>
  <c r="AH39" i="21"/>
  <c r="AI39" i="21" s="1"/>
  <c r="W39" i="21"/>
  <c r="BD29" i="6"/>
  <c r="BF29" i="6" s="1"/>
  <c r="AD30" i="6"/>
  <c r="AC30" i="6"/>
  <c r="BE30" i="6" s="1"/>
  <c r="AF30" i="6"/>
  <c r="AE30" i="6"/>
  <c r="AG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O30" i="6"/>
  <c r="AS29" i="6"/>
  <c r="AT30" i="6"/>
  <c r="E32" i="10"/>
  <c r="G33" i="10"/>
  <c r="F32" i="10"/>
  <c r="A41" i="6"/>
  <c r="A42" i="10"/>
  <c r="V41" i="10"/>
  <c r="N43" i="21" l="1"/>
  <c r="O43" i="21" s="1"/>
  <c r="P43" i="21"/>
  <c r="F47" i="21"/>
  <c r="BW38" i="21"/>
  <c r="BX38" i="21" s="1"/>
  <c r="AK38" i="21"/>
  <c r="AM38" i="21" s="1"/>
  <c r="AO36" i="21" s="1"/>
  <c r="BY38" i="21"/>
  <c r="BZ38" i="21" s="1"/>
  <c r="Z38" i="21"/>
  <c r="CA38" i="21"/>
  <c r="CC37" i="21"/>
  <c r="CB37" i="21"/>
  <c r="AJ39" i="21"/>
  <c r="AL39" i="21" s="1"/>
  <c r="AX39" i="21"/>
  <c r="AR39" i="21"/>
  <c r="AW39" i="21" s="1"/>
  <c r="AQ39" i="21"/>
  <c r="AZ39" i="21" s="1"/>
  <c r="BB39" i="21"/>
  <c r="X39" i="21"/>
  <c r="AY39" i="21" s="1"/>
  <c r="BD43" i="21"/>
  <c r="BF43" i="21" s="1"/>
  <c r="AO35" i="21"/>
  <c r="AH40" i="21"/>
  <c r="AI40" i="21" s="1"/>
  <c r="W40" i="21"/>
  <c r="AG44" i="21"/>
  <c r="G45" i="21"/>
  <c r="AS43" i="21"/>
  <c r="AT44" i="21"/>
  <c r="BM46" i="21"/>
  <c r="Q46" i="21"/>
  <c r="AU46" i="21"/>
  <c r="Y46" i="21"/>
  <c r="A47" i="21"/>
  <c r="H46" i="21"/>
  <c r="BO46" i="21"/>
  <c r="I47" i="21"/>
  <c r="CE41" i="21"/>
  <c r="CD41" i="21"/>
  <c r="CG41" i="21" s="1"/>
  <c r="U41" i="21"/>
  <c r="V41" i="21"/>
  <c r="AN37" i="21"/>
  <c r="CH40" i="21"/>
  <c r="CF40" i="21"/>
  <c r="R42" i="21"/>
  <c r="S42" i="21"/>
  <c r="T42" i="21" s="1"/>
  <c r="BN44" i="21"/>
  <c r="AV44" i="21"/>
  <c r="AD44" i="21"/>
  <c r="AC44" i="21"/>
  <c r="BE44" i="21" s="1"/>
  <c r="J45" i="21"/>
  <c r="L44" i="21"/>
  <c r="M44" i="21" s="1"/>
  <c r="AE44" i="21"/>
  <c r="AF44" i="21"/>
  <c r="AN36" i="21"/>
  <c r="BD30" i="6"/>
  <c r="BF30" i="6" s="1"/>
  <c r="AC31" i="6"/>
  <c r="BE31" i="6" s="1"/>
  <c r="AD31" i="6"/>
  <c r="AF31" i="6"/>
  <c r="AE31" i="6"/>
  <c r="AG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O31" i="6"/>
  <c r="AT31" i="6"/>
  <c r="AS30" i="6"/>
  <c r="E33" i="10"/>
  <c r="G34" i="10"/>
  <c r="F33" i="10"/>
  <c r="A42" i="6"/>
  <c r="V42" i="10"/>
  <c r="A43" i="10"/>
  <c r="BD44" i="21" l="1"/>
  <c r="BF44" i="21" s="1"/>
  <c r="N44" i="21"/>
  <c r="O44" i="21" s="1"/>
  <c r="P44" i="21"/>
  <c r="I48" i="21"/>
  <c r="BO47" i="21"/>
  <c r="U42" i="21"/>
  <c r="CE42" i="21"/>
  <c r="CD42" i="21"/>
  <c r="CG42" i="21" s="1"/>
  <c r="V42" i="21"/>
  <c r="H47" i="21"/>
  <c r="AG45" i="21"/>
  <c r="G46" i="21"/>
  <c r="AS44" i="21"/>
  <c r="AT45" i="21"/>
  <c r="BM47" i="21"/>
  <c r="Q47" i="21"/>
  <c r="AU47" i="21"/>
  <c r="A48" i="21"/>
  <c r="Y47" i="21"/>
  <c r="F48" i="21"/>
  <c r="AH41" i="21"/>
  <c r="AI41" i="21" s="1"/>
  <c r="W41" i="21"/>
  <c r="AJ40" i="21"/>
  <c r="AL40" i="21" s="1"/>
  <c r="AX40" i="21"/>
  <c r="AR40" i="21"/>
  <c r="AW40" i="21" s="1"/>
  <c r="AQ40" i="21"/>
  <c r="AZ40" i="21" s="1"/>
  <c r="X40" i="21"/>
  <c r="AY40" i="21" s="1"/>
  <c r="BB40" i="21"/>
  <c r="R43" i="21"/>
  <c r="S43" i="21"/>
  <c r="T43" i="21" s="1"/>
  <c r="AK39" i="21"/>
  <c r="AM39" i="21" s="1"/>
  <c r="CA39" i="21"/>
  <c r="Z39" i="21"/>
  <c r="BY39" i="21"/>
  <c r="BZ39" i="21" s="1"/>
  <c r="BW39" i="21"/>
  <c r="BX39" i="21" s="1"/>
  <c r="CC38" i="21"/>
  <c r="CB38" i="21"/>
  <c r="CF41" i="21"/>
  <c r="CH41" i="21"/>
  <c r="BN45" i="21"/>
  <c r="AV45" i="21"/>
  <c r="AD45" i="21"/>
  <c r="AC45" i="21"/>
  <c r="BE45" i="21" s="1"/>
  <c r="J46" i="21"/>
  <c r="L45" i="21"/>
  <c r="M45" i="21" s="1"/>
  <c r="AE45" i="21"/>
  <c r="AF45" i="21"/>
  <c r="BD31" i="6"/>
  <c r="BF31" i="6" s="1"/>
  <c r="AC32" i="6"/>
  <c r="BE32" i="6" s="1"/>
  <c r="AD32" i="6"/>
  <c r="AF32" i="6"/>
  <c r="AE32" i="6"/>
  <c r="AG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O32" i="6"/>
  <c r="AT32" i="6"/>
  <c r="AS31" i="6"/>
  <c r="G35" i="10"/>
  <c r="E34" i="10"/>
  <c r="F34" i="10"/>
  <c r="A43" i="6"/>
  <c r="A44" i="10"/>
  <c r="V43" i="10"/>
  <c r="BD45" i="21" l="1"/>
  <c r="BF45" i="21" s="1"/>
  <c r="N45" i="21"/>
  <c r="O45" i="21" s="1"/>
  <c r="P45" i="21"/>
  <c r="AN38" i="21"/>
  <c r="AH42" i="21"/>
  <c r="AI42" i="21" s="1"/>
  <c r="W42" i="21"/>
  <c r="BB41" i="21"/>
  <c r="AQ41" i="21"/>
  <c r="AZ41" i="21" s="1"/>
  <c r="AJ41" i="21"/>
  <c r="AL41" i="21" s="1"/>
  <c r="AN39" i="21" s="1"/>
  <c r="AX41" i="21"/>
  <c r="AR41" i="21"/>
  <c r="AW41" i="21" s="1"/>
  <c r="X41" i="21"/>
  <c r="AY41" i="21" s="1"/>
  <c r="BM48" i="21"/>
  <c r="Q48" i="21"/>
  <c r="AU48" i="21"/>
  <c r="Y48" i="21"/>
  <c r="A49" i="21"/>
  <c r="CF42" i="21"/>
  <c r="CH42" i="21"/>
  <c r="F49" i="21"/>
  <c r="I49" i="21"/>
  <c r="BO48" i="21"/>
  <c r="CC39" i="21"/>
  <c r="CB39" i="21"/>
  <c r="BN46" i="21"/>
  <c r="AV46" i="21"/>
  <c r="AD46" i="21"/>
  <c r="AC46" i="21"/>
  <c r="BE46" i="21" s="1"/>
  <c r="J47" i="21"/>
  <c r="L46" i="21"/>
  <c r="M46" i="21" s="1"/>
  <c r="AE46" i="21"/>
  <c r="AF46" i="21"/>
  <c r="AG46" i="21"/>
  <c r="G47" i="21"/>
  <c r="AT46" i="21"/>
  <c r="AS45" i="21"/>
  <c r="CA40" i="21"/>
  <c r="Z40" i="21"/>
  <c r="BW40" i="21"/>
  <c r="BX40" i="21" s="1"/>
  <c r="BY40" i="21"/>
  <c r="BZ40" i="21" s="1"/>
  <c r="AK40" i="21"/>
  <c r="AM40" i="21" s="1"/>
  <c r="AO38" i="21"/>
  <c r="H48" i="21"/>
  <c r="R44" i="21"/>
  <c r="S44" i="21"/>
  <c r="T44" i="21" s="1"/>
  <c r="U43" i="21"/>
  <c r="CE43" i="21"/>
  <c r="CD43" i="21"/>
  <c r="CG43" i="21" s="1"/>
  <c r="V43" i="21"/>
  <c r="AO37" i="21"/>
  <c r="BD32" i="6"/>
  <c r="BF32" i="6" s="1"/>
  <c r="AC33" i="6"/>
  <c r="BE33" i="6" s="1"/>
  <c r="AD33" i="6"/>
  <c r="AF33" i="6"/>
  <c r="AE33" i="6"/>
  <c r="AG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O33" i="6"/>
  <c r="AT33" i="6"/>
  <c r="AS32" i="6"/>
  <c r="E35" i="10"/>
  <c r="G36" i="10"/>
  <c r="F35" i="10"/>
  <c r="A44" i="6"/>
  <c r="A45" i="10"/>
  <c r="V44" i="10"/>
  <c r="BD46" i="21" l="1"/>
  <c r="BF46" i="21" s="1"/>
  <c r="N46" i="21"/>
  <c r="O46" i="21" s="1"/>
  <c r="P46" i="21"/>
  <c r="H49" i="21"/>
  <c r="AR42" i="21"/>
  <c r="AW42" i="21" s="1"/>
  <c r="AQ42" i="21"/>
  <c r="AZ42" i="21" s="1"/>
  <c r="AJ42" i="21"/>
  <c r="AL42" i="21" s="1"/>
  <c r="BB42" i="21"/>
  <c r="X42" i="21"/>
  <c r="AX42" i="21"/>
  <c r="AG47" i="21"/>
  <c r="G48" i="21"/>
  <c r="AT47" i="21"/>
  <c r="AS46" i="21"/>
  <c r="F50" i="21"/>
  <c r="AH43" i="21"/>
  <c r="AI43" i="21" s="1"/>
  <c r="W43" i="21"/>
  <c r="BN47" i="21"/>
  <c r="AV47" i="21"/>
  <c r="AD47" i="21"/>
  <c r="AC47" i="21"/>
  <c r="BC47" i="21" s="1"/>
  <c r="BE47" i="21" s="1"/>
  <c r="L47" i="21"/>
  <c r="M47" i="21" s="1"/>
  <c r="J48" i="21"/>
  <c r="AF47" i="21"/>
  <c r="AE47" i="21"/>
  <c r="BW41" i="21"/>
  <c r="BX41" i="21" s="1"/>
  <c r="CA41" i="21"/>
  <c r="AK41" i="21"/>
  <c r="AM41" i="21" s="1"/>
  <c r="BY41" i="21"/>
  <c r="BZ41" i="21" s="1"/>
  <c r="Z41" i="21"/>
  <c r="R45" i="21"/>
  <c r="S45" i="21"/>
  <c r="T45" i="21" s="1"/>
  <c r="CH43" i="21"/>
  <c r="CF43" i="21"/>
  <c r="U44" i="21"/>
  <c r="CE44" i="21"/>
  <c r="CD44" i="21"/>
  <c r="CG44" i="21" s="1"/>
  <c r="V44" i="21"/>
  <c r="I50" i="21"/>
  <c r="BO49" i="21"/>
  <c r="CC40" i="21"/>
  <c r="CB40" i="21"/>
  <c r="AU49" i="21"/>
  <c r="Y49" i="21"/>
  <c r="Q49" i="21"/>
  <c r="A50" i="21"/>
  <c r="BM49" i="21"/>
  <c r="BD33" i="6"/>
  <c r="BF33" i="6" s="1"/>
  <c r="AD34" i="6"/>
  <c r="AC34" i="6"/>
  <c r="BE34" i="6" s="1"/>
  <c r="G43" i="6"/>
  <c r="AF34" i="6"/>
  <c r="AE34" i="6"/>
  <c r="AG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O34" i="6"/>
  <c r="AS33" i="6"/>
  <c r="AT34" i="6"/>
  <c r="G37" i="10"/>
  <c r="E36" i="10"/>
  <c r="F36" i="10"/>
  <c r="A45" i="6"/>
  <c r="V45" i="10"/>
  <c r="A46" i="10"/>
  <c r="BD47" i="21" l="1"/>
  <c r="BF47" i="21" s="1"/>
  <c r="N47" i="21"/>
  <c r="O47" i="21" s="1"/>
  <c r="P47" i="21"/>
  <c r="I51" i="21"/>
  <c r="BO50" i="21"/>
  <c r="CC41" i="21"/>
  <c r="CB41" i="21"/>
  <c r="F51" i="21"/>
  <c r="AH44" i="21"/>
  <c r="AI44" i="21" s="1"/>
  <c r="W44" i="21"/>
  <c r="Y50" i="21"/>
  <c r="BM50" i="21"/>
  <c r="Q50" i="21"/>
  <c r="A51" i="21"/>
  <c r="AU50" i="21"/>
  <c r="CH44" i="21"/>
  <c r="CF44" i="21"/>
  <c r="AV48" i="21"/>
  <c r="AD48" i="21"/>
  <c r="AC48" i="21"/>
  <c r="BE48" i="21" s="1"/>
  <c r="L48" i="21"/>
  <c r="M48" i="21" s="1"/>
  <c r="J49" i="21"/>
  <c r="BN48" i="21"/>
  <c r="AF48" i="21"/>
  <c r="AE48" i="21"/>
  <c r="H50" i="21"/>
  <c r="BW42" i="21"/>
  <c r="BX42" i="21" s="1"/>
  <c r="AK42" i="21"/>
  <c r="AM42" i="21" s="1"/>
  <c r="AO40" i="21" s="1"/>
  <c r="Z42" i="21"/>
  <c r="CA42" i="21"/>
  <c r="BY42" i="21"/>
  <c r="BZ42" i="21" s="1"/>
  <c r="AN40" i="21"/>
  <c r="AG48" i="21"/>
  <c r="G49" i="21"/>
  <c r="AT48" i="21"/>
  <c r="AS47" i="21"/>
  <c r="R46" i="21"/>
  <c r="S46" i="21"/>
  <c r="T46" i="21" s="1"/>
  <c r="AO39" i="21"/>
  <c r="CE45" i="21"/>
  <c r="CD45" i="21"/>
  <c r="CG45" i="21" s="1"/>
  <c r="U45" i="21"/>
  <c r="V45" i="21"/>
  <c r="AJ43" i="21"/>
  <c r="AL43" i="21" s="1"/>
  <c r="X43" i="21"/>
  <c r="BB43" i="21"/>
  <c r="AX43" i="21"/>
  <c r="AR43" i="21"/>
  <c r="AW43" i="21" s="1"/>
  <c r="AQ43" i="21"/>
  <c r="AZ43" i="21" s="1"/>
  <c r="AY42" i="21"/>
  <c r="BD34" i="6"/>
  <c r="BF34" i="6" s="1"/>
  <c r="AD35" i="6"/>
  <c r="AC35" i="6"/>
  <c r="BE35" i="6" s="1"/>
  <c r="AF35" i="6"/>
  <c r="AE35" i="6"/>
  <c r="AG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O35" i="6"/>
  <c r="AS34" i="6"/>
  <c r="AT35" i="6"/>
  <c r="E37" i="10"/>
  <c r="G38" i="10"/>
  <c r="F37" i="10"/>
  <c r="A46" i="6"/>
  <c r="V46" i="10"/>
  <c r="A47" i="10"/>
  <c r="N48" i="21" l="1"/>
  <c r="O48" i="21" s="1"/>
  <c r="P48" i="21"/>
  <c r="Y51" i="21"/>
  <c r="AU51" i="21"/>
  <c r="BM51" i="21"/>
  <c r="Q51" i="21"/>
  <c r="A52" i="21"/>
  <c r="AH45" i="21"/>
  <c r="AI45" i="21" s="1"/>
  <c r="W45" i="21"/>
  <c r="AN41" i="21"/>
  <c r="AD49" i="21"/>
  <c r="AC49" i="21"/>
  <c r="BE49" i="21" s="1"/>
  <c r="L49" i="21"/>
  <c r="M49" i="21" s="1"/>
  <c r="J50" i="21"/>
  <c r="BN49" i="21"/>
  <c r="AV49" i="21"/>
  <c r="AE49" i="21"/>
  <c r="AF49" i="21"/>
  <c r="I52" i="21"/>
  <c r="BO51" i="21"/>
  <c r="H51" i="21"/>
  <c r="CH45" i="21"/>
  <c r="CF45" i="21"/>
  <c r="BD48" i="21"/>
  <c r="BF48" i="21" s="1"/>
  <c r="AJ44" i="21"/>
  <c r="AL44" i="21" s="1"/>
  <c r="AX44" i="21"/>
  <c r="BB44" i="21"/>
  <c r="X44" i="21"/>
  <c r="AR44" i="21"/>
  <c r="AW44" i="21" s="1"/>
  <c r="AQ44" i="21"/>
  <c r="AZ44" i="21" s="1"/>
  <c r="R47" i="21"/>
  <c r="S47" i="21"/>
  <c r="T47" i="21" s="1"/>
  <c r="BW43" i="21"/>
  <c r="BX43" i="21" s="1"/>
  <c r="AK43" i="21"/>
  <c r="AM43" i="21" s="1"/>
  <c r="BY43" i="21"/>
  <c r="BZ43" i="21" s="1"/>
  <c r="Z43" i="21"/>
  <c r="CA43" i="21"/>
  <c r="CC42" i="21"/>
  <c r="CB42" i="21"/>
  <c r="AY43" i="21"/>
  <c r="CE46" i="21"/>
  <c r="CD46" i="21"/>
  <c r="CG46" i="21" s="1"/>
  <c r="U46" i="21"/>
  <c r="V46" i="21"/>
  <c r="G50" i="21"/>
  <c r="AG49" i="21"/>
  <c r="AS48" i="21"/>
  <c r="AT49" i="21"/>
  <c r="F52" i="21"/>
  <c r="BD35" i="6"/>
  <c r="BF35" i="6" s="1"/>
  <c r="AD36" i="6"/>
  <c r="AC36" i="6"/>
  <c r="BE36" i="6" s="1"/>
  <c r="AF36" i="6"/>
  <c r="AE36" i="6"/>
  <c r="AG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O36" i="6"/>
  <c r="AT36" i="6"/>
  <c r="AS35" i="6"/>
  <c r="G39" i="10"/>
  <c r="E38" i="10"/>
  <c r="F38" i="10"/>
  <c r="A47" i="6"/>
  <c r="A48" i="10"/>
  <c r="V47" i="10"/>
  <c r="N49" i="21" l="1"/>
  <c r="O49" i="21" s="1"/>
  <c r="P49" i="21"/>
  <c r="AK44" i="21"/>
  <c r="AM44" i="21" s="1"/>
  <c r="CA44" i="21"/>
  <c r="BY44" i="21"/>
  <c r="BZ44" i="21" s="1"/>
  <c r="BW44" i="21"/>
  <c r="BX44" i="21" s="1"/>
  <c r="Z44" i="21"/>
  <c r="I53" i="21"/>
  <c r="BO52" i="21"/>
  <c r="CC43" i="21"/>
  <c r="CB43" i="21"/>
  <c r="G51" i="21"/>
  <c r="AG50" i="21"/>
  <c r="AT50" i="21"/>
  <c r="AS49" i="21"/>
  <c r="AD50" i="21"/>
  <c r="BD50" i="21" s="1"/>
  <c r="BF50" i="21" s="1"/>
  <c r="AC50" i="21"/>
  <c r="BE50" i="21" s="1"/>
  <c r="L50" i="21"/>
  <c r="M50" i="21" s="1"/>
  <c r="J51" i="21"/>
  <c r="AV50" i="21"/>
  <c r="BN50" i="21"/>
  <c r="AF50" i="21"/>
  <c r="AE50" i="21"/>
  <c r="CE47" i="21"/>
  <c r="CD47" i="21"/>
  <c r="CG47" i="21" s="1"/>
  <c r="U47" i="21"/>
  <c r="V47" i="21"/>
  <c r="BD49" i="21"/>
  <c r="BF49" i="21" s="1"/>
  <c r="CH46" i="21"/>
  <c r="CF46" i="21"/>
  <c r="AH46" i="21"/>
  <c r="AI46" i="21" s="1"/>
  <c r="W46" i="21"/>
  <c r="AY44" i="21"/>
  <c r="H52" i="21"/>
  <c r="AN42" i="21"/>
  <c r="R48" i="21"/>
  <c r="S48" i="21"/>
  <c r="T48" i="21" s="1"/>
  <c r="AO41" i="21"/>
  <c r="F53" i="21"/>
  <c r="AJ45" i="21"/>
  <c r="AL45" i="21" s="1"/>
  <c r="AX45" i="21"/>
  <c r="X45" i="21"/>
  <c r="BB45" i="21"/>
  <c r="AR45" i="21"/>
  <c r="AW45" i="21" s="1"/>
  <c r="AQ45" i="21"/>
  <c r="AZ45" i="21" s="1"/>
  <c r="AY45" i="21"/>
  <c r="Y52" i="21"/>
  <c r="A53" i="21"/>
  <c r="BM52" i="21"/>
  <c r="Q52" i="21"/>
  <c r="AU52" i="21"/>
  <c r="BD36" i="6"/>
  <c r="BF36" i="6" s="1"/>
  <c r="AD37" i="6"/>
  <c r="AC37" i="6"/>
  <c r="BE37" i="6" s="1"/>
  <c r="AF37" i="6"/>
  <c r="AE37" i="6"/>
  <c r="AG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O37" i="6"/>
  <c r="AT37" i="6"/>
  <c r="AS36" i="6"/>
  <c r="G40" i="10"/>
  <c r="E39" i="10"/>
  <c r="F39" i="10"/>
  <c r="A48" i="6"/>
  <c r="A49" i="10"/>
  <c r="V48" i="10"/>
  <c r="N50" i="21" l="1"/>
  <c r="O50" i="21" s="1"/>
  <c r="P50" i="21"/>
  <c r="Y53" i="21"/>
  <c r="A54" i="21"/>
  <c r="BM53" i="21"/>
  <c r="Q53" i="21"/>
  <c r="AU53" i="21"/>
  <c r="H53" i="21"/>
  <c r="F54" i="21"/>
  <c r="AD51" i="21"/>
  <c r="BD51" i="21" s="1"/>
  <c r="BF51" i="21" s="1"/>
  <c r="AC51" i="21"/>
  <c r="BE51" i="21" s="1"/>
  <c r="L51" i="21"/>
  <c r="M51" i="21" s="1"/>
  <c r="J52" i="21"/>
  <c r="BN51" i="21"/>
  <c r="AV51" i="21"/>
  <c r="AE51" i="21"/>
  <c r="AF51" i="21"/>
  <c r="CB44" i="21"/>
  <c r="CC44" i="21"/>
  <c r="BW45" i="21"/>
  <c r="BX45" i="21" s="1"/>
  <c r="BY45" i="21"/>
  <c r="BZ45" i="21" s="1"/>
  <c r="AK45" i="21"/>
  <c r="AM45" i="21" s="1"/>
  <c r="Z45" i="21"/>
  <c r="CA45" i="21"/>
  <c r="AO42" i="21"/>
  <c r="CE48" i="21"/>
  <c r="CD48" i="21"/>
  <c r="CG48" i="21" s="1"/>
  <c r="U48" i="21"/>
  <c r="V48" i="21"/>
  <c r="AH47" i="21"/>
  <c r="AI47" i="21" s="1"/>
  <c r="W47" i="21"/>
  <c r="I54" i="21"/>
  <c r="BO53" i="21"/>
  <c r="G52" i="21"/>
  <c r="AG51" i="21"/>
  <c r="AT51" i="21"/>
  <c r="AS50" i="21"/>
  <c r="R49" i="21"/>
  <c r="S49" i="21"/>
  <c r="T49" i="21" s="1"/>
  <c r="AX46" i="21"/>
  <c r="AR46" i="21"/>
  <c r="AW46" i="21" s="1"/>
  <c r="X46" i="21"/>
  <c r="BB46" i="21"/>
  <c r="AQ46" i="21"/>
  <c r="AZ46" i="21" s="1"/>
  <c r="AJ46" i="21"/>
  <c r="AL46" i="21" s="1"/>
  <c r="AN44" i="21" s="1"/>
  <c r="AN43" i="21"/>
  <c r="CF47" i="21"/>
  <c r="CH47" i="21"/>
  <c r="BD37" i="6"/>
  <c r="BF37" i="6" s="1"/>
  <c r="AC38" i="6"/>
  <c r="AD38" i="6"/>
  <c r="AF38" i="6"/>
  <c r="AE38" i="6"/>
  <c r="AG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O38" i="6"/>
  <c r="AT38" i="6"/>
  <c r="AS37" i="6"/>
  <c r="E40" i="10"/>
  <c r="G41" i="10"/>
  <c r="F40" i="10"/>
  <c r="A49" i="6"/>
  <c r="A50" i="10"/>
  <c r="V49" i="10"/>
  <c r="N51" i="21" l="1"/>
  <c r="O51" i="21" s="1"/>
  <c r="P51" i="21"/>
  <c r="AK46" i="21"/>
  <c r="AM46" i="21" s="1"/>
  <c r="CA46" i="21"/>
  <c r="BY46" i="21"/>
  <c r="BZ46" i="21" s="1"/>
  <c r="BW46" i="21"/>
  <c r="BX46" i="21" s="1"/>
  <c r="Z46" i="21"/>
  <c r="AH48" i="21"/>
  <c r="AI48" i="21" s="1"/>
  <c r="W48" i="21"/>
  <c r="CE49" i="21"/>
  <c r="CD49" i="21"/>
  <c r="CG49" i="21" s="1"/>
  <c r="U49" i="21"/>
  <c r="V49" i="21"/>
  <c r="Y54" i="21"/>
  <c r="A55" i="21"/>
  <c r="BM54" i="21"/>
  <c r="Q54" i="21"/>
  <c r="AU54" i="21"/>
  <c r="F55" i="21"/>
  <c r="CF48" i="21"/>
  <c r="CH48" i="21"/>
  <c r="AO43" i="21"/>
  <c r="G53" i="21"/>
  <c r="AG52" i="21"/>
  <c r="AS51" i="21"/>
  <c r="AT52" i="21"/>
  <c r="I55" i="21"/>
  <c r="BO54" i="21"/>
  <c r="R50" i="21"/>
  <c r="S50" i="21"/>
  <c r="T50" i="21" s="1"/>
  <c r="AR47" i="21"/>
  <c r="AW47" i="21" s="1"/>
  <c r="AQ47" i="21"/>
  <c r="AZ47" i="21" s="1"/>
  <c r="AJ47" i="21"/>
  <c r="AL47" i="21" s="1"/>
  <c r="BB47" i="21"/>
  <c r="AX47" i="21"/>
  <c r="X47" i="21"/>
  <c r="AY47" i="21"/>
  <c r="CC45" i="21"/>
  <c r="CB45" i="21"/>
  <c r="AY46" i="21"/>
  <c r="AC52" i="21"/>
  <c r="BE52" i="21" s="1"/>
  <c r="L52" i="21"/>
  <c r="M52" i="21" s="1"/>
  <c r="J53" i="21"/>
  <c r="BN52" i="21"/>
  <c r="AD52" i="21"/>
  <c r="AV52" i="21"/>
  <c r="AF52" i="21"/>
  <c r="AE52" i="21"/>
  <c r="H54" i="21"/>
  <c r="BC38" i="6"/>
  <c r="BE38" i="6" s="1"/>
  <c r="BD38" i="6"/>
  <c r="BF38" i="6" s="1"/>
  <c r="AC39" i="6"/>
  <c r="AD39" i="6"/>
  <c r="AF39" i="6"/>
  <c r="AE39" i="6"/>
  <c r="AG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O39" i="6"/>
  <c r="AS38" i="6"/>
  <c r="AT39" i="6"/>
  <c r="G42" i="10"/>
  <c r="E41" i="10"/>
  <c r="F41" i="10"/>
  <c r="A50" i="6"/>
  <c r="A51" i="10"/>
  <c r="V50" i="10"/>
  <c r="N52" i="21" l="1"/>
  <c r="O52" i="21" s="1"/>
  <c r="P52" i="21"/>
  <c r="CA47" i="21"/>
  <c r="Z47" i="21"/>
  <c r="BY47" i="21"/>
  <c r="BZ47" i="21" s="1"/>
  <c r="AK47" i="21"/>
  <c r="AM47" i="21" s="1"/>
  <c r="BW47" i="21"/>
  <c r="BX47" i="21" s="1"/>
  <c r="G54" i="21"/>
  <c r="AG53" i="21"/>
  <c r="AT53" i="21"/>
  <c r="AS52" i="21"/>
  <c r="CH49" i="21"/>
  <c r="CF49" i="21"/>
  <c r="AR48" i="21"/>
  <c r="AW48" i="21" s="1"/>
  <c r="AQ48" i="21"/>
  <c r="AZ48" i="21" s="1"/>
  <c r="AX48" i="21"/>
  <c r="AJ48" i="21"/>
  <c r="AL48" i="21" s="1"/>
  <c r="X48" i="21"/>
  <c r="AY48" i="21" s="1"/>
  <c r="BB48" i="21"/>
  <c r="CD50" i="21"/>
  <c r="CG50" i="21" s="1"/>
  <c r="CE50" i="21"/>
  <c r="U50" i="21"/>
  <c r="V50" i="21"/>
  <c r="CC46" i="21"/>
  <c r="CB46" i="21"/>
  <c r="A56" i="21"/>
  <c r="BM55" i="21"/>
  <c r="Q55" i="21"/>
  <c r="Y55" i="21"/>
  <c r="AU55" i="21"/>
  <c r="AO44" i="21"/>
  <c r="AN45" i="21"/>
  <c r="R51" i="21"/>
  <c r="S51" i="21"/>
  <c r="T51" i="21" s="1"/>
  <c r="BD52" i="21"/>
  <c r="BF52" i="21" s="1"/>
  <c r="I56" i="21"/>
  <c r="BO55" i="21"/>
  <c r="F56" i="21"/>
  <c r="L53" i="21"/>
  <c r="M53" i="21" s="1"/>
  <c r="J54" i="21"/>
  <c r="AD53" i="21"/>
  <c r="BN53" i="21"/>
  <c r="AC53" i="21"/>
  <c r="BE53" i="21" s="1"/>
  <c r="AV53" i="21"/>
  <c r="AE53" i="21"/>
  <c r="AF53" i="21"/>
  <c r="H55" i="21"/>
  <c r="AH49" i="21"/>
  <c r="AI49" i="21" s="1"/>
  <c r="W49" i="21"/>
  <c r="BD39" i="6"/>
  <c r="BF39" i="6" s="1"/>
  <c r="BC39" i="6"/>
  <c r="BE39" i="6" s="1"/>
  <c r="AD40" i="6"/>
  <c r="AC40" i="6"/>
  <c r="BE40" i="6" s="1"/>
  <c r="AF40" i="6"/>
  <c r="AE40" i="6"/>
  <c r="AG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O40" i="6"/>
  <c r="AT40" i="6"/>
  <c r="AS39" i="6"/>
  <c r="E42" i="10"/>
  <c r="G43" i="10"/>
  <c r="F42" i="10"/>
  <c r="A51" i="6"/>
  <c r="A52" i="10"/>
  <c r="V51" i="10"/>
  <c r="BD53" i="21" l="1"/>
  <c r="BF53" i="21" s="1"/>
  <c r="N53" i="21"/>
  <c r="O53" i="21" s="1"/>
  <c r="P53" i="21"/>
  <c r="CF50" i="21"/>
  <c r="CH50" i="21"/>
  <c r="AR49" i="21"/>
  <c r="AW49" i="21" s="1"/>
  <c r="AQ49" i="21"/>
  <c r="AZ49" i="21" s="1"/>
  <c r="X49" i="21"/>
  <c r="BB49" i="21"/>
  <c r="AX49" i="21"/>
  <c r="AJ49" i="21"/>
  <c r="AL49" i="21" s="1"/>
  <c r="G55" i="21"/>
  <c r="AG54" i="21"/>
  <c r="AS53" i="21"/>
  <c r="AT54" i="21"/>
  <c r="J55" i="21"/>
  <c r="BN54" i="21"/>
  <c r="AC54" i="21"/>
  <c r="BE54" i="21" s="1"/>
  <c r="AD54" i="21"/>
  <c r="AV54" i="21"/>
  <c r="L54" i="21"/>
  <c r="M54" i="21" s="1"/>
  <c r="AF54" i="21"/>
  <c r="AE54" i="21"/>
  <c r="A57" i="21"/>
  <c r="Q56" i="21"/>
  <c r="AU56" i="21"/>
  <c r="Y56" i="21"/>
  <c r="BM56" i="21"/>
  <c r="AO45" i="21"/>
  <c r="U51" i="21"/>
  <c r="CE51" i="21"/>
  <c r="CD51" i="21"/>
  <c r="CG51" i="21" s="1"/>
  <c r="V51" i="21"/>
  <c r="F57" i="21"/>
  <c r="H56" i="21"/>
  <c r="CA48" i="21"/>
  <c r="Z48" i="21"/>
  <c r="BY48" i="21"/>
  <c r="BZ48" i="21" s="1"/>
  <c r="AK48" i="21"/>
  <c r="AM48" i="21" s="1"/>
  <c r="AO46" i="21" s="1"/>
  <c r="BW48" i="21"/>
  <c r="BX48" i="21" s="1"/>
  <c r="I57" i="21"/>
  <c r="BO56" i="21"/>
  <c r="AN46" i="21"/>
  <c r="CC47" i="21"/>
  <c r="CB47" i="21"/>
  <c r="R52" i="21"/>
  <c r="S52" i="21"/>
  <c r="T52" i="21" s="1"/>
  <c r="AH50" i="21"/>
  <c r="AI50" i="21" s="1"/>
  <c r="W50" i="21"/>
  <c r="BD40" i="6"/>
  <c r="BF40" i="6" s="1"/>
  <c r="AC41" i="6"/>
  <c r="BE41" i="6" s="1"/>
  <c r="AD41" i="6"/>
  <c r="AF41" i="6"/>
  <c r="AE41" i="6"/>
  <c r="AG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O41" i="6"/>
  <c r="AT41" i="6"/>
  <c r="AS40" i="6"/>
  <c r="E43" i="10"/>
  <c r="G44" i="10"/>
  <c r="F43" i="10"/>
  <c r="A52" i="6"/>
  <c r="A53" i="10"/>
  <c r="V52" i="10"/>
  <c r="BD54" i="21" l="1"/>
  <c r="BF54" i="21" s="1"/>
  <c r="N54" i="21"/>
  <c r="O54" i="21" s="1"/>
  <c r="P54" i="21"/>
  <c r="H57" i="21"/>
  <c r="F58" i="21"/>
  <c r="BN55" i="21"/>
  <c r="AV55" i="21"/>
  <c r="L55" i="21"/>
  <c r="M55" i="21" s="1"/>
  <c r="J56" i="21"/>
  <c r="AD55" i="21"/>
  <c r="BD55" i="21" s="1"/>
  <c r="BF55" i="21" s="1"/>
  <c r="AC55" i="21"/>
  <c r="BE55" i="21" s="1"/>
  <c r="AE55" i="21"/>
  <c r="AF55" i="21"/>
  <c r="AN47" i="21"/>
  <c r="CA49" i="21"/>
  <c r="Z49" i="21"/>
  <c r="BY49" i="21"/>
  <c r="BZ49" i="21" s="1"/>
  <c r="AK49" i="21"/>
  <c r="AM49" i="21" s="1"/>
  <c r="BW49" i="21"/>
  <c r="BX49" i="21" s="1"/>
  <c r="AH51" i="21"/>
  <c r="AI51" i="21" s="1"/>
  <c r="W51" i="21"/>
  <c r="Y57" i="21"/>
  <c r="Q57" i="21"/>
  <c r="BM57" i="21"/>
  <c r="AU57" i="21"/>
  <c r="A58" i="21"/>
  <c r="R53" i="21"/>
  <c r="S53" i="21"/>
  <c r="T53" i="21" s="1"/>
  <c r="I58" i="21"/>
  <c r="BO57" i="21"/>
  <c r="CH51" i="21"/>
  <c r="CF51" i="21"/>
  <c r="G56" i="21"/>
  <c r="AG55" i="21"/>
  <c r="AT55" i="21"/>
  <c r="AS54" i="21"/>
  <c r="AR50" i="21"/>
  <c r="AW50" i="21" s="1"/>
  <c r="AQ50" i="21"/>
  <c r="AZ50" i="21" s="1"/>
  <c r="X50" i="21"/>
  <c r="BB50" i="21"/>
  <c r="AX50" i="21"/>
  <c r="AJ50" i="21"/>
  <c r="AL50" i="21" s="1"/>
  <c r="U52" i="21"/>
  <c r="CD52" i="21"/>
  <c r="CG52" i="21" s="1"/>
  <c r="CE52" i="21"/>
  <c r="V52" i="21"/>
  <c r="CC48" i="21"/>
  <c r="CB48" i="21"/>
  <c r="AY49" i="21"/>
  <c r="BD41" i="6"/>
  <c r="BF41" i="6" s="1"/>
  <c r="AC42" i="6"/>
  <c r="AD42" i="6"/>
  <c r="AF42" i="6"/>
  <c r="AE42" i="6"/>
  <c r="AG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O42" i="6"/>
  <c r="AS41" i="6"/>
  <c r="AT42" i="6"/>
  <c r="G45" i="10"/>
  <c r="E44" i="10"/>
  <c r="F44" i="10"/>
  <c r="A53" i="6"/>
  <c r="V53" i="10"/>
  <c r="A54" i="10"/>
  <c r="N55" i="21" l="1"/>
  <c r="O55" i="21" s="1"/>
  <c r="P55" i="21"/>
  <c r="CF52" i="21"/>
  <c r="CH52" i="21"/>
  <c r="J57" i="21"/>
  <c r="AV56" i="21"/>
  <c r="L56" i="21"/>
  <c r="M56" i="21" s="1"/>
  <c r="AD56" i="21"/>
  <c r="BD56" i="21" s="1"/>
  <c r="BF56" i="21" s="1"/>
  <c r="AC56" i="21"/>
  <c r="BC56" i="21" s="1"/>
  <c r="BE56" i="21" s="1"/>
  <c r="BN56" i="21"/>
  <c r="BU56" i="21" s="1"/>
  <c r="AF56" i="21"/>
  <c r="AE56" i="21"/>
  <c r="AR51" i="21"/>
  <c r="AW51" i="21" s="1"/>
  <c r="AQ51" i="21"/>
  <c r="AZ51" i="21" s="1"/>
  <c r="X51" i="21"/>
  <c r="AY51" i="21" s="1"/>
  <c r="BB51" i="21"/>
  <c r="AX51" i="21"/>
  <c r="AJ51" i="21"/>
  <c r="AL51" i="21" s="1"/>
  <c r="I59" i="21"/>
  <c r="BO58" i="21"/>
  <c r="CA50" i="21"/>
  <c r="Z50" i="21"/>
  <c r="BY50" i="21"/>
  <c r="BZ50" i="21" s="1"/>
  <c r="BW50" i="21"/>
  <c r="BX50" i="21" s="1"/>
  <c r="AK50" i="21"/>
  <c r="AM50" i="21" s="1"/>
  <c r="U53" i="21"/>
  <c r="CE53" i="21"/>
  <c r="CD53" i="21"/>
  <c r="CG53" i="21" s="1"/>
  <c r="V53" i="21"/>
  <c r="AN48" i="21"/>
  <c r="AO47" i="21"/>
  <c r="H58" i="21"/>
  <c r="AY50" i="21"/>
  <c r="Y58" i="21"/>
  <c r="BM58" i="21"/>
  <c r="Q58" i="21"/>
  <c r="A59" i="21"/>
  <c r="AU58" i="21"/>
  <c r="R54" i="21"/>
  <c r="S54" i="21"/>
  <c r="T54" i="21" s="1"/>
  <c r="CC49" i="21"/>
  <c r="CB49" i="21"/>
  <c r="F59" i="21"/>
  <c r="AH52" i="21"/>
  <c r="AI52" i="21" s="1"/>
  <c r="W52" i="21"/>
  <c r="G57" i="21"/>
  <c r="AG56" i="21"/>
  <c r="AT56" i="21"/>
  <c r="AS55" i="21"/>
  <c r="BD42" i="6"/>
  <c r="BF42" i="6" s="1"/>
  <c r="BC42" i="6"/>
  <c r="BE42" i="6" s="1"/>
  <c r="AD43" i="6"/>
  <c r="AC43" i="6"/>
  <c r="BC43" i="6" s="1"/>
  <c r="BE43" i="6" s="1"/>
  <c r="AF43" i="6"/>
  <c r="AE43" i="6"/>
  <c r="AG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O43" i="6"/>
  <c r="AS42" i="6"/>
  <c r="AT43" i="6"/>
  <c r="E45" i="10"/>
  <c r="G46" i="10"/>
  <c r="F45" i="10"/>
  <c r="A54" i="6"/>
  <c r="V54" i="10"/>
  <c r="A55" i="10"/>
  <c r="N56" i="21" l="1"/>
  <c r="O56" i="21" s="1"/>
  <c r="P56" i="21"/>
  <c r="BO59" i="21"/>
  <c r="I60" i="21"/>
  <c r="CH53" i="21"/>
  <c r="CF53" i="21"/>
  <c r="J58" i="21"/>
  <c r="AC57" i="21"/>
  <c r="BN57" i="21"/>
  <c r="BU57" i="21" s="1"/>
  <c r="AV57" i="21"/>
  <c r="L57" i="21"/>
  <c r="M57" i="21" s="1"/>
  <c r="AD57" i="21"/>
  <c r="BD57" i="21" s="1"/>
  <c r="BF57" i="21" s="1"/>
  <c r="AF57" i="21"/>
  <c r="AE57" i="21"/>
  <c r="AH53" i="21"/>
  <c r="AI53" i="21" s="1"/>
  <c r="W53" i="21"/>
  <c r="G58" i="21"/>
  <c r="AG57" i="21"/>
  <c r="AS56" i="21"/>
  <c r="AT57" i="21"/>
  <c r="BM59" i="21"/>
  <c r="Y59" i="21"/>
  <c r="A60" i="21"/>
  <c r="Q59" i="21"/>
  <c r="AU59" i="21"/>
  <c r="CA51" i="21"/>
  <c r="Z51" i="21"/>
  <c r="BY51" i="21"/>
  <c r="BZ51" i="21" s="1"/>
  <c r="BW51" i="21"/>
  <c r="BX51" i="21" s="1"/>
  <c r="AK51" i="21"/>
  <c r="AM51" i="21" s="1"/>
  <c r="AO48" i="21"/>
  <c r="R55" i="21"/>
  <c r="S55" i="21"/>
  <c r="T55" i="21" s="1"/>
  <c r="H59" i="21"/>
  <c r="AR52" i="21"/>
  <c r="AW52" i="21" s="1"/>
  <c r="AQ52" i="21"/>
  <c r="AZ52" i="21" s="1"/>
  <c r="X52" i="21"/>
  <c r="AY52" i="21" s="1"/>
  <c r="BB52" i="21"/>
  <c r="AJ52" i="21"/>
  <c r="AL52" i="21" s="1"/>
  <c r="AN50" i="21" s="1"/>
  <c r="AX52" i="21"/>
  <c r="U54" i="21"/>
  <c r="CE54" i="21"/>
  <c r="CD54" i="21"/>
  <c r="CG54" i="21" s="1"/>
  <c r="V54" i="21"/>
  <c r="AN49" i="21"/>
  <c r="CC50" i="21"/>
  <c r="CB50" i="21"/>
  <c r="F60" i="21"/>
  <c r="BD43" i="6"/>
  <c r="BF43" i="6" s="1"/>
  <c r="AD44" i="6"/>
  <c r="AC44" i="6"/>
  <c r="BE44" i="6" s="1"/>
  <c r="AF44" i="6"/>
  <c r="AE44" i="6"/>
  <c r="AG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O44" i="6"/>
  <c r="AT44" i="6"/>
  <c r="AS43" i="6"/>
  <c r="G47" i="10"/>
  <c r="E46" i="10"/>
  <c r="F46" i="10"/>
  <c r="A55" i="6"/>
  <c r="A56" i="10"/>
  <c r="V55" i="10"/>
  <c r="N57" i="21" l="1"/>
  <c r="O57" i="21" s="1"/>
  <c r="P57" i="21"/>
  <c r="U55" i="21"/>
  <c r="CE55" i="21"/>
  <c r="CD55" i="21"/>
  <c r="CG55" i="21" s="1"/>
  <c r="V55" i="21"/>
  <c r="AH54" i="21"/>
  <c r="AI54" i="21" s="1"/>
  <c r="W54" i="21"/>
  <c r="BO60" i="21"/>
  <c r="I61" i="21"/>
  <c r="AQ53" i="21"/>
  <c r="AZ53" i="21" s="1"/>
  <c r="X53" i="21"/>
  <c r="AY53" i="21" s="1"/>
  <c r="BB53" i="21"/>
  <c r="AJ53" i="21"/>
  <c r="AL53" i="21" s="1"/>
  <c r="AX53" i="21"/>
  <c r="AR53" i="21"/>
  <c r="AW53" i="21" s="1"/>
  <c r="F61" i="21"/>
  <c r="A61" i="21"/>
  <c r="Q60" i="21"/>
  <c r="AU60" i="21"/>
  <c r="BM60" i="21"/>
  <c r="Y60" i="21"/>
  <c r="BC57" i="21"/>
  <c r="BE57" i="21" s="1"/>
  <c r="R56" i="21"/>
  <c r="S56" i="21"/>
  <c r="T56" i="21" s="1"/>
  <c r="CA52" i="21"/>
  <c r="Z52" i="21"/>
  <c r="BY52" i="21"/>
  <c r="BZ52" i="21" s="1"/>
  <c r="BW52" i="21"/>
  <c r="BX52" i="21" s="1"/>
  <c r="AK52" i="21"/>
  <c r="AM52" i="21" s="1"/>
  <c r="AC58" i="21"/>
  <c r="BE58" i="21" s="1"/>
  <c r="L58" i="21"/>
  <c r="M58" i="21" s="1"/>
  <c r="J59" i="21"/>
  <c r="BN58" i="21"/>
  <c r="BU58" i="21" s="1"/>
  <c r="AD58" i="21"/>
  <c r="AV58" i="21"/>
  <c r="AF58" i="21"/>
  <c r="AE58" i="21"/>
  <c r="CH54" i="21"/>
  <c r="CF54" i="21"/>
  <c r="AG58" i="21"/>
  <c r="G59" i="21"/>
  <c r="AS57" i="21"/>
  <c r="AT58" i="21"/>
  <c r="AO49" i="21"/>
  <c r="H60" i="21"/>
  <c r="CC51" i="21"/>
  <c r="CB51" i="21"/>
  <c r="BD44" i="6"/>
  <c r="BF44" i="6" s="1"/>
  <c r="AD45" i="6"/>
  <c r="AC45" i="6"/>
  <c r="BE45" i="6" s="1"/>
  <c r="AF45" i="6"/>
  <c r="AE45" i="6"/>
  <c r="AG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O45" i="6"/>
  <c r="AT45" i="6"/>
  <c r="AS44" i="6"/>
  <c r="G48" i="10"/>
  <c r="E47" i="10"/>
  <c r="F47" i="10"/>
  <c r="A56" i="6"/>
  <c r="A57" i="10"/>
  <c r="V56" i="10"/>
  <c r="N58" i="21" l="1"/>
  <c r="O58" i="21" s="1"/>
  <c r="P58" i="21"/>
  <c r="AH55" i="21"/>
  <c r="AI55" i="21" s="1"/>
  <c r="W55" i="21"/>
  <c r="AG59" i="21"/>
  <c r="G60" i="21"/>
  <c r="AT59" i="21"/>
  <c r="AS58" i="21"/>
  <c r="AO50" i="21"/>
  <c r="CH55" i="21"/>
  <c r="CF55" i="21"/>
  <c r="CB52" i="21"/>
  <c r="CC52" i="21"/>
  <c r="U56" i="21"/>
  <c r="CE56" i="21"/>
  <c r="CD56" i="21"/>
  <c r="CG56" i="21" s="1"/>
  <c r="V56" i="21"/>
  <c r="CA53" i="21"/>
  <c r="Z53" i="21"/>
  <c r="BY53" i="21"/>
  <c r="BZ53" i="21" s="1"/>
  <c r="BW53" i="21"/>
  <c r="BX53" i="21" s="1"/>
  <c r="AK53" i="21"/>
  <c r="AM53" i="21" s="1"/>
  <c r="R57" i="21"/>
  <c r="S57" i="21"/>
  <c r="T57" i="21" s="1"/>
  <c r="BD58" i="21"/>
  <c r="BF58" i="21" s="1"/>
  <c r="A62" i="21"/>
  <c r="Q61" i="21"/>
  <c r="AU61" i="21"/>
  <c r="BM61" i="21"/>
  <c r="Y61" i="21"/>
  <c r="BO61" i="21"/>
  <c r="I62" i="21"/>
  <c r="H61" i="21"/>
  <c r="BN59" i="21"/>
  <c r="BU59" i="21" s="1"/>
  <c r="AD59" i="21"/>
  <c r="AC59" i="21"/>
  <c r="BE59" i="21" s="1"/>
  <c r="L59" i="21"/>
  <c r="M59" i="21" s="1"/>
  <c r="J60" i="21"/>
  <c r="AV59" i="21"/>
  <c r="AE59" i="21"/>
  <c r="AF59" i="21"/>
  <c r="AN51" i="21"/>
  <c r="F62" i="21"/>
  <c r="X54" i="21"/>
  <c r="BB54" i="21"/>
  <c r="AJ54" i="21"/>
  <c r="AL54" i="21" s="1"/>
  <c r="AX54" i="21"/>
  <c r="AR54" i="21"/>
  <c r="AW54" i="21" s="1"/>
  <c r="AQ54" i="21"/>
  <c r="AZ54" i="21" s="1"/>
  <c r="BD45" i="6"/>
  <c r="BF45" i="6" s="1"/>
  <c r="AC46" i="6"/>
  <c r="BE46" i="6" s="1"/>
  <c r="AD46" i="6"/>
  <c r="AF46" i="6"/>
  <c r="AE46" i="6"/>
  <c r="AG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O46" i="6"/>
  <c r="AS45" i="6"/>
  <c r="AT46" i="6"/>
  <c r="G49" i="10"/>
  <c r="E48" i="10"/>
  <c r="F48" i="10"/>
  <c r="A57" i="6"/>
  <c r="A58" i="10"/>
  <c r="V57" i="10"/>
  <c r="BD59" i="21" l="1"/>
  <c r="BF59" i="21" s="1"/>
  <c r="N59" i="21"/>
  <c r="O59" i="21" s="1"/>
  <c r="P59" i="21"/>
  <c r="BY54" i="21"/>
  <c r="BZ54" i="21" s="1"/>
  <c r="BW54" i="21"/>
  <c r="BX54" i="21" s="1"/>
  <c r="AK54" i="21"/>
  <c r="AM54" i="21" s="1"/>
  <c r="CA54" i="21"/>
  <c r="Z54" i="21"/>
  <c r="AV60" i="21"/>
  <c r="BN60" i="21"/>
  <c r="BU60" i="21" s="1"/>
  <c r="AD60" i="21"/>
  <c r="BD60" i="21" s="1"/>
  <c r="BF60" i="21" s="1"/>
  <c r="AC60" i="21"/>
  <c r="BE60" i="21" s="1"/>
  <c r="L60" i="21"/>
  <c r="M60" i="21" s="1"/>
  <c r="J61" i="21"/>
  <c r="AE60" i="21"/>
  <c r="AF60" i="21"/>
  <c r="AH56" i="21"/>
  <c r="AI56" i="21" s="1"/>
  <c r="W56" i="21"/>
  <c r="CH56" i="21"/>
  <c r="CF56" i="21"/>
  <c r="AG60" i="21"/>
  <c r="G61" i="21"/>
  <c r="AS59" i="21"/>
  <c r="AT60" i="21"/>
  <c r="F63" i="21"/>
  <c r="I63" i="21"/>
  <c r="BO62" i="21"/>
  <c r="A63" i="21"/>
  <c r="Q62" i="21"/>
  <c r="AU62" i="21"/>
  <c r="BM62" i="21"/>
  <c r="Y62" i="21"/>
  <c r="AY54" i="21"/>
  <c r="X55" i="21"/>
  <c r="BB55" i="21"/>
  <c r="AJ55" i="21"/>
  <c r="AL55" i="21" s="1"/>
  <c r="AX55" i="21"/>
  <c r="AQ55" i="21"/>
  <c r="AZ55" i="21" s="1"/>
  <c r="AR55" i="21"/>
  <c r="AW55" i="21" s="1"/>
  <c r="AY55" i="21"/>
  <c r="U57" i="21"/>
  <c r="CE57" i="21"/>
  <c r="CD57" i="21"/>
  <c r="CG57" i="21" s="1"/>
  <c r="V57" i="21"/>
  <c r="R58" i="21"/>
  <c r="S58" i="21"/>
  <c r="T58" i="21" s="1"/>
  <c r="H62" i="21"/>
  <c r="CC53" i="21"/>
  <c r="CB53" i="21"/>
  <c r="AN52" i="21"/>
  <c r="AO51" i="21"/>
  <c r="AN53" i="21"/>
  <c r="BD46" i="6"/>
  <c r="BF46" i="6" s="1"/>
  <c r="AD47" i="6"/>
  <c r="AC47" i="6"/>
  <c r="AF47" i="6"/>
  <c r="AE47" i="6"/>
  <c r="AG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O47" i="6"/>
  <c r="AS46" i="6"/>
  <c r="AT47" i="6"/>
  <c r="G50" i="10"/>
  <c r="E49" i="10"/>
  <c r="F49" i="10"/>
  <c r="A58" i="6"/>
  <c r="A59" i="10"/>
  <c r="V58" i="10"/>
  <c r="N60" i="21" l="1"/>
  <c r="O60" i="21" s="1"/>
  <c r="P60" i="21"/>
  <c r="AV61" i="21"/>
  <c r="BN61" i="21"/>
  <c r="BU61" i="21" s="1"/>
  <c r="AD61" i="21"/>
  <c r="AC61" i="21"/>
  <c r="BE61" i="21" s="1"/>
  <c r="L61" i="21"/>
  <c r="M61" i="21" s="1"/>
  <c r="J62" i="21"/>
  <c r="AE61" i="21"/>
  <c r="AF61" i="21"/>
  <c r="F64" i="21"/>
  <c r="G62" i="21"/>
  <c r="AG61" i="21"/>
  <c r="AS60" i="21"/>
  <c r="AT61" i="21"/>
  <c r="CB54" i="21"/>
  <c r="CC54" i="21"/>
  <c r="CH57" i="21"/>
  <c r="CF57" i="21"/>
  <c r="AO52" i="21"/>
  <c r="A64" i="21"/>
  <c r="Q63" i="21"/>
  <c r="AU63" i="21"/>
  <c r="Y63" i="21"/>
  <c r="BM63" i="21"/>
  <c r="I64" i="21"/>
  <c r="BO63" i="21"/>
  <c r="BB56" i="21"/>
  <c r="AJ56" i="21"/>
  <c r="AL56" i="21" s="1"/>
  <c r="AX56" i="21"/>
  <c r="AR56" i="21"/>
  <c r="AW56" i="21" s="1"/>
  <c r="AQ56" i="21"/>
  <c r="AZ56" i="21" s="1"/>
  <c r="X56" i="21"/>
  <c r="AY56" i="21" s="1"/>
  <c r="R59" i="21"/>
  <c r="S59" i="21"/>
  <c r="T59" i="21" s="1"/>
  <c r="H63" i="21"/>
  <c r="BY55" i="21"/>
  <c r="BZ55" i="21" s="1"/>
  <c r="BW55" i="21"/>
  <c r="BX55" i="21" s="1"/>
  <c r="AK55" i="21"/>
  <c r="AM55" i="21" s="1"/>
  <c r="CA55" i="21"/>
  <c r="Z55" i="21"/>
  <c r="CE58" i="21"/>
  <c r="CD58" i="21"/>
  <c r="CG58" i="21" s="1"/>
  <c r="U58" i="21"/>
  <c r="V58" i="21"/>
  <c r="AH57" i="21"/>
  <c r="AI57" i="21" s="1"/>
  <c r="W57" i="21"/>
  <c r="BC47" i="6"/>
  <c r="BE47" i="6" s="1"/>
  <c r="BD47" i="6"/>
  <c r="BF47" i="6" s="1"/>
  <c r="AD48" i="6"/>
  <c r="AC48" i="6"/>
  <c r="BE48" i="6" s="1"/>
  <c r="AF48" i="6"/>
  <c r="AE48" i="6"/>
  <c r="AG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O48" i="6"/>
  <c r="AT48" i="6"/>
  <c r="AS47" i="6"/>
  <c r="G51" i="10"/>
  <c r="E50" i="10"/>
  <c r="F50" i="10"/>
  <c r="A59" i="6"/>
  <c r="A60" i="10"/>
  <c r="V59" i="10"/>
  <c r="BD61" i="21" l="1"/>
  <c r="BF61" i="21" s="1"/>
  <c r="N61" i="21"/>
  <c r="O61" i="21" s="1"/>
  <c r="P61" i="21"/>
  <c r="CF58" i="21"/>
  <c r="CH58" i="21"/>
  <c r="AV62" i="21"/>
  <c r="BN62" i="21"/>
  <c r="BU62" i="21" s="1"/>
  <c r="AD62" i="21"/>
  <c r="L62" i="21"/>
  <c r="M62" i="21" s="1"/>
  <c r="AC62" i="21"/>
  <c r="BE62" i="21" s="1"/>
  <c r="J63" i="21"/>
  <c r="AE62" i="21"/>
  <c r="AF62" i="21"/>
  <c r="CC55" i="21"/>
  <c r="CB55" i="21"/>
  <c r="A65" i="21"/>
  <c r="Y64" i="21"/>
  <c r="AU64" i="21"/>
  <c r="Q64" i="21"/>
  <c r="BM64" i="21"/>
  <c r="AO53" i="21"/>
  <c r="F65" i="21"/>
  <c r="AN54" i="21"/>
  <c r="G63" i="21"/>
  <c r="AG62" i="21"/>
  <c r="AS61" i="21"/>
  <c r="AT62" i="21"/>
  <c r="X57" i="21"/>
  <c r="BB57" i="21"/>
  <c r="AJ57" i="21"/>
  <c r="AL57" i="21" s="1"/>
  <c r="AN55" i="21" s="1"/>
  <c r="AX57" i="21"/>
  <c r="AR57" i="21"/>
  <c r="AW57" i="21" s="1"/>
  <c r="AQ57" i="21"/>
  <c r="AZ57" i="21" s="1"/>
  <c r="AY57" i="21"/>
  <c r="H64" i="21"/>
  <c r="CE59" i="21"/>
  <c r="CD59" i="21"/>
  <c r="CG59" i="21" s="1"/>
  <c r="U59" i="21"/>
  <c r="V59" i="21"/>
  <c r="I65" i="21"/>
  <c r="BO64" i="21"/>
  <c r="R60" i="21"/>
  <c r="S60" i="21"/>
  <c r="T60" i="21" s="1"/>
  <c r="CA56" i="21"/>
  <c r="BY56" i="21"/>
  <c r="BZ56" i="21" s="1"/>
  <c r="AK56" i="21"/>
  <c r="AM56" i="21" s="1"/>
  <c r="BW56" i="21"/>
  <c r="BX56" i="21" s="1"/>
  <c r="Z56" i="21"/>
  <c r="AH58" i="21"/>
  <c r="AI58" i="21" s="1"/>
  <c r="W58" i="21"/>
  <c r="BD48" i="6"/>
  <c r="BF48" i="6" s="1"/>
  <c r="AC49" i="6"/>
  <c r="AD49" i="6"/>
  <c r="AF49" i="6"/>
  <c r="AE49" i="6"/>
  <c r="AG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O49" i="6"/>
  <c r="AT49" i="6"/>
  <c r="AS48" i="6"/>
  <c r="E51" i="10"/>
  <c r="G52" i="10"/>
  <c r="F51" i="10"/>
  <c r="A60" i="6"/>
  <c r="A61" i="10"/>
  <c r="V60" i="10"/>
  <c r="N62" i="21" l="1"/>
  <c r="O62" i="21" s="1"/>
  <c r="P62" i="21"/>
  <c r="Y65" i="21"/>
  <c r="BM65" i="21"/>
  <c r="Q65" i="21"/>
  <c r="AU65" i="21"/>
  <c r="A66" i="21"/>
  <c r="AR58" i="21"/>
  <c r="AW58" i="21" s="1"/>
  <c r="AQ58" i="21"/>
  <c r="AZ58" i="21" s="1"/>
  <c r="X58" i="21"/>
  <c r="BB58" i="21"/>
  <c r="AJ58" i="21"/>
  <c r="AL58" i="21" s="1"/>
  <c r="AX58" i="21"/>
  <c r="AY58" i="21"/>
  <c r="AH59" i="21"/>
  <c r="AI59" i="21" s="1"/>
  <c r="W59" i="21"/>
  <c r="I66" i="21"/>
  <c r="BO65" i="21"/>
  <c r="CA57" i="21"/>
  <c r="BY57" i="21"/>
  <c r="BZ57" i="21" s="1"/>
  <c r="AK57" i="21"/>
  <c r="AM57" i="21" s="1"/>
  <c r="BW57" i="21"/>
  <c r="BX57" i="21" s="1"/>
  <c r="Z57" i="21"/>
  <c r="F66" i="21"/>
  <c r="CF59" i="21"/>
  <c r="CH59" i="21"/>
  <c r="AO54" i="21"/>
  <c r="J64" i="21"/>
  <c r="AV63" i="21"/>
  <c r="AD63" i="21"/>
  <c r="AC63" i="21"/>
  <c r="BE63" i="21" s="1"/>
  <c r="BN63" i="21"/>
  <c r="BU63" i="21" s="1"/>
  <c r="L63" i="21"/>
  <c r="M63" i="21" s="1"/>
  <c r="AF63" i="21"/>
  <c r="AE63" i="21"/>
  <c r="CC56" i="21"/>
  <c r="CB56" i="21"/>
  <c r="G64" i="21"/>
  <c r="AG63" i="21"/>
  <c r="AS62" i="21"/>
  <c r="AT63" i="21"/>
  <c r="R61" i="21"/>
  <c r="S61" i="21"/>
  <c r="T61" i="21" s="1"/>
  <c r="H65" i="21"/>
  <c r="BD62" i="21"/>
  <c r="BF62" i="21" s="1"/>
  <c r="CE60" i="21"/>
  <c r="CD60" i="21"/>
  <c r="CG60" i="21" s="1"/>
  <c r="U60" i="21"/>
  <c r="V60" i="21"/>
  <c r="BC49" i="6"/>
  <c r="BE49" i="6" s="1"/>
  <c r="BD49" i="6"/>
  <c r="BF49" i="6" s="1"/>
  <c r="AD50" i="6"/>
  <c r="AC50" i="6"/>
  <c r="BE50" i="6" s="1"/>
  <c r="AF50" i="6"/>
  <c r="AE50" i="6"/>
  <c r="AG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O50" i="6"/>
  <c r="AT50" i="6"/>
  <c r="AS49" i="6"/>
  <c r="G53" i="10"/>
  <c r="E52" i="10"/>
  <c r="F52" i="10"/>
  <c r="A61" i="6"/>
  <c r="A62" i="10"/>
  <c r="V61" i="10"/>
  <c r="BD63" i="21" l="1"/>
  <c r="BF63" i="21" s="1"/>
  <c r="N63" i="21"/>
  <c r="O63" i="21" s="1"/>
  <c r="P63" i="21"/>
  <c r="AN56" i="21"/>
  <c r="CE61" i="21"/>
  <c r="CD61" i="21"/>
  <c r="CG61" i="21" s="1"/>
  <c r="U61" i="21"/>
  <c r="V61" i="21"/>
  <c r="Z58" i="21"/>
  <c r="CA58" i="21"/>
  <c r="BY58" i="21"/>
  <c r="BZ58" i="21" s="1"/>
  <c r="AK58" i="21"/>
  <c r="AM58" i="21" s="1"/>
  <c r="BW58" i="21"/>
  <c r="BX58" i="21" s="1"/>
  <c r="H66" i="21"/>
  <c r="J65" i="21"/>
  <c r="AC64" i="21"/>
  <c r="BE64" i="21" s="1"/>
  <c r="AD64" i="21"/>
  <c r="BN64" i="21"/>
  <c r="BU64" i="21" s="1"/>
  <c r="L64" i="21"/>
  <c r="M64" i="21" s="1"/>
  <c r="AV64" i="21"/>
  <c r="AF64" i="21"/>
  <c r="AE64" i="21"/>
  <c r="AH60" i="21"/>
  <c r="AI60" i="21" s="1"/>
  <c r="W60" i="21"/>
  <c r="BM66" i="21"/>
  <c r="Y66" i="21"/>
  <c r="AU66" i="21"/>
  <c r="Q66" i="21"/>
  <c r="A67" i="21"/>
  <c r="R62" i="21"/>
  <c r="S62" i="21"/>
  <c r="T62" i="21" s="1"/>
  <c r="F67" i="21"/>
  <c r="CC57" i="21"/>
  <c r="CB57" i="21"/>
  <c r="I67" i="21"/>
  <c r="BO66" i="21"/>
  <c r="AO55" i="21"/>
  <c r="G65" i="21"/>
  <c r="AG64" i="21"/>
  <c r="AT64" i="21"/>
  <c r="AS63" i="21"/>
  <c r="CH60" i="21"/>
  <c r="CF60" i="21"/>
  <c r="AR59" i="21"/>
  <c r="AW59" i="21" s="1"/>
  <c r="AQ59" i="21"/>
  <c r="AZ59" i="21" s="1"/>
  <c r="X59" i="21"/>
  <c r="AY59" i="21" s="1"/>
  <c r="BB59" i="21"/>
  <c r="AJ59" i="21"/>
  <c r="AL59" i="21" s="1"/>
  <c r="AX59" i="21"/>
  <c r="BD50" i="6"/>
  <c r="BF50" i="6" s="1"/>
  <c r="AD51" i="6"/>
  <c r="AC51" i="6"/>
  <c r="AF51" i="6"/>
  <c r="AE51" i="6"/>
  <c r="AG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O51" i="6"/>
  <c r="AT51" i="6"/>
  <c r="AS50" i="6"/>
  <c r="G54" i="10"/>
  <c r="E53" i="10"/>
  <c r="F53" i="10"/>
  <c r="A62" i="6"/>
  <c r="A63" i="10"/>
  <c r="V62" i="10"/>
  <c r="N64" i="21" l="1"/>
  <c r="O64" i="21" s="1"/>
  <c r="P64" i="21"/>
  <c r="G66" i="21"/>
  <c r="AG65" i="21"/>
  <c r="AS64" i="21"/>
  <c r="AT65" i="21"/>
  <c r="BD64" i="21"/>
  <c r="BF64" i="21" s="1"/>
  <c r="BV56" i="21"/>
  <c r="U62" i="21"/>
  <c r="CD62" i="21"/>
  <c r="CG62" i="21" s="1"/>
  <c r="CE62" i="21"/>
  <c r="V62" i="21"/>
  <c r="AH61" i="21"/>
  <c r="AI61" i="21" s="1"/>
  <c r="W61" i="21"/>
  <c r="CH61" i="21"/>
  <c r="CF61" i="21"/>
  <c r="L65" i="21"/>
  <c r="M65" i="21" s="1"/>
  <c r="J66" i="21"/>
  <c r="AD65" i="21"/>
  <c r="BN65" i="21"/>
  <c r="BU65" i="21" s="1"/>
  <c r="AV65" i="21"/>
  <c r="AC65" i="21"/>
  <c r="BE65" i="21" s="1"/>
  <c r="AE65" i="21"/>
  <c r="AF65" i="21"/>
  <c r="H67" i="21"/>
  <c r="AU67" i="21"/>
  <c r="BM67" i="21"/>
  <c r="Y67" i="21"/>
  <c r="A68" i="21"/>
  <c r="Q67" i="21"/>
  <c r="AN57" i="21"/>
  <c r="R63" i="21"/>
  <c r="S63" i="21"/>
  <c r="T63" i="21" s="1"/>
  <c r="Z59" i="21"/>
  <c r="CA59" i="21"/>
  <c r="AK59" i="21"/>
  <c r="AM59" i="21" s="1"/>
  <c r="BY59" i="21"/>
  <c r="BZ59" i="21" s="1"/>
  <c r="BW59" i="21"/>
  <c r="BX59" i="21" s="1"/>
  <c r="BO67" i="21"/>
  <c r="I68" i="21"/>
  <c r="AO56" i="21"/>
  <c r="AR60" i="21"/>
  <c r="AW60" i="21" s="1"/>
  <c r="AQ60" i="21"/>
  <c r="AZ60" i="21" s="1"/>
  <c r="X60" i="21"/>
  <c r="AY60" i="21" s="1"/>
  <c r="AX60" i="21"/>
  <c r="AJ60" i="21"/>
  <c r="AL60" i="21" s="1"/>
  <c r="BB60" i="21"/>
  <c r="CC58" i="21"/>
  <c r="CB58" i="21"/>
  <c r="F68" i="21"/>
  <c r="BC51" i="6"/>
  <c r="BE51" i="6" s="1"/>
  <c r="BD51" i="6"/>
  <c r="BF51" i="6" s="1"/>
  <c r="AC52" i="6"/>
  <c r="BE52" i="6" s="1"/>
  <c r="AD52" i="6"/>
  <c r="AF52" i="6"/>
  <c r="AE52" i="6"/>
  <c r="AG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O52" i="6"/>
  <c r="AS51" i="6"/>
  <c r="AT52" i="6"/>
  <c r="G55" i="10"/>
  <c r="E54" i="10"/>
  <c r="F54" i="10"/>
  <c r="A63" i="6"/>
  <c r="V63" i="10"/>
  <c r="A64" i="10"/>
  <c r="BD65" i="21" l="1"/>
  <c r="BF65" i="21" s="1"/>
  <c r="N65" i="21"/>
  <c r="O65" i="21" s="1"/>
  <c r="P65" i="21"/>
  <c r="BV57" i="21"/>
  <c r="A69" i="21"/>
  <c r="Q68" i="21"/>
  <c r="AU68" i="21"/>
  <c r="BM68" i="21"/>
  <c r="Y68" i="21"/>
  <c r="AD66" i="21"/>
  <c r="AC66" i="21"/>
  <c r="BE66" i="21" s="1"/>
  <c r="L66" i="21"/>
  <c r="M66" i="21" s="1"/>
  <c r="J67" i="21"/>
  <c r="BN66" i="21"/>
  <c r="BU66" i="21" s="1"/>
  <c r="AV66" i="21"/>
  <c r="AF66" i="21"/>
  <c r="AE66" i="21"/>
  <c r="CC59" i="21"/>
  <c r="CB59" i="21"/>
  <c r="AN58" i="21"/>
  <c r="U63" i="21"/>
  <c r="CE63" i="21"/>
  <c r="CD63" i="21"/>
  <c r="CG63" i="21" s="1"/>
  <c r="V63" i="21"/>
  <c r="AG66" i="21"/>
  <c r="G67" i="21"/>
  <c r="AT66" i="21"/>
  <c r="AS65" i="21"/>
  <c r="Z60" i="21"/>
  <c r="BW60" i="21"/>
  <c r="BX60" i="21" s="1"/>
  <c r="AK60" i="21"/>
  <c r="AM60" i="21" s="1"/>
  <c r="AO58" i="21" s="1"/>
  <c r="CA60" i="21"/>
  <c r="BY60" i="21"/>
  <c r="BZ60" i="21" s="1"/>
  <c r="H68" i="21"/>
  <c r="AX61" i="21"/>
  <c r="AR61" i="21"/>
  <c r="AW61" i="21" s="1"/>
  <c r="AQ61" i="21"/>
  <c r="AZ61" i="21" s="1"/>
  <c r="BB61" i="21"/>
  <c r="AJ61" i="21"/>
  <c r="AL61" i="21" s="1"/>
  <c r="X61" i="21"/>
  <c r="AO57" i="21"/>
  <c r="AH62" i="21"/>
  <c r="AI62" i="21" s="1"/>
  <c r="W62" i="21"/>
  <c r="R64" i="21"/>
  <c r="S64" i="21"/>
  <c r="T64" i="21" s="1"/>
  <c r="F69" i="21"/>
  <c r="CH62" i="21"/>
  <c r="CF62" i="21"/>
  <c r="BO68" i="21"/>
  <c r="I69" i="21"/>
  <c r="BD52" i="6"/>
  <c r="BF52" i="6" s="1"/>
  <c r="AD53" i="6"/>
  <c r="AC53" i="6"/>
  <c r="BE53" i="6" s="1"/>
  <c r="AF53" i="6"/>
  <c r="AE53" i="6"/>
  <c r="AG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O53" i="6"/>
  <c r="AT53" i="6"/>
  <c r="AS52" i="6"/>
  <c r="E55" i="10"/>
  <c r="G56" i="10"/>
  <c r="F55" i="10"/>
  <c r="A64" i="6"/>
  <c r="V64" i="10"/>
  <c r="A65" i="10"/>
  <c r="N66" i="21" l="1"/>
  <c r="O66" i="21" s="1"/>
  <c r="P66" i="21"/>
  <c r="BW61" i="21"/>
  <c r="BX61" i="21" s="1"/>
  <c r="Z61" i="21"/>
  <c r="BY61" i="21"/>
  <c r="BZ61" i="21" s="1"/>
  <c r="AK61" i="21"/>
  <c r="AM61" i="21" s="1"/>
  <c r="CA61" i="21"/>
  <c r="AN59" i="21"/>
  <c r="BV58" i="21"/>
  <c r="A70" i="21"/>
  <c r="Q69" i="21"/>
  <c r="AU69" i="21"/>
  <c r="BM69" i="21"/>
  <c r="Y69" i="21"/>
  <c r="G68" i="21"/>
  <c r="AG67" i="21"/>
  <c r="AS66" i="21"/>
  <c r="AT67" i="21"/>
  <c r="BN67" i="21"/>
  <c r="BU67" i="21" s="1"/>
  <c r="AD67" i="21"/>
  <c r="AC67" i="21"/>
  <c r="BE67" i="21" s="1"/>
  <c r="L67" i="21"/>
  <c r="M67" i="21" s="1"/>
  <c r="AV67" i="21"/>
  <c r="J68" i="21"/>
  <c r="AF67" i="21"/>
  <c r="AE67" i="21"/>
  <c r="F70" i="21"/>
  <c r="H69" i="21"/>
  <c r="AH63" i="21"/>
  <c r="AI63" i="21" s="1"/>
  <c r="W63" i="21"/>
  <c r="BO69" i="21"/>
  <c r="I70" i="21"/>
  <c r="CH63" i="21"/>
  <c r="CF63" i="21"/>
  <c r="BD66" i="21"/>
  <c r="BF66" i="21" s="1"/>
  <c r="AJ62" i="21"/>
  <c r="AL62" i="21" s="1"/>
  <c r="AN60" i="21" s="1"/>
  <c r="AX62" i="21"/>
  <c r="BB62" i="21"/>
  <c r="X62" i="21"/>
  <c r="AY62" i="21" s="1"/>
  <c r="AR62" i="21"/>
  <c r="AW62" i="21" s="1"/>
  <c r="AQ62" i="21"/>
  <c r="AZ62" i="21" s="1"/>
  <c r="CE64" i="21"/>
  <c r="CD64" i="21"/>
  <c r="CG64" i="21" s="1"/>
  <c r="U64" i="21"/>
  <c r="V64" i="21"/>
  <c r="R65" i="21"/>
  <c r="S65" i="21"/>
  <c r="T65" i="21" s="1"/>
  <c r="CC60" i="21"/>
  <c r="CB60" i="21"/>
  <c r="AY61" i="21"/>
  <c r="BD53" i="6"/>
  <c r="BF53" i="6" s="1"/>
  <c r="AC54" i="6"/>
  <c r="BE54" i="6" s="1"/>
  <c r="AD54" i="6"/>
  <c r="G63" i="6"/>
  <c r="AF54" i="6"/>
  <c r="AE54" i="6"/>
  <c r="AG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O54" i="6"/>
  <c r="AS53" i="6"/>
  <c r="AT54" i="6"/>
  <c r="G57" i="10"/>
  <c r="E56" i="10"/>
  <c r="F56" i="10"/>
  <c r="A65" i="6"/>
  <c r="A66" i="10"/>
  <c r="V65" i="10"/>
  <c r="N67" i="21" l="1"/>
  <c r="O67" i="21" s="1"/>
  <c r="P67" i="21"/>
  <c r="CC61" i="21"/>
  <c r="CB61" i="21"/>
  <c r="AG68" i="21"/>
  <c r="G69" i="21"/>
  <c r="AS67" i="21"/>
  <c r="AT68" i="21"/>
  <c r="AH64" i="21"/>
  <c r="AI64" i="21" s="1"/>
  <c r="W64" i="21"/>
  <c r="F71" i="21"/>
  <c r="I71" i="21"/>
  <c r="BO70" i="21"/>
  <c r="AV68" i="21"/>
  <c r="BN68" i="21"/>
  <c r="BU68" i="21" s="1"/>
  <c r="AD68" i="21"/>
  <c r="AC68" i="21"/>
  <c r="BE68" i="21" s="1"/>
  <c r="L68" i="21"/>
  <c r="M68" i="21" s="1"/>
  <c r="J69" i="21"/>
  <c r="AE68" i="21"/>
  <c r="AF68" i="21"/>
  <c r="BB63" i="21"/>
  <c r="AJ63" i="21"/>
  <c r="AL63" i="21" s="1"/>
  <c r="AX63" i="21"/>
  <c r="X63" i="21"/>
  <c r="AR63" i="21"/>
  <c r="AW63" i="21" s="1"/>
  <c r="AQ63" i="21"/>
  <c r="AZ63" i="21" s="1"/>
  <c r="AO59" i="21"/>
  <c r="CH64" i="21"/>
  <c r="CF64" i="21"/>
  <c r="R66" i="21"/>
  <c r="S66" i="21"/>
  <c r="T66" i="21" s="1"/>
  <c r="BY62" i="21"/>
  <c r="BZ62" i="21" s="1"/>
  <c r="AK62" i="21"/>
  <c r="AM62" i="21" s="1"/>
  <c r="BW62" i="21"/>
  <c r="BX62" i="21" s="1"/>
  <c r="CA62" i="21"/>
  <c r="Z62" i="21"/>
  <c r="BD67" i="21"/>
  <c r="BF67" i="21" s="1"/>
  <c r="A71" i="21"/>
  <c r="Q70" i="21"/>
  <c r="AU70" i="21"/>
  <c r="BM70" i="21"/>
  <c r="Y70" i="21"/>
  <c r="CD65" i="21"/>
  <c r="CG65" i="21" s="1"/>
  <c r="U65" i="21"/>
  <c r="CE65" i="21"/>
  <c r="V65" i="21"/>
  <c r="H70" i="21"/>
  <c r="BV59" i="21"/>
  <c r="BD54" i="6"/>
  <c r="BF54" i="6" s="1"/>
  <c r="AC55" i="6"/>
  <c r="BE55" i="6" s="1"/>
  <c r="AD55" i="6"/>
  <c r="AF55" i="6"/>
  <c r="AE55" i="6"/>
  <c r="AG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O55" i="6"/>
  <c r="AS54" i="6"/>
  <c r="AT55" i="6"/>
  <c r="G58" i="10"/>
  <c r="E57" i="10"/>
  <c r="F57" i="10"/>
  <c r="A66" i="6"/>
  <c r="A67" i="10"/>
  <c r="V66" i="10"/>
  <c r="N68" i="21" l="1"/>
  <c r="O68" i="21" s="1"/>
  <c r="P68" i="21"/>
  <c r="AH65" i="21"/>
  <c r="AI65" i="21" s="1"/>
  <c r="W65" i="21"/>
  <c r="I72" i="21"/>
  <c r="BO71" i="21"/>
  <c r="AN61" i="21"/>
  <c r="AO60" i="21"/>
  <c r="G70" i="21"/>
  <c r="AG69" i="21"/>
  <c r="AS68" i="21"/>
  <c r="AT69" i="21"/>
  <c r="CE66" i="21"/>
  <c r="CD66" i="21"/>
  <c r="CG66" i="21" s="1"/>
  <c r="U66" i="21"/>
  <c r="V66" i="21"/>
  <c r="AV69" i="21"/>
  <c r="BN69" i="21"/>
  <c r="BU69" i="21" s="1"/>
  <c r="AD69" i="21"/>
  <c r="AC69" i="21"/>
  <c r="BE69" i="21" s="1"/>
  <c r="J70" i="21"/>
  <c r="L69" i="21"/>
  <c r="M69" i="21" s="1"/>
  <c r="AF69" i="21"/>
  <c r="AE69" i="21"/>
  <c r="CA63" i="21"/>
  <c r="BY63" i="21"/>
  <c r="BZ63" i="21" s="1"/>
  <c r="AK63" i="21"/>
  <c r="AM63" i="21" s="1"/>
  <c r="BW63" i="21"/>
  <c r="BX63" i="21" s="1"/>
  <c r="Z63" i="21"/>
  <c r="R67" i="21"/>
  <c r="S67" i="21"/>
  <c r="T67" i="21" s="1"/>
  <c r="A72" i="21"/>
  <c r="Q71" i="21"/>
  <c r="Y71" i="21"/>
  <c r="BM71" i="21"/>
  <c r="AU71" i="21"/>
  <c r="F72" i="21"/>
  <c r="CF65" i="21"/>
  <c r="CH65" i="21"/>
  <c r="BD68" i="21"/>
  <c r="BF68" i="21" s="1"/>
  <c r="CB62" i="21"/>
  <c r="CC62" i="21"/>
  <c r="H71" i="21"/>
  <c r="AY63" i="21"/>
  <c r="BV60" i="21"/>
  <c r="X64" i="21"/>
  <c r="BB64" i="21"/>
  <c r="AJ64" i="21"/>
  <c r="AL64" i="21" s="1"/>
  <c r="AN62" i="21" s="1"/>
  <c r="AX64" i="21"/>
  <c r="AR64" i="21"/>
  <c r="AW64" i="21" s="1"/>
  <c r="AQ64" i="21"/>
  <c r="AZ64" i="21" s="1"/>
  <c r="AY64" i="21"/>
  <c r="BD55" i="6"/>
  <c r="BF55" i="6" s="1"/>
  <c r="AC56" i="6"/>
  <c r="AD56" i="6"/>
  <c r="G65" i="6"/>
  <c r="AF56" i="6"/>
  <c r="AE56" i="6"/>
  <c r="AG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O56" i="6"/>
  <c r="AT56" i="6"/>
  <c r="AS55" i="6"/>
  <c r="G59" i="10"/>
  <c r="E58" i="10"/>
  <c r="F58" i="10"/>
  <c r="A67" i="6"/>
  <c r="A68" i="10"/>
  <c r="V67" i="10"/>
  <c r="BD69" i="21" l="1"/>
  <c r="BF69" i="21" s="1"/>
  <c r="N69" i="21"/>
  <c r="O69" i="21" s="1"/>
  <c r="P69" i="21"/>
  <c r="AO61" i="21"/>
  <c r="CF66" i="21"/>
  <c r="CH66" i="21"/>
  <c r="AH66" i="21"/>
  <c r="AI66" i="21" s="1"/>
  <c r="W66" i="21"/>
  <c r="I73" i="21"/>
  <c r="BO72" i="21"/>
  <c r="J71" i="21"/>
  <c r="AV70" i="21"/>
  <c r="BN70" i="21"/>
  <c r="BU70" i="21" s="1"/>
  <c r="L70" i="21"/>
  <c r="M70" i="21" s="1"/>
  <c r="AD70" i="21"/>
  <c r="AC70" i="21"/>
  <c r="BE70" i="21" s="1"/>
  <c r="AF70" i="21"/>
  <c r="AE70" i="21"/>
  <c r="AQ65" i="21"/>
  <c r="AZ65" i="21" s="1"/>
  <c r="BB65" i="21"/>
  <c r="AJ65" i="21"/>
  <c r="AL65" i="21" s="1"/>
  <c r="AX65" i="21"/>
  <c r="X65" i="21"/>
  <c r="AR65" i="21"/>
  <c r="AW65" i="21" s="1"/>
  <c r="AY65" i="21"/>
  <c r="H72" i="21"/>
  <c r="Y72" i="21"/>
  <c r="BM72" i="21"/>
  <c r="AU72" i="21"/>
  <c r="Q72" i="21"/>
  <c r="A73" i="21"/>
  <c r="CC63" i="21"/>
  <c r="CB63" i="21"/>
  <c r="G71" i="21"/>
  <c r="AG70" i="21"/>
  <c r="AS69" i="21"/>
  <c r="AT70" i="21"/>
  <c r="R68" i="21"/>
  <c r="S68" i="21"/>
  <c r="T68" i="21" s="1"/>
  <c r="BV61" i="21"/>
  <c r="CA64" i="21"/>
  <c r="AK64" i="21"/>
  <c r="AM64" i="21" s="1"/>
  <c r="BY64" i="21"/>
  <c r="BZ64" i="21" s="1"/>
  <c r="BW64" i="21"/>
  <c r="BX64" i="21" s="1"/>
  <c r="Z64" i="21"/>
  <c r="CE67" i="21"/>
  <c r="CD67" i="21"/>
  <c r="CG67" i="21" s="1"/>
  <c r="U67" i="21"/>
  <c r="V67" i="21"/>
  <c r="F73" i="21"/>
  <c r="BD56" i="6"/>
  <c r="BF56" i="6" s="1"/>
  <c r="BC56" i="6"/>
  <c r="BE56" i="6" s="1"/>
  <c r="AD57" i="6"/>
  <c r="AC57" i="6"/>
  <c r="G66" i="6"/>
  <c r="AF57" i="6"/>
  <c r="AE57" i="6"/>
  <c r="AG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O57" i="6"/>
  <c r="AT57" i="6"/>
  <c r="AS56" i="6"/>
  <c r="E59" i="10"/>
  <c r="G60" i="10"/>
  <c r="F59" i="10"/>
  <c r="A68" i="6"/>
  <c r="V68" i="10"/>
  <c r="A69" i="10"/>
  <c r="N70" i="21" l="1"/>
  <c r="O70" i="21" s="1"/>
  <c r="P70" i="21"/>
  <c r="I74" i="21"/>
  <c r="BO73" i="21"/>
  <c r="AN63" i="21"/>
  <c r="AN64" i="21"/>
  <c r="AH67" i="21"/>
  <c r="AI67" i="21" s="1"/>
  <c r="W67" i="21"/>
  <c r="CE68" i="21"/>
  <c r="CD68" i="21"/>
  <c r="CG68" i="21" s="1"/>
  <c r="U68" i="21"/>
  <c r="V68" i="21"/>
  <c r="AR66" i="21"/>
  <c r="AW66" i="21" s="1"/>
  <c r="AQ66" i="21"/>
  <c r="AZ66" i="21" s="1"/>
  <c r="X66" i="21"/>
  <c r="AY66" i="21" s="1"/>
  <c r="BB66" i="21"/>
  <c r="AX66" i="21"/>
  <c r="AJ66" i="21"/>
  <c r="AL66" i="21" s="1"/>
  <c r="CH67" i="21"/>
  <c r="CF67" i="21"/>
  <c r="BD70" i="21"/>
  <c r="BF70" i="21" s="1"/>
  <c r="AO62" i="21"/>
  <c r="H73" i="21"/>
  <c r="BV62" i="21"/>
  <c r="R69" i="21"/>
  <c r="S69" i="21"/>
  <c r="T69" i="21" s="1"/>
  <c r="G72" i="21"/>
  <c r="AG71" i="21"/>
  <c r="AS70" i="21"/>
  <c r="AT71" i="21"/>
  <c r="CB64" i="21"/>
  <c r="CC64" i="21"/>
  <c r="J72" i="21"/>
  <c r="AV71" i="21"/>
  <c r="L71" i="21"/>
  <c r="M71" i="21" s="1"/>
  <c r="AD71" i="21"/>
  <c r="AC71" i="21"/>
  <c r="BE71" i="21" s="1"/>
  <c r="BN71" i="21"/>
  <c r="BU71" i="21" s="1"/>
  <c r="AF71" i="21"/>
  <c r="AE71" i="21"/>
  <c r="F74" i="21"/>
  <c r="BM73" i="21"/>
  <c r="Y73" i="21"/>
  <c r="AU73" i="21"/>
  <c r="A74" i="21"/>
  <c r="Q73" i="21"/>
  <c r="Z65" i="21"/>
  <c r="CA65" i="21"/>
  <c r="BY65" i="21"/>
  <c r="BZ65" i="21" s="1"/>
  <c r="AK65" i="21"/>
  <c r="AM65" i="21" s="1"/>
  <c r="BW65" i="21"/>
  <c r="BX65" i="21" s="1"/>
  <c r="BC57" i="6"/>
  <c r="BE57" i="6" s="1"/>
  <c r="BD57" i="6"/>
  <c r="BF57" i="6" s="1"/>
  <c r="AD58" i="6"/>
  <c r="AC58" i="6"/>
  <c r="BE58" i="6" s="1"/>
  <c r="AF58" i="6"/>
  <c r="AE58" i="6"/>
  <c r="AG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O58" i="6"/>
  <c r="AT58" i="6"/>
  <c r="AS57" i="6"/>
  <c r="G61" i="10"/>
  <c r="E60" i="10"/>
  <c r="F60" i="10"/>
  <c r="A69" i="6"/>
  <c r="V69" i="10"/>
  <c r="A70" i="10"/>
  <c r="N71" i="21" l="1"/>
  <c r="O71" i="21" s="1"/>
  <c r="P71" i="21"/>
  <c r="AR67" i="21"/>
  <c r="AW67" i="21" s="1"/>
  <c r="AQ67" i="21"/>
  <c r="AZ67" i="21" s="1"/>
  <c r="X67" i="21"/>
  <c r="BB67" i="21"/>
  <c r="AJ67" i="21"/>
  <c r="AL67" i="21" s="1"/>
  <c r="AX67" i="21"/>
  <c r="AY67" i="21"/>
  <c r="G73" i="21"/>
  <c r="AG72" i="21"/>
  <c r="AT72" i="21"/>
  <c r="AS71" i="21"/>
  <c r="BV63" i="21"/>
  <c r="Z66" i="21"/>
  <c r="CA66" i="21"/>
  <c r="BY66" i="21"/>
  <c r="BZ66" i="21" s="1"/>
  <c r="AK66" i="21"/>
  <c r="AM66" i="21" s="1"/>
  <c r="BW66" i="21"/>
  <c r="BX66" i="21" s="1"/>
  <c r="CE69" i="21"/>
  <c r="U69" i="21"/>
  <c r="CD69" i="21"/>
  <c r="CG69" i="21" s="1"/>
  <c r="V69" i="21"/>
  <c r="AU74" i="21"/>
  <c r="BM74" i="21"/>
  <c r="Y74" i="21"/>
  <c r="A75" i="21"/>
  <c r="Q74" i="21"/>
  <c r="BD71" i="21"/>
  <c r="BF71" i="21" s="1"/>
  <c r="AH68" i="21"/>
  <c r="AI68" i="21" s="1"/>
  <c r="W68" i="21"/>
  <c r="BO74" i="21"/>
  <c r="I75" i="21"/>
  <c r="L72" i="21"/>
  <c r="M72" i="21" s="1"/>
  <c r="J73" i="21"/>
  <c r="AD72" i="21"/>
  <c r="AC72" i="21"/>
  <c r="BE72" i="21" s="1"/>
  <c r="BN72" i="21"/>
  <c r="BU72" i="21" s="1"/>
  <c r="AV72" i="21"/>
  <c r="AE72" i="21"/>
  <c r="AF72" i="21"/>
  <c r="R70" i="21"/>
  <c r="S70" i="21"/>
  <c r="T70" i="21" s="1"/>
  <c r="CC65" i="21"/>
  <c r="CB65" i="21"/>
  <c r="F75" i="21"/>
  <c r="CH68" i="21"/>
  <c r="CF68" i="21"/>
  <c r="H74" i="21"/>
  <c r="AO63" i="21"/>
  <c r="AO64" i="21"/>
  <c r="BD58" i="6"/>
  <c r="BF58" i="6" s="1"/>
  <c r="AD59" i="6"/>
  <c r="AC59" i="6"/>
  <c r="BE59" i="6" s="1"/>
  <c r="AF59" i="6"/>
  <c r="AE59" i="6"/>
  <c r="AG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O59" i="6"/>
  <c r="AT59" i="6"/>
  <c r="AS58" i="6"/>
  <c r="G62" i="10"/>
  <c r="E61" i="10"/>
  <c r="F61" i="10"/>
  <c r="A70" i="6"/>
  <c r="V70" i="10"/>
  <c r="A71" i="10"/>
  <c r="BD72" i="21" l="1"/>
  <c r="BF72" i="21" s="1"/>
  <c r="N72" i="21"/>
  <c r="O72" i="21" s="1"/>
  <c r="P72" i="21"/>
  <c r="Q75" i="21"/>
  <c r="A76" i="21"/>
  <c r="Y75" i="21"/>
  <c r="BM75" i="21"/>
  <c r="I76" i="21"/>
  <c r="BO75" i="21"/>
  <c r="CC66" i="21"/>
  <c r="CB66" i="21"/>
  <c r="Z67" i="21"/>
  <c r="CA67" i="21"/>
  <c r="AK67" i="21"/>
  <c r="AM67" i="21" s="1"/>
  <c r="BY67" i="21"/>
  <c r="BZ67" i="21" s="1"/>
  <c r="BW67" i="21"/>
  <c r="BX67" i="21" s="1"/>
  <c r="AR68" i="21"/>
  <c r="AW68" i="21" s="1"/>
  <c r="AQ68" i="21"/>
  <c r="AZ68" i="21" s="1"/>
  <c r="AJ68" i="21"/>
  <c r="AL68" i="21" s="1"/>
  <c r="AX68" i="21"/>
  <c r="X68" i="21"/>
  <c r="AY68" i="21" s="1"/>
  <c r="BB68" i="21"/>
  <c r="AH69" i="21"/>
  <c r="AI69" i="21" s="1"/>
  <c r="W69" i="21"/>
  <c r="BV64" i="21"/>
  <c r="AD73" i="21"/>
  <c r="BD73" i="21" s="1"/>
  <c r="BF73" i="21" s="1"/>
  <c r="AC73" i="21"/>
  <c r="BE73" i="21" s="1"/>
  <c r="L73" i="21"/>
  <c r="M73" i="21" s="1"/>
  <c r="J74" i="21"/>
  <c r="BN73" i="21"/>
  <c r="BU73" i="21" s="1"/>
  <c r="AV73" i="21"/>
  <c r="AF73" i="21"/>
  <c r="AE73" i="21"/>
  <c r="R71" i="21"/>
  <c r="S71" i="21"/>
  <c r="T71" i="21" s="1"/>
  <c r="H75" i="21"/>
  <c r="G74" i="21"/>
  <c r="AG73" i="21"/>
  <c r="AS72" i="21"/>
  <c r="AT73" i="21"/>
  <c r="U70" i="21"/>
  <c r="CD70" i="21"/>
  <c r="CG70" i="21" s="1"/>
  <c r="CE70" i="21"/>
  <c r="V70" i="21"/>
  <c r="AN65" i="21"/>
  <c r="CH69" i="21"/>
  <c r="CF69" i="21"/>
  <c r="F76" i="21"/>
  <c r="BD59" i="6"/>
  <c r="BF59" i="6" s="1"/>
  <c r="AD60" i="6"/>
  <c r="AC60" i="6"/>
  <c r="BE60" i="6" s="1"/>
  <c r="AF60" i="6"/>
  <c r="AE60" i="6"/>
  <c r="AG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O60" i="6"/>
  <c r="AT60" i="6"/>
  <c r="AS59" i="6"/>
  <c r="G63" i="10"/>
  <c r="E62" i="10"/>
  <c r="F62" i="10"/>
  <c r="A71" i="6"/>
  <c r="A72" i="10"/>
  <c r="V71" i="10"/>
  <c r="N73" i="21" l="1"/>
  <c r="O73" i="21" s="1"/>
  <c r="P73" i="21"/>
  <c r="AG74" i="21"/>
  <c r="G75" i="21"/>
  <c r="AS73" i="21"/>
  <c r="AT74" i="21"/>
  <c r="AO65" i="21"/>
  <c r="A77" i="21"/>
  <c r="Y76" i="21"/>
  <c r="BM76" i="21"/>
  <c r="Q76" i="21"/>
  <c r="U71" i="21"/>
  <c r="CD71" i="21"/>
  <c r="CG71" i="21" s="1"/>
  <c r="CE71" i="21"/>
  <c r="V71" i="21"/>
  <c r="H76" i="21"/>
  <c r="CC67" i="21"/>
  <c r="CB67" i="21"/>
  <c r="AH70" i="21"/>
  <c r="AI70" i="21" s="1"/>
  <c r="W70" i="21"/>
  <c r="Z68" i="21"/>
  <c r="AK68" i="21"/>
  <c r="AM68" i="21" s="1"/>
  <c r="CA68" i="21"/>
  <c r="BY68" i="21"/>
  <c r="BZ68" i="21" s="1"/>
  <c r="BW68" i="21"/>
  <c r="BX68" i="21" s="1"/>
  <c r="CH70" i="21"/>
  <c r="CF70" i="21"/>
  <c r="BV65" i="21"/>
  <c r="AN66" i="21"/>
  <c r="AJ69" i="21"/>
  <c r="AL69" i="21" s="1"/>
  <c r="AX69" i="21"/>
  <c r="AR69" i="21"/>
  <c r="AW69" i="21" s="1"/>
  <c r="BB69" i="21"/>
  <c r="AQ69" i="21"/>
  <c r="AZ69" i="21" s="1"/>
  <c r="X69" i="21"/>
  <c r="BN74" i="21"/>
  <c r="BU74" i="21" s="1"/>
  <c r="AD74" i="21"/>
  <c r="BD74" i="21" s="1"/>
  <c r="BF74" i="21" s="1"/>
  <c r="AC74" i="21"/>
  <c r="BE74" i="21" s="1"/>
  <c r="L74" i="21"/>
  <c r="M74" i="21" s="1"/>
  <c r="AV74" i="21"/>
  <c r="J75" i="21"/>
  <c r="AE74" i="21"/>
  <c r="AF74" i="21"/>
  <c r="R72" i="21"/>
  <c r="S72" i="21"/>
  <c r="T72" i="21" s="1"/>
  <c r="F77" i="21"/>
  <c r="BO76" i="21"/>
  <c r="I77" i="21"/>
  <c r="BD60" i="6"/>
  <c r="BF60" i="6" s="1"/>
  <c r="AC61" i="6"/>
  <c r="BE61" i="6" s="1"/>
  <c r="AD61" i="6"/>
  <c r="AF61" i="6"/>
  <c r="AE61" i="6"/>
  <c r="AG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O61" i="6"/>
  <c r="AT61" i="6"/>
  <c r="AS60" i="6"/>
  <c r="E63" i="10"/>
  <c r="G64" i="10"/>
  <c r="F63" i="10"/>
  <c r="A72" i="6"/>
  <c r="A73" i="10"/>
  <c r="V72" i="10"/>
  <c r="N74" i="21" l="1"/>
  <c r="O74" i="21" s="1"/>
  <c r="P74" i="21"/>
  <c r="H77" i="21"/>
  <c r="Q77" i="21"/>
  <c r="BM77" i="21"/>
  <c r="A78" i="21"/>
  <c r="Y77" i="21"/>
  <c r="BW69" i="21"/>
  <c r="BX69" i="21" s="1"/>
  <c r="BY69" i="21"/>
  <c r="BZ69" i="21" s="1"/>
  <c r="AK69" i="21"/>
  <c r="AM69" i="21" s="1"/>
  <c r="Z69" i="21"/>
  <c r="CA69" i="21"/>
  <c r="BV66" i="21"/>
  <c r="CC68" i="21"/>
  <c r="CB68" i="21"/>
  <c r="AO66" i="21"/>
  <c r="AG75" i="21"/>
  <c r="G76" i="21"/>
  <c r="AS74" i="21"/>
  <c r="AJ70" i="21"/>
  <c r="AL70" i="21" s="1"/>
  <c r="AN68" i="21" s="1"/>
  <c r="AX70" i="21"/>
  <c r="X70" i="21"/>
  <c r="BB70" i="21"/>
  <c r="AR70" i="21"/>
  <c r="AW70" i="21" s="1"/>
  <c r="AQ70" i="21"/>
  <c r="AZ70" i="21" s="1"/>
  <c r="AY70" i="21"/>
  <c r="F78" i="21"/>
  <c r="AN67" i="21"/>
  <c r="R73" i="21"/>
  <c r="S73" i="21"/>
  <c r="T73" i="21" s="1"/>
  <c r="CH71" i="21"/>
  <c r="CF71" i="21"/>
  <c r="AY69" i="21"/>
  <c r="AH71" i="21"/>
  <c r="AI71" i="21" s="1"/>
  <c r="W71" i="21"/>
  <c r="CD72" i="21"/>
  <c r="CG72" i="21" s="1"/>
  <c r="U72" i="21"/>
  <c r="CE72" i="21"/>
  <c r="V72" i="21"/>
  <c r="I78" i="21"/>
  <c r="BO77" i="21"/>
  <c r="J76" i="21"/>
  <c r="AD75" i="21"/>
  <c r="BD75" i="21" s="1"/>
  <c r="BF75" i="21" s="1"/>
  <c r="AC75" i="21"/>
  <c r="BE75" i="21" s="1"/>
  <c r="L75" i="21"/>
  <c r="M75" i="21" s="1"/>
  <c r="BN75" i="21"/>
  <c r="BU75" i="21" s="1"/>
  <c r="AE75" i="21"/>
  <c r="AF75" i="21"/>
  <c r="BD61" i="6"/>
  <c r="BF61" i="6" s="1"/>
  <c r="AD62" i="6"/>
  <c r="AC62" i="6"/>
  <c r="BE62" i="6" s="1"/>
  <c r="AF62" i="6"/>
  <c r="AE62" i="6"/>
  <c r="AG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O62" i="6"/>
  <c r="AS61" i="6"/>
  <c r="AT62" i="6"/>
  <c r="E64" i="10"/>
  <c r="G65" i="10"/>
  <c r="F64" i="10"/>
  <c r="A73" i="6"/>
  <c r="V73" i="10"/>
  <c r="A74" i="10"/>
  <c r="N75" i="21" l="1"/>
  <c r="O75" i="21" s="1"/>
  <c r="P75" i="21"/>
  <c r="X71" i="21"/>
  <c r="BB71" i="21"/>
  <c r="AJ71" i="21"/>
  <c r="AL71" i="21" s="1"/>
  <c r="AX71" i="21"/>
  <c r="AQ71" i="21"/>
  <c r="AZ71" i="21" s="1"/>
  <c r="AR71" i="21"/>
  <c r="AW71" i="21" s="1"/>
  <c r="AY71" i="21"/>
  <c r="BV67" i="21"/>
  <c r="L76" i="21"/>
  <c r="M76" i="21" s="1"/>
  <c r="BN76" i="21"/>
  <c r="BU76" i="21" s="1"/>
  <c r="AD76" i="21"/>
  <c r="AC76" i="21"/>
  <c r="BE76" i="21" s="1"/>
  <c r="J77" i="21"/>
  <c r="AE76" i="21"/>
  <c r="AF76" i="21"/>
  <c r="BY70" i="21"/>
  <c r="BZ70" i="21" s="1"/>
  <c r="AK70" i="21"/>
  <c r="AM70" i="21" s="1"/>
  <c r="BW70" i="21"/>
  <c r="BX70" i="21" s="1"/>
  <c r="CA70" i="21"/>
  <c r="Z70" i="21"/>
  <c r="CC69" i="21"/>
  <c r="CB69" i="21"/>
  <c r="H78" i="21"/>
  <c r="AO67" i="21"/>
  <c r="G77" i="21"/>
  <c r="AG76" i="21"/>
  <c r="CE73" i="21"/>
  <c r="CD73" i="21"/>
  <c r="CG73" i="21" s="1"/>
  <c r="U73" i="21"/>
  <c r="V73" i="21"/>
  <c r="AH72" i="21"/>
  <c r="AI72" i="21" s="1"/>
  <c r="W72" i="21"/>
  <c r="R74" i="21"/>
  <c r="S74" i="21"/>
  <c r="T74" i="21" s="1"/>
  <c r="CF72" i="21"/>
  <c r="CH72" i="21"/>
  <c r="BO78" i="21"/>
  <c r="I79" i="21"/>
  <c r="F79" i="21"/>
  <c r="A79" i="21"/>
  <c r="Y78" i="21"/>
  <c r="BM78" i="21"/>
  <c r="Q78" i="21"/>
  <c r="BD62" i="6"/>
  <c r="BF62" i="6" s="1"/>
  <c r="AC63" i="6"/>
  <c r="BE63" i="6" s="1"/>
  <c r="AD63" i="6"/>
  <c r="AF63" i="6"/>
  <c r="AE63" i="6"/>
  <c r="AG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O63" i="6"/>
  <c r="AS62" i="6"/>
  <c r="AT63" i="6"/>
  <c r="G66" i="10"/>
  <c r="E65" i="10"/>
  <c r="F65" i="10"/>
  <c r="A74" i="6"/>
  <c r="A75" i="10"/>
  <c r="V74" i="10"/>
  <c r="N76" i="21" l="1"/>
  <c r="O76" i="21" s="1"/>
  <c r="P76" i="21"/>
  <c r="F80" i="21"/>
  <c r="AO68" i="21"/>
  <c r="I80" i="21"/>
  <c r="BO79" i="21"/>
  <c r="CA71" i="21"/>
  <c r="BY71" i="21"/>
  <c r="BZ71" i="21" s="1"/>
  <c r="AK71" i="21"/>
  <c r="AM71" i="21" s="1"/>
  <c r="AO69" i="21" s="1"/>
  <c r="BW71" i="21"/>
  <c r="BX71" i="21" s="1"/>
  <c r="Z71" i="21"/>
  <c r="CB70" i="21"/>
  <c r="CC70" i="21"/>
  <c r="CE74" i="21"/>
  <c r="CD74" i="21"/>
  <c r="CG74" i="21" s="1"/>
  <c r="U74" i="21"/>
  <c r="V74" i="21"/>
  <c r="R75" i="21"/>
  <c r="S75" i="21"/>
  <c r="T75" i="21" s="1"/>
  <c r="CF73" i="21"/>
  <c r="CH73" i="21"/>
  <c r="AG77" i="21"/>
  <c r="G78" i="21"/>
  <c r="BV68" i="21"/>
  <c r="AN69" i="21"/>
  <c r="BM79" i="21"/>
  <c r="Q79" i="21"/>
  <c r="Y79" i="21"/>
  <c r="A80" i="21"/>
  <c r="J78" i="21"/>
  <c r="AD77" i="21"/>
  <c r="AC77" i="21"/>
  <c r="BE77" i="21" s="1"/>
  <c r="BN77" i="21"/>
  <c r="BU77" i="21" s="1"/>
  <c r="L77" i="21"/>
  <c r="M77" i="21" s="1"/>
  <c r="AE77" i="21"/>
  <c r="AF77" i="21"/>
  <c r="AQ72" i="21"/>
  <c r="AZ72" i="21" s="1"/>
  <c r="X72" i="21"/>
  <c r="BB72" i="21"/>
  <c r="AJ72" i="21"/>
  <c r="AL72" i="21" s="1"/>
  <c r="AX72" i="21"/>
  <c r="AR72" i="21"/>
  <c r="AW72" i="21" s="1"/>
  <c r="AY72" i="21"/>
  <c r="BD76" i="21"/>
  <c r="BF76" i="21" s="1"/>
  <c r="H79" i="21"/>
  <c r="AH73" i="21"/>
  <c r="AI73" i="21" s="1"/>
  <c r="W73" i="21"/>
  <c r="BD63" i="6"/>
  <c r="BF63" i="6" s="1"/>
  <c r="AD64" i="6"/>
  <c r="AC64" i="6"/>
  <c r="BC64" i="6" s="1"/>
  <c r="BE64" i="6" s="1"/>
  <c r="G73" i="6"/>
  <c r="AE64" i="6"/>
  <c r="AF64" i="6"/>
  <c r="AG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O64" i="6"/>
  <c r="AT64" i="6"/>
  <c r="AS63" i="6"/>
  <c r="G67" i="10"/>
  <c r="E66" i="10"/>
  <c r="F66" i="10"/>
  <c r="A75" i="6"/>
  <c r="A76" i="10"/>
  <c r="V75" i="10"/>
  <c r="BD77" i="21" l="1"/>
  <c r="BF77" i="21" s="1"/>
  <c r="N77" i="21"/>
  <c r="O77" i="21" s="1"/>
  <c r="P77" i="21"/>
  <c r="AN70" i="21"/>
  <c r="H80" i="21"/>
  <c r="AD78" i="21"/>
  <c r="AC78" i="21"/>
  <c r="BE78" i="21" s="1"/>
  <c r="L78" i="21"/>
  <c r="M78" i="21" s="1"/>
  <c r="BN78" i="21"/>
  <c r="BU78" i="21" s="1"/>
  <c r="J79" i="21"/>
  <c r="AF78" i="21"/>
  <c r="AE78" i="21"/>
  <c r="BV69" i="21"/>
  <c r="F81" i="21"/>
  <c r="I81" i="21"/>
  <c r="BO80" i="21"/>
  <c r="Z72" i="21"/>
  <c r="CA72" i="21"/>
  <c r="BY72" i="21"/>
  <c r="BZ72" i="21" s="1"/>
  <c r="AK72" i="21"/>
  <c r="AM72" i="21" s="1"/>
  <c r="BW72" i="21"/>
  <c r="BX72" i="21" s="1"/>
  <c r="A81" i="21"/>
  <c r="Y80" i="21"/>
  <c r="Q80" i="21"/>
  <c r="BM80" i="21"/>
  <c r="R76" i="21"/>
  <c r="S76" i="21"/>
  <c r="T76" i="21" s="1"/>
  <c r="AH74" i="21"/>
  <c r="AI74" i="21" s="1"/>
  <c r="W74" i="21"/>
  <c r="CH74" i="21"/>
  <c r="CF74" i="21"/>
  <c r="CB71" i="21"/>
  <c r="CC71" i="21"/>
  <c r="G79" i="21"/>
  <c r="AG78" i="21"/>
  <c r="AR73" i="21"/>
  <c r="AW73" i="21" s="1"/>
  <c r="AQ73" i="21"/>
  <c r="AZ73" i="21" s="1"/>
  <c r="X73" i="21"/>
  <c r="BB73" i="21"/>
  <c r="AX73" i="21"/>
  <c r="AJ73" i="21"/>
  <c r="AL73" i="21" s="1"/>
  <c r="AY73" i="21"/>
  <c r="AN71" i="21"/>
  <c r="CD75" i="21"/>
  <c r="CG75" i="21" s="1"/>
  <c r="U75" i="21"/>
  <c r="CE75" i="21"/>
  <c r="V75" i="21"/>
  <c r="BD64" i="6"/>
  <c r="BF64" i="6" s="1"/>
  <c r="AD65" i="6"/>
  <c r="AC65" i="6"/>
  <c r="BE65" i="6" s="1"/>
  <c r="AF65" i="6"/>
  <c r="AE65" i="6"/>
  <c r="AG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O65" i="6"/>
  <c r="G68" i="10"/>
  <c r="E67" i="10"/>
  <c r="F67" i="10"/>
  <c r="A76" i="6"/>
  <c r="A77" i="10"/>
  <c r="V76" i="10"/>
  <c r="N78" i="21" l="1"/>
  <c r="O78" i="21" s="1"/>
  <c r="P78" i="21"/>
  <c r="BV70" i="21"/>
  <c r="J80" i="21"/>
  <c r="BN79" i="21"/>
  <c r="BU79" i="21" s="1"/>
  <c r="AC79" i="21"/>
  <c r="BE79" i="21" s="1"/>
  <c r="L79" i="21"/>
  <c r="M79" i="21" s="1"/>
  <c r="AD79" i="21"/>
  <c r="AE79" i="21"/>
  <c r="AF79" i="21"/>
  <c r="AG79" i="21"/>
  <c r="G80" i="21"/>
  <c r="H81" i="21"/>
  <c r="CH75" i="21"/>
  <c r="CF75" i="21"/>
  <c r="BD78" i="21"/>
  <c r="BF78" i="21" s="1"/>
  <c r="A82" i="21"/>
  <c r="BM81" i="21"/>
  <c r="Q81" i="21"/>
  <c r="Y81" i="21"/>
  <c r="F82" i="21"/>
  <c r="AH75" i="21"/>
  <c r="AI75" i="21" s="1"/>
  <c r="W75" i="21"/>
  <c r="BO81" i="21"/>
  <c r="I82" i="21"/>
  <c r="R77" i="21"/>
  <c r="S77" i="21"/>
  <c r="T77" i="21" s="1"/>
  <c r="Z73" i="21"/>
  <c r="CA73" i="21"/>
  <c r="BY73" i="21"/>
  <c r="BZ73" i="21" s="1"/>
  <c r="AK73" i="21"/>
  <c r="AM73" i="21" s="1"/>
  <c r="BW73" i="21"/>
  <c r="BX73" i="21" s="1"/>
  <c r="AR74" i="21"/>
  <c r="AW74" i="21" s="1"/>
  <c r="AQ74" i="21"/>
  <c r="AZ74" i="21" s="1"/>
  <c r="X74" i="21"/>
  <c r="BB74" i="21"/>
  <c r="AX74" i="21"/>
  <c r="AJ74" i="21"/>
  <c r="AL74" i="21" s="1"/>
  <c r="AY74" i="21"/>
  <c r="AO70" i="21"/>
  <c r="CE76" i="21"/>
  <c r="U76" i="21"/>
  <c r="CD76" i="21"/>
  <c r="CG76" i="21" s="1"/>
  <c r="V76" i="21"/>
  <c r="CC72" i="21"/>
  <c r="CB72" i="21"/>
  <c r="BD65" i="6"/>
  <c r="BF65" i="6" s="1"/>
  <c r="AC66" i="6"/>
  <c r="BE66" i="6" s="1"/>
  <c r="AD66" i="6"/>
  <c r="AF66" i="6"/>
  <c r="AE66" i="6"/>
  <c r="AG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O66" i="6"/>
  <c r="AT65" i="6"/>
  <c r="AS64" i="6"/>
  <c r="E68" i="10"/>
  <c r="G69" i="10"/>
  <c r="F68" i="10"/>
  <c r="A77" i="6"/>
  <c r="V77" i="10"/>
  <c r="A78" i="10"/>
  <c r="BD79" i="21" l="1"/>
  <c r="BF79" i="21" s="1"/>
  <c r="N79" i="21"/>
  <c r="O79" i="21" s="1"/>
  <c r="P79" i="21"/>
  <c r="AN72" i="21"/>
  <c r="AH76" i="21"/>
  <c r="AI76" i="21" s="1"/>
  <c r="W76" i="21"/>
  <c r="I83" i="21"/>
  <c r="BO82" i="21"/>
  <c r="BV71" i="21"/>
  <c r="BB75" i="21"/>
  <c r="AX75" i="21"/>
  <c r="AQ75" i="21"/>
  <c r="AZ75" i="21" s="1"/>
  <c r="AJ75" i="21"/>
  <c r="AL75" i="21" s="1"/>
  <c r="X75" i="21"/>
  <c r="AY75" i="21" s="1"/>
  <c r="Q82" i="21"/>
  <c r="A83" i="21"/>
  <c r="BM82" i="21"/>
  <c r="Y82" i="21"/>
  <c r="J81" i="21"/>
  <c r="AD80" i="21"/>
  <c r="AC80" i="21"/>
  <c r="BE80" i="21" s="1"/>
  <c r="L80" i="21"/>
  <c r="M80" i="21" s="1"/>
  <c r="BN80" i="21"/>
  <c r="BU80" i="21" s="1"/>
  <c r="AF80" i="21"/>
  <c r="AE80" i="21"/>
  <c r="Z74" i="21"/>
  <c r="CA74" i="21"/>
  <c r="BW74" i="21"/>
  <c r="BX74" i="21" s="1"/>
  <c r="AK74" i="21"/>
  <c r="AM74" i="21" s="1"/>
  <c r="BY74" i="21"/>
  <c r="BZ74" i="21" s="1"/>
  <c r="CH76" i="21"/>
  <c r="CF76" i="21"/>
  <c r="AO71" i="21"/>
  <c r="R78" i="21"/>
  <c r="S78" i="21"/>
  <c r="T78" i="21" s="1"/>
  <c r="CD77" i="21"/>
  <c r="CG77" i="21" s="1"/>
  <c r="CE77" i="21"/>
  <c r="U77" i="21"/>
  <c r="V77" i="21"/>
  <c r="H82" i="21"/>
  <c r="CC73" i="21"/>
  <c r="CB73" i="21"/>
  <c r="F83" i="21"/>
  <c r="G81" i="21"/>
  <c r="AG80" i="21"/>
  <c r="BD66" i="6"/>
  <c r="BF66" i="6" s="1"/>
  <c r="AC67" i="6"/>
  <c r="BE67" i="6" s="1"/>
  <c r="AD67" i="6"/>
  <c r="AF67" i="6"/>
  <c r="AE67" i="6"/>
  <c r="AG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O67" i="6"/>
  <c r="AT66" i="6"/>
  <c r="AS65" i="6"/>
  <c r="G70" i="10"/>
  <c r="E69" i="10"/>
  <c r="F69" i="10"/>
  <c r="A78" i="6"/>
  <c r="A79" i="10"/>
  <c r="V78" i="10"/>
  <c r="N80" i="21" l="1"/>
  <c r="O80" i="21" s="1"/>
  <c r="P80" i="21"/>
  <c r="BN81" i="21"/>
  <c r="BU81" i="21" s="1"/>
  <c r="L81" i="21"/>
  <c r="M81" i="21" s="1"/>
  <c r="AD81" i="21"/>
  <c r="AC81" i="21"/>
  <c r="BE81" i="21" s="1"/>
  <c r="J82" i="21"/>
  <c r="AF81" i="21"/>
  <c r="AE81" i="21"/>
  <c r="AH77" i="21"/>
  <c r="AI77" i="21" s="1"/>
  <c r="W77" i="21"/>
  <c r="CE78" i="21"/>
  <c r="U78" i="21"/>
  <c r="CD78" i="21"/>
  <c r="CG78" i="21" s="1"/>
  <c r="V78" i="21"/>
  <c r="I84" i="21"/>
  <c r="BO83" i="21"/>
  <c r="AQ76" i="21"/>
  <c r="AZ76" i="21" s="1"/>
  <c r="X76" i="21"/>
  <c r="AY76" i="21" s="1"/>
  <c r="AJ76" i="21"/>
  <c r="AL76" i="21" s="1"/>
  <c r="AX76" i="21"/>
  <c r="BB76" i="21"/>
  <c r="CF77" i="21"/>
  <c r="CH77" i="21"/>
  <c r="Q83" i="21"/>
  <c r="Y83" i="21"/>
  <c r="A84" i="21"/>
  <c r="BM83" i="21"/>
  <c r="AO72" i="21"/>
  <c r="R79" i="21"/>
  <c r="S79" i="21"/>
  <c r="T79" i="21" s="1"/>
  <c r="F84" i="21"/>
  <c r="H83" i="21"/>
  <c r="AN73" i="21"/>
  <c r="G82" i="21"/>
  <c r="AG81" i="21"/>
  <c r="CC74" i="21"/>
  <c r="CB74" i="21"/>
  <c r="BV72" i="21"/>
  <c r="CA75" i="21"/>
  <c r="BY75" i="21"/>
  <c r="BZ75" i="21" s="1"/>
  <c r="BW75" i="21"/>
  <c r="BX75" i="21" s="1"/>
  <c r="Z75" i="21"/>
  <c r="AK75" i="21"/>
  <c r="AM75" i="21" s="1"/>
  <c r="AO73" i="21" s="1"/>
  <c r="BD80" i="21"/>
  <c r="BF80" i="21" s="1"/>
  <c r="BD67" i="6"/>
  <c r="BF67" i="6" s="1"/>
  <c r="AC68" i="6"/>
  <c r="BE68" i="6" s="1"/>
  <c r="AD68" i="6"/>
  <c r="AF68" i="6"/>
  <c r="AE68" i="6"/>
  <c r="AG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O68" i="6"/>
  <c r="AS66" i="6"/>
  <c r="AT67" i="6"/>
  <c r="E70" i="10"/>
  <c r="G71" i="10"/>
  <c r="F70" i="10"/>
  <c r="A79" i="6"/>
  <c r="A80" i="10"/>
  <c r="V79" i="10"/>
  <c r="N81" i="21" l="1"/>
  <c r="O81" i="21" s="1"/>
  <c r="P81" i="21"/>
  <c r="CH78" i="21"/>
  <c r="CF78" i="21"/>
  <c r="AJ77" i="21"/>
  <c r="AL77" i="21" s="1"/>
  <c r="BB77" i="21"/>
  <c r="AX77" i="21"/>
  <c r="AQ77" i="21"/>
  <c r="AZ77" i="21" s="1"/>
  <c r="X77" i="21"/>
  <c r="AY77" i="21" s="1"/>
  <c r="AN74" i="21"/>
  <c r="Y84" i="21"/>
  <c r="A85" i="21"/>
  <c r="BM84" i="21"/>
  <c r="Q84" i="21"/>
  <c r="Z76" i="21"/>
  <c r="AK76" i="21"/>
  <c r="AM76" i="21" s="1"/>
  <c r="BW76" i="21"/>
  <c r="BX76" i="21" s="1"/>
  <c r="CA76" i="21"/>
  <c r="BY76" i="21"/>
  <c r="BZ76" i="21" s="1"/>
  <c r="AD82" i="21"/>
  <c r="BN82" i="21"/>
  <c r="BU82" i="21" s="1"/>
  <c r="AC82" i="21"/>
  <c r="BE82" i="21" s="1"/>
  <c r="J83" i="21"/>
  <c r="L82" i="21"/>
  <c r="M82" i="21" s="1"/>
  <c r="AF82" i="21"/>
  <c r="AE82" i="21"/>
  <c r="AG82" i="21"/>
  <c r="G83" i="21"/>
  <c r="BD81" i="21"/>
  <c r="BF81" i="21" s="1"/>
  <c r="BV73" i="21"/>
  <c r="F85" i="21"/>
  <c r="CB75" i="21"/>
  <c r="CC75" i="21"/>
  <c r="AH78" i="21"/>
  <c r="AI78" i="21" s="1"/>
  <c r="W78" i="21"/>
  <c r="R80" i="21"/>
  <c r="S80" i="21"/>
  <c r="T80" i="21" s="1"/>
  <c r="H84" i="21"/>
  <c r="I85" i="21"/>
  <c r="BO84" i="21"/>
  <c r="CE79" i="21"/>
  <c r="U79" i="21"/>
  <c r="CD79" i="21"/>
  <c r="CG79" i="21" s="1"/>
  <c r="V79" i="21"/>
  <c r="BD68" i="6"/>
  <c r="BF68" i="6" s="1"/>
  <c r="AC69" i="6"/>
  <c r="BE69" i="6" s="1"/>
  <c r="AD69" i="6"/>
  <c r="AF69" i="6"/>
  <c r="AE69" i="6"/>
  <c r="AG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O69" i="6"/>
  <c r="AS67" i="6"/>
  <c r="AT68" i="6"/>
  <c r="G72" i="10"/>
  <c r="E71" i="10"/>
  <c r="F71" i="10"/>
  <c r="A80" i="6"/>
  <c r="A81" i="10"/>
  <c r="V80" i="10"/>
  <c r="N82" i="21" l="1"/>
  <c r="O82" i="21" s="1"/>
  <c r="P82" i="21"/>
  <c r="CF79" i="21"/>
  <c r="CH79" i="21"/>
  <c r="AO74" i="21"/>
  <c r="I86" i="21"/>
  <c r="BO85" i="21"/>
  <c r="AN75" i="21"/>
  <c r="H85" i="21"/>
  <c r="AD83" i="21"/>
  <c r="J84" i="21"/>
  <c r="AC83" i="21"/>
  <c r="BE83" i="21" s="1"/>
  <c r="L83" i="21"/>
  <c r="M83" i="21" s="1"/>
  <c r="BN83" i="21"/>
  <c r="BU83" i="21" s="1"/>
  <c r="AF83" i="21"/>
  <c r="AE83" i="21"/>
  <c r="CE80" i="21"/>
  <c r="U80" i="21"/>
  <c r="CD80" i="21"/>
  <c r="CG80" i="21" s="1"/>
  <c r="V80" i="21"/>
  <c r="BV74" i="21"/>
  <c r="R81" i="21"/>
  <c r="S81" i="21"/>
  <c r="T81" i="21" s="1"/>
  <c r="AG83" i="21"/>
  <c r="G84" i="21"/>
  <c r="Y85" i="21"/>
  <c r="A86" i="21"/>
  <c r="BM85" i="21"/>
  <c r="Q85" i="21"/>
  <c r="F86" i="21"/>
  <c r="CA77" i="21"/>
  <c r="BY77" i="21"/>
  <c r="BZ77" i="21" s="1"/>
  <c r="BW77" i="21"/>
  <c r="BX77" i="21" s="1"/>
  <c r="AK77" i="21"/>
  <c r="AM77" i="21" s="1"/>
  <c r="Z77" i="21"/>
  <c r="AX78" i="21"/>
  <c r="AQ78" i="21"/>
  <c r="AZ78" i="21" s="1"/>
  <c r="X78" i="21"/>
  <c r="AY78" i="21" s="1"/>
  <c r="BB78" i="21"/>
  <c r="AJ78" i="21"/>
  <c r="AL78" i="21" s="1"/>
  <c r="AH79" i="21"/>
  <c r="AI79" i="21" s="1"/>
  <c r="W79" i="21"/>
  <c r="BD82" i="21"/>
  <c r="BF82" i="21" s="1"/>
  <c r="CC76" i="21"/>
  <c r="CB76" i="21"/>
  <c r="BD69" i="6"/>
  <c r="BF69" i="6" s="1"/>
  <c r="AC70" i="6"/>
  <c r="BE70" i="6" s="1"/>
  <c r="AD70" i="6"/>
  <c r="AF70" i="6"/>
  <c r="AE70" i="6"/>
  <c r="AG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O70" i="6"/>
  <c r="AS68" i="6"/>
  <c r="AT69" i="6"/>
  <c r="E72" i="10"/>
  <c r="G73" i="10"/>
  <c r="F72" i="10"/>
  <c r="A81" i="6"/>
  <c r="V81" i="10"/>
  <c r="A82" i="10"/>
  <c r="N83" i="21" l="1"/>
  <c r="O83" i="21" s="1"/>
  <c r="P83" i="21"/>
  <c r="CC77" i="21"/>
  <c r="CB77" i="21"/>
  <c r="A87" i="21"/>
  <c r="BM86" i="21"/>
  <c r="Q86" i="21"/>
  <c r="Y86" i="21"/>
  <c r="F87" i="21"/>
  <c r="U81" i="21"/>
  <c r="CE81" i="21"/>
  <c r="CF81" i="21" s="1"/>
  <c r="V81" i="21"/>
  <c r="AD84" i="21"/>
  <c r="BD84" i="21" s="1"/>
  <c r="BF84" i="21" s="1"/>
  <c r="J85" i="21"/>
  <c r="AC84" i="21"/>
  <c r="BE84" i="21" s="1"/>
  <c r="L84" i="21"/>
  <c r="M84" i="21" s="1"/>
  <c r="BN84" i="21"/>
  <c r="BU84" i="21" s="1"/>
  <c r="AE84" i="21"/>
  <c r="AF84" i="21"/>
  <c r="BD83" i="21"/>
  <c r="BF83" i="21" s="1"/>
  <c r="G85" i="21"/>
  <c r="AG84" i="21"/>
  <c r="AJ79" i="21"/>
  <c r="AL79" i="21" s="1"/>
  <c r="BB79" i="21"/>
  <c r="X79" i="21"/>
  <c r="AX79" i="21"/>
  <c r="AQ79" i="21"/>
  <c r="AZ79" i="21" s="1"/>
  <c r="H86" i="21"/>
  <c r="BW78" i="21"/>
  <c r="BX78" i="21" s="1"/>
  <c r="Z78" i="21"/>
  <c r="AK78" i="21"/>
  <c r="AM78" i="21" s="1"/>
  <c r="BY78" i="21"/>
  <c r="BZ78" i="21" s="1"/>
  <c r="CA78" i="21"/>
  <c r="BV75" i="21"/>
  <c r="R82" i="21"/>
  <c r="S82" i="21"/>
  <c r="T82" i="21" s="1"/>
  <c r="AH80" i="21"/>
  <c r="AI80" i="21" s="1"/>
  <c r="W80" i="21"/>
  <c r="AN76" i="21"/>
  <c r="AO75" i="21"/>
  <c r="CH80" i="21"/>
  <c r="CF80" i="21"/>
  <c r="BO86" i="21"/>
  <c r="I87" i="21"/>
  <c r="BD70" i="6"/>
  <c r="BF70" i="6" s="1"/>
  <c r="AD71" i="6"/>
  <c r="AC71" i="6"/>
  <c r="BE71" i="6" s="1"/>
  <c r="AE71" i="6"/>
  <c r="AF71" i="6"/>
  <c r="AG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O71" i="6"/>
  <c r="AT70" i="6"/>
  <c r="AS69" i="6"/>
  <c r="G74" i="10"/>
  <c r="E73" i="10"/>
  <c r="F73" i="10"/>
  <c r="A82" i="6"/>
  <c r="V82" i="10"/>
  <c r="A83" i="10"/>
  <c r="N84" i="21" l="1"/>
  <c r="O84" i="21" s="1"/>
  <c r="P84" i="21"/>
  <c r="AK79" i="21"/>
  <c r="AM79" i="21" s="1"/>
  <c r="CA79" i="21"/>
  <c r="BY79" i="21"/>
  <c r="BZ79" i="21" s="1"/>
  <c r="Z79" i="21"/>
  <c r="BW79" i="21"/>
  <c r="BX79" i="21" s="1"/>
  <c r="AH81" i="21"/>
  <c r="AI81" i="21" s="1"/>
  <c r="W81" i="21"/>
  <c r="CC78" i="21"/>
  <c r="CB78" i="21"/>
  <c r="G86" i="21"/>
  <c r="AG85" i="21"/>
  <c r="Q87" i="21"/>
  <c r="A88" i="21"/>
  <c r="BM87" i="21"/>
  <c r="Y87" i="21"/>
  <c r="F88" i="21"/>
  <c r="R83" i="21"/>
  <c r="S83" i="21"/>
  <c r="T83" i="21" s="1"/>
  <c r="AX80" i="21"/>
  <c r="AQ80" i="21"/>
  <c r="AZ80" i="21" s="1"/>
  <c r="X80" i="21"/>
  <c r="BB80" i="21"/>
  <c r="AJ80" i="21"/>
  <c r="AL80" i="21" s="1"/>
  <c r="AY80" i="21"/>
  <c r="BO87" i="21"/>
  <c r="I88" i="21"/>
  <c r="BV76" i="21"/>
  <c r="AO76" i="21"/>
  <c r="AO77" i="21"/>
  <c r="AN77" i="21"/>
  <c r="H87" i="21"/>
  <c r="AY79" i="21"/>
  <c r="U82" i="21"/>
  <c r="CE82" i="21"/>
  <c r="CF82" i="21" s="1"/>
  <c r="V82" i="21"/>
  <c r="L85" i="21"/>
  <c r="M85" i="21" s="1"/>
  <c r="BN85" i="21"/>
  <c r="BU85" i="21" s="1"/>
  <c r="AD85" i="21"/>
  <c r="J86" i="21"/>
  <c r="AC85" i="21"/>
  <c r="BE85" i="21" s="1"/>
  <c r="AE85" i="21"/>
  <c r="AF85" i="21"/>
  <c r="BD71" i="6"/>
  <c r="BF71" i="6" s="1"/>
  <c r="AD72" i="6"/>
  <c r="AC72" i="6"/>
  <c r="BE72" i="6" s="1"/>
  <c r="AF72" i="6"/>
  <c r="AE72" i="6"/>
  <c r="AG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O72" i="6"/>
  <c r="AT71" i="6"/>
  <c r="AS70" i="6"/>
  <c r="E74" i="10"/>
  <c r="G75" i="10"/>
  <c r="F74" i="10"/>
  <c r="A83" i="6"/>
  <c r="V83" i="10"/>
  <c r="A84" i="10"/>
  <c r="BD85" i="21" l="1"/>
  <c r="BF85" i="21" s="1"/>
  <c r="N85" i="21"/>
  <c r="O85" i="21" s="1"/>
  <c r="P85" i="21"/>
  <c r="AG86" i="21"/>
  <c r="G87" i="21"/>
  <c r="F89" i="21"/>
  <c r="H88" i="21"/>
  <c r="X81" i="21"/>
  <c r="AJ81" i="21"/>
  <c r="AL81" i="21" s="1"/>
  <c r="BB81" i="21"/>
  <c r="AQ81" i="21"/>
  <c r="AZ81" i="21" s="1"/>
  <c r="AX81" i="21"/>
  <c r="CC79" i="21"/>
  <c r="CB79" i="21"/>
  <c r="BO88" i="21"/>
  <c r="I89" i="21"/>
  <c r="R84" i="21"/>
  <c r="S84" i="21"/>
  <c r="T84" i="21" s="1"/>
  <c r="AN78" i="21"/>
  <c r="Q88" i="21"/>
  <c r="Y88" i="21"/>
  <c r="BM88" i="21"/>
  <c r="A89" i="21"/>
  <c r="BY80" i="21"/>
  <c r="BZ80" i="21" s="1"/>
  <c r="BW80" i="21"/>
  <c r="BX80" i="21" s="1"/>
  <c r="Z80" i="21"/>
  <c r="CA80" i="21"/>
  <c r="AK80" i="21"/>
  <c r="AM80" i="21" s="1"/>
  <c r="AO78" i="21" s="1"/>
  <c r="BN86" i="21"/>
  <c r="BU86" i="21" s="1"/>
  <c r="AD86" i="21"/>
  <c r="BD86" i="21" s="1"/>
  <c r="BF86" i="21" s="1"/>
  <c r="AC86" i="21"/>
  <c r="BE86" i="21" s="1"/>
  <c r="J87" i="21"/>
  <c r="L86" i="21"/>
  <c r="M86" i="21" s="1"/>
  <c r="AF86" i="21"/>
  <c r="AE86" i="21"/>
  <c r="BV77" i="21"/>
  <c r="CE83" i="21"/>
  <c r="CF83" i="21" s="1"/>
  <c r="U83" i="21"/>
  <c r="V83" i="21"/>
  <c r="AN79" i="21"/>
  <c r="AH82" i="21"/>
  <c r="AI82" i="21" s="1"/>
  <c r="W82" i="21"/>
  <c r="BD72" i="6"/>
  <c r="BF72" i="6" s="1"/>
  <c r="AC73" i="6"/>
  <c r="BE73" i="6" s="1"/>
  <c r="AD73" i="6"/>
  <c r="G82" i="6"/>
  <c r="AE73" i="6"/>
  <c r="AF73" i="6"/>
  <c r="AG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O73" i="6"/>
  <c r="G76" i="10"/>
  <c r="E75" i="10"/>
  <c r="F75" i="10"/>
  <c r="A84" i="6"/>
  <c r="A85" i="10"/>
  <c r="V84" i="10"/>
  <c r="N86" i="21" l="1"/>
  <c r="O86" i="21" s="1"/>
  <c r="P86" i="21"/>
  <c r="AD87" i="21"/>
  <c r="J88" i="21"/>
  <c r="AC87" i="21"/>
  <c r="BE87" i="21" s="1"/>
  <c r="L87" i="21"/>
  <c r="M87" i="21" s="1"/>
  <c r="BN87" i="21"/>
  <c r="BU87" i="21" s="1"/>
  <c r="AF87" i="21"/>
  <c r="AE87" i="21"/>
  <c r="BO89" i="21"/>
  <c r="I90" i="21"/>
  <c r="F90" i="21"/>
  <c r="H89" i="21"/>
  <c r="A90" i="21"/>
  <c r="Q89" i="21"/>
  <c r="Y89" i="21"/>
  <c r="BM89" i="21"/>
  <c r="AJ82" i="21"/>
  <c r="AL82" i="21" s="1"/>
  <c r="BB82" i="21"/>
  <c r="X82" i="21"/>
  <c r="AQ82" i="21"/>
  <c r="AZ82" i="21" s="1"/>
  <c r="AX82" i="21"/>
  <c r="AY82" i="21"/>
  <c r="AH83" i="21"/>
  <c r="AI83" i="21" s="1"/>
  <c r="W83" i="21"/>
  <c r="AG87" i="21"/>
  <c r="G88" i="21"/>
  <c r="BV78" i="21"/>
  <c r="R85" i="21"/>
  <c r="S85" i="21"/>
  <c r="T85" i="21" s="1"/>
  <c r="AK81" i="21"/>
  <c r="AM81" i="21" s="1"/>
  <c r="CA81" i="21"/>
  <c r="Z81" i="21"/>
  <c r="BY81" i="21"/>
  <c r="BZ81" i="21" s="1"/>
  <c r="BW81" i="21"/>
  <c r="BX81" i="21" s="1"/>
  <c r="CB80" i="21"/>
  <c r="CC80" i="21"/>
  <c r="AY81" i="21"/>
  <c r="CE84" i="21"/>
  <c r="CF84" i="21" s="1"/>
  <c r="U84" i="21"/>
  <c r="V84" i="21"/>
  <c r="BD73" i="6"/>
  <c r="BF73" i="6" s="1"/>
  <c r="AC74" i="6"/>
  <c r="BE74" i="6" s="1"/>
  <c r="AD74" i="6"/>
  <c r="G83" i="6"/>
  <c r="AF74" i="6"/>
  <c r="AE74" i="6"/>
  <c r="AG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O74" i="6"/>
  <c r="AS71" i="6"/>
  <c r="AT72" i="6"/>
  <c r="E76" i="10"/>
  <c r="G77" i="10"/>
  <c r="F76" i="10"/>
  <c r="A85" i="6"/>
  <c r="V85" i="10"/>
  <c r="A86" i="10"/>
  <c r="N87" i="21" l="1"/>
  <c r="O87" i="21" s="1"/>
  <c r="P87" i="21"/>
  <c r="G89" i="21"/>
  <c r="AG88" i="21"/>
  <c r="AD88" i="21"/>
  <c r="BD88" i="21" s="1"/>
  <c r="BF88" i="21" s="1"/>
  <c r="AC88" i="21"/>
  <c r="BE88" i="21" s="1"/>
  <c r="L88" i="21"/>
  <c r="M88" i="21" s="1"/>
  <c r="J89" i="21"/>
  <c r="BN88" i="21"/>
  <c r="BU88" i="21" s="1"/>
  <c r="AE88" i="21"/>
  <c r="AF88" i="21"/>
  <c r="BD87" i="21"/>
  <c r="BF87" i="21" s="1"/>
  <c r="A91" i="21"/>
  <c r="BM90" i="21"/>
  <c r="Q90" i="21"/>
  <c r="Y90" i="21"/>
  <c r="AH84" i="21"/>
  <c r="AI84" i="21" s="1"/>
  <c r="W84" i="21"/>
  <c r="BB83" i="21"/>
  <c r="AX83" i="21"/>
  <c r="AQ83" i="21"/>
  <c r="AZ83" i="21" s="1"/>
  <c r="AJ83" i="21"/>
  <c r="AL83" i="21" s="1"/>
  <c r="X83" i="21"/>
  <c r="AY83" i="21" s="1"/>
  <c r="AN80" i="21"/>
  <c r="AN81" i="21"/>
  <c r="R86" i="21"/>
  <c r="S86" i="21"/>
  <c r="T86" i="21" s="1"/>
  <c r="CC81" i="21"/>
  <c r="CB81" i="21"/>
  <c r="BV79" i="21"/>
  <c r="H90" i="21"/>
  <c r="AK82" i="21"/>
  <c r="AM82" i="21" s="1"/>
  <c r="CA82" i="21"/>
  <c r="BY82" i="21"/>
  <c r="BZ82" i="21" s="1"/>
  <c r="Z82" i="21"/>
  <c r="BW82" i="21"/>
  <c r="BX82" i="21" s="1"/>
  <c r="AO79" i="21"/>
  <c r="U85" i="21"/>
  <c r="CE85" i="21"/>
  <c r="CF85" i="21" s="1"/>
  <c r="V85" i="21"/>
  <c r="F91" i="21"/>
  <c r="I91" i="21"/>
  <c r="BO90" i="21"/>
  <c r="BD74" i="6"/>
  <c r="BF74" i="6" s="1"/>
  <c r="AC75" i="6"/>
  <c r="BE75" i="6" s="1"/>
  <c r="AD75" i="6"/>
  <c r="G84" i="6"/>
  <c r="AE75" i="6"/>
  <c r="AF75" i="6"/>
  <c r="AG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O75" i="6"/>
  <c r="AS72" i="6"/>
  <c r="AT73" i="6"/>
  <c r="G78" i="10"/>
  <c r="E77" i="10"/>
  <c r="F77" i="10"/>
  <c r="A86" i="6"/>
  <c r="A87" i="10"/>
  <c r="V86" i="10"/>
  <c r="N88" i="21" l="1"/>
  <c r="O88" i="21" s="1"/>
  <c r="P88" i="21"/>
  <c r="U86" i="21"/>
  <c r="CE86" i="21"/>
  <c r="CF86" i="21" s="1"/>
  <c r="V86" i="21"/>
  <c r="BO91" i="21"/>
  <c r="I92" i="21"/>
  <c r="CC82" i="21"/>
  <c r="CB82" i="21"/>
  <c r="F92" i="21"/>
  <c r="AG89" i="21"/>
  <c r="G90" i="21"/>
  <c r="CA83" i="21"/>
  <c r="BY83" i="21"/>
  <c r="BZ83" i="21" s="1"/>
  <c r="BW83" i="21"/>
  <c r="BX83" i="21" s="1"/>
  <c r="Z83" i="21"/>
  <c r="AK83" i="21"/>
  <c r="AM83" i="21" s="1"/>
  <c r="BM91" i="21"/>
  <c r="Q91" i="21"/>
  <c r="A92" i="21"/>
  <c r="Y91" i="21"/>
  <c r="BV80" i="21"/>
  <c r="AH85" i="21"/>
  <c r="AI85" i="21" s="1"/>
  <c r="W85" i="21"/>
  <c r="H91" i="21"/>
  <c r="R87" i="21"/>
  <c r="S87" i="21"/>
  <c r="T87" i="21" s="1"/>
  <c r="AD89" i="21"/>
  <c r="BD89" i="21" s="1"/>
  <c r="BF89" i="21" s="1"/>
  <c r="AC89" i="21"/>
  <c r="BE89" i="21" s="1"/>
  <c r="L89" i="21"/>
  <c r="M89" i="21" s="1"/>
  <c r="J90" i="21"/>
  <c r="BN89" i="21"/>
  <c r="BU89" i="21" s="1"/>
  <c r="AF89" i="21"/>
  <c r="AE89" i="21"/>
  <c r="AX84" i="21"/>
  <c r="AQ84" i="21"/>
  <c r="AZ84" i="21" s="1"/>
  <c r="X84" i="21"/>
  <c r="BB84" i="21"/>
  <c r="AJ84" i="21"/>
  <c r="AL84" i="21" s="1"/>
  <c r="AN82" i="21" s="1"/>
  <c r="AY84" i="21"/>
  <c r="AO80" i="21"/>
  <c r="BD75" i="6"/>
  <c r="BF75" i="6" s="1"/>
  <c r="AC76" i="6"/>
  <c r="BE76" i="6" s="1"/>
  <c r="AD76" i="6"/>
  <c r="G85" i="6"/>
  <c r="AF76" i="6"/>
  <c r="AE76" i="6"/>
  <c r="AG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O76" i="6"/>
  <c r="AT74" i="6"/>
  <c r="AS73" i="6"/>
  <c r="AS74" i="6"/>
  <c r="E78" i="10"/>
  <c r="G79" i="10"/>
  <c r="F78" i="10"/>
  <c r="A87" i="6"/>
  <c r="A88" i="10"/>
  <c r="V87" i="10"/>
  <c r="N89" i="21" l="1"/>
  <c r="O89" i="21" s="1"/>
  <c r="M90" i="21"/>
  <c r="P89" i="21"/>
  <c r="H92" i="21"/>
  <c r="BN90" i="21"/>
  <c r="BU90" i="21" s="1"/>
  <c r="AD90" i="21"/>
  <c r="J91" i="21"/>
  <c r="AC90" i="21"/>
  <c r="BE90" i="21" s="1"/>
  <c r="L90" i="21"/>
  <c r="AE90" i="21"/>
  <c r="AF90" i="21"/>
  <c r="AH86" i="21"/>
  <c r="AI86" i="21" s="1"/>
  <c r="W86" i="21"/>
  <c r="R88" i="21"/>
  <c r="S88" i="21"/>
  <c r="T88" i="21" s="1"/>
  <c r="AQ85" i="21"/>
  <c r="AZ85" i="21" s="1"/>
  <c r="X85" i="21"/>
  <c r="AY85" i="21" s="1"/>
  <c r="AJ85" i="21"/>
  <c r="AL85" i="21" s="1"/>
  <c r="AX85" i="21"/>
  <c r="BB85" i="21"/>
  <c r="I93" i="21"/>
  <c r="BO92" i="21"/>
  <c r="F93" i="21"/>
  <c r="CB83" i="21"/>
  <c r="CC83" i="21"/>
  <c r="BY84" i="21"/>
  <c r="BZ84" i="21" s="1"/>
  <c r="BW84" i="21"/>
  <c r="BX84" i="21" s="1"/>
  <c r="Z84" i="21"/>
  <c r="CA84" i="21"/>
  <c r="AK84" i="21"/>
  <c r="AM84" i="21" s="1"/>
  <c r="BV81" i="21"/>
  <c r="AO81" i="21"/>
  <c r="G91" i="21"/>
  <c r="AG90" i="21"/>
  <c r="CE87" i="21"/>
  <c r="CF87" i="21" s="1"/>
  <c r="U87" i="21"/>
  <c r="V87" i="21"/>
  <c r="BM92" i="21"/>
  <c r="Y92" i="21"/>
  <c r="A93" i="21"/>
  <c r="Q92" i="21"/>
  <c r="BD76" i="6"/>
  <c r="BF76" i="6" s="1"/>
  <c r="AC77" i="6"/>
  <c r="BE77" i="6" s="1"/>
  <c r="AD77" i="6"/>
  <c r="AF77" i="6"/>
  <c r="AE77" i="6"/>
  <c r="AG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O77" i="6"/>
  <c r="G80" i="10"/>
  <c r="E79" i="10"/>
  <c r="F79" i="10"/>
  <c r="A88" i="6"/>
  <c r="A89" i="10"/>
  <c r="V88" i="10"/>
  <c r="BD90" i="21" l="1"/>
  <c r="BF90" i="21" s="1"/>
  <c r="AH87" i="21"/>
  <c r="AI87" i="21" s="1"/>
  <c r="W87" i="21"/>
  <c r="CC84" i="21"/>
  <c r="CB84" i="21"/>
  <c r="J92" i="21"/>
  <c r="BN91" i="21"/>
  <c r="BU91" i="21" s="1"/>
  <c r="AD91" i="21"/>
  <c r="AC91" i="21"/>
  <c r="BE91" i="21" s="1"/>
  <c r="L91" i="21"/>
  <c r="M91" i="21" s="1"/>
  <c r="AF91" i="21"/>
  <c r="AE91" i="21"/>
  <c r="BV82" i="21"/>
  <c r="H93" i="21"/>
  <c r="R89" i="21"/>
  <c r="S89" i="21"/>
  <c r="T89" i="21" s="1"/>
  <c r="Z85" i="21"/>
  <c r="AK85" i="21"/>
  <c r="AM85" i="21" s="1"/>
  <c r="BW85" i="21"/>
  <c r="BX85" i="21" s="1"/>
  <c r="CA85" i="21"/>
  <c r="BY85" i="21"/>
  <c r="BZ85" i="21" s="1"/>
  <c r="G92" i="21"/>
  <c r="AG91" i="21"/>
  <c r="N90" i="21"/>
  <c r="O90" i="21" s="1"/>
  <c r="P90" i="21"/>
  <c r="AO82" i="21"/>
  <c r="CE88" i="21"/>
  <c r="CF88" i="21" s="1"/>
  <c r="U88" i="21"/>
  <c r="V88" i="21"/>
  <c r="F94" i="21"/>
  <c r="AN83" i="21"/>
  <c r="AO83" i="21"/>
  <c r="AJ86" i="21"/>
  <c r="AL86" i="21" s="1"/>
  <c r="BB86" i="21"/>
  <c r="X86" i="21"/>
  <c r="AX86" i="21"/>
  <c r="AQ86" i="21"/>
  <c r="AZ86" i="21" s="1"/>
  <c r="AY86" i="21"/>
  <c r="Q93" i="21"/>
  <c r="BM93" i="21"/>
  <c r="A94" i="21"/>
  <c r="Y93" i="21"/>
  <c r="BO93" i="21"/>
  <c r="I94" i="21"/>
  <c r="BD77" i="6"/>
  <c r="BF77" i="6" s="1"/>
  <c r="AD78" i="6"/>
  <c r="AC78" i="6"/>
  <c r="BE78" i="6" s="1"/>
  <c r="G87" i="6"/>
  <c r="AE78" i="6"/>
  <c r="AF78" i="6"/>
  <c r="AG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O78" i="6"/>
  <c r="E80" i="10"/>
  <c r="G81" i="10"/>
  <c r="F80" i="10"/>
  <c r="A89" i="6"/>
  <c r="V89" i="10"/>
  <c r="A90" i="10"/>
  <c r="BD91" i="21" l="1"/>
  <c r="BF91" i="21" s="1"/>
  <c r="N91" i="21"/>
  <c r="O91" i="21" s="1"/>
  <c r="P91" i="21"/>
  <c r="I95" i="21"/>
  <c r="BO94" i="21"/>
  <c r="U89" i="21"/>
  <c r="V89" i="21"/>
  <c r="BV83" i="21"/>
  <c r="AD92" i="21"/>
  <c r="L92" i="21"/>
  <c r="M92" i="21" s="1"/>
  <c r="AC92" i="21"/>
  <c r="BE92" i="21" s="1"/>
  <c r="J93" i="21"/>
  <c r="BN92" i="21"/>
  <c r="BU92" i="21" s="1"/>
  <c r="AE92" i="21"/>
  <c r="AF92" i="21"/>
  <c r="AN84" i="21"/>
  <c r="AJ87" i="21"/>
  <c r="AL87" i="21" s="1"/>
  <c r="BB87" i="21"/>
  <c r="AX87" i="21"/>
  <c r="AQ87" i="21"/>
  <c r="AZ87" i="21" s="1"/>
  <c r="X87" i="21"/>
  <c r="AY87" i="21"/>
  <c r="AK86" i="21"/>
  <c r="AM86" i="21" s="1"/>
  <c r="CA86" i="21"/>
  <c r="Z86" i="21"/>
  <c r="BY86" i="21"/>
  <c r="BZ86" i="21" s="1"/>
  <c r="BW86" i="21"/>
  <c r="BX86" i="21" s="1"/>
  <c r="AH88" i="21"/>
  <c r="AI88" i="21" s="1"/>
  <c r="W88" i="21"/>
  <c r="H94" i="21"/>
  <c r="F95" i="21"/>
  <c r="R90" i="21"/>
  <c r="S90" i="21"/>
  <c r="T90" i="21" s="1"/>
  <c r="A95" i="21"/>
  <c r="BM94" i="21"/>
  <c r="Y94" i="21"/>
  <c r="Q94" i="21"/>
  <c r="AO84" i="21"/>
  <c r="G93" i="21"/>
  <c r="AG92" i="21"/>
  <c r="CC85" i="21"/>
  <c r="CB85" i="21"/>
  <c r="BD78" i="6"/>
  <c r="BF78" i="6" s="1"/>
  <c r="AD79" i="6"/>
  <c r="AC79" i="6"/>
  <c r="BE79" i="6" s="1"/>
  <c r="AF79" i="6"/>
  <c r="AE79" i="6"/>
  <c r="AG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O79" i="6"/>
  <c r="G82" i="10"/>
  <c r="E81" i="10"/>
  <c r="F81" i="10"/>
  <c r="A90" i="6"/>
  <c r="A91" i="10"/>
  <c r="V90" i="10"/>
  <c r="N92" i="21" l="1"/>
  <c r="O92" i="21" s="1"/>
  <c r="P92" i="21"/>
  <c r="CA87" i="21"/>
  <c r="BY87" i="21"/>
  <c r="BZ87" i="21" s="1"/>
  <c r="BW87" i="21"/>
  <c r="BX87" i="21" s="1"/>
  <c r="AK87" i="21"/>
  <c r="AM87" i="21" s="1"/>
  <c r="Z87" i="21"/>
  <c r="BB88" i="21"/>
  <c r="AX88" i="21"/>
  <c r="AQ88" i="21"/>
  <c r="AZ88" i="21" s="1"/>
  <c r="X88" i="21"/>
  <c r="AJ88" i="21"/>
  <c r="AL88" i="21" s="1"/>
  <c r="U90" i="21"/>
  <c r="V90" i="21"/>
  <c r="AG93" i="21"/>
  <c r="G94" i="21"/>
  <c r="BO95" i="21"/>
  <c r="I96" i="21"/>
  <c r="BV84" i="21"/>
  <c r="AH89" i="21"/>
  <c r="AI89" i="21" s="1"/>
  <c r="W89" i="21"/>
  <c r="Q95" i="21"/>
  <c r="A96" i="21"/>
  <c r="BM95" i="21"/>
  <c r="Y95" i="21"/>
  <c r="AN85" i="21"/>
  <c r="R91" i="21"/>
  <c r="S91" i="21"/>
  <c r="T91" i="21" s="1"/>
  <c r="CC86" i="21"/>
  <c r="CB86" i="21"/>
  <c r="H95" i="21"/>
  <c r="J94" i="21"/>
  <c r="BN93" i="21"/>
  <c r="BU93" i="21" s="1"/>
  <c r="AD93" i="21"/>
  <c r="L93" i="21"/>
  <c r="M93" i="21" s="1"/>
  <c r="AC93" i="21"/>
  <c r="BE93" i="21" s="1"/>
  <c r="AE93" i="21"/>
  <c r="AF93" i="21"/>
  <c r="F96" i="21"/>
  <c r="AN86" i="21"/>
  <c r="BD92" i="21"/>
  <c r="BF92" i="21" s="1"/>
  <c r="BD79" i="6"/>
  <c r="BF79" i="6" s="1"/>
  <c r="AC80" i="6"/>
  <c r="BE80" i="6" s="1"/>
  <c r="AD80" i="6"/>
  <c r="AF80" i="6"/>
  <c r="AE80" i="6"/>
  <c r="AG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O80" i="6"/>
  <c r="E82" i="10"/>
  <c r="G83" i="10"/>
  <c r="F82" i="10"/>
  <c r="A91" i="6"/>
  <c r="A92" i="10"/>
  <c r="V91" i="10"/>
  <c r="BD93" i="21" l="1"/>
  <c r="BF93" i="21" s="1"/>
  <c r="N93" i="21"/>
  <c r="O93" i="21" s="1"/>
  <c r="P93" i="21"/>
  <c r="I97" i="21"/>
  <c r="BO96" i="21"/>
  <c r="G95" i="21"/>
  <c r="AG94" i="21"/>
  <c r="AO85" i="21"/>
  <c r="CC87" i="21"/>
  <c r="CB87" i="21"/>
  <c r="BV85" i="21"/>
  <c r="CA88" i="21"/>
  <c r="BY88" i="21"/>
  <c r="BZ88" i="21" s="1"/>
  <c r="Z88" i="21"/>
  <c r="BW88" i="21"/>
  <c r="BX88" i="21" s="1"/>
  <c r="AK88" i="21"/>
  <c r="AM88" i="21" s="1"/>
  <c r="AO86" i="21" s="1"/>
  <c r="L94" i="21"/>
  <c r="M94" i="21" s="1"/>
  <c r="AD94" i="21"/>
  <c r="J95" i="21"/>
  <c r="AC94" i="21"/>
  <c r="BE94" i="21" s="1"/>
  <c r="BN94" i="21"/>
  <c r="BU94" i="21" s="1"/>
  <c r="AF94" i="21"/>
  <c r="AE94" i="21"/>
  <c r="R92" i="21"/>
  <c r="S92" i="21"/>
  <c r="T92" i="21" s="1"/>
  <c r="AY88" i="21"/>
  <c r="Q96" i="21"/>
  <c r="Y96" i="21"/>
  <c r="BM96" i="21"/>
  <c r="A97" i="21"/>
  <c r="AH90" i="21"/>
  <c r="AI90" i="21" s="1"/>
  <c r="W90" i="21"/>
  <c r="H96" i="21"/>
  <c r="F97" i="21"/>
  <c r="BB89" i="21"/>
  <c r="AX89" i="21"/>
  <c r="AQ89" i="21"/>
  <c r="AZ89" i="21" s="1"/>
  <c r="AJ89" i="21"/>
  <c r="AL89" i="21" s="1"/>
  <c r="X89" i="21"/>
  <c r="AY89" i="21"/>
  <c r="U91" i="21"/>
  <c r="V91" i="21"/>
  <c r="BD80" i="6"/>
  <c r="BF80" i="6" s="1"/>
  <c r="AC81" i="6"/>
  <c r="BE81" i="6" s="1"/>
  <c r="AD81" i="6"/>
  <c r="AF81" i="6"/>
  <c r="AE81" i="6"/>
  <c r="AG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O81" i="6"/>
  <c r="G84" i="10"/>
  <c r="E83" i="10"/>
  <c r="F83" i="10"/>
  <c r="A92" i="6"/>
  <c r="A93" i="10"/>
  <c r="V92" i="10"/>
  <c r="N94" i="21" l="1"/>
  <c r="O94" i="21" s="1"/>
  <c r="M95" i="21"/>
  <c r="P94" i="21"/>
  <c r="F98" i="21"/>
  <c r="AG95" i="21"/>
  <c r="G96" i="21"/>
  <c r="U92" i="21"/>
  <c r="V92" i="21"/>
  <c r="H97" i="21"/>
  <c r="I98" i="21"/>
  <c r="BO97" i="21"/>
  <c r="AJ90" i="21"/>
  <c r="AL90" i="21" s="1"/>
  <c r="BB90" i="21"/>
  <c r="AQ90" i="21"/>
  <c r="AZ90" i="21" s="1"/>
  <c r="X90" i="21"/>
  <c r="AX90" i="21"/>
  <c r="BV86" i="21"/>
  <c r="R93" i="21"/>
  <c r="S93" i="21"/>
  <c r="T93" i="21" s="1"/>
  <c r="AH91" i="21"/>
  <c r="AI91" i="21" s="1"/>
  <c r="W91" i="21"/>
  <c r="Q97" i="21"/>
  <c r="Y97" i="21"/>
  <c r="BM97" i="21"/>
  <c r="A98" i="21"/>
  <c r="CC88" i="21"/>
  <c r="CB88" i="21"/>
  <c r="AK89" i="21"/>
  <c r="AM89" i="21" s="1"/>
  <c r="CA89" i="21"/>
  <c r="BY89" i="21"/>
  <c r="BZ89" i="21" s="1"/>
  <c r="Z89" i="21"/>
  <c r="BW89" i="21"/>
  <c r="BX89" i="21" s="1"/>
  <c r="AN87" i="21"/>
  <c r="J96" i="21"/>
  <c r="L95" i="21"/>
  <c r="AD95" i="21"/>
  <c r="BN95" i="21"/>
  <c r="BU95" i="21" s="1"/>
  <c r="AC95" i="21"/>
  <c r="BE95" i="21" s="1"/>
  <c r="AF95" i="21"/>
  <c r="AE95" i="21"/>
  <c r="BD94" i="21"/>
  <c r="BF94" i="21" s="1"/>
  <c r="BD81" i="6"/>
  <c r="BF81" i="6" s="1"/>
  <c r="AC82" i="6"/>
  <c r="BE82" i="6" s="1"/>
  <c r="AD82" i="6"/>
  <c r="AF82" i="6"/>
  <c r="AE82" i="6"/>
  <c r="AG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O82" i="6"/>
  <c r="E84" i="10"/>
  <c r="G85" i="10"/>
  <c r="F84" i="10"/>
  <c r="A93" i="6"/>
  <c r="V93" i="10"/>
  <c r="A94" i="10"/>
  <c r="AH92" i="21" l="1"/>
  <c r="AI92" i="21" s="1"/>
  <c r="W92" i="21"/>
  <c r="AO87" i="21"/>
  <c r="F99" i="21"/>
  <c r="AG96" i="21"/>
  <c r="G97" i="21"/>
  <c r="AN88" i="21"/>
  <c r="CC89" i="21"/>
  <c r="CB89" i="21"/>
  <c r="R94" i="21"/>
  <c r="S94" i="21"/>
  <c r="T94" i="21" s="1"/>
  <c r="BO98" i="21"/>
  <c r="I99" i="21"/>
  <c r="N95" i="21"/>
  <c r="O95" i="21" s="1"/>
  <c r="P95" i="21"/>
  <c r="AK90" i="21"/>
  <c r="AM90" i="21" s="1"/>
  <c r="CA90" i="21"/>
  <c r="Z90" i="21"/>
  <c r="BY90" i="21"/>
  <c r="BZ90" i="21" s="1"/>
  <c r="BW90" i="21"/>
  <c r="BX90" i="21" s="1"/>
  <c r="X91" i="21"/>
  <c r="AJ91" i="21"/>
  <c r="AL91" i="21" s="1"/>
  <c r="AX91" i="21"/>
  <c r="AQ91" i="21"/>
  <c r="AZ91" i="21" s="1"/>
  <c r="BB91" i="21"/>
  <c r="AY91" i="21"/>
  <c r="BM98" i="21"/>
  <c r="Y98" i="21"/>
  <c r="Q98" i="21"/>
  <c r="A99" i="21"/>
  <c r="AD96" i="21"/>
  <c r="BD96" i="21" s="1"/>
  <c r="BF96" i="21" s="1"/>
  <c r="J97" i="21"/>
  <c r="AC96" i="21"/>
  <c r="BE96" i="21" s="1"/>
  <c r="BN96" i="21"/>
  <c r="BU96" i="21" s="1"/>
  <c r="L96" i="21"/>
  <c r="M96" i="21" s="1"/>
  <c r="AF96" i="21"/>
  <c r="AE96" i="21"/>
  <c r="AY90" i="21"/>
  <c r="BV87" i="21"/>
  <c r="U93" i="21"/>
  <c r="V93" i="21"/>
  <c r="BD95" i="21"/>
  <c r="BF95" i="21" s="1"/>
  <c r="H98" i="21"/>
  <c r="BD82" i="6"/>
  <c r="BF82" i="6" s="1"/>
  <c r="AC83" i="6"/>
  <c r="BE83" i="6" s="1"/>
  <c r="AD83" i="6"/>
  <c r="AF83" i="6"/>
  <c r="AE83" i="6"/>
  <c r="AG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O83" i="6"/>
  <c r="G86" i="10"/>
  <c r="E85" i="10"/>
  <c r="F85" i="10"/>
  <c r="A94" i="6"/>
  <c r="A95" i="10"/>
  <c r="V94" i="10"/>
  <c r="N96" i="21" l="1"/>
  <c r="O96" i="21" s="1"/>
  <c r="P96" i="21"/>
  <c r="BV88" i="21"/>
  <c r="I100" i="21"/>
  <c r="BO99" i="21"/>
  <c r="U94" i="21"/>
  <c r="V94" i="21"/>
  <c r="H99" i="21"/>
  <c r="F100" i="21"/>
  <c r="AK91" i="21"/>
  <c r="AM91" i="21" s="1"/>
  <c r="Z91" i="21"/>
  <c r="BW91" i="21"/>
  <c r="BX91" i="21" s="1"/>
  <c r="CA91" i="21"/>
  <c r="BY91" i="21"/>
  <c r="BZ91" i="21" s="1"/>
  <c r="BB92" i="21"/>
  <c r="AX92" i="21"/>
  <c r="AQ92" i="21"/>
  <c r="AZ92" i="21" s="1"/>
  <c r="X92" i="21"/>
  <c r="AY92" i="21" s="1"/>
  <c r="AJ92" i="21"/>
  <c r="AL92" i="21" s="1"/>
  <c r="AN90" i="21" s="1"/>
  <c r="Y99" i="21"/>
  <c r="BM99" i="21"/>
  <c r="Q99" i="21"/>
  <c r="A100" i="21"/>
  <c r="AG97" i="21"/>
  <c r="G98" i="21"/>
  <c r="AD97" i="21"/>
  <c r="BD97" i="21" s="1"/>
  <c r="BF97" i="21" s="1"/>
  <c r="AC97" i="21"/>
  <c r="BE97" i="21" s="1"/>
  <c r="BN97" i="21"/>
  <c r="BU97" i="21" s="1"/>
  <c r="L97" i="21"/>
  <c r="M97" i="21" s="1"/>
  <c r="J98" i="21"/>
  <c r="AE97" i="21"/>
  <c r="AF97" i="21"/>
  <c r="AN89" i="21"/>
  <c r="AH93" i="21"/>
  <c r="AI93" i="21" s="1"/>
  <c r="W93" i="21"/>
  <c r="CC90" i="21"/>
  <c r="CB90" i="21"/>
  <c r="R95" i="21"/>
  <c r="S95" i="21"/>
  <c r="T95" i="21" s="1"/>
  <c r="AO88" i="21"/>
  <c r="BD83" i="6"/>
  <c r="BF83" i="6" s="1"/>
  <c r="AC84" i="6"/>
  <c r="BE84" i="6" s="1"/>
  <c r="AD84" i="6"/>
  <c r="G93" i="6"/>
  <c r="AF84" i="6"/>
  <c r="AE84" i="6"/>
  <c r="AG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O84" i="6"/>
  <c r="E86" i="10"/>
  <c r="G87" i="10"/>
  <c r="F86" i="10"/>
  <c r="A95" i="6"/>
  <c r="A96" i="10"/>
  <c r="V95" i="10"/>
  <c r="N97" i="21" l="1"/>
  <c r="O97" i="21" s="1"/>
  <c r="P97" i="21"/>
  <c r="Y100" i="21"/>
  <c r="A101" i="21"/>
  <c r="Q100" i="21"/>
  <c r="BM100" i="21"/>
  <c r="CC91" i="21"/>
  <c r="CB91" i="21"/>
  <c r="BV89" i="21"/>
  <c r="AD98" i="21"/>
  <c r="AC98" i="21"/>
  <c r="BE98" i="21" s="1"/>
  <c r="L98" i="21"/>
  <c r="M98" i="21" s="1"/>
  <c r="J99" i="21"/>
  <c r="BN98" i="21"/>
  <c r="BU98" i="21" s="1"/>
  <c r="AE98" i="21"/>
  <c r="AF98" i="21"/>
  <c r="R96" i="21"/>
  <c r="S96" i="21"/>
  <c r="T96" i="21" s="1"/>
  <c r="I101" i="21"/>
  <c r="BO100" i="21"/>
  <c r="U95" i="21"/>
  <c r="V95" i="21"/>
  <c r="AO90" i="21"/>
  <c r="AO89" i="21"/>
  <c r="F101" i="21"/>
  <c r="G99" i="21"/>
  <c r="AG98" i="21"/>
  <c r="CA92" i="21"/>
  <c r="BY92" i="21"/>
  <c r="BZ92" i="21" s="1"/>
  <c r="Z92" i="21"/>
  <c r="BW92" i="21"/>
  <c r="BX92" i="21" s="1"/>
  <c r="AK92" i="21"/>
  <c r="AM92" i="21" s="1"/>
  <c r="BB93" i="21"/>
  <c r="AJ93" i="21"/>
  <c r="AL93" i="21" s="1"/>
  <c r="X93" i="21"/>
  <c r="AX93" i="21"/>
  <c r="AQ93" i="21"/>
  <c r="AZ93" i="21" s="1"/>
  <c r="AY93" i="21"/>
  <c r="H100" i="21"/>
  <c r="AH94" i="21"/>
  <c r="AI94" i="21" s="1"/>
  <c r="W94" i="21"/>
  <c r="BD84" i="6"/>
  <c r="BF84" i="6" s="1"/>
  <c r="AD85" i="6"/>
  <c r="AC85" i="6"/>
  <c r="BE85" i="6" s="1"/>
  <c r="AF85" i="6"/>
  <c r="AE85" i="6"/>
  <c r="AG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O85" i="6"/>
  <c r="G88" i="10"/>
  <c r="E87" i="10"/>
  <c r="F87" i="10"/>
  <c r="A96" i="6"/>
  <c r="A97" i="10"/>
  <c r="V96" i="10"/>
  <c r="BD98" i="21" l="1"/>
  <c r="BF98" i="21" s="1"/>
  <c r="N98" i="21"/>
  <c r="O98" i="21" s="1"/>
  <c r="P98" i="21"/>
  <c r="AN91" i="21"/>
  <c r="AH95" i="21"/>
  <c r="AI95" i="21" s="1"/>
  <c r="W95" i="21"/>
  <c r="A102" i="21"/>
  <c r="Y101" i="21"/>
  <c r="BM101" i="21"/>
  <c r="Q101" i="21"/>
  <c r="R97" i="21"/>
  <c r="S97" i="21"/>
  <c r="T97" i="21" s="1"/>
  <c r="H101" i="21"/>
  <c r="BV90" i="21"/>
  <c r="AJ94" i="21"/>
  <c r="AL94" i="21" s="1"/>
  <c r="BB94" i="21"/>
  <c r="AX94" i="21"/>
  <c r="X94" i="21"/>
  <c r="AY94" i="21" s="1"/>
  <c r="AQ94" i="21"/>
  <c r="AZ94" i="21" s="1"/>
  <c r="F102" i="21"/>
  <c r="AD99" i="21"/>
  <c r="AC99" i="21"/>
  <c r="BE99" i="21" s="1"/>
  <c r="L99" i="21"/>
  <c r="M99" i="21" s="1"/>
  <c r="J100" i="21"/>
  <c r="BN99" i="21"/>
  <c r="BU99" i="21" s="1"/>
  <c r="AF99" i="21"/>
  <c r="AE99" i="21"/>
  <c r="CB92" i="21"/>
  <c r="CC92" i="21"/>
  <c r="G100" i="21"/>
  <c r="AG99" i="21"/>
  <c r="BO101" i="21"/>
  <c r="I102" i="21"/>
  <c r="AK93" i="21"/>
  <c r="AM93" i="21" s="1"/>
  <c r="AO91" i="21" s="1"/>
  <c r="CA93" i="21"/>
  <c r="BW93" i="21"/>
  <c r="BX93" i="21" s="1"/>
  <c r="BY93" i="21"/>
  <c r="BZ93" i="21" s="1"/>
  <c r="Z93" i="21"/>
  <c r="U96" i="21"/>
  <c r="V96" i="21"/>
  <c r="BD85" i="6"/>
  <c r="BF85" i="6" s="1"/>
  <c r="AD86" i="6"/>
  <c r="AC86" i="6"/>
  <c r="BE86" i="6" s="1"/>
  <c r="AF86" i="6"/>
  <c r="AE86" i="6"/>
  <c r="AG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O86" i="6"/>
  <c r="E88" i="10"/>
  <c r="G89" i="10"/>
  <c r="F88" i="10"/>
  <c r="A97" i="6"/>
  <c r="V97" i="10"/>
  <c r="A98" i="10"/>
  <c r="N99" i="21" l="1"/>
  <c r="O99" i="21" s="1"/>
  <c r="P99" i="21"/>
  <c r="I103" i="21"/>
  <c r="BO102" i="21"/>
  <c r="BD99" i="21"/>
  <c r="BF99" i="21" s="1"/>
  <c r="BB95" i="21"/>
  <c r="AJ95" i="21"/>
  <c r="AL95" i="21" s="1"/>
  <c r="AN93" i="21" s="1"/>
  <c r="X95" i="21"/>
  <c r="AQ95" i="21"/>
  <c r="AZ95" i="21" s="1"/>
  <c r="AX95" i="21"/>
  <c r="U97" i="21"/>
  <c r="V97" i="21"/>
  <c r="G101" i="21"/>
  <c r="AG100" i="21"/>
  <c r="AN92" i="21"/>
  <c r="F103" i="21"/>
  <c r="H102" i="21"/>
  <c r="R98" i="21"/>
  <c r="S98" i="21"/>
  <c r="T98" i="21" s="1"/>
  <c r="Q102" i="21"/>
  <c r="Y102" i="21"/>
  <c r="A103" i="21"/>
  <c r="BM102" i="21"/>
  <c r="AH96" i="21"/>
  <c r="AI96" i="21" s="1"/>
  <c r="W96" i="21"/>
  <c r="CC93" i="21"/>
  <c r="CB93" i="21"/>
  <c r="BV99" i="21"/>
  <c r="BV91" i="21"/>
  <c r="CA94" i="21"/>
  <c r="Z94" i="21"/>
  <c r="BY94" i="21"/>
  <c r="BZ94" i="21" s="1"/>
  <c r="BW94" i="21"/>
  <c r="BX94" i="21" s="1"/>
  <c r="AK94" i="21"/>
  <c r="AM94" i="21" s="1"/>
  <c r="AD100" i="21"/>
  <c r="AC100" i="21"/>
  <c r="BE100" i="21" s="1"/>
  <c r="L100" i="21"/>
  <c r="M100" i="21" s="1"/>
  <c r="J101" i="21"/>
  <c r="BN100" i="21"/>
  <c r="BU100" i="21" s="1"/>
  <c r="AF100" i="21"/>
  <c r="AE100" i="21"/>
  <c r="BD86" i="6"/>
  <c r="BF86" i="6" s="1"/>
  <c r="AC87" i="6"/>
  <c r="BE87" i="6" s="1"/>
  <c r="AD87" i="6"/>
  <c r="G96" i="6"/>
  <c r="AF87" i="6"/>
  <c r="AE87" i="6"/>
  <c r="AG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O87" i="6"/>
  <c r="G90" i="10"/>
  <c r="E89" i="10"/>
  <c r="F89" i="10"/>
  <c r="A98" i="6"/>
  <c r="V98" i="10"/>
  <c r="A99" i="10"/>
  <c r="BD100" i="21" l="1"/>
  <c r="BF100" i="21" s="1"/>
  <c r="N100" i="21"/>
  <c r="O100" i="21" s="1"/>
  <c r="P100" i="21"/>
  <c r="H103" i="21"/>
  <c r="F104" i="21"/>
  <c r="I104" i="21"/>
  <c r="BO103" i="21"/>
  <c r="AO92" i="21"/>
  <c r="CA95" i="21"/>
  <c r="BY95" i="21"/>
  <c r="BZ95" i="21" s="1"/>
  <c r="AK95" i="21"/>
  <c r="AM95" i="21" s="1"/>
  <c r="BW95" i="21"/>
  <c r="BX95" i="21" s="1"/>
  <c r="Z95" i="21"/>
  <c r="CC94" i="21"/>
  <c r="CB94" i="21"/>
  <c r="R99" i="21"/>
  <c r="S99" i="21"/>
  <c r="T99" i="21" s="1"/>
  <c r="AC101" i="21"/>
  <c r="BE101" i="21" s="1"/>
  <c r="L101" i="21"/>
  <c r="M101" i="21" s="1"/>
  <c r="BN101" i="21"/>
  <c r="AD101" i="21"/>
  <c r="J102" i="21"/>
  <c r="AF101" i="21"/>
  <c r="AE101" i="21"/>
  <c r="A104" i="21"/>
  <c r="Y103" i="21"/>
  <c r="BM103" i="21"/>
  <c r="Q103" i="21"/>
  <c r="U98" i="21"/>
  <c r="V98" i="21"/>
  <c r="G102" i="21"/>
  <c r="AG101" i="21"/>
  <c r="AH97" i="21"/>
  <c r="AI97" i="21" s="1"/>
  <c r="W97" i="21"/>
  <c r="BV92" i="21"/>
  <c r="BV100" i="21"/>
  <c r="BV94" i="21"/>
  <c r="BV93" i="21"/>
  <c r="BV95" i="21"/>
  <c r="BV96" i="21"/>
  <c r="BV97" i="21"/>
  <c r="BV98" i="21"/>
  <c r="BB96" i="21"/>
  <c r="X96" i="21"/>
  <c r="AY96" i="21" s="1"/>
  <c r="AJ96" i="21"/>
  <c r="AL96" i="21" s="1"/>
  <c r="AX96" i="21"/>
  <c r="AQ96" i="21"/>
  <c r="AZ96" i="21" s="1"/>
  <c r="AY95" i="21"/>
  <c r="BD87" i="6"/>
  <c r="BF87" i="6" s="1"/>
  <c r="AC88" i="6"/>
  <c r="BE88" i="6" s="1"/>
  <c r="AD88" i="6"/>
  <c r="AE88" i="6"/>
  <c r="AF88" i="6"/>
  <c r="AG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O88" i="6"/>
  <c r="E90" i="10"/>
  <c r="G91" i="10"/>
  <c r="F90" i="10"/>
  <c r="A99" i="6"/>
  <c r="V99" i="10"/>
  <c r="A100" i="10"/>
  <c r="N101" i="21" l="1"/>
  <c r="O101" i="21" s="1"/>
  <c r="P101" i="21"/>
  <c r="I105" i="21"/>
  <c r="BO104" i="21"/>
  <c r="U99" i="21"/>
  <c r="V99" i="21"/>
  <c r="AN94" i="21"/>
  <c r="CA96" i="21"/>
  <c r="BY96" i="21"/>
  <c r="BZ96" i="21" s="1"/>
  <c r="BW96" i="21"/>
  <c r="BX96" i="21" s="1"/>
  <c r="Z96" i="21"/>
  <c r="AK96" i="21"/>
  <c r="AM96" i="21" s="1"/>
  <c r="AH98" i="21"/>
  <c r="AI98" i="21" s="1"/>
  <c r="W98" i="21"/>
  <c r="H104" i="21"/>
  <c r="BB97" i="21"/>
  <c r="AX97" i="21"/>
  <c r="X97" i="21"/>
  <c r="AY97" i="21" s="1"/>
  <c r="AQ97" i="21"/>
  <c r="AZ97" i="21" s="1"/>
  <c r="AJ97" i="21"/>
  <c r="AL97" i="21" s="1"/>
  <c r="AG102" i="21"/>
  <c r="G103" i="21"/>
  <c r="R100" i="21"/>
  <c r="S100" i="21"/>
  <c r="T100" i="21" s="1"/>
  <c r="BM104" i="21"/>
  <c r="A105" i="21"/>
  <c r="Y104" i="21"/>
  <c r="Q104" i="21"/>
  <c r="AO93" i="21"/>
  <c r="F105" i="21"/>
  <c r="CC95" i="21"/>
  <c r="CB95" i="21"/>
  <c r="J103" i="21"/>
  <c r="AD102" i="21"/>
  <c r="AC102" i="21"/>
  <c r="BE102" i="21" s="1"/>
  <c r="BN102" i="21"/>
  <c r="L102" i="21"/>
  <c r="M102" i="21" s="1"/>
  <c r="AE102" i="21"/>
  <c r="AF102" i="21"/>
  <c r="AN95" i="21"/>
  <c r="BD101" i="21"/>
  <c r="BF101" i="21" s="1"/>
  <c r="BD88" i="6"/>
  <c r="BF88" i="6" s="1"/>
  <c r="AC89" i="6"/>
  <c r="BE89" i="6" s="1"/>
  <c r="AD89" i="6"/>
  <c r="AF89" i="6"/>
  <c r="AE89" i="6"/>
  <c r="AG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O89" i="6"/>
  <c r="E91" i="10"/>
  <c r="G92" i="10"/>
  <c r="F91" i="10"/>
  <c r="A100" i="6"/>
  <c r="A101" i="10"/>
  <c r="V100" i="10"/>
  <c r="BD102" i="21" l="1"/>
  <c r="BF102" i="21" s="1"/>
  <c r="AD103" i="21"/>
  <c r="AC103" i="21"/>
  <c r="BE103" i="21" s="1"/>
  <c r="L103" i="21"/>
  <c r="J104" i="21"/>
  <c r="BN103" i="21"/>
  <c r="AF103" i="21"/>
  <c r="AE103" i="21"/>
  <c r="U100" i="21"/>
  <c r="V100" i="21"/>
  <c r="H105" i="21"/>
  <c r="AX98" i="21"/>
  <c r="AQ98" i="21"/>
  <c r="AZ98" i="21" s="1"/>
  <c r="X98" i="21"/>
  <c r="AY98" i="21" s="1"/>
  <c r="BB98" i="21"/>
  <c r="AJ98" i="21"/>
  <c r="AL98" i="21" s="1"/>
  <c r="I106" i="21"/>
  <c r="BO105" i="21"/>
  <c r="F106" i="21"/>
  <c r="R101" i="21"/>
  <c r="S101" i="21"/>
  <c r="T101" i="21" s="1"/>
  <c r="M103" i="21"/>
  <c r="N102" i="21"/>
  <c r="O102" i="21" s="1"/>
  <c r="P102" i="21"/>
  <c r="CA97" i="21"/>
  <c r="BY97" i="21"/>
  <c r="BZ97" i="21" s="1"/>
  <c r="BW97" i="21"/>
  <c r="BX97" i="21" s="1"/>
  <c r="Z97" i="21"/>
  <c r="AK97" i="21"/>
  <c r="AM97" i="21" s="1"/>
  <c r="AH99" i="21"/>
  <c r="AI99" i="21" s="1"/>
  <c r="W99" i="21"/>
  <c r="G104" i="21"/>
  <c r="AG103" i="21"/>
  <c r="AO94" i="21"/>
  <c r="CB96" i="21"/>
  <c r="CC96" i="21"/>
  <c r="Y105" i="21"/>
  <c r="BM105" i="21"/>
  <c r="A106" i="21"/>
  <c r="BD89" i="6"/>
  <c r="BF89" i="6" s="1"/>
  <c r="AC90" i="6"/>
  <c r="BE90" i="6" s="1"/>
  <c r="AD90" i="6"/>
  <c r="AF90" i="6"/>
  <c r="AE90" i="6"/>
  <c r="AG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O90" i="6"/>
  <c r="G93" i="10"/>
  <c r="E92" i="10"/>
  <c r="F92" i="10"/>
  <c r="A101" i="6"/>
  <c r="V101" i="10"/>
  <c r="A102" i="10"/>
  <c r="Y106" i="21" l="1"/>
  <c r="A107" i="21"/>
  <c r="BM106" i="21"/>
  <c r="F107" i="21"/>
  <c r="AG104" i="21"/>
  <c r="G105" i="21"/>
  <c r="U101" i="21"/>
  <c r="V101" i="21"/>
  <c r="AO95" i="21"/>
  <c r="BN104" i="21"/>
  <c r="J105" i="21"/>
  <c r="AD104" i="21"/>
  <c r="AC104" i="21"/>
  <c r="BE104" i="21" s="1"/>
  <c r="L104" i="21"/>
  <c r="M104" i="21" s="1"/>
  <c r="AF104" i="21"/>
  <c r="AE104" i="21"/>
  <c r="H106" i="21"/>
  <c r="AX99" i="21"/>
  <c r="AQ99" i="21"/>
  <c r="AZ99" i="21" s="1"/>
  <c r="X99" i="21"/>
  <c r="BB99" i="21"/>
  <c r="AJ99" i="21"/>
  <c r="AL99" i="21" s="1"/>
  <c r="AN97" i="21" s="1"/>
  <c r="AY99" i="21"/>
  <c r="BD103" i="21"/>
  <c r="BF103" i="21" s="1"/>
  <c r="N103" i="21"/>
  <c r="O103" i="21" s="1"/>
  <c r="P103" i="21"/>
  <c r="AH100" i="21"/>
  <c r="AI100" i="21" s="1"/>
  <c r="W100" i="21"/>
  <c r="I107" i="21"/>
  <c r="BO106" i="21"/>
  <c r="CC97" i="21"/>
  <c r="CB97" i="21"/>
  <c r="AN96" i="21"/>
  <c r="R102" i="21"/>
  <c r="S102" i="21"/>
  <c r="T102" i="21" s="1"/>
  <c r="BY98" i="21"/>
  <c r="BZ98" i="21" s="1"/>
  <c r="BW98" i="21"/>
  <c r="BX98" i="21" s="1"/>
  <c r="Z98" i="21"/>
  <c r="CA98" i="21"/>
  <c r="AK98" i="21"/>
  <c r="AM98" i="21" s="1"/>
  <c r="AO96" i="21" s="1"/>
  <c r="BD90" i="6"/>
  <c r="BF90" i="6" s="1"/>
  <c r="AC91" i="6"/>
  <c r="BE91" i="6" s="1"/>
  <c r="AD91" i="6"/>
  <c r="AF91" i="6"/>
  <c r="AE91" i="6"/>
  <c r="AG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O91" i="6"/>
  <c r="E93" i="10"/>
  <c r="G94" i="10"/>
  <c r="F93" i="10"/>
  <c r="F94" i="10" s="1"/>
  <c r="F95" i="10" s="1"/>
  <c r="A102" i="6"/>
  <c r="A103" i="10"/>
  <c r="V102" i="10"/>
  <c r="N104" i="21" l="1"/>
  <c r="O104" i="21" s="1"/>
  <c r="P104" i="21"/>
  <c r="H107" i="21"/>
  <c r="F108" i="21"/>
  <c r="Y107" i="21"/>
  <c r="A108" i="21"/>
  <c r="BM107" i="21"/>
  <c r="U102" i="21"/>
  <c r="V102" i="21"/>
  <c r="R103" i="21"/>
  <c r="S103" i="21"/>
  <c r="T103" i="21" s="1"/>
  <c r="CB98" i="21"/>
  <c r="CC98" i="21"/>
  <c r="BD104" i="21"/>
  <c r="BF104" i="21" s="1"/>
  <c r="J106" i="21"/>
  <c r="AD105" i="21"/>
  <c r="L105" i="21"/>
  <c r="M105" i="21" s="1"/>
  <c r="AC105" i="21"/>
  <c r="BE105" i="21" s="1"/>
  <c r="BN105" i="21"/>
  <c r="AE105" i="21"/>
  <c r="AF105" i="21"/>
  <c r="BO107" i="21"/>
  <c r="I108" i="21"/>
  <c r="BY99" i="21"/>
  <c r="BZ99" i="21" s="1"/>
  <c r="BW99" i="21"/>
  <c r="BX99" i="21" s="1"/>
  <c r="Z99" i="21"/>
  <c r="AK99" i="21"/>
  <c r="AM99" i="21" s="1"/>
  <c r="AO97" i="21" s="1"/>
  <c r="CA99" i="21"/>
  <c r="AH101" i="21"/>
  <c r="AI101" i="21" s="1"/>
  <c r="W101" i="21"/>
  <c r="AX100" i="21"/>
  <c r="AQ100" i="21"/>
  <c r="AZ100" i="21" s="1"/>
  <c r="X100" i="21"/>
  <c r="AJ100" i="21"/>
  <c r="AL100" i="21" s="1"/>
  <c r="BB100" i="21"/>
  <c r="AY100" i="21"/>
  <c r="AG105" i="21"/>
  <c r="G106" i="21"/>
  <c r="BD91" i="6"/>
  <c r="BF91" i="6" s="1"/>
  <c r="AD92" i="6"/>
  <c r="AC92" i="6"/>
  <c r="BE92" i="6" s="1"/>
  <c r="AF92" i="6"/>
  <c r="AE92" i="6"/>
  <c r="AG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O92" i="6"/>
  <c r="G95" i="10"/>
  <c r="E94" i="10"/>
  <c r="A103" i="6"/>
  <c r="A104" i="10"/>
  <c r="V103" i="10"/>
  <c r="N105" i="21" l="1"/>
  <c r="O105" i="21" s="1"/>
  <c r="P105" i="21"/>
  <c r="S105" i="21" s="1"/>
  <c r="T105" i="21" s="1"/>
  <c r="G107" i="21"/>
  <c r="AG106" i="21"/>
  <c r="BD105" i="21"/>
  <c r="BF105" i="21" s="1"/>
  <c r="BO108" i="21"/>
  <c r="I109" i="21"/>
  <c r="F109" i="21"/>
  <c r="H108" i="21"/>
  <c r="R104" i="21"/>
  <c r="S104" i="21"/>
  <c r="T104" i="21" s="1"/>
  <c r="J107" i="21"/>
  <c r="AD106" i="21"/>
  <c r="BD106" i="21" s="1"/>
  <c r="BF106" i="21" s="1"/>
  <c r="L106" i="21"/>
  <c r="M106" i="21" s="1"/>
  <c r="AC106" i="21"/>
  <c r="BE106" i="21" s="1"/>
  <c r="BN106" i="21"/>
  <c r="AE106" i="21"/>
  <c r="AF106" i="21"/>
  <c r="CC99" i="21"/>
  <c r="CB99" i="21"/>
  <c r="A109" i="21"/>
  <c r="BM108" i="21"/>
  <c r="Y108" i="21"/>
  <c r="AN98" i="21"/>
  <c r="BW100" i="21"/>
  <c r="BX100" i="21" s="1"/>
  <c r="Z100" i="21"/>
  <c r="AK100" i="21"/>
  <c r="AM100" i="21" s="1"/>
  <c r="BY100" i="21"/>
  <c r="BZ100" i="21" s="1"/>
  <c r="CA100" i="21"/>
  <c r="U103" i="21"/>
  <c r="V103" i="21"/>
  <c r="AX101" i="21"/>
  <c r="AQ101" i="21"/>
  <c r="AZ101" i="21" s="1"/>
  <c r="X101" i="21"/>
  <c r="AY101" i="21" s="1"/>
  <c r="AJ101" i="21"/>
  <c r="AL101" i="21" s="1"/>
  <c r="BB101" i="21"/>
  <c r="AH102" i="21"/>
  <c r="AI102" i="21" s="1"/>
  <c r="W102" i="21"/>
  <c r="BD92" i="6"/>
  <c r="BF92" i="6" s="1"/>
  <c r="AD93" i="6"/>
  <c r="AC93" i="6"/>
  <c r="BE93" i="6" s="1"/>
  <c r="AF93" i="6"/>
  <c r="AE93" i="6"/>
  <c r="AG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O93" i="6"/>
  <c r="G96" i="10"/>
  <c r="E95" i="10"/>
  <c r="A105" i="10"/>
  <c r="V105" i="10" s="1"/>
  <c r="A104" i="6"/>
  <c r="V104" i="10"/>
  <c r="N106" i="21" l="1"/>
  <c r="O106" i="21" s="1"/>
  <c r="P106" i="21"/>
  <c r="S106" i="21" s="1"/>
  <c r="T106" i="21" s="1"/>
  <c r="F110" i="21"/>
  <c r="AC107" i="21"/>
  <c r="BE107" i="21" s="1"/>
  <c r="BN107" i="21"/>
  <c r="J108" i="21"/>
  <c r="L107" i="21"/>
  <c r="M107" i="21" s="1"/>
  <c r="AD107" i="21"/>
  <c r="AF107" i="21"/>
  <c r="AE107" i="21"/>
  <c r="G108" i="21"/>
  <c r="AG107" i="21"/>
  <c r="U105" i="21"/>
  <c r="V105" i="21"/>
  <c r="Z101" i="21"/>
  <c r="AK101" i="21"/>
  <c r="AM101" i="21" s="1"/>
  <c r="I110" i="21"/>
  <c r="BO109" i="21"/>
  <c r="AH103" i="21"/>
  <c r="AI103" i="21" s="1"/>
  <c r="W103" i="21"/>
  <c r="U104" i="21"/>
  <c r="V104" i="21"/>
  <c r="AN99" i="21"/>
  <c r="CB100" i="21"/>
  <c r="CC100" i="21"/>
  <c r="BM109" i="21"/>
  <c r="Y109" i="21"/>
  <c r="A110" i="21"/>
  <c r="AJ102" i="21"/>
  <c r="AL102" i="21" s="1"/>
  <c r="AN100" i="21" s="1"/>
  <c r="BB102" i="21"/>
  <c r="AX102" i="21"/>
  <c r="X102" i="21"/>
  <c r="AQ102" i="21"/>
  <c r="AZ102" i="21" s="1"/>
  <c r="AY102" i="21"/>
  <c r="AO99" i="21"/>
  <c r="AO98" i="21"/>
  <c r="H109" i="21"/>
  <c r="BD93" i="6"/>
  <c r="BF93" i="6" s="1"/>
  <c r="AC94" i="6"/>
  <c r="BE94" i="6" s="1"/>
  <c r="AD94" i="6"/>
  <c r="AF94" i="6"/>
  <c r="AE94" i="6"/>
  <c r="AG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O94" i="6"/>
  <c r="E96" i="10"/>
  <c r="G97" i="10"/>
  <c r="F96" i="10"/>
  <c r="A106" i="10"/>
  <c r="V106" i="10" s="1"/>
  <c r="A105" i="6"/>
  <c r="BD107" i="21" l="1"/>
  <c r="BF107" i="21" s="1"/>
  <c r="N107" i="21"/>
  <c r="O107" i="21" s="1"/>
  <c r="P107" i="21"/>
  <c r="S107" i="21" s="1"/>
  <c r="T107" i="21" s="1"/>
  <c r="I111" i="21"/>
  <c r="BO110" i="21"/>
  <c r="BN108" i="21"/>
  <c r="J109" i="21"/>
  <c r="AD108" i="21"/>
  <c r="BD108" i="21" s="1"/>
  <c r="BF108" i="21" s="1"/>
  <c r="AC108" i="21"/>
  <c r="BE108" i="21" s="1"/>
  <c r="L108" i="21"/>
  <c r="M108" i="21" s="1"/>
  <c r="AE108" i="21"/>
  <c r="AF108" i="21"/>
  <c r="U106" i="21"/>
  <c r="V106" i="21"/>
  <c r="H110" i="21"/>
  <c r="AH105" i="21"/>
  <c r="AI105" i="21" s="1"/>
  <c r="W105" i="21"/>
  <c r="AK102" i="21"/>
  <c r="AM102" i="21" s="1"/>
  <c r="Z102" i="21"/>
  <c r="F111" i="21"/>
  <c r="AH104" i="21"/>
  <c r="AI104" i="21" s="1"/>
  <c r="W104" i="21"/>
  <c r="AX103" i="21"/>
  <c r="AQ103" i="21"/>
  <c r="AZ103" i="21" s="1"/>
  <c r="X103" i="21"/>
  <c r="BB103" i="21"/>
  <c r="AJ103" i="21"/>
  <c r="AL103" i="21" s="1"/>
  <c r="AY103" i="21"/>
  <c r="Y110" i="21"/>
  <c r="A111" i="21"/>
  <c r="BM110" i="21"/>
  <c r="AG108" i="21"/>
  <c r="G109" i="21"/>
  <c r="BD94" i="6"/>
  <c r="BF94" i="6" s="1"/>
  <c r="AD95" i="6"/>
  <c r="AC95" i="6"/>
  <c r="BE95" i="6" s="1"/>
  <c r="AF95" i="6"/>
  <c r="AE95" i="6"/>
  <c r="AG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O95" i="6"/>
  <c r="G98" i="10"/>
  <c r="E97" i="10"/>
  <c r="F97" i="10"/>
  <c r="A107" i="10"/>
  <c r="V107" i="10" s="1"/>
  <c r="A106" i="6"/>
  <c r="N108" i="21" l="1"/>
  <c r="O108" i="21" s="1"/>
  <c r="P108" i="21"/>
  <c r="S108" i="21" s="1"/>
  <c r="T108" i="21" s="1"/>
  <c r="AN101" i="21"/>
  <c r="AO100" i="21"/>
  <c r="Z103" i="21"/>
  <c r="AK103" i="21"/>
  <c r="AM103" i="21" s="1"/>
  <c r="AO101" i="21"/>
  <c r="BB105" i="21"/>
  <c r="AQ105" i="21"/>
  <c r="AZ105" i="21" s="1"/>
  <c r="AJ105" i="21"/>
  <c r="X105" i="21"/>
  <c r="AH106" i="21"/>
  <c r="AI106" i="21" s="1"/>
  <c r="W106" i="21"/>
  <c r="J110" i="21"/>
  <c r="AD109" i="21"/>
  <c r="BD109" i="21" s="1"/>
  <c r="BF109" i="21" s="1"/>
  <c r="L109" i="21"/>
  <c r="M109" i="21" s="1"/>
  <c r="AC109" i="21"/>
  <c r="BE109" i="21" s="1"/>
  <c r="BN109" i="21"/>
  <c r="AF109" i="21"/>
  <c r="AE109" i="21"/>
  <c r="I112" i="21"/>
  <c r="BO111" i="21"/>
  <c r="U107" i="21"/>
  <c r="V107" i="21"/>
  <c r="AG109" i="21"/>
  <c r="G110" i="21"/>
  <c r="H111" i="21"/>
  <c r="Y111" i="21"/>
  <c r="A112" i="21"/>
  <c r="BM111" i="21"/>
  <c r="AJ104" i="21"/>
  <c r="AL104" i="21" s="1"/>
  <c r="AN102" i="21" s="1"/>
  <c r="BB104" i="21"/>
  <c r="AX104" i="21"/>
  <c r="AQ104" i="21"/>
  <c r="AZ104" i="21" s="1"/>
  <c r="X104" i="21"/>
  <c r="F112" i="21"/>
  <c r="BD95" i="6"/>
  <c r="BF95" i="6" s="1"/>
  <c r="AD96" i="6"/>
  <c r="AC96" i="6"/>
  <c r="BE96" i="6" s="1"/>
  <c r="AF96" i="6"/>
  <c r="AE96" i="6"/>
  <c r="AG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O96" i="6"/>
  <c r="E98" i="10"/>
  <c r="G99" i="10"/>
  <c r="F98" i="10"/>
  <c r="A108" i="10"/>
  <c r="A109" i="10" s="1"/>
  <c r="A107" i="6"/>
  <c r="N109" i="21" l="1"/>
  <c r="O109" i="21" s="1"/>
  <c r="P109" i="21"/>
  <c r="S109" i="21" s="1"/>
  <c r="T109" i="21" s="1"/>
  <c r="H112" i="21"/>
  <c r="AK104" i="21"/>
  <c r="AM104" i="21" s="1"/>
  <c r="AO102" i="21" s="1"/>
  <c r="Z104" i="21"/>
  <c r="J111" i="21"/>
  <c r="AD110" i="21"/>
  <c r="L110" i="21"/>
  <c r="M110" i="21" s="1"/>
  <c r="AC110" i="21"/>
  <c r="BE110" i="21" s="1"/>
  <c r="BN110" i="21"/>
  <c r="AF110" i="21"/>
  <c r="AE110" i="21"/>
  <c r="AG110" i="21"/>
  <c r="G111" i="21"/>
  <c r="AY104" i="21"/>
  <c r="AH107" i="21"/>
  <c r="AI107" i="21" s="1"/>
  <c r="W107" i="21"/>
  <c r="Z105" i="21"/>
  <c r="AK105" i="21"/>
  <c r="AM105" i="21" s="1"/>
  <c r="F113" i="21"/>
  <c r="BB106" i="21"/>
  <c r="AQ106" i="21"/>
  <c r="AZ106" i="21" s="1"/>
  <c r="X106" i="21"/>
  <c r="AJ106" i="21"/>
  <c r="AL106" i="21" s="1"/>
  <c r="AY106" i="21"/>
  <c r="U108" i="21"/>
  <c r="V108" i="21"/>
  <c r="Y112" i="21"/>
  <c r="A113" i="21"/>
  <c r="BM112" i="21"/>
  <c r="AY105" i="21"/>
  <c r="BO112" i="21"/>
  <c r="I113" i="21"/>
  <c r="AL105" i="21"/>
  <c r="BD96" i="6"/>
  <c r="BF96" i="6" s="1"/>
  <c r="AD97" i="6"/>
  <c r="AC97" i="6"/>
  <c r="BE97" i="6" s="1"/>
  <c r="AF97" i="6"/>
  <c r="AE97" i="6"/>
  <c r="AG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O97" i="6"/>
  <c r="V108" i="10"/>
  <c r="G100" i="10"/>
  <c r="E99" i="10"/>
  <c r="F99" i="10"/>
  <c r="V109" i="10"/>
  <c r="A110" i="10"/>
  <c r="A108" i="6"/>
  <c r="BD110" i="21" l="1"/>
  <c r="BF110" i="21" s="1"/>
  <c r="N110" i="21"/>
  <c r="O110" i="21" s="1"/>
  <c r="P110" i="21"/>
  <c r="S110" i="21" s="1"/>
  <c r="T110" i="21" s="1"/>
  <c r="AO103" i="21"/>
  <c r="J112" i="21"/>
  <c r="AD111" i="21"/>
  <c r="BD111" i="21" s="1"/>
  <c r="BF111" i="21" s="1"/>
  <c r="L111" i="21"/>
  <c r="M111" i="21" s="1"/>
  <c r="AC111" i="21"/>
  <c r="BE111" i="21" s="1"/>
  <c r="BN111" i="21"/>
  <c r="AF111" i="21"/>
  <c r="AE111" i="21"/>
  <c r="G112" i="21"/>
  <c r="AG111" i="21"/>
  <c r="AH108" i="21"/>
  <c r="AI108" i="21" s="1"/>
  <c r="W108" i="21"/>
  <c r="U109" i="21"/>
  <c r="V109" i="21"/>
  <c r="AQ107" i="21"/>
  <c r="AZ107" i="21" s="1"/>
  <c r="X107" i="21"/>
  <c r="AY107" i="21" s="1"/>
  <c r="AJ107" i="21"/>
  <c r="AL107" i="21" s="1"/>
  <c r="BB107" i="21"/>
  <c r="AN104" i="21"/>
  <c r="AN103" i="21"/>
  <c r="BO113" i="21"/>
  <c r="I114" i="21"/>
  <c r="Z106" i="21"/>
  <c r="AK106" i="21"/>
  <c r="AM106" i="21" s="1"/>
  <c r="H113" i="21"/>
  <c r="AO104" i="21"/>
  <c r="BM113" i="21"/>
  <c r="Y113" i="21"/>
  <c r="A114" i="21"/>
  <c r="F114" i="21"/>
  <c r="BD97" i="6"/>
  <c r="BF97" i="6" s="1"/>
  <c r="AC98" i="6"/>
  <c r="BE98" i="6" s="1"/>
  <c r="AD98" i="6"/>
  <c r="AF98" i="6"/>
  <c r="AE98" i="6"/>
  <c r="AG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O98" i="6"/>
  <c r="E100" i="10"/>
  <c r="G101" i="10"/>
  <c r="F100" i="10"/>
  <c r="V110" i="10"/>
  <c r="A111" i="10"/>
  <c r="A109" i="6"/>
  <c r="N111" i="21" l="1"/>
  <c r="O111" i="21" s="1"/>
  <c r="P111" i="21"/>
  <c r="S111" i="21" s="1"/>
  <c r="T111" i="21" s="1"/>
  <c r="Z107" i="21"/>
  <c r="AK107" i="21"/>
  <c r="AM107" i="21" s="1"/>
  <c r="H114" i="21"/>
  <c r="U110" i="21"/>
  <c r="V110" i="21"/>
  <c r="F115" i="21"/>
  <c r="Y114" i="21"/>
  <c r="A115" i="21"/>
  <c r="BM114" i="21"/>
  <c r="BN112" i="21"/>
  <c r="AD112" i="21"/>
  <c r="L112" i="21"/>
  <c r="M112" i="21" s="1"/>
  <c r="AC112" i="21"/>
  <c r="BE112" i="21" s="1"/>
  <c r="J113" i="21"/>
  <c r="AF112" i="21"/>
  <c r="AE112" i="21"/>
  <c r="AH109" i="21"/>
  <c r="AI109" i="21" s="1"/>
  <c r="W109" i="21"/>
  <c r="AN105" i="21"/>
  <c r="X108" i="21"/>
  <c r="AJ108" i="21"/>
  <c r="AL108" i="21" s="1"/>
  <c r="BB108" i="21"/>
  <c r="AQ108" i="21"/>
  <c r="AZ108" i="21" s="1"/>
  <c r="I115" i="21"/>
  <c r="BO114" i="21"/>
  <c r="G113" i="21"/>
  <c r="AG112" i="21"/>
  <c r="BD98" i="6"/>
  <c r="BF98" i="6" s="1"/>
  <c r="AC99" i="6"/>
  <c r="BE99" i="6" s="1"/>
  <c r="AD99" i="6"/>
  <c r="AF99" i="6"/>
  <c r="AE99" i="6"/>
  <c r="AG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O99" i="6"/>
  <c r="E101" i="10"/>
  <c r="G102" i="10"/>
  <c r="F101" i="10"/>
  <c r="A112" i="10"/>
  <c r="V111" i="10"/>
  <c r="A110" i="6"/>
  <c r="N112" i="21" l="1"/>
  <c r="O112" i="21" s="1"/>
  <c r="P112" i="21"/>
  <c r="S112" i="21" s="1"/>
  <c r="T112" i="21" s="1"/>
  <c r="H115" i="21"/>
  <c r="Y115" i="21"/>
  <c r="A116" i="21"/>
  <c r="BM115" i="21"/>
  <c r="AG113" i="21"/>
  <c r="G114" i="21"/>
  <c r="U111" i="21"/>
  <c r="V111" i="21"/>
  <c r="AK108" i="21"/>
  <c r="AM108" i="21" s="1"/>
  <c r="AO106" i="21" s="1"/>
  <c r="Z108" i="21"/>
  <c r="BN113" i="21"/>
  <c r="J114" i="21"/>
  <c r="AD113" i="21"/>
  <c r="L113" i="21"/>
  <c r="M113" i="21" s="1"/>
  <c r="AC113" i="21"/>
  <c r="BE113" i="21" s="1"/>
  <c r="AE113" i="21"/>
  <c r="AF113" i="21"/>
  <c r="BD112" i="21"/>
  <c r="BF112" i="21" s="1"/>
  <c r="F116" i="21"/>
  <c r="AJ109" i="21"/>
  <c r="AL109" i="21" s="1"/>
  <c r="BB109" i="21"/>
  <c r="AQ109" i="21"/>
  <c r="AZ109" i="21" s="1"/>
  <c r="X109" i="21"/>
  <c r="AY109" i="21"/>
  <c r="I116" i="21"/>
  <c r="BO115" i="21"/>
  <c r="AY108" i="21"/>
  <c r="AH110" i="21"/>
  <c r="AI110" i="21" s="1"/>
  <c r="W110" i="21"/>
  <c r="AN106" i="21"/>
  <c r="AO105" i="21"/>
  <c r="BD99" i="6"/>
  <c r="BF99" i="6" s="1"/>
  <c r="AD100" i="6"/>
  <c r="AC100" i="6"/>
  <c r="BE100" i="6" s="1"/>
  <c r="AF100" i="6"/>
  <c r="AE100" i="6"/>
  <c r="AG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O100" i="6"/>
  <c r="G103" i="10"/>
  <c r="E102" i="10"/>
  <c r="F102" i="10"/>
  <c r="A113" i="10"/>
  <c r="V112" i="10"/>
  <c r="A111" i="6"/>
  <c r="BD113" i="21" l="1"/>
  <c r="BF113" i="21" s="1"/>
  <c r="N113" i="21"/>
  <c r="O113" i="21" s="1"/>
  <c r="P113" i="21"/>
  <c r="S113" i="21" s="1"/>
  <c r="T113" i="21" s="1"/>
  <c r="I117" i="21"/>
  <c r="BO116" i="21"/>
  <c r="Y116" i="21"/>
  <c r="A117" i="21"/>
  <c r="BM116" i="21"/>
  <c r="AN107" i="21"/>
  <c r="AH111" i="21"/>
  <c r="AI111" i="21" s="1"/>
  <c r="W111" i="21"/>
  <c r="H116" i="21"/>
  <c r="J115" i="21"/>
  <c r="AD114" i="21"/>
  <c r="L114" i="21"/>
  <c r="M114" i="21" s="1"/>
  <c r="AC114" i="21"/>
  <c r="BE114" i="21" s="1"/>
  <c r="BN114" i="21"/>
  <c r="AF114" i="21"/>
  <c r="AE114" i="21"/>
  <c r="BB110" i="21"/>
  <c r="AQ110" i="21"/>
  <c r="AZ110" i="21" s="1"/>
  <c r="X110" i="21"/>
  <c r="AJ110" i="21"/>
  <c r="AL110" i="21" s="1"/>
  <c r="AN108" i="21" s="1"/>
  <c r="AY110" i="21"/>
  <c r="F117" i="21"/>
  <c r="AK109" i="21"/>
  <c r="AM109" i="21" s="1"/>
  <c r="Z109" i="21"/>
  <c r="AG114" i="21"/>
  <c r="G115" i="21"/>
  <c r="U112" i="21"/>
  <c r="V112" i="21"/>
  <c r="BD100" i="6"/>
  <c r="BF100" i="6" s="1"/>
  <c r="AC101" i="6"/>
  <c r="BE101" i="6" s="1"/>
  <c r="AD101" i="6"/>
  <c r="AF101" i="6"/>
  <c r="AE101" i="6"/>
  <c r="AG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O101" i="6"/>
  <c r="E103" i="10"/>
  <c r="G104" i="10"/>
  <c r="F103" i="10"/>
  <c r="V113" i="10"/>
  <c r="A114" i="10"/>
  <c r="A112" i="6"/>
  <c r="BD114" i="21" l="1"/>
  <c r="BF114" i="21" s="1"/>
  <c r="N114" i="21"/>
  <c r="O114" i="21" s="1"/>
  <c r="P114" i="21"/>
  <c r="S114" i="21" s="1"/>
  <c r="T114" i="21" s="1"/>
  <c r="H117" i="21"/>
  <c r="BO117" i="21"/>
  <c r="I118" i="21"/>
  <c r="J116" i="21"/>
  <c r="AD115" i="21"/>
  <c r="L115" i="21"/>
  <c r="M115" i="21" s="1"/>
  <c r="AC115" i="21"/>
  <c r="BE115" i="21" s="1"/>
  <c r="BN115" i="21"/>
  <c r="AF115" i="21"/>
  <c r="AE115" i="21"/>
  <c r="Z110" i="21"/>
  <c r="AK110" i="21"/>
  <c r="AM110" i="21" s="1"/>
  <c r="F118" i="21"/>
  <c r="AH112" i="21"/>
  <c r="AI112" i="21" s="1"/>
  <c r="W112" i="21"/>
  <c r="AO107" i="21"/>
  <c r="Y117" i="21"/>
  <c r="A118" i="21"/>
  <c r="BM117" i="21"/>
  <c r="AQ111" i="21"/>
  <c r="AZ111" i="21" s="1"/>
  <c r="X111" i="21"/>
  <c r="AJ111" i="21"/>
  <c r="AL111" i="21" s="1"/>
  <c r="BB111" i="21"/>
  <c r="AG115" i="21"/>
  <c r="G116" i="21"/>
  <c r="U113" i="21"/>
  <c r="V113" i="21"/>
  <c r="BD101" i="6"/>
  <c r="BF101" i="6" s="1"/>
  <c r="AC102" i="6"/>
  <c r="AD102" i="6"/>
  <c r="AF102" i="6"/>
  <c r="AE102" i="6"/>
  <c r="AG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O102" i="6"/>
  <c r="G105" i="10"/>
  <c r="E104" i="10"/>
  <c r="F104" i="10"/>
  <c r="A115" i="10"/>
  <c r="V114" i="10"/>
  <c r="A113" i="6"/>
  <c r="N115" i="21" l="1"/>
  <c r="O115" i="21" s="1"/>
  <c r="M116" i="21"/>
  <c r="P115" i="21"/>
  <c r="S115" i="21" s="1"/>
  <c r="T115" i="21" s="1"/>
  <c r="Z111" i="21"/>
  <c r="AK111" i="21"/>
  <c r="AM111" i="21" s="1"/>
  <c r="I119" i="21"/>
  <c r="BO118" i="21"/>
  <c r="AN110" i="21"/>
  <c r="U114" i="21"/>
  <c r="V114" i="21"/>
  <c r="AO108" i="21"/>
  <c r="BM118" i="21"/>
  <c r="A119" i="21"/>
  <c r="Y118" i="21"/>
  <c r="F119" i="21"/>
  <c r="AH113" i="21"/>
  <c r="AI113" i="21" s="1"/>
  <c r="W113" i="21"/>
  <c r="H118" i="21"/>
  <c r="G117" i="21"/>
  <c r="AG116" i="21"/>
  <c r="BD115" i="21"/>
  <c r="BF115" i="21" s="1"/>
  <c r="AY111" i="21"/>
  <c r="AD116" i="21"/>
  <c r="BD116" i="21" s="1"/>
  <c r="BF116" i="21" s="1"/>
  <c r="L116" i="21"/>
  <c r="AC116" i="21"/>
  <c r="BE116" i="21" s="1"/>
  <c r="BN116" i="21"/>
  <c r="J117" i="21"/>
  <c r="AE116" i="21"/>
  <c r="AF116" i="21"/>
  <c r="AQ112" i="21"/>
  <c r="AZ112" i="21" s="1"/>
  <c r="X112" i="21"/>
  <c r="AJ112" i="21"/>
  <c r="AL112" i="21" s="1"/>
  <c r="BB112" i="21"/>
  <c r="AY112" i="21"/>
  <c r="AN109" i="21"/>
  <c r="BC102" i="6"/>
  <c r="BE102" i="6" s="1"/>
  <c r="BD102" i="6"/>
  <c r="BF102" i="6" s="1"/>
  <c r="AC103" i="6"/>
  <c r="AD103" i="6"/>
  <c r="AF103" i="6"/>
  <c r="AE103" i="6"/>
  <c r="AG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O103" i="6"/>
  <c r="E105" i="10"/>
  <c r="G106" i="10"/>
  <c r="F105" i="10"/>
  <c r="A116" i="10"/>
  <c r="V115" i="10"/>
  <c r="A114" i="6"/>
  <c r="AO109" i="21" l="1"/>
  <c r="AO110" i="21"/>
  <c r="H119" i="21"/>
  <c r="I120" i="21"/>
  <c r="BO119" i="21"/>
  <c r="U115" i="21"/>
  <c r="V115" i="21"/>
  <c r="N116" i="21"/>
  <c r="O116" i="21" s="1"/>
  <c r="P116" i="21"/>
  <c r="S116" i="21" s="1"/>
  <c r="T116" i="21" s="1"/>
  <c r="Y119" i="21"/>
  <c r="A120" i="21"/>
  <c r="BM119" i="21"/>
  <c r="AJ113" i="21"/>
  <c r="AL113" i="21" s="1"/>
  <c r="AN111" i="21" s="1"/>
  <c r="BB113" i="21"/>
  <c r="AQ113" i="21"/>
  <c r="AZ113" i="21" s="1"/>
  <c r="X113" i="21"/>
  <c r="AY113" i="21"/>
  <c r="Z112" i="21"/>
  <c r="AK112" i="21"/>
  <c r="AM112" i="21" s="1"/>
  <c r="AG117" i="21"/>
  <c r="G118" i="21"/>
  <c r="BN117" i="21"/>
  <c r="AC117" i="21"/>
  <c r="BE117" i="21" s="1"/>
  <c r="AD117" i="21"/>
  <c r="BD117" i="21" s="1"/>
  <c r="BF117" i="21" s="1"/>
  <c r="J118" i="21"/>
  <c r="L117" i="21"/>
  <c r="M117" i="21" s="1"/>
  <c r="AE117" i="21"/>
  <c r="AF117" i="21"/>
  <c r="AH114" i="21"/>
  <c r="AI114" i="21" s="1"/>
  <c r="W114" i="21"/>
  <c r="F120" i="21"/>
  <c r="BC103" i="6"/>
  <c r="BE103" i="6" s="1"/>
  <c r="BD103" i="6"/>
  <c r="BF103" i="6" s="1"/>
  <c r="AD104" i="6"/>
  <c r="AC104" i="6"/>
  <c r="AF104" i="6"/>
  <c r="AE104" i="6"/>
  <c r="AG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O104" i="6"/>
  <c r="G107" i="10"/>
  <c r="E106" i="10"/>
  <c r="F106" i="10"/>
  <c r="A117" i="10"/>
  <c r="V116" i="10"/>
  <c r="A115" i="6"/>
  <c r="N117" i="21" l="1"/>
  <c r="O117" i="21" s="1"/>
  <c r="P117" i="21"/>
  <c r="S117" i="21" s="1"/>
  <c r="T117" i="21" s="1"/>
  <c r="AH115" i="21"/>
  <c r="AI115" i="21" s="1"/>
  <c r="W115" i="21"/>
  <c r="Y120" i="21"/>
  <c r="A121" i="21"/>
  <c r="BM120" i="21"/>
  <c r="AG118" i="21"/>
  <c r="G119" i="21"/>
  <c r="BN118" i="21"/>
  <c r="J119" i="21"/>
  <c r="AD118" i="21"/>
  <c r="BD118" i="21" s="1"/>
  <c r="BF118" i="21" s="1"/>
  <c r="L118" i="21"/>
  <c r="M118" i="21" s="1"/>
  <c r="AC118" i="21"/>
  <c r="BE118" i="21" s="1"/>
  <c r="AF118" i="21"/>
  <c r="AE118" i="21"/>
  <c r="H120" i="21"/>
  <c r="I121" i="21"/>
  <c r="BO120" i="21"/>
  <c r="F121" i="21"/>
  <c r="U116" i="21"/>
  <c r="V116" i="21"/>
  <c r="AJ114" i="21"/>
  <c r="AL114" i="21" s="1"/>
  <c r="AN112" i="21" s="1"/>
  <c r="BB114" i="21"/>
  <c r="AQ114" i="21"/>
  <c r="AZ114" i="21" s="1"/>
  <c r="X114" i="21"/>
  <c r="AY114" i="21"/>
  <c r="AK113" i="21"/>
  <c r="AM113" i="21" s="1"/>
  <c r="AO111" i="21" s="1"/>
  <c r="Z113" i="21"/>
  <c r="BC104" i="6"/>
  <c r="BE104" i="6" s="1"/>
  <c r="BD104" i="6"/>
  <c r="BF104" i="6" s="1"/>
  <c r="AC105" i="6"/>
  <c r="AD105" i="6"/>
  <c r="AF105" i="6"/>
  <c r="AE105" i="6"/>
  <c r="AG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O105" i="6"/>
  <c r="E107" i="10"/>
  <c r="G108" i="10"/>
  <c r="F107" i="10"/>
  <c r="A118" i="10"/>
  <c r="V117" i="10"/>
  <c r="A116" i="6"/>
  <c r="N118" i="21" l="1"/>
  <c r="O118" i="21" s="1"/>
  <c r="P118" i="21"/>
  <c r="S118" i="21" s="1"/>
  <c r="T118" i="21" s="1"/>
  <c r="A122" i="21"/>
  <c r="BM121" i="21"/>
  <c r="Y121" i="21"/>
  <c r="AH116" i="21"/>
  <c r="AI116" i="21" s="1"/>
  <c r="W116" i="21"/>
  <c r="BB115" i="21"/>
  <c r="AQ115" i="21"/>
  <c r="AZ115" i="21" s="1"/>
  <c r="X115" i="21"/>
  <c r="AJ115" i="21"/>
  <c r="AL115" i="21" s="1"/>
  <c r="AN113" i="21" s="1"/>
  <c r="AY115" i="21"/>
  <c r="F122" i="21"/>
  <c r="AG119" i="21"/>
  <c r="G120" i="21"/>
  <c r="BO121" i="21"/>
  <c r="I122" i="21"/>
  <c r="H121" i="21"/>
  <c r="J120" i="21"/>
  <c r="AD119" i="21"/>
  <c r="L119" i="21"/>
  <c r="M119" i="21" s="1"/>
  <c r="AC119" i="21"/>
  <c r="BE119" i="21" s="1"/>
  <c r="BN119" i="21"/>
  <c r="AF119" i="21"/>
  <c r="AE119" i="21"/>
  <c r="U117" i="21"/>
  <c r="V117" i="21"/>
  <c r="Z114" i="21"/>
  <c r="AK114" i="21"/>
  <c r="AM114" i="21" s="1"/>
  <c r="BC105" i="6"/>
  <c r="BE105" i="6" s="1"/>
  <c r="BD105" i="6"/>
  <c r="BF105" i="6" s="1"/>
  <c r="AD106" i="6"/>
  <c r="AC106" i="6"/>
  <c r="BE106" i="6" s="1"/>
  <c r="AF106" i="6"/>
  <c r="AE106" i="6"/>
  <c r="AG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O106" i="6"/>
  <c r="G109" i="10"/>
  <c r="E108" i="10"/>
  <c r="F108" i="10"/>
  <c r="A119" i="10"/>
  <c r="V118" i="10"/>
  <c r="A117" i="6"/>
  <c r="N119" i="21" l="1"/>
  <c r="O119" i="21" s="1"/>
  <c r="P119" i="21"/>
  <c r="S119" i="21" s="1"/>
  <c r="T119" i="21" s="1"/>
  <c r="BO122" i="21"/>
  <c r="I123" i="21"/>
  <c r="G121" i="21"/>
  <c r="AG120" i="21"/>
  <c r="J121" i="21"/>
  <c r="AD120" i="21"/>
  <c r="BD120" i="21" s="1"/>
  <c r="BF120" i="21" s="1"/>
  <c r="L120" i="21"/>
  <c r="M120" i="21" s="1"/>
  <c r="AC120" i="21"/>
  <c r="BE120" i="21" s="1"/>
  <c r="BN120" i="21"/>
  <c r="AE120" i="21"/>
  <c r="AF120" i="21"/>
  <c r="U118" i="21"/>
  <c r="V118" i="21"/>
  <c r="BD119" i="21"/>
  <c r="BF119" i="21" s="1"/>
  <c r="F123" i="21"/>
  <c r="BM122" i="21"/>
  <c r="Y122" i="21"/>
  <c r="A123" i="21"/>
  <c r="AO112" i="21"/>
  <c r="Z115" i="21"/>
  <c r="AK115" i="21"/>
  <c r="AM115" i="21" s="1"/>
  <c r="AO113" i="21" s="1"/>
  <c r="H122" i="21"/>
  <c r="AH117" i="21"/>
  <c r="AI117" i="21" s="1"/>
  <c r="W117" i="21"/>
  <c r="AQ116" i="21"/>
  <c r="AZ116" i="21" s="1"/>
  <c r="X116" i="21"/>
  <c r="AJ116" i="21"/>
  <c r="AL116" i="21" s="1"/>
  <c r="BB116" i="21"/>
  <c r="BD106" i="6"/>
  <c r="BF106" i="6" s="1"/>
  <c r="AD107" i="6"/>
  <c r="AC107" i="6"/>
  <c r="BE107" i="6" s="1"/>
  <c r="AF107" i="6"/>
  <c r="AE107" i="6"/>
  <c r="AG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O107" i="6"/>
  <c r="E109" i="10"/>
  <c r="G110" i="10"/>
  <c r="F109" i="10"/>
  <c r="A120" i="10"/>
  <c r="V119" i="10"/>
  <c r="A118" i="6"/>
  <c r="N120" i="21" l="1"/>
  <c r="O120" i="21" s="1"/>
  <c r="P120" i="21"/>
  <c r="S120" i="21" s="1"/>
  <c r="T120" i="21" s="1"/>
  <c r="AD121" i="21"/>
  <c r="AC121" i="21"/>
  <c r="BE121" i="21" s="1"/>
  <c r="J122" i="21"/>
  <c r="BN121" i="21"/>
  <c r="L121" i="21"/>
  <c r="M121" i="21" s="1"/>
  <c r="AE121" i="21"/>
  <c r="AF121" i="21"/>
  <c r="H123" i="21"/>
  <c r="Z116" i="21"/>
  <c r="AK116" i="21"/>
  <c r="AM116" i="21" s="1"/>
  <c r="I124" i="21"/>
  <c r="BO123" i="21"/>
  <c r="F124" i="21"/>
  <c r="AY116" i="21"/>
  <c r="AO114" i="21"/>
  <c r="G122" i="21"/>
  <c r="AG121" i="21"/>
  <c r="AH118" i="21"/>
  <c r="AI118" i="21" s="1"/>
  <c r="W118" i="21"/>
  <c r="AN114" i="21"/>
  <c r="U119" i="21"/>
  <c r="V119" i="21"/>
  <c r="X117" i="21"/>
  <c r="AJ117" i="21"/>
  <c r="AL117" i="21" s="1"/>
  <c r="BB117" i="21"/>
  <c r="AQ117" i="21"/>
  <c r="AZ117" i="21" s="1"/>
  <c r="Y123" i="21"/>
  <c r="A124" i="21"/>
  <c r="BM123" i="21"/>
  <c r="BD107" i="6"/>
  <c r="BF107" i="6" s="1"/>
  <c r="AD108" i="6"/>
  <c r="AC108" i="6"/>
  <c r="BE108" i="6" s="1"/>
  <c r="AF108" i="6"/>
  <c r="AE108" i="6"/>
  <c r="AG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O108" i="6"/>
  <c r="G111" i="10"/>
  <c r="E110" i="10"/>
  <c r="F110" i="10"/>
  <c r="A121" i="10"/>
  <c r="V120" i="10"/>
  <c r="A119" i="6"/>
  <c r="N121" i="21" l="1"/>
  <c r="O121" i="21" s="1"/>
  <c r="P121" i="21"/>
  <c r="S121" i="21" s="1"/>
  <c r="T121" i="21" s="1"/>
  <c r="H124" i="21"/>
  <c r="AH119" i="21"/>
  <c r="AI119" i="21" s="1"/>
  <c r="W119" i="21"/>
  <c r="AK117" i="21"/>
  <c r="AM117" i="21" s="1"/>
  <c r="Z117" i="21"/>
  <c r="AN115" i="21"/>
  <c r="Y124" i="21"/>
  <c r="A125" i="21"/>
  <c r="BM124" i="21"/>
  <c r="BN122" i="21"/>
  <c r="J123" i="21"/>
  <c r="AD122" i="21"/>
  <c r="BD122" i="21" s="1"/>
  <c r="BF122" i="21" s="1"/>
  <c r="L122" i="21"/>
  <c r="M122" i="21" s="1"/>
  <c r="AC122" i="21"/>
  <c r="BE122" i="21" s="1"/>
  <c r="AF122" i="21"/>
  <c r="AE122" i="21"/>
  <c r="AG122" i="21"/>
  <c r="G123" i="21"/>
  <c r="F125" i="21"/>
  <c r="BD121" i="21"/>
  <c r="BF121" i="21" s="1"/>
  <c r="AJ118" i="21"/>
  <c r="AL118" i="21" s="1"/>
  <c r="BB118" i="21"/>
  <c r="X118" i="21"/>
  <c r="AQ118" i="21"/>
  <c r="AZ118" i="21" s="1"/>
  <c r="I125" i="21"/>
  <c r="BO124" i="21"/>
  <c r="U120" i="21"/>
  <c r="V120" i="21"/>
  <c r="AY117" i="21"/>
  <c r="BD108" i="6"/>
  <c r="BF108" i="6" s="1"/>
  <c r="AC109" i="6"/>
  <c r="BE109" i="6" s="1"/>
  <c r="AD109" i="6"/>
  <c r="AF109" i="6"/>
  <c r="AE109" i="6"/>
  <c r="AG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O109" i="6"/>
  <c r="E111" i="10"/>
  <c r="G112" i="10"/>
  <c r="F111" i="10"/>
  <c r="V121" i="10"/>
  <c r="A122" i="10"/>
  <c r="A120" i="6"/>
  <c r="N122" i="21" l="1"/>
  <c r="O122" i="21" s="1"/>
  <c r="P122" i="21"/>
  <c r="S122" i="21" s="1"/>
  <c r="T122" i="21" s="1"/>
  <c r="F126" i="21"/>
  <c r="AK118" i="21"/>
  <c r="AM118" i="21" s="1"/>
  <c r="AO116" i="21" s="1"/>
  <c r="Z118" i="21"/>
  <c r="J124" i="21"/>
  <c r="AD123" i="21"/>
  <c r="L123" i="21"/>
  <c r="M123" i="21" s="1"/>
  <c r="AC123" i="21"/>
  <c r="BN123" i="21"/>
  <c r="AF123" i="21"/>
  <c r="AE123" i="21"/>
  <c r="H125" i="21"/>
  <c r="AO115" i="21"/>
  <c r="BB119" i="21"/>
  <c r="AQ119" i="21"/>
  <c r="AZ119" i="21" s="1"/>
  <c r="X119" i="21"/>
  <c r="AJ119" i="21"/>
  <c r="AL119" i="21" s="1"/>
  <c r="AH120" i="21"/>
  <c r="AI120" i="21" s="1"/>
  <c r="W120" i="21"/>
  <c r="Y125" i="21"/>
  <c r="BM125" i="21"/>
  <c r="A126" i="21"/>
  <c r="I126" i="21"/>
  <c r="BO125" i="21"/>
  <c r="AG123" i="21"/>
  <c r="G124" i="21"/>
  <c r="U121" i="21"/>
  <c r="V121" i="21"/>
  <c r="AY118" i="21"/>
  <c r="AN116" i="21"/>
  <c r="BD109" i="6"/>
  <c r="BF109" i="6" s="1"/>
  <c r="AC110" i="6"/>
  <c r="AD110" i="6"/>
  <c r="AF110" i="6"/>
  <c r="AE110" i="6"/>
  <c r="AG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O110" i="6"/>
  <c r="G113" i="10"/>
  <c r="E112" i="10"/>
  <c r="F112" i="10"/>
  <c r="A123" i="10"/>
  <c r="V122" i="10"/>
  <c r="A121" i="6"/>
  <c r="BD123" i="21" l="1"/>
  <c r="BF123" i="21" s="1"/>
  <c r="N123" i="21"/>
  <c r="O123" i="21" s="1"/>
  <c r="P123" i="21"/>
  <c r="S123" i="21" s="1"/>
  <c r="T123" i="21" s="1"/>
  <c r="J125" i="21"/>
  <c r="AD124" i="21"/>
  <c r="L124" i="21"/>
  <c r="M124" i="21" s="1"/>
  <c r="BN124" i="21"/>
  <c r="AC124" i="21"/>
  <c r="BC124" i="21" s="1"/>
  <c r="BE124" i="21" s="1"/>
  <c r="AE124" i="21"/>
  <c r="AF124" i="21"/>
  <c r="Z119" i="21"/>
  <c r="AK119" i="21"/>
  <c r="AM119" i="21" s="1"/>
  <c r="F127" i="21"/>
  <c r="U122" i="21"/>
  <c r="V122" i="21"/>
  <c r="Y126" i="21"/>
  <c r="A127" i="21"/>
  <c r="BM126" i="21"/>
  <c r="BO126" i="21"/>
  <c r="I127" i="21"/>
  <c r="AY119" i="21"/>
  <c r="H126" i="21"/>
  <c r="AH121" i="21"/>
  <c r="AI121" i="21" s="1"/>
  <c r="W121" i="21"/>
  <c r="BB120" i="21"/>
  <c r="AQ120" i="21"/>
  <c r="AZ120" i="21" s="1"/>
  <c r="X120" i="21"/>
  <c r="AJ120" i="21"/>
  <c r="AL120" i="21" s="1"/>
  <c r="AY120" i="21"/>
  <c r="AG124" i="21"/>
  <c r="G125" i="21"/>
  <c r="AN117" i="21"/>
  <c r="BC123" i="21"/>
  <c r="BE123" i="21" s="1"/>
  <c r="BC110" i="6"/>
  <c r="BE110" i="6" s="1"/>
  <c r="BD110" i="6"/>
  <c r="BF110" i="6" s="1"/>
  <c r="AC111" i="6"/>
  <c r="BE111" i="6" s="1"/>
  <c r="AD111" i="6"/>
  <c r="AF111" i="6"/>
  <c r="AE111" i="6"/>
  <c r="AG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O111" i="6"/>
  <c r="E113" i="10"/>
  <c r="G114" i="10"/>
  <c r="F113" i="10"/>
  <c r="A124" i="10"/>
  <c r="V123" i="10"/>
  <c r="A122" i="6"/>
  <c r="BD124" i="21" l="1"/>
  <c r="BF124" i="21" s="1"/>
  <c r="N124" i="21"/>
  <c r="O124" i="21" s="1"/>
  <c r="P124" i="21"/>
  <c r="S124" i="21" s="1"/>
  <c r="T124" i="21" s="1"/>
  <c r="AD125" i="21"/>
  <c r="L125" i="21"/>
  <c r="M125" i="21" s="1"/>
  <c r="AC125" i="21"/>
  <c r="BE125" i="21" s="1"/>
  <c r="BN125" i="21"/>
  <c r="J126" i="21"/>
  <c r="AF125" i="21"/>
  <c r="AE125" i="21"/>
  <c r="H127" i="21"/>
  <c r="AQ121" i="21"/>
  <c r="AZ121" i="21" s="1"/>
  <c r="AJ121" i="21"/>
  <c r="AL121" i="21" s="1"/>
  <c r="BB121" i="21"/>
  <c r="X121" i="21"/>
  <c r="BM127" i="21"/>
  <c r="Y127" i="21"/>
  <c r="A128" i="21"/>
  <c r="F128" i="21"/>
  <c r="U123" i="21"/>
  <c r="V123" i="21"/>
  <c r="AH122" i="21"/>
  <c r="AI122" i="21" s="1"/>
  <c r="W122" i="21"/>
  <c r="G126" i="21"/>
  <c r="AG125" i="21"/>
  <c r="I128" i="21"/>
  <c r="BO127" i="21"/>
  <c r="AN118" i="21"/>
  <c r="Z120" i="21"/>
  <c r="AK120" i="21"/>
  <c r="AM120" i="21" s="1"/>
  <c r="AO117" i="21"/>
  <c r="BD111" i="6"/>
  <c r="BF111" i="6" s="1"/>
  <c r="AC112" i="6"/>
  <c r="BE112" i="6" s="1"/>
  <c r="AD112" i="6"/>
  <c r="AF112" i="6"/>
  <c r="AE112" i="6"/>
  <c r="AG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O112" i="6"/>
  <c r="G115" i="10"/>
  <c r="E114" i="10"/>
  <c r="F114" i="10"/>
  <c r="A125" i="10"/>
  <c r="V124" i="10"/>
  <c r="A123" i="6"/>
  <c r="N125" i="21" l="1"/>
  <c r="O125" i="21" s="1"/>
  <c r="P125" i="21"/>
  <c r="S125" i="21" s="1"/>
  <c r="T125" i="21" s="1"/>
  <c r="H128" i="21"/>
  <c r="F129" i="21"/>
  <c r="BD125" i="21"/>
  <c r="BF125" i="21" s="1"/>
  <c r="BN126" i="21"/>
  <c r="L126" i="21"/>
  <c r="M126" i="21" s="1"/>
  <c r="AD126" i="21"/>
  <c r="J127" i="21"/>
  <c r="AC126" i="21"/>
  <c r="AF126" i="21"/>
  <c r="AE126" i="21"/>
  <c r="Z121" i="21"/>
  <c r="AK121" i="21"/>
  <c r="AM121" i="21" s="1"/>
  <c r="Y128" i="21"/>
  <c r="A129" i="21"/>
  <c r="BM128" i="21"/>
  <c r="AY121" i="21"/>
  <c r="AO118" i="21"/>
  <c r="I129" i="21"/>
  <c r="BO128" i="21"/>
  <c r="AG126" i="21"/>
  <c r="G127" i="21"/>
  <c r="AJ122" i="21"/>
  <c r="AL122" i="21" s="1"/>
  <c r="BB122" i="21"/>
  <c r="AQ122" i="21"/>
  <c r="AZ122" i="21" s="1"/>
  <c r="X122" i="21"/>
  <c r="AY122" i="21"/>
  <c r="U124" i="21"/>
  <c r="V124" i="21"/>
  <c r="AH123" i="21"/>
  <c r="AI123" i="21" s="1"/>
  <c r="W123" i="21"/>
  <c r="AN119" i="21"/>
  <c r="BD112" i="6"/>
  <c r="BF112" i="6" s="1"/>
  <c r="AC113" i="6"/>
  <c r="BE113" i="6" s="1"/>
  <c r="AD113" i="6"/>
  <c r="AF113" i="6"/>
  <c r="AE113" i="6"/>
  <c r="AG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O113" i="6"/>
  <c r="E115" i="10"/>
  <c r="G116" i="10"/>
  <c r="F115" i="10"/>
  <c r="V125" i="10"/>
  <c r="A126" i="10"/>
  <c r="A124" i="6"/>
  <c r="N126" i="21" l="1"/>
  <c r="O126" i="21" s="1"/>
  <c r="P126" i="21"/>
  <c r="S126" i="21" s="1"/>
  <c r="T126" i="21" s="1"/>
  <c r="AN121" i="21"/>
  <c r="AG127" i="21"/>
  <c r="G128" i="21"/>
  <c r="F130" i="21"/>
  <c r="I130" i="21"/>
  <c r="BO129" i="21"/>
  <c r="AJ123" i="21"/>
  <c r="AL123" i="21" s="1"/>
  <c r="AQ123" i="21"/>
  <c r="AZ123" i="21" s="1"/>
  <c r="X123" i="21"/>
  <c r="BB123" i="21"/>
  <c r="AY123" i="21"/>
  <c r="AO119" i="21"/>
  <c r="AH124" i="21"/>
  <c r="AI124" i="21" s="1"/>
  <c r="W124" i="21"/>
  <c r="U125" i="21"/>
  <c r="V125" i="21"/>
  <c r="BC126" i="21"/>
  <c r="BE126" i="21" s="1"/>
  <c r="AN120" i="21"/>
  <c r="H129" i="21"/>
  <c r="BN127" i="21"/>
  <c r="J128" i="21"/>
  <c r="AD127" i="21"/>
  <c r="L127" i="21"/>
  <c r="M127" i="21" s="1"/>
  <c r="AC127" i="21"/>
  <c r="BE127" i="21" s="1"/>
  <c r="AE127" i="21"/>
  <c r="AF127" i="21"/>
  <c r="BD126" i="21"/>
  <c r="BF126" i="21" s="1"/>
  <c r="AK122" i="21"/>
  <c r="AM122" i="21" s="1"/>
  <c r="Z122" i="21"/>
  <c r="Y129" i="21"/>
  <c r="A130" i="21"/>
  <c r="BM129" i="21"/>
  <c r="BD113" i="6"/>
  <c r="BF113" i="6" s="1"/>
  <c r="AD114" i="6"/>
  <c r="AC114" i="6"/>
  <c r="AF114" i="6"/>
  <c r="AE114" i="6"/>
  <c r="AG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O114" i="6"/>
  <c r="G117" i="10"/>
  <c r="E116" i="10"/>
  <c r="F116" i="10"/>
  <c r="A127" i="10"/>
  <c r="V126" i="10"/>
  <c r="A125" i="6"/>
  <c r="N127" i="21" l="1"/>
  <c r="O127" i="21" s="1"/>
  <c r="P127" i="21"/>
  <c r="S127" i="21" s="1"/>
  <c r="T127" i="21" s="1"/>
  <c r="AO120" i="21"/>
  <c r="I131" i="21"/>
  <c r="BO130" i="21"/>
  <c r="F131" i="21"/>
  <c r="U126" i="21"/>
  <c r="V126" i="21"/>
  <c r="AG128" i="21"/>
  <c r="G129" i="21"/>
  <c r="Y130" i="21"/>
  <c r="A131" i="21"/>
  <c r="BM130" i="21"/>
  <c r="BD127" i="21"/>
  <c r="BF127" i="21" s="1"/>
  <c r="AD128" i="21"/>
  <c r="L128" i="21"/>
  <c r="M128" i="21" s="1"/>
  <c r="AC128" i="21"/>
  <c r="BE128" i="21" s="1"/>
  <c r="J129" i="21"/>
  <c r="BN128" i="21"/>
  <c r="AE128" i="21"/>
  <c r="AF128" i="21"/>
  <c r="AH125" i="21"/>
  <c r="AI125" i="21" s="1"/>
  <c r="W125" i="21"/>
  <c r="BB124" i="21"/>
  <c r="AQ124" i="21"/>
  <c r="AZ124" i="21" s="1"/>
  <c r="X124" i="21"/>
  <c r="AJ124" i="21"/>
  <c r="AL124" i="21" s="1"/>
  <c r="H130" i="21"/>
  <c r="Z123" i="21"/>
  <c r="AK123" i="21"/>
  <c r="AM123" i="21" s="1"/>
  <c r="BC114" i="6"/>
  <c r="BE114" i="6" s="1"/>
  <c r="BD114" i="6"/>
  <c r="BF114" i="6" s="1"/>
  <c r="AC115" i="6"/>
  <c r="BE115" i="6" s="1"/>
  <c r="AD115" i="6"/>
  <c r="AF115" i="6"/>
  <c r="AE115" i="6"/>
  <c r="AG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O115" i="6"/>
  <c r="E117" i="10"/>
  <c r="G118" i="10"/>
  <c r="F117" i="10"/>
  <c r="A128" i="10"/>
  <c r="V127" i="10"/>
  <c r="A126" i="6"/>
  <c r="N128" i="21" l="1"/>
  <c r="O128" i="21" s="1"/>
  <c r="P128" i="21"/>
  <c r="S128" i="21" s="1"/>
  <c r="T128" i="21" s="1"/>
  <c r="J130" i="21"/>
  <c r="AD129" i="21"/>
  <c r="L129" i="21"/>
  <c r="M129" i="21" s="1"/>
  <c r="AC129" i="21"/>
  <c r="BE129" i="21" s="1"/>
  <c r="BN129" i="21"/>
  <c r="AE129" i="21"/>
  <c r="AF129" i="21"/>
  <c r="AH126" i="21"/>
  <c r="AI126" i="21" s="1"/>
  <c r="W126" i="21"/>
  <c r="F132" i="21"/>
  <c r="H131" i="21"/>
  <c r="BO131" i="21"/>
  <c r="I132" i="21"/>
  <c r="Z124" i="21"/>
  <c r="AK124" i="21"/>
  <c r="AM124" i="21" s="1"/>
  <c r="A132" i="21"/>
  <c r="BM131" i="21"/>
  <c r="Y131" i="21"/>
  <c r="AY124" i="21"/>
  <c r="BD128" i="21"/>
  <c r="BF128" i="21" s="1"/>
  <c r="AN122" i="21"/>
  <c r="AQ125" i="21"/>
  <c r="AZ125" i="21" s="1"/>
  <c r="AJ125" i="21"/>
  <c r="AL125" i="21" s="1"/>
  <c r="AN123" i="21" s="1"/>
  <c r="BB125" i="21"/>
  <c r="X125" i="21"/>
  <c r="U127" i="21"/>
  <c r="V127" i="21"/>
  <c r="AO121" i="21"/>
  <c r="AG129" i="21"/>
  <c r="G130" i="21"/>
  <c r="BD115" i="6"/>
  <c r="BF115" i="6" s="1"/>
  <c r="AC116" i="6"/>
  <c r="AD116" i="6"/>
  <c r="AF116" i="6"/>
  <c r="AE116" i="6"/>
  <c r="AG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O116" i="6"/>
  <c r="G119" i="10"/>
  <c r="E118" i="10"/>
  <c r="F118" i="10"/>
  <c r="A129" i="10"/>
  <c r="V128" i="10"/>
  <c r="A127" i="6"/>
  <c r="N129" i="21" l="1"/>
  <c r="O129" i="21" s="1"/>
  <c r="M130" i="21"/>
  <c r="P129" i="21"/>
  <c r="S129" i="21" s="1"/>
  <c r="T129" i="21" s="1"/>
  <c r="X126" i="21"/>
  <c r="AJ126" i="21"/>
  <c r="AL126" i="21" s="1"/>
  <c r="BB126" i="21"/>
  <c r="AQ126" i="21"/>
  <c r="AZ126" i="21" s="1"/>
  <c r="AY126" i="21"/>
  <c r="G131" i="21"/>
  <c r="AG130" i="21"/>
  <c r="AC130" i="21"/>
  <c r="BE130" i="21" s="1"/>
  <c r="BN130" i="21"/>
  <c r="AD130" i="21"/>
  <c r="J131" i="21"/>
  <c r="L130" i="21"/>
  <c r="AE130" i="21"/>
  <c r="AF130" i="21"/>
  <c r="BM132" i="21"/>
  <c r="Y132" i="21"/>
  <c r="A133" i="21"/>
  <c r="U128" i="21"/>
  <c r="V128" i="21"/>
  <c r="I133" i="21"/>
  <c r="BO132" i="21"/>
  <c r="Z125" i="21"/>
  <c r="AK125" i="21"/>
  <c r="AM125" i="21" s="1"/>
  <c r="AO123" i="21" s="1"/>
  <c r="AH127" i="21"/>
  <c r="AI127" i="21" s="1"/>
  <c r="W127" i="21"/>
  <c r="AO122" i="21"/>
  <c r="BD129" i="21"/>
  <c r="BF129" i="21" s="1"/>
  <c r="AY125" i="21"/>
  <c r="H132" i="21"/>
  <c r="F133" i="21"/>
  <c r="BC116" i="6"/>
  <c r="BE116" i="6" s="1"/>
  <c r="BD116" i="6"/>
  <c r="BF116" i="6" s="1"/>
  <c r="AC117" i="6"/>
  <c r="BE117" i="6" s="1"/>
  <c r="AD117" i="6"/>
  <c r="AF117" i="6"/>
  <c r="AE117" i="6"/>
  <c r="AG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O117" i="6"/>
  <c r="E119" i="10"/>
  <c r="G120" i="10"/>
  <c r="F119" i="10"/>
  <c r="V129" i="10"/>
  <c r="A130" i="10"/>
  <c r="A128" i="6"/>
  <c r="H133" i="21" l="1"/>
  <c r="BD130" i="21"/>
  <c r="BF130" i="21" s="1"/>
  <c r="AG131" i="21"/>
  <c r="G132" i="21"/>
  <c r="BN131" i="21"/>
  <c r="J132" i="21"/>
  <c r="L131" i="21"/>
  <c r="M131" i="21" s="1"/>
  <c r="AD131" i="21"/>
  <c r="BD131" i="21" s="1"/>
  <c r="BF131" i="21" s="1"/>
  <c r="AC131" i="21"/>
  <c r="BE131" i="21" s="1"/>
  <c r="AF131" i="21"/>
  <c r="AE131" i="21"/>
  <c r="Y133" i="21"/>
  <c r="A134" i="21"/>
  <c r="BM133" i="21"/>
  <c r="AN124" i="21"/>
  <c r="AK126" i="21"/>
  <c r="AM126" i="21" s="1"/>
  <c r="Z126" i="21"/>
  <c r="U129" i="21"/>
  <c r="V129" i="21"/>
  <c r="N130" i="21"/>
  <c r="O130" i="21" s="1"/>
  <c r="P130" i="21"/>
  <c r="S130" i="21" s="1"/>
  <c r="T130" i="21" s="1"/>
  <c r="AH128" i="21"/>
  <c r="AI128" i="21" s="1"/>
  <c r="W128" i="21"/>
  <c r="AJ127" i="21"/>
  <c r="AL127" i="21" s="1"/>
  <c r="BB127" i="21"/>
  <c r="AQ127" i="21"/>
  <c r="AZ127" i="21" s="1"/>
  <c r="X127" i="21"/>
  <c r="F134" i="21"/>
  <c r="BO133" i="21"/>
  <c r="I134" i="21"/>
  <c r="BD117" i="6"/>
  <c r="BF117" i="6" s="1"/>
  <c r="AC118" i="6"/>
  <c r="BE118" i="6" s="1"/>
  <c r="AD118" i="6"/>
  <c r="AF118" i="6"/>
  <c r="AE118" i="6"/>
  <c r="AG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O118" i="6"/>
  <c r="G121" i="10"/>
  <c r="E120" i="10"/>
  <c r="F120" i="10"/>
  <c r="A131" i="10"/>
  <c r="V130" i="10"/>
  <c r="A129" i="6"/>
  <c r="N131" i="21" l="1"/>
  <c r="O131" i="21" s="1"/>
  <c r="P131" i="21"/>
  <c r="S131" i="21" s="1"/>
  <c r="T131" i="21" s="1"/>
  <c r="I135" i="21"/>
  <c r="BO134" i="21"/>
  <c r="J133" i="21"/>
  <c r="AD132" i="21"/>
  <c r="L132" i="21"/>
  <c r="M132" i="21" s="1"/>
  <c r="AC132" i="21"/>
  <c r="BE132" i="21" s="1"/>
  <c r="BN132" i="21"/>
  <c r="AF132" i="21"/>
  <c r="AE132" i="21"/>
  <c r="AO124" i="21"/>
  <c r="U130" i="21"/>
  <c r="V130" i="21"/>
  <c r="BB128" i="21"/>
  <c r="AQ128" i="21"/>
  <c r="AZ128" i="21" s="1"/>
  <c r="X128" i="21"/>
  <c r="AJ128" i="21"/>
  <c r="AL128" i="21" s="1"/>
  <c r="AK127" i="21"/>
  <c r="AM127" i="21" s="1"/>
  <c r="Z127" i="21"/>
  <c r="F135" i="21"/>
  <c r="A135" i="21"/>
  <c r="BM134" i="21"/>
  <c r="Y134" i="21"/>
  <c r="AH129" i="21"/>
  <c r="AI129" i="21" s="1"/>
  <c r="W129" i="21"/>
  <c r="AN125" i="21"/>
  <c r="G133" i="21"/>
  <c r="AG132" i="21"/>
  <c r="AY127" i="21"/>
  <c r="AO125" i="21"/>
  <c r="H134" i="21"/>
  <c r="BD118" i="6"/>
  <c r="BF118" i="6" s="1"/>
  <c r="AC119" i="6"/>
  <c r="BE119" i="6" s="1"/>
  <c r="AD119" i="6"/>
  <c r="AF119" i="6"/>
  <c r="AE119" i="6"/>
  <c r="AG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O119" i="6"/>
  <c r="E121" i="10"/>
  <c r="G122" i="10"/>
  <c r="F121" i="10"/>
  <c r="V131" i="10"/>
  <c r="A132" i="10"/>
  <c r="A130" i="6"/>
  <c r="BD132" i="21" l="1"/>
  <c r="BF132" i="21" s="1"/>
  <c r="N132" i="21"/>
  <c r="O132" i="21" s="1"/>
  <c r="P132" i="21"/>
  <c r="S132" i="21" s="1"/>
  <c r="T132" i="21" s="1"/>
  <c r="H135" i="21"/>
  <c r="J134" i="21"/>
  <c r="AC133" i="21"/>
  <c r="BE133" i="21" s="1"/>
  <c r="AD133" i="21"/>
  <c r="BN133" i="21"/>
  <c r="L133" i="21"/>
  <c r="M133" i="21" s="1"/>
  <c r="AF133" i="21"/>
  <c r="AE133" i="21"/>
  <c r="Y135" i="21"/>
  <c r="A136" i="21"/>
  <c r="BM135" i="21"/>
  <c r="BO135" i="21"/>
  <c r="I136" i="21"/>
  <c r="Z128" i="21"/>
  <c r="AK128" i="21"/>
  <c r="AM128" i="21" s="1"/>
  <c r="AY128" i="21"/>
  <c r="F136" i="21"/>
  <c r="AH130" i="21"/>
  <c r="AI130" i="21" s="1"/>
  <c r="W130" i="21"/>
  <c r="AG133" i="21"/>
  <c r="G134" i="21"/>
  <c r="AN126" i="21"/>
  <c r="U131" i="21"/>
  <c r="V131" i="21"/>
  <c r="BB129" i="21"/>
  <c r="X129" i="21"/>
  <c r="AY129" i="21" s="1"/>
  <c r="AJ129" i="21"/>
  <c r="AL129" i="21" s="1"/>
  <c r="AN127" i="21" s="1"/>
  <c r="AQ129" i="21"/>
  <c r="AZ129" i="21" s="1"/>
  <c r="BD119" i="6"/>
  <c r="BF119" i="6" s="1"/>
  <c r="AD120" i="6"/>
  <c r="AC120" i="6"/>
  <c r="BE120" i="6" s="1"/>
  <c r="AF120" i="6"/>
  <c r="AE120" i="6"/>
  <c r="AG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O120" i="6"/>
  <c r="E122" i="10"/>
  <c r="G123" i="10"/>
  <c r="F122" i="10"/>
  <c r="A133" i="10"/>
  <c r="V132" i="10"/>
  <c r="A131" i="6"/>
  <c r="BD133" i="21" l="1"/>
  <c r="BF133" i="21" s="1"/>
  <c r="N133" i="21"/>
  <c r="O133" i="21" s="1"/>
  <c r="P133" i="21"/>
  <c r="S133" i="21" s="1"/>
  <c r="T133" i="21" s="1"/>
  <c r="AO126" i="21"/>
  <c r="J135" i="21"/>
  <c r="AD134" i="21"/>
  <c r="L134" i="21"/>
  <c r="M134" i="21" s="1"/>
  <c r="AC134" i="21"/>
  <c r="BE134" i="21" s="1"/>
  <c r="BN134" i="21"/>
  <c r="AE134" i="21"/>
  <c r="AF134" i="21"/>
  <c r="AQ130" i="21"/>
  <c r="AZ130" i="21" s="1"/>
  <c r="X130" i="21"/>
  <c r="AJ130" i="21"/>
  <c r="AL130" i="21" s="1"/>
  <c r="BB130" i="21"/>
  <c r="AY130" i="21"/>
  <c r="H136" i="21"/>
  <c r="U132" i="21"/>
  <c r="V132" i="21"/>
  <c r="BO136" i="21"/>
  <c r="I137" i="21"/>
  <c r="G135" i="21"/>
  <c r="AG134" i="21"/>
  <c r="AO127" i="21"/>
  <c r="AK129" i="21"/>
  <c r="AM129" i="21" s="1"/>
  <c r="Z129" i="21"/>
  <c r="BM136" i="21"/>
  <c r="A137" i="21"/>
  <c r="Y136" i="21"/>
  <c r="F137" i="21"/>
  <c r="AH131" i="21"/>
  <c r="AI131" i="21" s="1"/>
  <c r="W131" i="21"/>
  <c r="BD120" i="6"/>
  <c r="BF120" i="6" s="1"/>
  <c r="AD121" i="6"/>
  <c r="AC121" i="6"/>
  <c r="AF121" i="6"/>
  <c r="AE121" i="6"/>
  <c r="AG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O121" i="6"/>
  <c r="E123" i="10"/>
  <c r="G124" i="10"/>
  <c r="F123" i="10"/>
  <c r="V133" i="10"/>
  <c r="A134" i="10"/>
  <c r="A132" i="6"/>
  <c r="N134" i="21" l="1"/>
  <c r="O134" i="21" s="1"/>
  <c r="P134" i="21"/>
  <c r="S134" i="21" s="1"/>
  <c r="T134" i="21" s="1"/>
  <c r="Y137" i="21"/>
  <c r="A138" i="21"/>
  <c r="BM137" i="21"/>
  <c r="H137" i="21"/>
  <c r="G136" i="21"/>
  <c r="AG135" i="21"/>
  <c r="U133" i="21"/>
  <c r="V133" i="21"/>
  <c r="AH132" i="21"/>
  <c r="AI132" i="21" s="1"/>
  <c r="W132" i="21"/>
  <c r="X131" i="21"/>
  <c r="AY131" i="21" s="1"/>
  <c r="BB131" i="21"/>
  <c r="AQ131" i="21"/>
  <c r="AZ131" i="21" s="1"/>
  <c r="AJ131" i="21"/>
  <c r="AL131" i="21" s="1"/>
  <c r="I138" i="21"/>
  <c r="BO137" i="21"/>
  <c r="BD134" i="21"/>
  <c r="BF134" i="21" s="1"/>
  <c r="AD135" i="21"/>
  <c r="AC135" i="21"/>
  <c r="BE135" i="21" s="1"/>
  <c r="J136" i="21"/>
  <c r="BN135" i="21"/>
  <c r="L135" i="21"/>
  <c r="M135" i="21" s="1"/>
  <c r="AF135" i="21"/>
  <c r="AE135" i="21"/>
  <c r="F138" i="21"/>
  <c r="AN128" i="21"/>
  <c r="Z130" i="21"/>
  <c r="AK130" i="21"/>
  <c r="AM130" i="21" s="1"/>
  <c r="BC121" i="6"/>
  <c r="BE121" i="6" s="1"/>
  <c r="BD121" i="6"/>
  <c r="BF121" i="6" s="1"/>
  <c r="AC122" i="6"/>
  <c r="AD122" i="6"/>
  <c r="AF122" i="6"/>
  <c r="AE122" i="6"/>
  <c r="AG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O122" i="6"/>
  <c r="G125" i="10"/>
  <c r="E124" i="10"/>
  <c r="F124" i="10"/>
  <c r="A135" i="10"/>
  <c r="V134" i="10"/>
  <c r="A133" i="6"/>
  <c r="N135" i="21" l="1"/>
  <c r="O135" i="21" s="1"/>
  <c r="P135" i="21"/>
  <c r="S135" i="21" s="1"/>
  <c r="T135" i="21" s="1"/>
  <c r="Y138" i="21"/>
  <c r="A139" i="21"/>
  <c r="BM138" i="21"/>
  <c r="AH133" i="21"/>
  <c r="AI133" i="21" s="1"/>
  <c r="W133" i="21"/>
  <c r="AJ132" i="21"/>
  <c r="AL132" i="21" s="1"/>
  <c r="BB132" i="21"/>
  <c r="AQ132" i="21"/>
  <c r="AZ132" i="21" s="1"/>
  <c r="X132" i="21"/>
  <c r="AY132" i="21"/>
  <c r="F139" i="21"/>
  <c r="AN129" i="21"/>
  <c r="AN130" i="21"/>
  <c r="H138" i="21"/>
  <c r="AO128" i="21"/>
  <c r="AK131" i="21"/>
  <c r="AM131" i="21" s="1"/>
  <c r="Z131" i="21"/>
  <c r="BN136" i="21"/>
  <c r="J137" i="21"/>
  <c r="AD136" i="21"/>
  <c r="L136" i="21"/>
  <c r="M136" i="21" s="1"/>
  <c r="AC136" i="21"/>
  <c r="BE136" i="21" s="1"/>
  <c r="AF136" i="21"/>
  <c r="AE136" i="21"/>
  <c r="BD135" i="21"/>
  <c r="BF135" i="21" s="1"/>
  <c r="U134" i="21"/>
  <c r="V134" i="21"/>
  <c r="AG136" i="21"/>
  <c r="G137" i="21"/>
  <c r="I139" i="21"/>
  <c r="BO138" i="21"/>
  <c r="BC122" i="6"/>
  <c r="BE122" i="6" s="1"/>
  <c r="BD122" i="6"/>
  <c r="BF122" i="6" s="1"/>
  <c r="AC123" i="6"/>
  <c r="AD123" i="6"/>
  <c r="AF123" i="6"/>
  <c r="AE123" i="6"/>
  <c r="AG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O123" i="6"/>
  <c r="E125" i="10"/>
  <c r="G126" i="10"/>
  <c r="F125" i="10"/>
  <c r="A136" i="10"/>
  <c r="V135" i="10"/>
  <c r="A134" i="6"/>
  <c r="BD136" i="21" l="1"/>
  <c r="BF136" i="21" s="1"/>
  <c r="N136" i="21"/>
  <c r="O136" i="21" s="1"/>
  <c r="P136" i="21"/>
  <c r="S136" i="21" s="1"/>
  <c r="T136" i="21" s="1"/>
  <c r="AG137" i="21"/>
  <c r="G138" i="21"/>
  <c r="J138" i="21"/>
  <c r="AD137" i="21"/>
  <c r="L137" i="21"/>
  <c r="M137" i="21" s="1"/>
  <c r="AC137" i="21"/>
  <c r="BN137" i="21"/>
  <c r="AE137" i="21"/>
  <c r="AF137" i="21"/>
  <c r="F140" i="21"/>
  <c r="U135" i="21"/>
  <c r="V135" i="21"/>
  <c r="I140" i="21"/>
  <c r="BO139" i="21"/>
  <c r="Y139" i="21"/>
  <c r="A140" i="21"/>
  <c r="BM139" i="21"/>
  <c r="AK132" i="21"/>
  <c r="AM132" i="21" s="1"/>
  <c r="Z132" i="21"/>
  <c r="AO129" i="21"/>
  <c r="AN131" i="21"/>
  <c r="AH134" i="21"/>
  <c r="AI134" i="21" s="1"/>
  <c r="W134" i="21"/>
  <c r="H139" i="21"/>
  <c r="BB133" i="21"/>
  <c r="AQ133" i="21"/>
  <c r="AZ133" i="21" s="1"/>
  <c r="X133" i="21"/>
  <c r="AY133" i="21" s="1"/>
  <c r="AJ133" i="21"/>
  <c r="AL133" i="21" s="1"/>
  <c r="BD123" i="6"/>
  <c r="BF123" i="6" s="1"/>
  <c r="BC123" i="6"/>
  <c r="BE123" i="6" s="1"/>
  <c r="AC124" i="6"/>
  <c r="AD124" i="6"/>
  <c r="AF124" i="6"/>
  <c r="AE124" i="6"/>
  <c r="AG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O124" i="6"/>
  <c r="E126" i="10"/>
  <c r="G127" i="10"/>
  <c r="F126" i="10"/>
  <c r="V136" i="10"/>
  <c r="A137" i="10"/>
  <c r="A135" i="6"/>
  <c r="BD137" i="21" l="1"/>
  <c r="BF137" i="21" s="1"/>
  <c r="N137" i="21"/>
  <c r="O137" i="21" s="1"/>
  <c r="P137" i="21"/>
  <c r="S137" i="21" s="1"/>
  <c r="T137" i="21" s="1"/>
  <c r="F141" i="21"/>
  <c r="BC137" i="21"/>
  <c r="BE137" i="21" s="1"/>
  <c r="BO140" i="21"/>
  <c r="I141" i="21"/>
  <c r="AH135" i="21"/>
  <c r="AI135" i="21" s="1"/>
  <c r="W135" i="21"/>
  <c r="AQ134" i="21"/>
  <c r="AZ134" i="21" s="1"/>
  <c r="X134" i="21"/>
  <c r="AY134" i="21" s="1"/>
  <c r="AJ134" i="21"/>
  <c r="AL134" i="21" s="1"/>
  <c r="BB134" i="21"/>
  <c r="U136" i="21"/>
  <c r="V136" i="21"/>
  <c r="H140" i="21"/>
  <c r="Y140" i="21"/>
  <c r="A141" i="21"/>
  <c r="BM140" i="21"/>
  <c r="J139" i="21"/>
  <c r="AD138" i="21"/>
  <c r="L138" i="21"/>
  <c r="M138" i="21" s="1"/>
  <c r="AC138" i="21"/>
  <c r="BN138" i="21"/>
  <c r="AF138" i="21"/>
  <c r="AE138" i="21"/>
  <c r="AG138" i="21"/>
  <c r="G139" i="21"/>
  <c r="Z133" i="21"/>
  <c r="AK133" i="21"/>
  <c r="AM133" i="21" s="1"/>
  <c r="AO130" i="21"/>
  <c r="BD124" i="6"/>
  <c r="BF124" i="6" s="1"/>
  <c r="BC124" i="6"/>
  <c r="BE124" i="6" s="1"/>
  <c r="AC125" i="6"/>
  <c r="BE125" i="6" s="1"/>
  <c r="AD125" i="6"/>
  <c r="AF125" i="6"/>
  <c r="AE125" i="6"/>
  <c r="AG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O125" i="6"/>
  <c r="G128" i="10"/>
  <c r="E127" i="10"/>
  <c r="F127" i="10"/>
  <c r="A138" i="10"/>
  <c r="V137" i="10"/>
  <c r="A136" i="6"/>
  <c r="N138" i="21" l="1"/>
  <c r="O138" i="21" s="1"/>
  <c r="P138" i="21"/>
  <c r="S138" i="21" s="1"/>
  <c r="T138" i="21" s="1"/>
  <c r="AO131" i="21"/>
  <c r="AQ135" i="21"/>
  <c r="AZ135" i="21" s="1"/>
  <c r="X135" i="21"/>
  <c r="AY135" i="21" s="1"/>
  <c r="AJ135" i="21"/>
  <c r="AL135" i="21" s="1"/>
  <c r="AN133" i="21" s="1"/>
  <c r="BB135" i="21"/>
  <c r="H141" i="21"/>
  <c r="BM141" i="21"/>
  <c r="Y141" i="21"/>
  <c r="A142" i="21"/>
  <c r="G140" i="21"/>
  <c r="AG139" i="21"/>
  <c r="U137" i="21"/>
  <c r="V137" i="21"/>
  <c r="AH136" i="21"/>
  <c r="AI136" i="21" s="1"/>
  <c r="W136" i="21"/>
  <c r="I142" i="21"/>
  <c r="BO141" i="21"/>
  <c r="BC138" i="21"/>
  <c r="BE138" i="21" s="1"/>
  <c r="F142" i="21"/>
  <c r="BD138" i="21"/>
  <c r="BF138" i="21" s="1"/>
  <c r="AD139" i="21"/>
  <c r="L139" i="21"/>
  <c r="M139" i="21" s="1"/>
  <c r="AC139" i="21"/>
  <c r="BE139" i="21" s="1"/>
  <c r="BN139" i="21"/>
  <c r="J140" i="21"/>
  <c r="AF139" i="21"/>
  <c r="AE139" i="21"/>
  <c r="AN132" i="21"/>
  <c r="Z134" i="21"/>
  <c r="AK134" i="21"/>
  <c r="AM134" i="21" s="1"/>
  <c r="BD125" i="6"/>
  <c r="BF125" i="6" s="1"/>
  <c r="AC126" i="6"/>
  <c r="AD126" i="6"/>
  <c r="AF126" i="6"/>
  <c r="AE126" i="6"/>
  <c r="AG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O126" i="6"/>
  <c r="G129" i="10"/>
  <c r="E128" i="10"/>
  <c r="F128" i="10"/>
  <c r="A139" i="10"/>
  <c r="V138" i="10"/>
  <c r="A137" i="6"/>
  <c r="N139" i="21" l="1"/>
  <c r="O139" i="21" s="1"/>
  <c r="P139" i="21"/>
  <c r="S139" i="21" s="1"/>
  <c r="T139" i="21" s="1"/>
  <c r="AJ136" i="21"/>
  <c r="AL136" i="21" s="1"/>
  <c r="BB136" i="21"/>
  <c r="X136" i="21"/>
  <c r="AY136" i="21" s="1"/>
  <c r="AQ136" i="21"/>
  <c r="AZ136" i="21" s="1"/>
  <c r="BD139" i="21"/>
  <c r="BF139" i="21" s="1"/>
  <c r="Z135" i="21"/>
  <c r="AK135" i="21"/>
  <c r="AM135" i="21" s="1"/>
  <c r="AO133" i="21" s="1"/>
  <c r="F143" i="21"/>
  <c r="AG140" i="21"/>
  <c r="G141" i="21"/>
  <c r="U138" i="21"/>
  <c r="V138" i="21"/>
  <c r="AH137" i="21"/>
  <c r="AI137" i="21" s="1"/>
  <c r="W137" i="21"/>
  <c r="Y142" i="21"/>
  <c r="A143" i="21"/>
  <c r="BM142" i="21"/>
  <c r="AO132" i="21"/>
  <c r="I143" i="21"/>
  <c r="BO142" i="21"/>
  <c r="BN140" i="21"/>
  <c r="AD140" i="21"/>
  <c r="AC140" i="21"/>
  <c r="BE140" i="21" s="1"/>
  <c r="J141" i="21"/>
  <c r="L140" i="21"/>
  <c r="M140" i="21" s="1"/>
  <c r="AE140" i="21"/>
  <c r="AF140" i="21"/>
  <c r="H142" i="21"/>
  <c r="BD126" i="6"/>
  <c r="BF126" i="6" s="1"/>
  <c r="BC126" i="6"/>
  <c r="BE126" i="6" s="1"/>
  <c r="AD127" i="6"/>
  <c r="AC127" i="6"/>
  <c r="BE127" i="6" s="1"/>
  <c r="AF127" i="6"/>
  <c r="AE127" i="6"/>
  <c r="AG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O127" i="6"/>
  <c r="G130" i="10"/>
  <c r="E129" i="10"/>
  <c r="F129" i="10"/>
  <c r="V139" i="10"/>
  <c r="A140" i="10"/>
  <c r="A138" i="6"/>
  <c r="N140" i="21" l="1"/>
  <c r="O140" i="21" s="1"/>
  <c r="P140" i="21"/>
  <c r="S140" i="21" s="1"/>
  <c r="T140" i="21" s="1"/>
  <c r="F144" i="21"/>
  <c r="AN134" i="21"/>
  <c r="AH138" i="21"/>
  <c r="AI138" i="21" s="1"/>
  <c r="W138" i="21"/>
  <c r="U139" i="21"/>
  <c r="V139" i="21"/>
  <c r="I144" i="21"/>
  <c r="H143" i="21"/>
  <c r="Y143" i="21"/>
  <c r="A144" i="21"/>
  <c r="BM143" i="21"/>
  <c r="AJ137" i="21"/>
  <c r="AL137" i="21" s="1"/>
  <c r="BB137" i="21"/>
  <c r="AQ137" i="21"/>
  <c r="AZ137" i="21" s="1"/>
  <c r="X137" i="21"/>
  <c r="AY137" i="21" s="1"/>
  <c r="AK136" i="21"/>
  <c r="AM136" i="21" s="1"/>
  <c r="Z136" i="21"/>
  <c r="AG141" i="21"/>
  <c r="G142" i="21"/>
  <c r="BN141" i="21"/>
  <c r="J142" i="21"/>
  <c r="AD141" i="21"/>
  <c r="BD141" i="21" s="1"/>
  <c r="BF141" i="21" s="1"/>
  <c r="L141" i="21"/>
  <c r="M141" i="21" s="1"/>
  <c r="AC141" i="21"/>
  <c r="BE141" i="21" s="1"/>
  <c r="AE141" i="21"/>
  <c r="AF141" i="21"/>
  <c r="BD140" i="21"/>
  <c r="BF140" i="21" s="1"/>
  <c r="BD127" i="6"/>
  <c r="BF127" i="6" s="1"/>
  <c r="AD128" i="6"/>
  <c r="AC128" i="6"/>
  <c r="BE128" i="6" s="1"/>
  <c r="AF128" i="6"/>
  <c r="AE128" i="6"/>
  <c r="AG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O128" i="6"/>
  <c r="E130" i="10"/>
  <c r="G131" i="10"/>
  <c r="F130" i="10"/>
  <c r="V140" i="10"/>
  <c r="A141" i="10"/>
  <c r="A139" i="6"/>
  <c r="N141" i="21" l="1"/>
  <c r="O141" i="21" s="1"/>
  <c r="P141" i="21"/>
  <c r="S141" i="21" s="1"/>
  <c r="T141" i="21" s="1"/>
  <c r="J143" i="21"/>
  <c r="AD142" i="21"/>
  <c r="L142" i="21"/>
  <c r="M142" i="21" s="1"/>
  <c r="AC142" i="21"/>
  <c r="BE142" i="21" s="1"/>
  <c r="BN142" i="21"/>
  <c r="AE142" i="21"/>
  <c r="AF142" i="21"/>
  <c r="AG142" i="21"/>
  <c r="G143" i="21"/>
  <c r="BB138" i="21"/>
  <c r="AQ138" i="21"/>
  <c r="AZ138" i="21" s="1"/>
  <c r="X138" i="21"/>
  <c r="AY138" i="21" s="1"/>
  <c r="AJ138" i="21"/>
  <c r="AL138" i="21" s="1"/>
  <c r="AN135" i="21"/>
  <c r="U140" i="21"/>
  <c r="V140" i="21"/>
  <c r="AO134" i="21"/>
  <c r="AH139" i="21"/>
  <c r="AI139" i="21" s="1"/>
  <c r="W139" i="21"/>
  <c r="Y144" i="21"/>
  <c r="A145" i="21"/>
  <c r="BM144" i="21"/>
  <c r="F145" i="21"/>
  <c r="AN136" i="21"/>
  <c r="H144" i="21"/>
  <c r="I145" i="21"/>
  <c r="Z137" i="21"/>
  <c r="AK137" i="21"/>
  <c r="AM137" i="21" s="1"/>
  <c r="BD128" i="6"/>
  <c r="BF128" i="6" s="1"/>
  <c r="AD129" i="6"/>
  <c r="AC129" i="6"/>
  <c r="BE129" i="6" s="1"/>
  <c r="AF129" i="6"/>
  <c r="AE129" i="6"/>
  <c r="AG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O129" i="6"/>
  <c r="E131" i="10"/>
  <c r="G132" i="10"/>
  <c r="F131" i="10"/>
  <c r="V141" i="10"/>
  <c r="A142" i="10"/>
  <c r="A140" i="6"/>
  <c r="N142" i="21" l="1"/>
  <c r="O142" i="21" s="1"/>
  <c r="P142" i="21"/>
  <c r="S142" i="21" s="1"/>
  <c r="T142" i="21" s="1"/>
  <c r="F146" i="21"/>
  <c r="J144" i="21"/>
  <c r="AD143" i="21"/>
  <c r="L143" i="21"/>
  <c r="M143" i="21" s="1"/>
  <c r="AC143" i="21"/>
  <c r="BE143" i="21" s="1"/>
  <c r="BN143" i="21"/>
  <c r="AE143" i="21"/>
  <c r="AF143" i="21"/>
  <c r="AO135" i="21"/>
  <c r="AH140" i="21"/>
  <c r="AI140" i="21" s="1"/>
  <c r="W140" i="21"/>
  <c r="BD142" i="21"/>
  <c r="BF142" i="21" s="1"/>
  <c r="I146" i="21"/>
  <c r="Y145" i="21"/>
  <c r="A146" i="21"/>
  <c r="BM145" i="21"/>
  <c r="Z138" i="21"/>
  <c r="AK138" i="21"/>
  <c r="AM138" i="21" s="1"/>
  <c r="H145" i="21"/>
  <c r="U141" i="21"/>
  <c r="V141" i="21"/>
  <c r="AQ139" i="21"/>
  <c r="AZ139" i="21" s="1"/>
  <c r="X139" i="21"/>
  <c r="AY139" i="21" s="1"/>
  <c r="AJ139" i="21"/>
  <c r="AL139" i="21" s="1"/>
  <c r="BB139" i="21"/>
  <c r="G144" i="21"/>
  <c r="AG143" i="21"/>
  <c r="BD129" i="6"/>
  <c r="BF129" i="6" s="1"/>
  <c r="AC130" i="6"/>
  <c r="BE130" i="6" s="1"/>
  <c r="AD130" i="6"/>
  <c r="AF130" i="6"/>
  <c r="AE130" i="6"/>
  <c r="AG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O130" i="6"/>
  <c r="G133" i="10"/>
  <c r="E132" i="10"/>
  <c r="F132" i="10"/>
  <c r="V142" i="10"/>
  <c r="A143" i="10"/>
  <c r="A141" i="6"/>
  <c r="BD143" i="21" l="1"/>
  <c r="BF143" i="21" s="1"/>
  <c r="N143" i="21"/>
  <c r="O143" i="21" s="1"/>
  <c r="P143" i="21"/>
  <c r="S143" i="21" s="1"/>
  <c r="T143" i="21" s="1"/>
  <c r="H146" i="21"/>
  <c r="J145" i="21"/>
  <c r="AD144" i="21"/>
  <c r="L144" i="21"/>
  <c r="M144" i="21" s="1"/>
  <c r="AC144" i="21"/>
  <c r="BE144" i="21" s="1"/>
  <c r="BN144" i="21"/>
  <c r="AE144" i="21"/>
  <c r="AF144" i="21"/>
  <c r="A147" i="21"/>
  <c r="BM146" i="21"/>
  <c r="Y146" i="21"/>
  <c r="AH141" i="21"/>
  <c r="AI141" i="21" s="1"/>
  <c r="W141" i="21"/>
  <c r="U142" i="21"/>
  <c r="V142" i="21"/>
  <c r="G145" i="21"/>
  <c r="AG144" i="21"/>
  <c r="I147" i="21"/>
  <c r="X140" i="21"/>
  <c r="AJ140" i="21"/>
  <c r="AL140" i="21" s="1"/>
  <c r="BB140" i="21"/>
  <c r="AQ140" i="21"/>
  <c r="AZ140" i="21" s="1"/>
  <c r="AY140" i="21"/>
  <c r="F147" i="21"/>
  <c r="AO136" i="21"/>
  <c r="AN137" i="21"/>
  <c r="Z139" i="21"/>
  <c r="AK139" i="21"/>
  <c r="AM139" i="21" s="1"/>
  <c r="BD130" i="6"/>
  <c r="BF130" i="6" s="1"/>
  <c r="AD131" i="6"/>
  <c r="AC131" i="6"/>
  <c r="BE131" i="6" s="1"/>
  <c r="AF131" i="6"/>
  <c r="AE131" i="6"/>
  <c r="AG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O131" i="6"/>
  <c r="E133" i="10"/>
  <c r="G134" i="10"/>
  <c r="F133" i="10"/>
  <c r="V143" i="10"/>
  <c r="A144" i="10"/>
  <c r="A142" i="6"/>
  <c r="BD144" i="21" l="1"/>
  <c r="BF144" i="21" s="1"/>
  <c r="N144" i="21"/>
  <c r="O144" i="21" s="1"/>
  <c r="P144" i="21"/>
  <c r="S144" i="21" s="1"/>
  <c r="T144" i="21" s="1"/>
  <c r="F148" i="21"/>
  <c r="AK140" i="21"/>
  <c r="AM140" i="21" s="1"/>
  <c r="Z140" i="21"/>
  <c r="AH142" i="21"/>
  <c r="AI142" i="21" s="1"/>
  <c r="W142" i="21"/>
  <c r="H147" i="21"/>
  <c r="AJ141" i="21"/>
  <c r="AL141" i="21" s="1"/>
  <c r="AN139" i="21" s="1"/>
  <c r="BB141" i="21"/>
  <c r="X141" i="21"/>
  <c r="AY141" i="21" s="1"/>
  <c r="AQ141" i="21"/>
  <c r="AZ141" i="21" s="1"/>
  <c r="BN145" i="21"/>
  <c r="AD145" i="21"/>
  <c r="BD145" i="21" s="1"/>
  <c r="BF145" i="21" s="1"/>
  <c r="AC145" i="21"/>
  <c r="BE145" i="21" s="1"/>
  <c r="L145" i="21"/>
  <c r="M145" i="21" s="1"/>
  <c r="J146" i="21"/>
  <c r="AE145" i="21"/>
  <c r="AF145" i="21"/>
  <c r="AN138" i="21"/>
  <c r="I148" i="21"/>
  <c r="U143" i="21"/>
  <c r="V143" i="21"/>
  <c r="AO137" i="21"/>
  <c r="BM147" i="21"/>
  <c r="Y147" i="21"/>
  <c r="A148" i="21"/>
  <c r="G146" i="21"/>
  <c r="AG145" i="21"/>
  <c r="BD131" i="6"/>
  <c r="BF131" i="6" s="1"/>
  <c r="AC132" i="6"/>
  <c r="BE132" i="6" s="1"/>
  <c r="AD132" i="6"/>
  <c r="AF132" i="6"/>
  <c r="AE132" i="6"/>
  <c r="AG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O132" i="6"/>
  <c r="E134" i="10"/>
  <c r="G135" i="10"/>
  <c r="F134" i="10"/>
  <c r="V144" i="10"/>
  <c r="A145" i="10"/>
  <c r="A143" i="6"/>
  <c r="N145" i="21" l="1"/>
  <c r="O145" i="21" s="1"/>
  <c r="P145" i="21"/>
  <c r="S145" i="21" s="1"/>
  <c r="T145" i="21" s="1"/>
  <c r="BB142" i="21"/>
  <c r="AQ142" i="21"/>
  <c r="AZ142" i="21" s="1"/>
  <c r="X142" i="21"/>
  <c r="AJ142" i="21"/>
  <c r="AL142" i="21" s="1"/>
  <c r="AG146" i="21"/>
  <c r="G147" i="21"/>
  <c r="BN146" i="21"/>
  <c r="AD146" i="21"/>
  <c r="AC146" i="21"/>
  <c r="BE146" i="21" s="1"/>
  <c r="L146" i="21"/>
  <c r="M146" i="21" s="1"/>
  <c r="J147" i="21"/>
  <c r="AF146" i="21"/>
  <c r="AE146" i="21"/>
  <c r="U144" i="21"/>
  <c r="V144" i="21"/>
  <c r="AO138" i="21"/>
  <c r="Y148" i="21"/>
  <c r="BM148" i="21"/>
  <c r="A149" i="21"/>
  <c r="AH143" i="21"/>
  <c r="AI143" i="21" s="1"/>
  <c r="W143" i="21"/>
  <c r="I149" i="21"/>
  <c r="F149" i="21"/>
  <c r="AK141" i="21"/>
  <c r="AM141" i="21" s="1"/>
  <c r="Z141" i="21"/>
  <c r="H148" i="21"/>
  <c r="BD132" i="6"/>
  <c r="BF132" i="6" s="1"/>
  <c r="AC133" i="6"/>
  <c r="BE133" i="6" s="1"/>
  <c r="AD133" i="6"/>
  <c r="AF133" i="6"/>
  <c r="AE133" i="6"/>
  <c r="AG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O133" i="6"/>
  <c r="E135" i="10"/>
  <c r="G136" i="10"/>
  <c r="F135" i="10"/>
  <c r="A146" i="10"/>
  <c r="V145" i="10"/>
  <c r="A144" i="6"/>
  <c r="N146" i="21" l="1"/>
  <c r="O146" i="21" s="1"/>
  <c r="P146" i="21"/>
  <c r="S146" i="21" s="1"/>
  <c r="T146" i="21" s="1"/>
  <c r="AO139" i="21"/>
  <c r="BD146" i="21"/>
  <c r="BF146" i="21" s="1"/>
  <c r="F150" i="21"/>
  <c r="H149" i="21"/>
  <c r="Z142" i="21"/>
  <c r="AK142" i="21"/>
  <c r="AM142" i="21" s="1"/>
  <c r="U145" i="21"/>
  <c r="V145" i="21"/>
  <c r="I150" i="21"/>
  <c r="BB143" i="21"/>
  <c r="AQ143" i="21"/>
  <c r="AZ143" i="21" s="1"/>
  <c r="X143" i="21"/>
  <c r="AY143" i="21" s="1"/>
  <c r="AJ143" i="21"/>
  <c r="AL143" i="21" s="1"/>
  <c r="AG147" i="21"/>
  <c r="G148" i="21"/>
  <c r="AY142" i="21"/>
  <c r="AH144" i="21"/>
  <c r="AI144" i="21" s="1"/>
  <c r="W144" i="21"/>
  <c r="AO140" i="21"/>
  <c r="AN140" i="21"/>
  <c r="Y149" i="21"/>
  <c r="A150" i="21"/>
  <c r="BM149" i="21"/>
  <c r="BN147" i="21"/>
  <c r="J148" i="21"/>
  <c r="AD147" i="21"/>
  <c r="L147" i="21"/>
  <c r="M147" i="21" s="1"/>
  <c r="AC147" i="21"/>
  <c r="BE147" i="21" s="1"/>
  <c r="AF147" i="21"/>
  <c r="AE147" i="21"/>
  <c r="BD133" i="6"/>
  <c r="BF133" i="6" s="1"/>
  <c r="AD134" i="6"/>
  <c r="AC134" i="6"/>
  <c r="BE134" i="6" s="1"/>
  <c r="AF134" i="6"/>
  <c r="AE134" i="6"/>
  <c r="AG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O134" i="6"/>
  <c r="G137" i="10"/>
  <c r="E136" i="10"/>
  <c r="F136" i="10"/>
  <c r="V146" i="10"/>
  <c r="A147" i="10"/>
  <c r="A145" i="6"/>
  <c r="N147" i="21" l="1"/>
  <c r="O147" i="21" s="1"/>
  <c r="P147" i="21"/>
  <c r="S147" i="21" s="1"/>
  <c r="T147" i="21" s="1"/>
  <c r="AG148" i="21"/>
  <c r="G149" i="21"/>
  <c r="H150" i="21"/>
  <c r="Z143" i="21"/>
  <c r="AK143" i="21"/>
  <c r="AM143" i="21" s="1"/>
  <c r="I151" i="21"/>
  <c r="F151" i="21"/>
  <c r="U146" i="21"/>
  <c r="V146" i="21"/>
  <c r="BD147" i="21"/>
  <c r="BF147" i="21" s="1"/>
  <c r="AN142" i="21"/>
  <c r="AN141" i="21"/>
  <c r="J149" i="21"/>
  <c r="AD148" i="21"/>
  <c r="L148" i="21"/>
  <c r="M148" i="21" s="1"/>
  <c r="AC148" i="21"/>
  <c r="BE148" i="21" s="1"/>
  <c r="BN148" i="21"/>
  <c r="AE148" i="21"/>
  <c r="AF148" i="21"/>
  <c r="AQ144" i="21"/>
  <c r="AZ144" i="21" s="1"/>
  <c r="X144" i="21"/>
  <c r="AJ144" i="21"/>
  <c r="AL144" i="21" s="1"/>
  <c r="BB144" i="21"/>
  <c r="AY144" i="21"/>
  <c r="AH145" i="21"/>
  <c r="AI145" i="21" s="1"/>
  <c r="W145" i="21"/>
  <c r="Y150" i="21"/>
  <c r="A151" i="21"/>
  <c r="BM150" i="21"/>
  <c r="BD134" i="6"/>
  <c r="BF134" i="6" s="1"/>
  <c r="AD135" i="6"/>
  <c r="AC135" i="6"/>
  <c r="BE135" i="6" s="1"/>
  <c r="AF135" i="6"/>
  <c r="AE135" i="6"/>
  <c r="AG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O135" i="6"/>
  <c r="G138" i="10"/>
  <c r="E137" i="10"/>
  <c r="F137" i="10"/>
  <c r="V147" i="10"/>
  <c r="A148" i="10"/>
  <c r="A146" i="6"/>
  <c r="N148" i="21" l="1"/>
  <c r="O148" i="21" s="1"/>
  <c r="P148" i="21"/>
  <c r="S148" i="21" s="1"/>
  <c r="T148" i="21" s="1"/>
  <c r="AQ145" i="21"/>
  <c r="AZ145" i="21" s="1"/>
  <c r="X145" i="21"/>
  <c r="AY145" i="21" s="1"/>
  <c r="AJ145" i="21"/>
  <c r="AL145" i="21" s="1"/>
  <c r="BB145" i="21"/>
  <c r="J150" i="21"/>
  <c r="AD149" i="21"/>
  <c r="L149" i="21"/>
  <c r="M149" i="21" s="1"/>
  <c r="AC149" i="21"/>
  <c r="BE149" i="21" s="1"/>
  <c r="BN149" i="21"/>
  <c r="AE149" i="21"/>
  <c r="AF149" i="21"/>
  <c r="AG149" i="21"/>
  <c r="G150" i="21"/>
  <c r="U147" i="21"/>
  <c r="V147" i="21"/>
  <c r="Z144" i="21"/>
  <c r="AK144" i="21"/>
  <c r="AM144" i="21" s="1"/>
  <c r="F152" i="21"/>
  <c r="Y151" i="21"/>
  <c r="A152" i="21"/>
  <c r="BM151" i="21"/>
  <c r="I152" i="21"/>
  <c r="AO141" i="21"/>
  <c r="AH146" i="21"/>
  <c r="AI146" i="21" s="1"/>
  <c r="W146" i="21"/>
  <c r="H151" i="21"/>
  <c r="BD148" i="21"/>
  <c r="BF148" i="21" s="1"/>
  <c r="BD135" i="6"/>
  <c r="BF135" i="6" s="1"/>
  <c r="AC136" i="6"/>
  <c r="BE136" i="6" s="1"/>
  <c r="AD136" i="6"/>
  <c r="AF136" i="6"/>
  <c r="AE136" i="6"/>
  <c r="AG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O136" i="6"/>
  <c r="E138" i="10"/>
  <c r="G139" i="10"/>
  <c r="F138" i="10"/>
  <c r="V148" i="10"/>
  <c r="A149" i="10"/>
  <c r="A147" i="6"/>
  <c r="BD149" i="21" l="1"/>
  <c r="BF149" i="21" s="1"/>
  <c r="N149" i="21"/>
  <c r="O149" i="21" s="1"/>
  <c r="P149" i="21"/>
  <c r="S149" i="21" s="1"/>
  <c r="T149" i="21" s="1"/>
  <c r="X146" i="21"/>
  <c r="AJ146" i="21"/>
  <c r="AL146" i="21" s="1"/>
  <c r="BB146" i="21"/>
  <c r="AQ146" i="21"/>
  <c r="AZ146" i="21" s="1"/>
  <c r="AY146" i="21"/>
  <c r="AO143" i="21"/>
  <c r="J151" i="21"/>
  <c r="AD150" i="21"/>
  <c r="L150" i="21"/>
  <c r="M150" i="21" s="1"/>
  <c r="AC150" i="21"/>
  <c r="BE150" i="21" s="1"/>
  <c r="BN150" i="21"/>
  <c r="AE150" i="21"/>
  <c r="AF150" i="21"/>
  <c r="AO142" i="21"/>
  <c r="AN143" i="21"/>
  <c r="F153" i="21"/>
  <c r="AH147" i="21"/>
  <c r="AI147" i="21" s="1"/>
  <c r="W147" i="21"/>
  <c r="I153" i="21"/>
  <c r="Z145" i="21"/>
  <c r="AK145" i="21"/>
  <c r="AM145" i="21" s="1"/>
  <c r="G151" i="21"/>
  <c r="AG150" i="21"/>
  <c r="U148" i="21"/>
  <c r="V148" i="21"/>
  <c r="Y152" i="21"/>
  <c r="A153" i="21"/>
  <c r="BM152" i="21"/>
  <c r="H152" i="21"/>
  <c r="BD136" i="6"/>
  <c r="BF136" i="6" s="1"/>
  <c r="AC137" i="6"/>
  <c r="AD137" i="6"/>
  <c r="AF137" i="6"/>
  <c r="AE137" i="6"/>
  <c r="AG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O137" i="6"/>
  <c r="G140" i="10"/>
  <c r="E139" i="10"/>
  <c r="F139" i="10"/>
  <c r="A150" i="10"/>
  <c r="V149" i="10"/>
  <c r="A148" i="6"/>
  <c r="N150" i="21" l="1"/>
  <c r="O150" i="21" s="1"/>
  <c r="P150" i="21"/>
  <c r="S150" i="21" s="1"/>
  <c r="T150" i="21" s="1"/>
  <c r="A154" i="21"/>
  <c r="BM153" i="21"/>
  <c r="Y153" i="21"/>
  <c r="BD150" i="21"/>
  <c r="BF150" i="21" s="1"/>
  <c r="G152" i="21"/>
  <c r="AG151" i="21"/>
  <c r="AK146" i="21"/>
  <c r="AM146" i="21" s="1"/>
  <c r="Z146" i="21"/>
  <c r="F154" i="21"/>
  <c r="U149" i="21"/>
  <c r="V149" i="21"/>
  <c r="AH148" i="21"/>
  <c r="AI148" i="21" s="1"/>
  <c r="W148" i="21"/>
  <c r="AJ147" i="21"/>
  <c r="AL147" i="21" s="1"/>
  <c r="BB147" i="21"/>
  <c r="AQ147" i="21"/>
  <c r="AZ147" i="21" s="1"/>
  <c r="X147" i="21"/>
  <c r="AY147" i="21" s="1"/>
  <c r="J152" i="21"/>
  <c r="AD151" i="21"/>
  <c r="BD151" i="21" s="1"/>
  <c r="BF151" i="21" s="1"/>
  <c r="L151" i="21"/>
  <c r="M151" i="21" s="1"/>
  <c r="AC151" i="21"/>
  <c r="BE151" i="21" s="1"/>
  <c r="BN151" i="21"/>
  <c r="AE151" i="21"/>
  <c r="AF151" i="21"/>
  <c r="H153" i="21"/>
  <c r="AN144" i="21"/>
  <c r="I154" i="21"/>
  <c r="BD137" i="6"/>
  <c r="BF137" i="6" s="1"/>
  <c r="BC137" i="6"/>
  <c r="BE137" i="6" s="1"/>
  <c r="AC138" i="6"/>
  <c r="AD138" i="6"/>
  <c r="AF138" i="6"/>
  <c r="AE138" i="6"/>
  <c r="AG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O138" i="6"/>
  <c r="G141" i="10"/>
  <c r="E140" i="10"/>
  <c r="F140" i="10"/>
  <c r="A151" i="10"/>
  <c r="V150" i="10"/>
  <c r="A149" i="6"/>
  <c r="N151" i="21" l="1"/>
  <c r="O151" i="21" s="1"/>
  <c r="P151" i="21"/>
  <c r="S151" i="21" s="1"/>
  <c r="T151" i="21" s="1"/>
  <c r="H154" i="21"/>
  <c r="BM154" i="21"/>
  <c r="A155" i="21"/>
  <c r="Y154" i="21"/>
  <c r="AN145" i="21"/>
  <c r="AH149" i="21"/>
  <c r="AI149" i="21" s="1"/>
  <c r="W149" i="21"/>
  <c r="BN152" i="21"/>
  <c r="J153" i="21"/>
  <c r="AD152" i="21"/>
  <c r="L152" i="21"/>
  <c r="M152" i="21" s="1"/>
  <c r="AC152" i="21"/>
  <c r="BE152" i="21" s="1"/>
  <c r="AE152" i="21"/>
  <c r="AF152" i="21"/>
  <c r="G153" i="21"/>
  <c r="AG152" i="21"/>
  <c r="AJ148" i="21"/>
  <c r="AL148" i="21" s="1"/>
  <c r="AN146" i="21" s="1"/>
  <c r="BB148" i="21"/>
  <c r="AQ148" i="21"/>
  <c r="AZ148" i="21" s="1"/>
  <c r="X148" i="21"/>
  <c r="AY148" i="21"/>
  <c r="F155" i="21"/>
  <c r="I155" i="21"/>
  <c r="AO144" i="21"/>
  <c r="AK147" i="21"/>
  <c r="AM147" i="21" s="1"/>
  <c r="Z147" i="21"/>
  <c r="U150" i="21"/>
  <c r="V150" i="21"/>
  <c r="BC138" i="6"/>
  <c r="BE138" i="6" s="1"/>
  <c r="BD138" i="6"/>
  <c r="BF138" i="6" s="1"/>
  <c r="AC139" i="6"/>
  <c r="BE139" i="6" s="1"/>
  <c r="AD139" i="6"/>
  <c r="AF139" i="6"/>
  <c r="AE139" i="6"/>
  <c r="AG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O139" i="6"/>
  <c r="E141" i="10"/>
  <c r="G142" i="10"/>
  <c r="F141" i="10"/>
  <c r="V151" i="10"/>
  <c r="A152" i="10"/>
  <c r="A150" i="6"/>
  <c r="N152" i="21" l="1"/>
  <c r="O152" i="21" s="1"/>
  <c r="P152" i="21"/>
  <c r="S152" i="21" s="1"/>
  <c r="T152" i="21" s="1"/>
  <c r="AO145" i="21"/>
  <c r="AG153" i="21"/>
  <c r="G154" i="21"/>
  <c r="Y155" i="21"/>
  <c r="A156" i="21"/>
  <c r="BM155" i="21"/>
  <c r="H155" i="21"/>
  <c r="F156" i="21"/>
  <c r="BD152" i="21"/>
  <c r="BF152" i="21" s="1"/>
  <c r="I156" i="21"/>
  <c r="BN153" i="21"/>
  <c r="AD153" i="21"/>
  <c r="AC153" i="21"/>
  <c r="BE153" i="21" s="1"/>
  <c r="L153" i="21"/>
  <c r="M153" i="21" s="1"/>
  <c r="J154" i="21"/>
  <c r="AE153" i="21"/>
  <c r="AF153" i="21"/>
  <c r="BB149" i="21"/>
  <c r="AQ149" i="21"/>
  <c r="AZ149" i="21" s="1"/>
  <c r="X149" i="21"/>
  <c r="AY149" i="21" s="1"/>
  <c r="AJ149" i="21"/>
  <c r="AL149" i="21" s="1"/>
  <c r="Z148" i="21"/>
  <c r="AK148" i="21"/>
  <c r="AM148" i="21" s="1"/>
  <c r="AO146" i="21" s="1"/>
  <c r="AH150" i="21"/>
  <c r="AI150" i="21" s="1"/>
  <c r="W150" i="21"/>
  <c r="U151" i="21"/>
  <c r="V151" i="21"/>
  <c r="BD139" i="6"/>
  <c r="BF139" i="6" s="1"/>
  <c r="AC140" i="6"/>
  <c r="BE140" i="6" s="1"/>
  <c r="AD140" i="6"/>
  <c r="AF140" i="6"/>
  <c r="AE140" i="6"/>
  <c r="AG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O140" i="6"/>
  <c r="G143" i="10"/>
  <c r="E142" i="10"/>
  <c r="F142" i="10"/>
  <c r="V152" i="10"/>
  <c r="A153" i="10"/>
  <c r="A151" i="6"/>
  <c r="BD153" i="21" l="1"/>
  <c r="BF153" i="21" s="1"/>
  <c r="N153" i="21"/>
  <c r="O153" i="21" s="1"/>
  <c r="P153" i="21"/>
  <c r="S153" i="21" s="1"/>
  <c r="T153" i="21" s="1"/>
  <c r="U152" i="21"/>
  <c r="V152" i="21"/>
  <c r="I157" i="21"/>
  <c r="AN148" i="21"/>
  <c r="AN147" i="21"/>
  <c r="Y156" i="21"/>
  <c r="A157" i="21"/>
  <c r="BM156" i="21"/>
  <c r="Z149" i="21"/>
  <c r="AK149" i="21"/>
  <c r="AM149" i="21" s="1"/>
  <c r="H156" i="21"/>
  <c r="BB150" i="21"/>
  <c r="AQ150" i="21"/>
  <c r="AZ150" i="21" s="1"/>
  <c r="X150" i="21"/>
  <c r="AJ150" i="21"/>
  <c r="AL150" i="21" s="1"/>
  <c r="AG154" i="21"/>
  <c r="G155" i="21"/>
  <c r="AH151" i="21"/>
  <c r="AI151" i="21" s="1"/>
  <c r="W151" i="21"/>
  <c r="F157" i="21"/>
  <c r="BN154" i="21"/>
  <c r="J155" i="21"/>
  <c r="AD154" i="21"/>
  <c r="L154" i="21"/>
  <c r="M154" i="21" s="1"/>
  <c r="AC154" i="21"/>
  <c r="BE154" i="21" s="1"/>
  <c r="AF154" i="21"/>
  <c r="AE154" i="21"/>
  <c r="BD140" i="6"/>
  <c r="BF140" i="6" s="1"/>
  <c r="AD141" i="6"/>
  <c r="AC141" i="6"/>
  <c r="BE141" i="6" s="1"/>
  <c r="AF141" i="6"/>
  <c r="AE141" i="6"/>
  <c r="AG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O141" i="6"/>
  <c r="E143" i="10"/>
  <c r="G144" i="10"/>
  <c r="F143" i="10"/>
  <c r="V153" i="10"/>
  <c r="A154" i="10"/>
  <c r="A152" i="6"/>
  <c r="N154" i="21" l="1"/>
  <c r="O154" i="21" s="1"/>
  <c r="P154" i="21"/>
  <c r="S154" i="21" s="1"/>
  <c r="T154" i="21" s="1"/>
  <c r="AO148" i="21"/>
  <c r="F158" i="21"/>
  <c r="AH152" i="21"/>
  <c r="AI152" i="21" s="1"/>
  <c r="W152" i="21"/>
  <c r="AQ151" i="21"/>
  <c r="AZ151" i="21" s="1"/>
  <c r="X151" i="21"/>
  <c r="AJ151" i="21"/>
  <c r="AL151" i="21" s="1"/>
  <c r="BB151" i="21"/>
  <c r="I158" i="21"/>
  <c r="U153" i="21"/>
  <c r="V153" i="21"/>
  <c r="H157" i="21"/>
  <c r="Y157" i="21"/>
  <c r="A158" i="21"/>
  <c r="BM157" i="21"/>
  <c r="AG155" i="21"/>
  <c r="G156" i="21"/>
  <c r="Z150" i="21"/>
  <c r="AK150" i="21"/>
  <c r="AM150" i="21" s="1"/>
  <c r="AO147" i="21"/>
  <c r="AY150" i="21"/>
  <c r="BD154" i="21"/>
  <c r="BF154" i="21" s="1"/>
  <c r="J156" i="21"/>
  <c r="AD155" i="21"/>
  <c r="BD155" i="21" s="1"/>
  <c r="BF155" i="21" s="1"/>
  <c r="L155" i="21"/>
  <c r="M155" i="21" s="1"/>
  <c r="AC155" i="21"/>
  <c r="BE155" i="21" s="1"/>
  <c r="BN155" i="21"/>
  <c r="AF155" i="21"/>
  <c r="AE155" i="21"/>
  <c r="BD141" i="6"/>
  <c r="BF141" i="6" s="1"/>
  <c r="AD142" i="6"/>
  <c r="AC142" i="6"/>
  <c r="BE142" i="6" s="1"/>
  <c r="AF142" i="6"/>
  <c r="AE142" i="6"/>
  <c r="AG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O142" i="6"/>
  <c r="G145" i="10"/>
  <c r="E144" i="10"/>
  <c r="F144" i="10"/>
  <c r="V154" i="10"/>
  <c r="A155" i="10"/>
  <c r="A153" i="6"/>
  <c r="N155" i="21" l="1"/>
  <c r="O155" i="21" s="1"/>
  <c r="P155" i="21"/>
  <c r="S155" i="21" s="1"/>
  <c r="T155" i="21" s="1"/>
  <c r="AN149" i="21"/>
  <c r="AQ152" i="21"/>
  <c r="AZ152" i="21" s="1"/>
  <c r="X152" i="21"/>
  <c r="AY152" i="21" s="1"/>
  <c r="AJ152" i="21"/>
  <c r="AL152" i="21" s="1"/>
  <c r="BB152" i="21"/>
  <c r="H158" i="21"/>
  <c r="Z151" i="21"/>
  <c r="AK151" i="21"/>
  <c r="AM151" i="21" s="1"/>
  <c r="AH153" i="21"/>
  <c r="AI153" i="21" s="1"/>
  <c r="W153" i="21"/>
  <c r="U154" i="21"/>
  <c r="V154" i="21"/>
  <c r="AD156" i="21"/>
  <c r="L156" i="21"/>
  <c r="M156" i="21" s="1"/>
  <c r="J157" i="21"/>
  <c r="AC156" i="21"/>
  <c r="BE156" i="21" s="1"/>
  <c r="AE156" i="21"/>
  <c r="AF156" i="21"/>
  <c r="Y158" i="21"/>
  <c r="A159" i="21"/>
  <c r="BM158" i="21"/>
  <c r="F159" i="21"/>
  <c r="I159" i="21"/>
  <c r="AG156" i="21"/>
  <c r="G157" i="21"/>
  <c r="AY151" i="21"/>
  <c r="BD142" i="6"/>
  <c r="BF142" i="6" s="1"/>
  <c r="AC143" i="6"/>
  <c r="BE143" i="6" s="1"/>
  <c r="AD143" i="6"/>
  <c r="AF143" i="6"/>
  <c r="AE143" i="6"/>
  <c r="AG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BD156" i="21" l="1"/>
  <c r="BF156" i="21" s="1"/>
  <c r="N156" i="21"/>
  <c r="O156" i="21" s="1"/>
  <c r="P156" i="21"/>
  <c r="S156" i="21" s="1"/>
  <c r="T156" i="21" s="1"/>
  <c r="H159" i="21"/>
  <c r="AN150" i="21"/>
  <c r="AD157" i="21"/>
  <c r="L157" i="21"/>
  <c r="M157" i="21" s="1"/>
  <c r="J158" i="21"/>
  <c r="AC157" i="21"/>
  <c r="BE157" i="21" s="1"/>
  <c r="AE157" i="21"/>
  <c r="AF157" i="21"/>
  <c r="Y159" i="21"/>
  <c r="A160" i="21"/>
  <c r="BM159" i="21"/>
  <c r="Z152" i="21"/>
  <c r="AK152" i="21"/>
  <c r="AM152" i="21" s="1"/>
  <c r="X153" i="21"/>
  <c r="AY153" i="21" s="1"/>
  <c r="AJ153" i="21"/>
  <c r="AL153" i="21" s="1"/>
  <c r="BB153" i="21"/>
  <c r="AQ153" i="21"/>
  <c r="AZ153" i="21" s="1"/>
  <c r="U155" i="21"/>
  <c r="V155" i="21"/>
  <c r="F160" i="21"/>
  <c r="AH154" i="21"/>
  <c r="AI154" i="21" s="1"/>
  <c r="W154" i="21"/>
  <c r="AN151" i="21"/>
  <c r="AG157" i="21"/>
  <c r="G158" i="21"/>
  <c r="I160" i="21"/>
  <c r="AO149" i="21"/>
  <c r="AO150" i="21"/>
  <c r="BD143" i="6"/>
  <c r="BF143" i="6" s="1"/>
  <c r="AC144" i="6"/>
  <c r="BE144" i="6" s="1"/>
  <c r="AD144" i="6"/>
  <c r="AF144" i="6"/>
  <c r="AE144" i="6"/>
  <c r="AG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N157" i="21" l="1"/>
  <c r="O157" i="21" s="1"/>
  <c r="P157" i="21"/>
  <c r="S157" i="21" s="1"/>
  <c r="T157" i="21" s="1"/>
  <c r="BD157" i="21"/>
  <c r="BF157" i="21" s="1"/>
  <c r="G159" i="21"/>
  <c r="AG158" i="21"/>
  <c r="AJ154" i="21"/>
  <c r="AL154" i="21" s="1"/>
  <c r="BB154" i="21"/>
  <c r="AQ154" i="21"/>
  <c r="AZ154" i="21" s="1"/>
  <c r="X154" i="21"/>
  <c r="AY154" i="21"/>
  <c r="Y160" i="21"/>
  <c r="A161" i="21"/>
  <c r="BM160" i="21"/>
  <c r="AD158" i="21"/>
  <c r="BD158" i="21" s="1"/>
  <c r="BF158" i="21" s="1"/>
  <c r="L158" i="21"/>
  <c r="M158" i="21" s="1"/>
  <c r="J159" i="21"/>
  <c r="AC158" i="21"/>
  <c r="BE158" i="21" s="1"/>
  <c r="AE158" i="21"/>
  <c r="AF158" i="21"/>
  <c r="U156" i="21"/>
  <c r="V156" i="21"/>
  <c r="AK153" i="21"/>
  <c r="AM153" i="21" s="1"/>
  <c r="Z153" i="21"/>
  <c r="F161" i="21"/>
  <c r="H160" i="21"/>
  <c r="I161" i="21"/>
  <c r="AH155" i="21"/>
  <c r="AI155" i="21" s="1"/>
  <c r="W155" i="21"/>
  <c r="BD144" i="6"/>
  <c r="BF144" i="6" s="1"/>
  <c r="AC145" i="6"/>
  <c r="BE145" i="6" s="1"/>
  <c r="AD145" i="6"/>
  <c r="AF145" i="6"/>
  <c r="AE145" i="6"/>
  <c r="AG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N158" i="21" l="1"/>
  <c r="O158" i="21" s="1"/>
  <c r="P158" i="21"/>
  <c r="S158" i="21" s="1"/>
  <c r="T158" i="21" s="1"/>
  <c r="G160" i="21"/>
  <c r="AG159" i="21"/>
  <c r="AJ155" i="21"/>
  <c r="AL155" i="21" s="1"/>
  <c r="BB155" i="21"/>
  <c r="AQ155" i="21"/>
  <c r="AZ155" i="21" s="1"/>
  <c r="X155" i="21"/>
  <c r="AY155" i="21" s="1"/>
  <c r="H161" i="21"/>
  <c r="AN152" i="21"/>
  <c r="U157" i="21"/>
  <c r="V157" i="21"/>
  <c r="AD159" i="21"/>
  <c r="L159" i="21"/>
  <c r="M159" i="21" s="1"/>
  <c r="J160" i="21"/>
  <c r="AC159" i="21"/>
  <c r="BE159" i="21" s="1"/>
  <c r="AE159" i="21"/>
  <c r="AF159" i="21"/>
  <c r="F162" i="21"/>
  <c r="AH156" i="21"/>
  <c r="AI156" i="21" s="1"/>
  <c r="W156" i="21"/>
  <c r="Y161" i="21"/>
  <c r="A162" i="21"/>
  <c r="BM161" i="21"/>
  <c r="AO151" i="21"/>
  <c r="I162" i="21"/>
  <c r="AK154" i="21"/>
  <c r="AM154" i="21" s="1"/>
  <c r="Z154" i="21"/>
  <c r="BD145" i="6"/>
  <c r="BF145" i="6" s="1"/>
  <c r="AD146" i="6"/>
  <c r="AC146" i="6"/>
  <c r="BE146" i="6" s="1"/>
  <c r="AF146" i="6"/>
  <c r="AE146" i="6"/>
  <c r="AG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N159" i="21" l="1"/>
  <c r="O159" i="21" s="1"/>
  <c r="P159" i="21"/>
  <c r="S159" i="21" s="1"/>
  <c r="T159" i="21" s="1"/>
  <c r="H162" i="21"/>
  <c r="Y162" i="21"/>
  <c r="A163" i="21"/>
  <c r="BM162" i="21"/>
  <c r="G161" i="21"/>
  <c r="AG160" i="21"/>
  <c r="BB156" i="21"/>
  <c r="AQ156" i="21"/>
  <c r="AZ156" i="21" s="1"/>
  <c r="X156" i="21"/>
  <c r="AJ156" i="21"/>
  <c r="AL156" i="21" s="1"/>
  <c r="AN153" i="21"/>
  <c r="F163" i="21"/>
  <c r="Z155" i="21"/>
  <c r="AK155" i="21"/>
  <c r="AM155" i="21" s="1"/>
  <c r="AD160" i="21"/>
  <c r="L160" i="21"/>
  <c r="M160" i="21" s="1"/>
  <c r="J161" i="21"/>
  <c r="AC160" i="21"/>
  <c r="BE160" i="21" s="1"/>
  <c r="AE160" i="21"/>
  <c r="AF160" i="21"/>
  <c r="BD159" i="21"/>
  <c r="BF159" i="21" s="1"/>
  <c r="AH157" i="21"/>
  <c r="AI157" i="21" s="1"/>
  <c r="W157" i="21"/>
  <c r="I163" i="21"/>
  <c r="U158" i="21"/>
  <c r="V158" i="21"/>
  <c r="AO152" i="21"/>
  <c r="BD146" i="6"/>
  <c r="BF146" i="6" s="1"/>
  <c r="AC147" i="6"/>
  <c r="BE147" i="6" s="1"/>
  <c r="AD147" i="6"/>
  <c r="AF147" i="6"/>
  <c r="AE147" i="6"/>
  <c r="AG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BD160" i="21" l="1"/>
  <c r="BF160" i="21" s="1"/>
  <c r="N160" i="21"/>
  <c r="O160" i="21" s="1"/>
  <c r="P160" i="21"/>
  <c r="S160" i="21" s="1"/>
  <c r="T160" i="21" s="1"/>
  <c r="AO153" i="21"/>
  <c r="AN154" i="21"/>
  <c r="U159" i="21"/>
  <c r="V159" i="21"/>
  <c r="Z156" i="21"/>
  <c r="AK156" i="21"/>
  <c r="AM156" i="21" s="1"/>
  <c r="AH158" i="21"/>
  <c r="AI158" i="21" s="1"/>
  <c r="W158" i="21"/>
  <c r="G162" i="21"/>
  <c r="AG161" i="21"/>
  <c r="Y163" i="21"/>
  <c r="A164" i="21"/>
  <c r="BM163" i="21"/>
  <c r="J162" i="21"/>
  <c r="AC161" i="21"/>
  <c r="BE161" i="21" s="1"/>
  <c r="AD161" i="21"/>
  <c r="L161" i="21"/>
  <c r="M161" i="21" s="1"/>
  <c r="AF161" i="21"/>
  <c r="AE161" i="21"/>
  <c r="AY156" i="21"/>
  <c r="H163" i="21"/>
  <c r="I164" i="21"/>
  <c r="F164" i="21"/>
  <c r="BB157" i="21"/>
  <c r="AQ157" i="21"/>
  <c r="AZ157" i="21" s="1"/>
  <c r="X157" i="21"/>
  <c r="AJ157" i="21"/>
  <c r="AL157" i="21" s="1"/>
  <c r="AY157" i="21"/>
  <c r="BD147" i="6"/>
  <c r="BF147" i="6" s="1"/>
  <c r="AD148" i="6"/>
  <c r="AC148" i="6"/>
  <c r="BE148" i="6" s="1"/>
  <c r="AF148" i="6"/>
  <c r="AE148" i="6"/>
  <c r="AG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F165" i="21" l="1"/>
  <c r="AD162" i="21"/>
  <c r="AC162" i="21"/>
  <c r="BE162" i="21" s="1"/>
  <c r="L162" i="21"/>
  <c r="M162" i="21" s="1"/>
  <c r="J163" i="21"/>
  <c r="AE162" i="21"/>
  <c r="AF162" i="21"/>
  <c r="I165" i="21"/>
  <c r="U160" i="21"/>
  <c r="V160" i="21"/>
  <c r="N161" i="21"/>
  <c r="O161" i="21" s="1"/>
  <c r="P161" i="21"/>
  <c r="S161" i="21" s="1"/>
  <c r="T161" i="21" s="1"/>
  <c r="BD161" i="21"/>
  <c r="BF161" i="21" s="1"/>
  <c r="AH159" i="21"/>
  <c r="AI159" i="21" s="1"/>
  <c r="W159" i="21"/>
  <c r="H164" i="21"/>
  <c r="BM164" i="21"/>
  <c r="A165" i="21"/>
  <c r="Y164" i="21"/>
  <c r="G163" i="21"/>
  <c r="AG162" i="21"/>
  <c r="Z157" i="21"/>
  <c r="AK157" i="21"/>
  <c r="AM157" i="21" s="1"/>
  <c r="BB158" i="21"/>
  <c r="AQ158" i="21"/>
  <c r="AZ158" i="21" s="1"/>
  <c r="X158" i="21"/>
  <c r="AY158" i="21" s="1"/>
  <c r="AJ158" i="21"/>
  <c r="AL158" i="21" s="1"/>
  <c r="AO154" i="21"/>
  <c r="AN155" i="21"/>
  <c r="BD148" i="6"/>
  <c r="BF148" i="6" s="1"/>
  <c r="AD149" i="6"/>
  <c r="AC149" i="6"/>
  <c r="BE149" i="6" s="1"/>
  <c r="AF149" i="6"/>
  <c r="AE149" i="6"/>
  <c r="AG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BD162" i="21" l="1"/>
  <c r="BF162" i="21" s="1"/>
  <c r="N162" i="21"/>
  <c r="O162" i="21" s="1"/>
  <c r="P162" i="21"/>
  <c r="S162" i="21" s="1"/>
  <c r="T162" i="21" s="1"/>
  <c r="AH160" i="21"/>
  <c r="AI160" i="21" s="1"/>
  <c r="W160" i="21"/>
  <c r="Y165" i="21"/>
  <c r="A166" i="21"/>
  <c r="BM165" i="21"/>
  <c r="AO155" i="21"/>
  <c r="AQ159" i="21"/>
  <c r="AZ159" i="21" s="1"/>
  <c r="X159" i="21"/>
  <c r="AJ159" i="21"/>
  <c r="AL159" i="21" s="1"/>
  <c r="AN157" i="21" s="1"/>
  <c r="BB159" i="21"/>
  <c r="AY159" i="21"/>
  <c r="I166" i="21"/>
  <c r="AN156" i="21"/>
  <c r="AD163" i="21"/>
  <c r="AC163" i="21"/>
  <c r="BE163" i="21" s="1"/>
  <c r="L163" i="21"/>
  <c r="M163" i="21" s="1"/>
  <c r="J164" i="21"/>
  <c r="AF163" i="21"/>
  <c r="AE163" i="21"/>
  <c r="Z158" i="21"/>
  <c r="AK158" i="21"/>
  <c r="AM158" i="21" s="1"/>
  <c r="H165" i="21"/>
  <c r="F166" i="21"/>
  <c r="G164" i="21"/>
  <c r="AG163" i="21"/>
  <c r="U161" i="21"/>
  <c r="V161" i="21"/>
  <c r="BD149" i="6"/>
  <c r="BF149" i="6" s="1"/>
  <c r="AD150" i="6"/>
  <c r="AC150" i="6"/>
  <c r="BE150" i="6" s="1"/>
  <c r="AF150" i="6"/>
  <c r="AE150" i="6"/>
  <c r="AG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BD163" i="21" l="1"/>
  <c r="BF163" i="21" s="1"/>
  <c r="N163" i="21"/>
  <c r="O163" i="21" s="1"/>
  <c r="P163" i="21"/>
  <c r="S163" i="21" s="1"/>
  <c r="T163" i="21" s="1"/>
  <c r="F167" i="21"/>
  <c r="Z159" i="21"/>
  <c r="AK159" i="21"/>
  <c r="AM159" i="21" s="1"/>
  <c r="I167" i="21"/>
  <c r="H166" i="21"/>
  <c r="Y166" i="21"/>
  <c r="A167" i="21"/>
  <c r="BM166" i="21"/>
  <c r="AH161" i="21"/>
  <c r="AI161" i="21" s="1"/>
  <c r="W161" i="21"/>
  <c r="AQ160" i="21"/>
  <c r="AZ160" i="21" s="1"/>
  <c r="X160" i="21"/>
  <c r="AJ160" i="21"/>
  <c r="AL160" i="21" s="1"/>
  <c r="BB160" i="21"/>
  <c r="AY160" i="21"/>
  <c r="AD164" i="21"/>
  <c r="BD164" i="21" s="1"/>
  <c r="BF164" i="21" s="1"/>
  <c r="AC164" i="21"/>
  <c r="BE164" i="21" s="1"/>
  <c r="L164" i="21"/>
  <c r="M164" i="21" s="1"/>
  <c r="J165" i="21"/>
  <c r="AF164" i="21"/>
  <c r="AE164" i="21"/>
  <c r="U162" i="21"/>
  <c r="V162" i="21"/>
  <c r="AO156" i="21"/>
  <c r="G165" i="21"/>
  <c r="AG164" i="21"/>
  <c r="BD150" i="6"/>
  <c r="BF150" i="6" s="1"/>
  <c r="AC151" i="6"/>
  <c r="BE151" i="6" s="1"/>
  <c r="AD151" i="6"/>
  <c r="AF151" i="6"/>
  <c r="AE151" i="6"/>
  <c r="AG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N164" i="21" l="1"/>
  <c r="O164" i="21" s="1"/>
  <c r="P164" i="21"/>
  <c r="S164" i="21" s="1"/>
  <c r="T164" i="21" s="1"/>
  <c r="I168" i="21"/>
  <c r="AO157" i="21"/>
  <c r="AH162" i="21"/>
  <c r="AI162" i="21" s="1"/>
  <c r="W162" i="21"/>
  <c r="J166" i="21"/>
  <c r="AD165" i="21"/>
  <c r="AC165" i="21"/>
  <c r="BE165" i="21" s="1"/>
  <c r="L165" i="21"/>
  <c r="M165" i="21" s="1"/>
  <c r="AE165" i="21"/>
  <c r="AF165" i="21"/>
  <c r="Y167" i="21"/>
  <c r="A168" i="21"/>
  <c r="BM167" i="21"/>
  <c r="U163" i="21"/>
  <c r="V163" i="21"/>
  <c r="AQ161" i="21"/>
  <c r="AZ161" i="21" s="1"/>
  <c r="X161" i="21"/>
  <c r="AJ161" i="21"/>
  <c r="AL161" i="21" s="1"/>
  <c r="BB161" i="21"/>
  <c r="H167" i="21"/>
  <c r="F168" i="21"/>
  <c r="AN158" i="21"/>
  <c r="G166" i="21"/>
  <c r="AG165" i="21"/>
  <c r="Z160" i="21"/>
  <c r="AK160" i="21"/>
  <c r="AM160" i="21" s="1"/>
  <c r="BD151" i="6"/>
  <c r="BF151" i="6" s="1"/>
  <c r="AD152" i="6"/>
  <c r="AC152" i="6"/>
  <c r="BE152" i="6" s="1"/>
  <c r="AF152" i="6"/>
  <c r="AE152" i="6"/>
  <c r="AG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N165" i="21" l="1"/>
  <c r="O165" i="21" s="1"/>
  <c r="P165" i="21"/>
  <c r="S165" i="21" s="1"/>
  <c r="T165" i="21" s="1"/>
  <c r="Z161" i="21"/>
  <c r="AK161" i="21"/>
  <c r="AM161" i="21" s="1"/>
  <c r="AH163" i="21"/>
  <c r="AI163" i="21" s="1"/>
  <c r="W163" i="21"/>
  <c r="AD166" i="21"/>
  <c r="BD166" i="21" s="1"/>
  <c r="BF166" i="21" s="1"/>
  <c r="AC166" i="21"/>
  <c r="BE166" i="21" s="1"/>
  <c r="J167" i="21"/>
  <c r="L166" i="21"/>
  <c r="M166" i="21" s="1"/>
  <c r="AF166" i="21"/>
  <c r="AE166" i="21"/>
  <c r="AN159" i="21"/>
  <c r="BD165" i="21"/>
  <c r="BF165" i="21" s="1"/>
  <c r="Y168" i="21"/>
  <c r="A169" i="21"/>
  <c r="F169" i="21"/>
  <c r="G167" i="21"/>
  <c r="AG166" i="21"/>
  <c r="AQ162" i="21"/>
  <c r="AZ162" i="21" s="1"/>
  <c r="X162" i="21"/>
  <c r="AJ162" i="21"/>
  <c r="AL162" i="21" s="1"/>
  <c r="BB162" i="21"/>
  <c r="AY162" i="21"/>
  <c r="I169" i="21"/>
  <c r="H168" i="21"/>
  <c r="AO158" i="21"/>
  <c r="U164" i="21"/>
  <c r="V164" i="21"/>
  <c r="AY161" i="21"/>
  <c r="BD152" i="6"/>
  <c r="BF152" i="6" s="1"/>
  <c r="AC153" i="6"/>
  <c r="BE153" i="6" s="1"/>
  <c r="AD153" i="6"/>
  <c r="AF153" i="6"/>
  <c r="AE153" i="6"/>
  <c r="AG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N166" i="21" l="1"/>
  <c r="O166" i="21" s="1"/>
  <c r="P166" i="21"/>
  <c r="S166" i="21" s="1"/>
  <c r="T166" i="21" s="1"/>
  <c r="F170" i="21"/>
  <c r="X163" i="21"/>
  <c r="AJ163" i="21"/>
  <c r="AL163" i="21" s="1"/>
  <c r="BB163" i="21"/>
  <c r="AQ163" i="21"/>
  <c r="AZ163" i="21" s="1"/>
  <c r="AY163" i="21"/>
  <c r="AH164" i="21"/>
  <c r="AI164" i="21" s="1"/>
  <c r="W164" i="21"/>
  <c r="A170" i="21"/>
  <c r="Y169" i="21"/>
  <c r="AO159" i="21"/>
  <c r="L167" i="21"/>
  <c r="M167" i="21" s="1"/>
  <c r="AD167" i="21"/>
  <c r="AC167" i="21"/>
  <c r="BE167" i="21" s="1"/>
  <c r="J168" i="21"/>
  <c r="AE167" i="21"/>
  <c r="AF167" i="21"/>
  <c r="Z162" i="21"/>
  <c r="AK162" i="21"/>
  <c r="AM162" i="21" s="1"/>
  <c r="AN160" i="21"/>
  <c r="H169" i="21"/>
  <c r="U165" i="21"/>
  <c r="V165" i="21"/>
  <c r="I170" i="21"/>
  <c r="G168" i="21"/>
  <c r="AG167" i="21"/>
  <c r="BD153" i="6"/>
  <c r="BF153" i="6" s="1"/>
  <c r="AC154" i="6"/>
  <c r="BE154" i="6" s="1"/>
  <c r="AD154" i="6"/>
  <c r="AF154" i="6"/>
  <c r="AE154" i="6"/>
  <c r="AG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BD167" i="21" l="1"/>
  <c r="BF167" i="21" s="1"/>
  <c r="N167" i="21"/>
  <c r="O167" i="21" s="1"/>
  <c r="P167" i="21"/>
  <c r="S167" i="21" s="1"/>
  <c r="T167" i="21" s="1"/>
  <c r="H170" i="21"/>
  <c r="AK163" i="21"/>
  <c r="AM163" i="21" s="1"/>
  <c r="Z163" i="21"/>
  <c r="F171" i="21"/>
  <c r="AO160" i="21"/>
  <c r="X164" i="21"/>
  <c r="AY164" i="21" s="1"/>
  <c r="AJ164" i="21"/>
  <c r="AL164" i="21" s="1"/>
  <c r="BB164" i="21"/>
  <c r="AQ164" i="21"/>
  <c r="AZ164" i="21" s="1"/>
  <c r="AG168" i="21"/>
  <c r="G169" i="21"/>
  <c r="I171" i="21"/>
  <c r="AN161" i="21"/>
  <c r="AH165" i="21"/>
  <c r="AI165" i="21" s="1"/>
  <c r="W165" i="21"/>
  <c r="U166" i="21"/>
  <c r="V166" i="21"/>
  <c r="L168" i="21"/>
  <c r="M168" i="21" s="1"/>
  <c r="AD168" i="21"/>
  <c r="AC168" i="21"/>
  <c r="BE168" i="21" s="1"/>
  <c r="J169" i="21"/>
  <c r="AF168" i="21"/>
  <c r="AE168" i="21"/>
  <c r="A171" i="21"/>
  <c r="Y170" i="21"/>
  <c r="BD154" i="6"/>
  <c r="BF154" i="6" s="1"/>
  <c r="AC155" i="6"/>
  <c r="BE155" i="6" s="1"/>
  <c r="AD155" i="6"/>
  <c r="AF155" i="6"/>
  <c r="AE155" i="6"/>
  <c r="AG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N168" i="21" l="1"/>
  <c r="O168" i="21" s="1"/>
  <c r="P168" i="21"/>
  <c r="S168" i="21" s="1"/>
  <c r="T168" i="21" s="1"/>
  <c r="F172" i="21"/>
  <c r="BD168" i="21"/>
  <c r="BF168" i="21" s="1"/>
  <c r="AG169" i="21"/>
  <c r="G170" i="21"/>
  <c r="H171" i="21"/>
  <c r="I172" i="21"/>
  <c r="L169" i="21"/>
  <c r="M169" i="21" s="1"/>
  <c r="AD169" i="21"/>
  <c r="AC169" i="21"/>
  <c r="BE169" i="21" s="1"/>
  <c r="J170" i="21"/>
  <c r="AF169" i="21"/>
  <c r="AE169" i="21"/>
  <c r="AH166" i="21"/>
  <c r="AI166" i="21" s="1"/>
  <c r="W166" i="21"/>
  <c r="AJ165" i="21"/>
  <c r="AL165" i="21" s="1"/>
  <c r="AQ165" i="21"/>
  <c r="AZ165" i="21" s="1"/>
  <c r="X165" i="21"/>
  <c r="BB165" i="21"/>
  <c r="AY165" i="21"/>
  <c r="AK164" i="21"/>
  <c r="AM164" i="21" s="1"/>
  <c r="Z164" i="21"/>
  <c r="AO162" i="21"/>
  <c r="U167" i="21"/>
  <c r="V167" i="21"/>
  <c r="A172" i="21"/>
  <c r="Y171" i="21"/>
  <c r="AO161" i="21"/>
  <c r="AN162" i="21"/>
  <c r="BD155" i="6"/>
  <c r="BF155" i="6" s="1"/>
  <c r="AD156" i="6"/>
  <c r="AC156" i="6"/>
  <c r="BE156" i="6" s="1"/>
  <c r="AF156" i="6"/>
  <c r="AE156" i="6"/>
  <c r="AG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N169" i="21" l="1"/>
  <c r="O169" i="21" s="1"/>
  <c r="P169" i="21"/>
  <c r="S169" i="21" s="1"/>
  <c r="T169" i="21" s="1"/>
  <c r="H172" i="21"/>
  <c r="U168" i="21"/>
  <c r="V168" i="21"/>
  <c r="AG170" i="21"/>
  <c r="G171" i="21"/>
  <c r="AN164" i="21"/>
  <c r="BD169" i="21"/>
  <c r="BF169" i="21" s="1"/>
  <c r="Y172" i="21"/>
  <c r="A173" i="21"/>
  <c r="AH167" i="21"/>
  <c r="AI167" i="21" s="1"/>
  <c r="W167" i="21"/>
  <c r="AQ166" i="21"/>
  <c r="AZ166" i="21" s="1"/>
  <c r="X166" i="21"/>
  <c r="AJ166" i="21"/>
  <c r="AL166" i="21" s="1"/>
  <c r="BB166" i="21"/>
  <c r="AN163" i="21"/>
  <c r="AO163" i="21"/>
  <c r="L170" i="21"/>
  <c r="M170" i="21" s="1"/>
  <c r="AD170" i="21"/>
  <c r="BD170" i="21" s="1"/>
  <c r="BF170" i="21" s="1"/>
  <c r="AC170" i="21"/>
  <c r="BE170" i="21" s="1"/>
  <c r="J171" i="21"/>
  <c r="AE170" i="21"/>
  <c r="AF170" i="21"/>
  <c r="F173" i="21"/>
  <c r="Z165" i="21"/>
  <c r="AK165" i="21"/>
  <c r="AM165" i="21" s="1"/>
  <c r="I173" i="21"/>
  <c r="BD156" i="6"/>
  <c r="BF156" i="6" s="1"/>
  <c r="AC157" i="6"/>
  <c r="BE157" i="6" s="1"/>
  <c r="AD157" i="6"/>
  <c r="AF157" i="6"/>
  <c r="AE157" i="6"/>
  <c r="AG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N170" i="21" l="1"/>
  <c r="O170" i="21" s="1"/>
  <c r="P170" i="21"/>
  <c r="S170" i="21" s="1"/>
  <c r="T170" i="21" s="1"/>
  <c r="F174" i="21"/>
  <c r="H173" i="21"/>
  <c r="AH168" i="21"/>
  <c r="AI168" i="21" s="1"/>
  <c r="W168" i="21"/>
  <c r="L171" i="21"/>
  <c r="M171" i="21" s="1"/>
  <c r="AD171" i="21"/>
  <c r="AC171" i="21"/>
  <c r="BE171" i="21" s="1"/>
  <c r="J172" i="21"/>
  <c r="AE171" i="21"/>
  <c r="AF171" i="21"/>
  <c r="I174" i="21"/>
  <c r="AG171" i="21"/>
  <c r="G172" i="21"/>
  <c r="Z166" i="21"/>
  <c r="AK166" i="21"/>
  <c r="AM166" i="21" s="1"/>
  <c r="BB167" i="21"/>
  <c r="AQ167" i="21"/>
  <c r="AZ167" i="21" s="1"/>
  <c r="X167" i="21"/>
  <c r="AJ167" i="21"/>
  <c r="AL167" i="21" s="1"/>
  <c r="Y173" i="21"/>
  <c r="A174" i="21"/>
  <c r="AY166" i="21"/>
  <c r="U169" i="21"/>
  <c r="V169" i="21"/>
  <c r="BD157" i="6"/>
  <c r="BF157" i="6" s="1"/>
  <c r="AC158" i="6"/>
  <c r="BE158" i="6" s="1"/>
  <c r="AD158" i="6"/>
  <c r="AF158" i="6"/>
  <c r="AE158" i="6"/>
  <c r="AG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N171" i="21" l="1"/>
  <c r="O171" i="21" s="1"/>
  <c r="P171" i="21"/>
  <c r="S171" i="21" s="1"/>
  <c r="T171" i="21" s="1"/>
  <c r="AG172" i="21"/>
  <c r="G173" i="21"/>
  <c r="J173" i="21"/>
  <c r="AD172" i="21"/>
  <c r="BD172" i="21" s="1"/>
  <c r="BF172" i="21" s="1"/>
  <c r="AC172" i="21"/>
  <c r="BE172" i="21" s="1"/>
  <c r="L172" i="21"/>
  <c r="M172" i="21" s="1"/>
  <c r="AE172" i="21"/>
  <c r="AF172" i="21"/>
  <c r="Z167" i="21"/>
  <c r="AK167" i="21"/>
  <c r="AM167" i="21" s="1"/>
  <c r="F175" i="21"/>
  <c r="AO164" i="21"/>
  <c r="BB168" i="21"/>
  <c r="AQ168" i="21"/>
  <c r="AZ168" i="21" s="1"/>
  <c r="X168" i="21"/>
  <c r="AJ168" i="21"/>
  <c r="AL168" i="21" s="1"/>
  <c r="AY168" i="21"/>
  <c r="H174" i="21"/>
  <c r="Y174" i="21"/>
  <c r="A175" i="21"/>
  <c r="I175" i="21"/>
  <c r="U170" i="21"/>
  <c r="V170" i="21"/>
  <c r="AY167" i="21"/>
  <c r="AH169" i="21"/>
  <c r="AI169" i="21" s="1"/>
  <c r="W169" i="21"/>
  <c r="AN165" i="21"/>
  <c r="BD171" i="21"/>
  <c r="BF171" i="21" s="1"/>
  <c r="BD158" i="6"/>
  <c r="BF158" i="6" s="1"/>
  <c r="AC159" i="6"/>
  <c r="BE159" i="6" s="1"/>
  <c r="AD159" i="6"/>
  <c r="AF159" i="6"/>
  <c r="AE159" i="6"/>
  <c r="AG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N172" i="21" l="1"/>
  <c r="O172" i="21" s="1"/>
  <c r="P172" i="21"/>
  <c r="S172" i="21" s="1"/>
  <c r="T172" i="21" s="1"/>
  <c r="AG173" i="21"/>
  <c r="G174" i="21"/>
  <c r="AH170" i="21"/>
  <c r="AI170" i="21" s="1"/>
  <c r="W170" i="21"/>
  <c r="I176" i="21"/>
  <c r="AO165" i="21"/>
  <c r="Y175" i="21"/>
  <c r="A176" i="21"/>
  <c r="AN166" i="21"/>
  <c r="Z168" i="21"/>
  <c r="AK168" i="21"/>
  <c r="AM168" i="21" s="1"/>
  <c r="AD173" i="21"/>
  <c r="AC173" i="21"/>
  <c r="BE173" i="21" s="1"/>
  <c r="J174" i="21"/>
  <c r="L173" i="21"/>
  <c r="M173" i="21" s="1"/>
  <c r="AE173" i="21"/>
  <c r="AF173" i="21"/>
  <c r="F176" i="21"/>
  <c r="AN167" i="21"/>
  <c r="AJ169" i="21"/>
  <c r="AL169" i="21" s="1"/>
  <c r="BB169" i="21"/>
  <c r="AQ169" i="21"/>
  <c r="AZ169" i="21" s="1"/>
  <c r="X169" i="21"/>
  <c r="AY169" i="21" s="1"/>
  <c r="U171" i="21"/>
  <c r="V171" i="21"/>
  <c r="H175" i="21"/>
  <c r="BD159" i="6"/>
  <c r="BF159" i="6" s="1"/>
  <c r="AC160" i="6"/>
  <c r="BE160" i="6" s="1"/>
  <c r="AD160" i="6"/>
  <c r="AF160" i="6"/>
  <c r="AE160" i="6"/>
  <c r="AG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BD173" i="21" l="1"/>
  <c r="BF173" i="21" s="1"/>
  <c r="L174" i="21"/>
  <c r="AD174" i="21"/>
  <c r="AC174" i="21"/>
  <c r="BE174" i="21" s="1"/>
  <c r="J175" i="21"/>
  <c r="AE174" i="21"/>
  <c r="AF174" i="21"/>
  <c r="I177" i="21"/>
  <c r="A177" i="21"/>
  <c r="Y176" i="21"/>
  <c r="AJ170" i="21"/>
  <c r="AL170" i="21" s="1"/>
  <c r="BB170" i="21"/>
  <c r="AQ170" i="21"/>
  <c r="AZ170" i="21" s="1"/>
  <c r="X170" i="21"/>
  <c r="AY170" i="21" s="1"/>
  <c r="AO166" i="21"/>
  <c r="H176" i="21"/>
  <c r="AG174" i="21"/>
  <c r="G175" i="21"/>
  <c r="AH171" i="21"/>
  <c r="AI171" i="21" s="1"/>
  <c r="W171" i="21"/>
  <c r="U172" i="21"/>
  <c r="V172" i="21"/>
  <c r="F177" i="21"/>
  <c r="M174" i="21"/>
  <c r="N173" i="21"/>
  <c r="O173" i="21" s="1"/>
  <c r="P173" i="21"/>
  <c r="S173" i="21" s="1"/>
  <c r="T173" i="21" s="1"/>
  <c r="AK169" i="21"/>
  <c r="AM169" i="21" s="1"/>
  <c r="Z169" i="21"/>
  <c r="BD160" i="6"/>
  <c r="BF160" i="6" s="1"/>
  <c r="AC161" i="6"/>
  <c r="BE161" i="6" s="1"/>
  <c r="AD161" i="6"/>
  <c r="AF161" i="6"/>
  <c r="AE161" i="6"/>
  <c r="AG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U173" i="21" l="1"/>
  <c r="V173" i="21"/>
  <c r="F178" i="21"/>
  <c r="AK170" i="21"/>
  <c r="AM170" i="21" s="1"/>
  <c r="Z170" i="21"/>
  <c r="I178" i="21"/>
  <c r="L175" i="21"/>
  <c r="M175" i="21" s="1"/>
  <c r="AD175" i="21"/>
  <c r="BD175" i="21" s="1"/>
  <c r="BF175" i="21" s="1"/>
  <c r="AC175" i="21"/>
  <c r="BE175" i="21" s="1"/>
  <c r="J176" i="21"/>
  <c r="AF175" i="21"/>
  <c r="AE175" i="21"/>
  <c r="H177" i="21"/>
  <c r="N174" i="21"/>
  <c r="O174" i="21" s="1"/>
  <c r="P174" i="21"/>
  <c r="S174" i="21" s="1"/>
  <c r="T174" i="21" s="1"/>
  <c r="AH172" i="21"/>
  <c r="AI172" i="21" s="1"/>
  <c r="W172" i="21"/>
  <c r="BD174" i="21"/>
  <c r="BF174" i="21" s="1"/>
  <c r="Y177" i="21"/>
  <c r="A178" i="21"/>
  <c r="AO167" i="21"/>
  <c r="X171" i="21"/>
  <c r="AJ171" i="21"/>
  <c r="AL171" i="21" s="1"/>
  <c r="BB171" i="21"/>
  <c r="AQ171" i="21"/>
  <c r="AZ171" i="21" s="1"/>
  <c r="AY171" i="21"/>
  <c r="AN168" i="21"/>
  <c r="AG175" i="21"/>
  <c r="G176" i="21"/>
  <c r="AO168" i="21"/>
  <c r="BD161" i="6"/>
  <c r="BF161" i="6" s="1"/>
  <c r="AD162" i="6"/>
  <c r="AC162" i="6"/>
  <c r="BE162" i="6" s="1"/>
  <c r="AF162" i="6"/>
  <c r="AE162" i="6"/>
  <c r="AG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N175" i="21" l="1"/>
  <c r="O175" i="21" s="1"/>
  <c r="P175" i="21"/>
  <c r="S175" i="21" s="1"/>
  <c r="T175" i="21" s="1"/>
  <c r="AK171" i="21"/>
  <c r="AM171" i="21" s="1"/>
  <c r="Z171" i="21"/>
  <c r="AG176" i="21"/>
  <c r="G177" i="21"/>
  <c r="AQ172" i="21"/>
  <c r="AZ172" i="21" s="1"/>
  <c r="X172" i="21"/>
  <c r="AJ172" i="21"/>
  <c r="AL172" i="21" s="1"/>
  <c r="BB172" i="21"/>
  <c r="I179" i="21"/>
  <c r="Y178" i="21"/>
  <c r="A179" i="21"/>
  <c r="H178" i="21"/>
  <c r="F179" i="21"/>
  <c r="U174" i="21"/>
  <c r="V174" i="21"/>
  <c r="AN169" i="21"/>
  <c r="J177" i="21"/>
  <c r="L176" i="21"/>
  <c r="M176" i="21" s="1"/>
  <c r="AD176" i="21"/>
  <c r="BD176" i="21" s="1"/>
  <c r="BF176" i="21" s="1"/>
  <c r="AC176" i="21"/>
  <c r="BE176" i="21" s="1"/>
  <c r="AF176" i="21"/>
  <c r="AE176" i="21"/>
  <c r="AH173" i="21"/>
  <c r="AI173" i="21" s="1"/>
  <c r="W173" i="21"/>
  <c r="BD162" i="6"/>
  <c r="BF162" i="6" s="1"/>
  <c r="AD163" i="6"/>
  <c r="AC163" i="6"/>
  <c r="BE163" i="6" s="1"/>
  <c r="AF163" i="6"/>
  <c r="AE163" i="6"/>
  <c r="AG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N176" i="21" l="1"/>
  <c r="O176" i="21" s="1"/>
  <c r="P176" i="21"/>
  <c r="S176" i="21" s="1"/>
  <c r="T176" i="21" s="1"/>
  <c r="Z172" i="21"/>
  <c r="AK172" i="21"/>
  <c r="AM172" i="21" s="1"/>
  <c r="I180" i="21"/>
  <c r="AD177" i="21"/>
  <c r="BD177" i="21" s="1"/>
  <c r="BF177" i="21" s="1"/>
  <c r="L177" i="21"/>
  <c r="M177" i="21" s="1"/>
  <c r="AC177" i="21"/>
  <c r="BE177" i="21" s="1"/>
  <c r="J178" i="21"/>
  <c r="AF177" i="21"/>
  <c r="AE177" i="21"/>
  <c r="AH174" i="21"/>
  <c r="AI174" i="21" s="1"/>
  <c r="W174" i="21"/>
  <c r="Y179" i="21"/>
  <c r="A180" i="21"/>
  <c r="AO169" i="21"/>
  <c r="AG177" i="21"/>
  <c r="G178" i="21"/>
  <c r="U175" i="21"/>
  <c r="V175" i="21"/>
  <c r="H179" i="21"/>
  <c r="AN170" i="21"/>
  <c r="F180" i="21"/>
  <c r="AY172" i="21"/>
  <c r="AQ173" i="21"/>
  <c r="AZ173" i="21" s="1"/>
  <c r="X173" i="21"/>
  <c r="AY173" i="21" s="1"/>
  <c r="AJ173" i="21"/>
  <c r="AL173" i="21" s="1"/>
  <c r="BB173" i="21"/>
  <c r="BD163" i="6"/>
  <c r="BF163" i="6" s="1"/>
  <c r="AD164" i="6"/>
  <c r="AC164" i="6"/>
  <c r="BE164" i="6" s="1"/>
  <c r="AF164" i="6"/>
  <c r="AE164" i="6"/>
  <c r="AG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N177" i="21" l="1"/>
  <c r="O177" i="21" s="1"/>
  <c r="P177" i="21"/>
  <c r="S177" i="21" s="1"/>
  <c r="T177" i="21" s="1"/>
  <c r="F181" i="21"/>
  <c r="AD178" i="21"/>
  <c r="L178" i="21"/>
  <c r="M178" i="21" s="1"/>
  <c r="AC178" i="21"/>
  <c r="BE178" i="21" s="1"/>
  <c r="J179" i="21"/>
  <c r="AF178" i="21"/>
  <c r="AE178" i="21"/>
  <c r="AH175" i="21"/>
  <c r="AI175" i="21" s="1"/>
  <c r="W175" i="21"/>
  <c r="AG178" i="21"/>
  <c r="G179" i="21"/>
  <c r="Z173" i="21"/>
  <c r="AK173" i="21"/>
  <c r="AM173" i="21" s="1"/>
  <c r="H180" i="21"/>
  <c r="AN171" i="21"/>
  <c r="U176" i="21"/>
  <c r="V176" i="21"/>
  <c r="Y180" i="21"/>
  <c r="A181" i="21"/>
  <c r="I181" i="21"/>
  <c r="BB174" i="21"/>
  <c r="AQ174" i="21"/>
  <c r="AZ174" i="21" s="1"/>
  <c r="X174" i="21"/>
  <c r="AY174" i="21" s="1"/>
  <c r="AJ174" i="21"/>
  <c r="AL174" i="21" s="1"/>
  <c r="AN172" i="21" s="1"/>
  <c r="AO170" i="21"/>
  <c r="BD164" i="6"/>
  <c r="BF164" i="6" s="1"/>
  <c r="AC165" i="6"/>
  <c r="BE165" i="6" s="1"/>
  <c r="AD165" i="6"/>
  <c r="AF165" i="6"/>
  <c r="AE165" i="6"/>
  <c r="AG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BD178" i="21" l="1"/>
  <c r="BF178" i="21" s="1"/>
  <c r="N178" i="21"/>
  <c r="O178" i="21" s="1"/>
  <c r="P178" i="21"/>
  <c r="S178" i="21" s="1"/>
  <c r="T178" i="21" s="1"/>
  <c r="Y181" i="21"/>
  <c r="A182" i="21"/>
  <c r="AO171" i="21"/>
  <c r="F182" i="21"/>
  <c r="AD179" i="21"/>
  <c r="BD179" i="21" s="1"/>
  <c r="BF179" i="21" s="1"/>
  <c r="L179" i="21"/>
  <c r="M179" i="21" s="1"/>
  <c r="AC179" i="21"/>
  <c r="BE179" i="21" s="1"/>
  <c r="J180" i="21"/>
  <c r="AE179" i="21"/>
  <c r="AF179" i="21"/>
  <c r="U177" i="21"/>
  <c r="V177" i="21"/>
  <c r="AG179" i="21"/>
  <c r="G180" i="21"/>
  <c r="AH176" i="21"/>
  <c r="AI176" i="21" s="1"/>
  <c r="W176" i="21"/>
  <c r="BB175" i="21"/>
  <c r="AQ175" i="21"/>
  <c r="AZ175" i="21" s="1"/>
  <c r="X175" i="21"/>
  <c r="AY175" i="21" s="1"/>
  <c r="AJ175" i="21"/>
  <c r="AL175" i="21" s="1"/>
  <c r="AN173" i="21" s="1"/>
  <c r="H181" i="21"/>
  <c r="Z174" i="21"/>
  <c r="AK174" i="21"/>
  <c r="AM174" i="21" s="1"/>
  <c r="I182" i="21"/>
  <c r="BD165" i="6"/>
  <c r="BF165" i="6" s="1"/>
  <c r="AC166" i="6"/>
  <c r="BE166" i="6" s="1"/>
  <c r="AD166" i="6"/>
  <c r="AF166" i="6"/>
  <c r="AE166" i="6"/>
  <c r="AG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N179" i="21" l="1"/>
  <c r="O179" i="21" s="1"/>
  <c r="P179" i="21"/>
  <c r="S179" i="21" s="1"/>
  <c r="T179" i="21" s="1"/>
  <c r="Y182" i="21"/>
  <c r="A183" i="21"/>
  <c r="Z175" i="21"/>
  <c r="AK175" i="21"/>
  <c r="AM175" i="21" s="1"/>
  <c r="U178" i="21"/>
  <c r="V178" i="21"/>
  <c r="F183" i="21"/>
  <c r="H182" i="21"/>
  <c r="AG180" i="21"/>
  <c r="G181" i="21"/>
  <c r="AO172" i="21"/>
  <c r="AD180" i="21"/>
  <c r="L180" i="21"/>
  <c r="M180" i="21" s="1"/>
  <c r="AC180" i="21"/>
  <c r="BE180" i="21" s="1"/>
  <c r="J181" i="21"/>
  <c r="AF180" i="21"/>
  <c r="AE180" i="21"/>
  <c r="BB176" i="21"/>
  <c r="AQ176" i="21"/>
  <c r="AZ176" i="21" s="1"/>
  <c r="AJ176" i="21"/>
  <c r="AL176" i="21" s="1"/>
  <c r="X176" i="21"/>
  <c r="I183" i="21"/>
  <c r="AH177" i="21"/>
  <c r="AI177" i="21" s="1"/>
  <c r="W177" i="21"/>
  <c r="BD166" i="6"/>
  <c r="BF166" i="6" s="1"/>
  <c r="AC167" i="6"/>
  <c r="BE167" i="6" s="1"/>
  <c r="AD167" i="6"/>
  <c r="AF167" i="6"/>
  <c r="AE167" i="6"/>
  <c r="AG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N180" i="21" l="1"/>
  <c r="O180" i="21" s="1"/>
  <c r="P180" i="21"/>
  <c r="S180" i="21" s="1"/>
  <c r="T180" i="21" s="1"/>
  <c r="H183" i="21"/>
  <c r="AK176" i="21"/>
  <c r="AM176" i="21" s="1"/>
  <c r="AO174" i="21" s="1"/>
  <c r="Z176" i="21"/>
  <c r="F184" i="21"/>
  <c r="AO173" i="21"/>
  <c r="AN174" i="21"/>
  <c r="I184" i="21"/>
  <c r="AH178" i="21"/>
  <c r="AI178" i="21" s="1"/>
  <c r="W178" i="21"/>
  <c r="U179" i="21"/>
  <c r="V179" i="21"/>
  <c r="AY176" i="21"/>
  <c r="Y183" i="21"/>
  <c r="A184" i="21"/>
  <c r="AJ177" i="21"/>
  <c r="AL177" i="21" s="1"/>
  <c r="BB177" i="21"/>
  <c r="AQ177" i="21"/>
  <c r="AZ177" i="21" s="1"/>
  <c r="X177" i="21"/>
  <c r="AY177" i="21"/>
  <c r="BD180" i="21"/>
  <c r="BF180" i="21" s="1"/>
  <c r="AG181" i="21"/>
  <c r="G182" i="21"/>
  <c r="AD181" i="21"/>
  <c r="L181" i="21"/>
  <c r="M181" i="21" s="1"/>
  <c r="AC181" i="21"/>
  <c r="BE181" i="21" s="1"/>
  <c r="J182" i="21"/>
  <c r="AF181" i="21"/>
  <c r="AE181" i="21"/>
  <c r="BD167" i="6"/>
  <c r="BF167" i="6" s="1"/>
  <c r="AC168" i="6"/>
  <c r="BE168" i="6" s="1"/>
  <c r="AD168" i="6"/>
  <c r="AF168" i="6"/>
  <c r="AE168" i="6"/>
  <c r="AG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N181" i="21" l="1"/>
  <c r="O181" i="21" s="1"/>
  <c r="P181" i="21"/>
  <c r="S181" i="21" s="1"/>
  <c r="T181" i="21" s="1"/>
  <c r="AH179" i="21"/>
  <c r="AI179" i="21" s="1"/>
  <c r="W179" i="21"/>
  <c r="F185" i="21"/>
  <c r="Z177" i="21"/>
  <c r="AK177" i="21"/>
  <c r="AM177" i="21" s="1"/>
  <c r="U180" i="21"/>
  <c r="V180" i="21"/>
  <c r="H184" i="21"/>
  <c r="AD182" i="21"/>
  <c r="BD182" i="21" s="1"/>
  <c r="BF182" i="21" s="1"/>
  <c r="L182" i="21"/>
  <c r="M182" i="21" s="1"/>
  <c r="AC182" i="21"/>
  <c r="BE182" i="21" s="1"/>
  <c r="J183" i="21"/>
  <c r="AF182" i="21"/>
  <c r="AE182" i="21"/>
  <c r="BD181" i="21"/>
  <c r="BF181" i="21" s="1"/>
  <c r="AJ178" i="21"/>
  <c r="AL178" i="21" s="1"/>
  <c r="BB178" i="21"/>
  <c r="AQ178" i="21"/>
  <c r="AZ178" i="21" s="1"/>
  <c r="X178" i="21"/>
  <c r="I185" i="21"/>
  <c r="Y184" i="21"/>
  <c r="A185" i="21"/>
  <c r="AG182" i="21"/>
  <c r="G183" i="21"/>
  <c r="AN175" i="21"/>
  <c r="BD168" i="6"/>
  <c r="BF168" i="6" s="1"/>
  <c r="AD169" i="6"/>
  <c r="AC169" i="6"/>
  <c r="BE169" i="6" s="1"/>
  <c r="AF169" i="6"/>
  <c r="AE169" i="6"/>
  <c r="AG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N182" i="21" l="1"/>
  <c r="O182" i="21" s="1"/>
  <c r="P182" i="21"/>
  <c r="S182" i="21" s="1"/>
  <c r="T182" i="21" s="1"/>
  <c r="F186" i="21"/>
  <c r="I186" i="21"/>
  <c r="AJ179" i="21"/>
  <c r="AL179" i="21" s="1"/>
  <c r="BB179" i="21"/>
  <c r="AQ179" i="21"/>
  <c r="AZ179" i="21" s="1"/>
  <c r="X179" i="21"/>
  <c r="AG183" i="21"/>
  <c r="G184" i="21"/>
  <c r="AH180" i="21"/>
  <c r="AI180" i="21" s="1"/>
  <c r="W180" i="21"/>
  <c r="Z178" i="21"/>
  <c r="AK178" i="21"/>
  <c r="AM178" i="21" s="1"/>
  <c r="H185" i="21"/>
  <c r="U181" i="21"/>
  <c r="V181" i="21"/>
  <c r="AY178" i="21"/>
  <c r="AD183" i="21"/>
  <c r="L183" i="21"/>
  <c r="M183" i="21" s="1"/>
  <c r="AC183" i="21"/>
  <c r="BE183" i="21" s="1"/>
  <c r="J184" i="21"/>
  <c r="AE183" i="21"/>
  <c r="AF183" i="21"/>
  <c r="AO175" i="21"/>
  <c r="Y185" i="21"/>
  <c r="A186" i="21"/>
  <c r="AN176" i="21"/>
  <c r="BD169" i="6"/>
  <c r="BF169" i="6" s="1"/>
  <c r="AD170" i="6"/>
  <c r="AC170" i="6"/>
  <c r="BE170" i="6" s="1"/>
  <c r="AF170" i="6"/>
  <c r="AE170" i="6"/>
  <c r="AG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BD183" i="21" l="1"/>
  <c r="BF183" i="21" s="1"/>
  <c r="N183" i="21"/>
  <c r="O183" i="21" s="1"/>
  <c r="P183" i="21"/>
  <c r="S183" i="21" s="1"/>
  <c r="T183" i="21" s="1"/>
  <c r="Z179" i="21"/>
  <c r="AK179" i="21"/>
  <c r="AM179" i="21" s="1"/>
  <c r="AO176" i="21"/>
  <c r="I187" i="21"/>
  <c r="H186" i="21"/>
  <c r="F187" i="21"/>
  <c r="AH181" i="21"/>
  <c r="AI181" i="21" s="1"/>
  <c r="W181" i="21"/>
  <c r="AJ180" i="21"/>
  <c r="AL180" i="21" s="1"/>
  <c r="BB180" i="21"/>
  <c r="AQ180" i="21"/>
  <c r="AZ180" i="21" s="1"/>
  <c r="X180" i="21"/>
  <c r="AY180" i="21" s="1"/>
  <c r="AD184" i="21"/>
  <c r="L184" i="21"/>
  <c r="M184" i="21" s="1"/>
  <c r="AC184" i="21"/>
  <c r="BE184" i="21" s="1"/>
  <c r="J185" i="21"/>
  <c r="AF184" i="21"/>
  <c r="AE184" i="21"/>
  <c r="AG184" i="21"/>
  <c r="G185" i="21"/>
  <c r="U182" i="21"/>
  <c r="V182" i="21"/>
  <c r="Y186" i="21"/>
  <c r="A187" i="21"/>
  <c r="AN177" i="21"/>
  <c r="AY179" i="21"/>
  <c r="BD170" i="6"/>
  <c r="BF170" i="6" s="1"/>
  <c r="AD171" i="6"/>
  <c r="AC171" i="6"/>
  <c r="BE171" i="6" s="1"/>
  <c r="AF171" i="6"/>
  <c r="AE171" i="6"/>
  <c r="AG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BD184" i="21" l="1"/>
  <c r="BF184" i="21" s="1"/>
  <c r="N184" i="21"/>
  <c r="O184" i="21" s="1"/>
  <c r="P184" i="21"/>
  <c r="S184" i="21" s="1"/>
  <c r="T184" i="21" s="1"/>
  <c r="H187" i="21"/>
  <c r="AH182" i="21"/>
  <c r="AI182" i="21" s="1"/>
  <c r="W182" i="21"/>
  <c r="AG185" i="21"/>
  <c r="G186" i="21"/>
  <c r="AJ181" i="21"/>
  <c r="AL181" i="21" s="1"/>
  <c r="BB181" i="21"/>
  <c r="AQ181" i="21"/>
  <c r="AZ181" i="21" s="1"/>
  <c r="X181" i="21"/>
  <c r="AY181" i="21" s="1"/>
  <c r="I188" i="21"/>
  <c r="U183" i="21"/>
  <c r="V183" i="21"/>
  <c r="F188" i="21"/>
  <c r="AN178" i="21"/>
  <c r="AD185" i="21"/>
  <c r="L185" i="21"/>
  <c r="M185" i="21" s="1"/>
  <c r="AC185" i="21"/>
  <c r="BE185" i="21" s="1"/>
  <c r="J186" i="21"/>
  <c r="AF185" i="21"/>
  <c r="AE185" i="21"/>
  <c r="Z180" i="21"/>
  <c r="AK180" i="21"/>
  <c r="AM180" i="21" s="1"/>
  <c r="AN179" i="21"/>
  <c r="Y187" i="21"/>
  <c r="A188" i="21"/>
  <c r="AO177" i="21"/>
  <c r="BD171" i="6"/>
  <c r="BF171" i="6" s="1"/>
  <c r="AC172" i="6"/>
  <c r="BE172" i="6" s="1"/>
  <c r="AD172" i="6"/>
  <c r="AF172" i="6"/>
  <c r="AE172" i="6"/>
  <c r="AG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N185" i="21" l="1"/>
  <c r="O185" i="21" s="1"/>
  <c r="P185" i="21"/>
  <c r="S185" i="21" s="1"/>
  <c r="T185" i="21" s="1"/>
  <c r="F189" i="21"/>
  <c r="AJ182" i="21"/>
  <c r="AL182" i="21" s="1"/>
  <c r="BB182" i="21"/>
  <c r="AQ182" i="21"/>
  <c r="AZ182" i="21" s="1"/>
  <c r="X182" i="21"/>
  <c r="AY182" i="21" s="1"/>
  <c r="AH183" i="21"/>
  <c r="AI183" i="21" s="1"/>
  <c r="W183" i="21"/>
  <c r="I189" i="21"/>
  <c r="AD186" i="21"/>
  <c r="BD186" i="21" s="1"/>
  <c r="BF186" i="21" s="1"/>
  <c r="L186" i="21"/>
  <c r="M186" i="21" s="1"/>
  <c r="AC186" i="21"/>
  <c r="BE186" i="21" s="1"/>
  <c r="J187" i="21"/>
  <c r="AF186" i="21"/>
  <c r="AE186" i="21"/>
  <c r="H188" i="21"/>
  <c r="Z181" i="21"/>
  <c r="AK181" i="21"/>
  <c r="AM181" i="21" s="1"/>
  <c r="AO178" i="21"/>
  <c r="U184" i="21"/>
  <c r="V184" i="21"/>
  <c r="BD185" i="21"/>
  <c r="BF185" i="21" s="1"/>
  <c r="Y188" i="21"/>
  <c r="A189" i="21"/>
  <c r="AG186" i="21"/>
  <c r="G187" i="21"/>
  <c r="BD172" i="6"/>
  <c r="BF172" i="6" s="1"/>
  <c r="AD173" i="6"/>
  <c r="AC173" i="6"/>
  <c r="BE173" i="6" s="1"/>
  <c r="AF173" i="6"/>
  <c r="AE173" i="6"/>
  <c r="AG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N186" i="21" l="1"/>
  <c r="O186" i="21" s="1"/>
  <c r="P186" i="21"/>
  <c r="S186" i="21" s="1"/>
  <c r="T186" i="21" s="1"/>
  <c r="AN180" i="21"/>
  <c r="AD187" i="21"/>
  <c r="L187" i="21"/>
  <c r="M187" i="21" s="1"/>
  <c r="AC187" i="21"/>
  <c r="BE187" i="21" s="1"/>
  <c r="J188" i="21"/>
  <c r="AF187" i="21"/>
  <c r="AE187" i="21"/>
  <c r="F190" i="21"/>
  <c r="Z182" i="21"/>
  <c r="AK182" i="21"/>
  <c r="AM182" i="21" s="1"/>
  <c r="U185" i="21"/>
  <c r="V185" i="21"/>
  <c r="H189" i="21"/>
  <c r="AG187" i="21"/>
  <c r="G188" i="21"/>
  <c r="I190" i="21"/>
  <c r="AH184" i="21"/>
  <c r="AI184" i="21" s="1"/>
  <c r="W184" i="21"/>
  <c r="AO179" i="21"/>
  <c r="Y189" i="21"/>
  <c r="A190" i="21"/>
  <c r="AJ183" i="21"/>
  <c r="AL183" i="21" s="1"/>
  <c r="AN181" i="21" s="1"/>
  <c r="BB183" i="21"/>
  <c r="AQ183" i="21"/>
  <c r="AZ183" i="21" s="1"/>
  <c r="X183" i="21"/>
  <c r="AY183" i="21" s="1"/>
  <c r="BD173" i="6"/>
  <c r="BF173" i="6" s="1"/>
  <c r="AC174" i="6"/>
  <c r="BE174" i="6" s="1"/>
  <c r="AD174" i="6"/>
  <c r="AF174" i="6"/>
  <c r="AE174" i="6"/>
  <c r="AG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N187" i="21" l="1"/>
  <c r="O187" i="21" s="1"/>
  <c r="P187" i="21"/>
  <c r="S187" i="21" s="1"/>
  <c r="T187" i="21" s="1"/>
  <c r="AD188" i="21"/>
  <c r="L188" i="21"/>
  <c r="M188" i="21" s="1"/>
  <c r="AC188" i="21"/>
  <c r="BE188" i="21" s="1"/>
  <c r="J189" i="21"/>
  <c r="AE188" i="21"/>
  <c r="AF188" i="21"/>
  <c r="AG188" i="21"/>
  <c r="G189" i="21"/>
  <c r="H190" i="21"/>
  <c r="AH185" i="21"/>
  <c r="AI185" i="21" s="1"/>
  <c r="W185" i="21"/>
  <c r="BD187" i="21"/>
  <c r="BF187" i="21" s="1"/>
  <c r="AO180" i="21"/>
  <c r="Z183" i="21"/>
  <c r="AK183" i="21"/>
  <c r="AM183" i="21" s="1"/>
  <c r="U186" i="21"/>
  <c r="V186" i="21"/>
  <c r="AJ184" i="21"/>
  <c r="AL184" i="21" s="1"/>
  <c r="BB184" i="21"/>
  <c r="AQ184" i="21"/>
  <c r="AZ184" i="21" s="1"/>
  <c r="X184" i="21"/>
  <c r="AY184" i="21" s="1"/>
  <c r="F191" i="21"/>
  <c r="Y190" i="21"/>
  <c r="A191" i="21"/>
  <c r="I191" i="21"/>
  <c r="BD174" i="6"/>
  <c r="BF174" i="6" s="1"/>
  <c r="AD175" i="6"/>
  <c r="AC175" i="6"/>
  <c r="BE175" i="6" s="1"/>
  <c r="AF175" i="6"/>
  <c r="AE175" i="6"/>
  <c r="AG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N188" i="21" l="1"/>
  <c r="O188" i="21" s="1"/>
  <c r="P188" i="21"/>
  <c r="S188" i="21" s="1"/>
  <c r="T188" i="21" s="1"/>
  <c r="AH186" i="21"/>
  <c r="AI186" i="21" s="1"/>
  <c r="W186" i="21"/>
  <c r="BD188" i="21"/>
  <c r="BF188" i="21" s="1"/>
  <c r="F192" i="21"/>
  <c r="U187" i="21"/>
  <c r="V187" i="21"/>
  <c r="Y191" i="21"/>
  <c r="A192" i="21"/>
  <c r="AJ185" i="21"/>
  <c r="AL185" i="21" s="1"/>
  <c r="BB185" i="21"/>
  <c r="AQ185" i="21"/>
  <c r="AZ185" i="21" s="1"/>
  <c r="X185" i="21"/>
  <c r="AG189" i="21"/>
  <c r="G190" i="21"/>
  <c r="AO181" i="21"/>
  <c r="Z184" i="21"/>
  <c r="AK184" i="21"/>
  <c r="AM184" i="21" s="1"/>
  <c r="AO182" i="21" s="1"/>
  <c r="AD189" i="21"/>
  <c r="L189" i="21"/>
  <c r="M189" i="21" s="1"/>
  <c r="AC189" i="21"/>
  <c r="BE189" i="21" s="1"/>
  <c r="J190" i="21"/>
  <c r="AF189" i="21"/>
  <c r="AE189" i="21"/>
  <c r="I192" i="21"/>
  <c r="H191" i="21"/>
  <c r="AN182" i="21"/>
  <c r="BD175" i="6"/>
  <c r="BF175" i="6" s="1"/>
  <c r="AD176" i="6"/>
  <c r="AC176" i="6"/>
  <c r="BE176" i="6" s="1"/>
  <c r="AF176" i="6"/>
  <c r="AE176" i="6"/>
  <c r="AG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N189" i="21" l="1"/>
  <c r="O189" i="21" s="1"/>
  <c r="P189" i="21"/>
  <c r="S189" i="21" s="1"/>
  <c r="T189" i="21" s="1"/>
  <c r="AH187" i="21"/>
  <c r="AI187" i="21" s="1"/>
  <c r="W187" i="21"/>
  <c r="AG190" i="21"/>
  <c r="G191" i="21"/>
  <c r="BD189" i="21"/>
  <c r="BF189" i="21" s="1"/>
  <c r="AJ186" i="21"/>
  <c r="AL186" i="21" s="1"/>
  <c r="BB186" i="21"/>
  <c r="AQ186" i="21"/>
  <c r="AZ186" i="21" s="1"/>
  <c r="X186" i="21"/>
  <c r="AY186" i="21" s="1"/>
  <c r="AD190" i="21"/>
  <c r="L190" i="21"/>
  <c r="M190" i="21" s="1"/>
  <c r="AC190" i="21"/>
  <c r="BE190" i="21" s="1"/>
  <c r="J191" i="21"/>
  <c r="AE190" i="21"/>
  <c r="AF190" i="21"/>
  <c r="H192" i="21"/>
  <c r="AN183" i="21"/>
  <c r="Y192" i="21"/>
  <c r="A193" i="21"/>
  <c r="Z185" i="21"/>
  <c r="AK185" i="21"/>
  <c r="AM185" i="21" s="1"/>
  <c r="F193" i="21"/>
  <c r="AY185" i="21"/>
  <c r="U188" i="21"/>
  <c r="V188" i="21"/>
  <c r="AO183" i="21"/>
  <c r="I193" i="21"/>
  <c r="BD176" i="6"/>
  <c r="BF176" i="6" s="1"/>
  <c r="AD177" i="6"/>
  <c r="AC177" i="6"/>
  <c r="BE177" i="6" s="1"/>
  <c r="AF177" i="6"/>
  <c r="AE177" i="6"/>
  <c r="AG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N190" i="21" l="1"/>
  <c r="O190" i="21" s="1"/>
  <c r="P190" i="21"/>
  <c r="S190" i="21" s="1"/>
  <c r="T190" i="21" s="1"/>
  <c r="F194" i="21"/>
  <c r="H193" i="21"/>
  <c r="I194" i="21"/>
  <c r="AG191" i="21"/>
  <c r="G192" i="21"/>
  <c r="AD191" i="21"/>
  <c r="L191" i="21"/>
  <c r="M191" i="21" s="1"/>
  <c r="AC191" i="21"/>
  <c r="BE191" i="21" s="1"/>
  <c r="J192" i="21"/>
  <c r="AF191" i="21"/>
  <c r="AE191" i="21"/>
  <c r="AJ187" i="21"/>
  <c r="AL187" i="21" s="1"/>
  <c r="BB187" i="21"/>
  <c r="AQ187" i="21"/>
  <c r="AZ187" i="21" s="1"/>
  <c r="X187" i="21"/>
  <c r="AY187" i="21" s="1"/>
  <c r="U189" i="21"/>
  <c r="V189" i="21"/>
  <c r="Y193" i="21"/>
  <c r="A194" i="21"/>
  <c r="BD190" i="21"/>
  <c r="BF190" i="21" s="1"/>
  <c r="AH188" i="21"/>
  <c r="AI188" i="21" s="1"/>
  <c r="W188" i="21"/>
  <c r="Z186" i="21"/>
  <c r="AK186" i="21"/>
  <c r="AM186" i="21" s="1"/>
  <c r="AN184" i="21"/>
  <c r="BD177" i="6"/>
  <c r="BF177" i="6" s="1"/>
  <c r="AD178" i="6"/>
  <c r="AC178" i="6"/>
  <c r="BE178" i="6" s="1"/>
  <c r="AF178" i="6"/>
  <c r="AE178" i="6"/>
  <c r="AG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N191" i="21" l="1"/>
  <c r="O191" i="21" s="1"/>
  <c r="P191" i="21"/>
  <c r="S191" i="21" s="1"/>
  <c r="T191" i="21" s="1"/>
  <c r="AJ188" i="21"/>
  <c r="AL188" i="21" s="1"/>
  <c r="BB188" i="21"/>
  <c r="AQ188" i="21"/>
  <c r="AZ188" i="21" s="1"/>
  <c r="X188" i="21"/>
  <c r="Z187" i="21"/>
  <c r="AK187" i="21"/>
  <c r="AM187" i="21" s="1"/>
  <c r="I195" i="21"/>
  <c r="H194" i="21"/>
  <c r="F195" i="21"/>
  <c r="AD192" i="21"/>
  <c r="L192" i="21"/>
  <c r="M192" i="21" s="1"/>
  <c r="AC192" i="21"/>
  <c r="BE192" i="21" s="1"/>
  <c r="J193" i="21"/>
  <c r="AE192" i="21"/>
  <c r="AF192" i="21"/>
  <c r="AH189" i="21"/>
  <c r="AI189" i="21" s="1"/>
  <c r="W189" i="21"/>
  <c r="BD191" i="21"/>
  <c r="BF191" i="21" s="1"/>
  <c r="AN185" i="21"/>
  <c r="U190" i="21"/>
  <c r="V190" i="21"/>
  <c r="Y194" i="21"/>
  <c r="A195" i="21"/>
  <c r="AO184" i="21"/>
  <c r="AG192" i="21"/>
  <c r="G193" i="21"/>
  <c r="BD178" i="6"/>
  <c r="BF178" i="6" s="1"/>
  <c r="AC179" i="6"/>
  <c r="BE179" i="6" s="1"/>
  <c r="AD179" i="6"/>
  <c r="AF179" i="6"/>
  <c r="AE179" i="6"/>
  <c r="AG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N192" i="21" l="1"/>
  <c r="O192" i="21" s="1"/>
  <c r="P192" i="21"/>
  <c r="S192" i="21" s="1"/>
  <c r="T192" i="21" s="1"/>
  <c r="Y195" i="21"/>
  <c r="A196" i="21"/>
  <c r="I196" i="21"/>
  <c r="Z188" i="21"/>
  <c r="AK188" i="21"/>
  <c r="AM188" i="21" s="1"/>
  <c r="AH190" i="21"/>
  <c r="AI190" i="21" s="1"/>
  <c r="W190" i="21"/>
  <c r="BD192" i="21"/>
  <c r="BF192" i="21" s="1"/>
  <c r="AD193" i="21"/>
  <c r="BD193" i="21" s="1"/>
  <c r="BF193" i="21" s="1"/>
  <c r="L193" i="21"/>
  <c r="M193" i="21" s="1"/>
  <c r="AC193" i="21"/>
  <c r="BE193" i="21" s="1"/>
  <c r="J194" i="21"/>
  <c r="AE193" i="21"/>
  <c r="AF193" i="21"/>
  <c r="F196" i="21"/>
  <c r="AG193" i="21"/>
  <c r="G194" i="21"/>
  <c r="AO185" i="21"/>
  <c r="AY188" i="21"/>
  <c r="U191" i="21"/>
  <c r="V191" i="21"/>
  <c r="H195" i="21"/>
  <c r="AJ189" i="21"/>
  <c r="AL189" i="21" s="1"/>
  <c r="BB189" i="21"/>
  <c r="AQ189" i="21"/>
  <c r="AZ189" i="21" s="1"/>
  <c r="X189" i="21"/>
  <c r="AY189" i="21"/>
  <c r="AN186" i="21"/>
  <c r="BD179" i="6"/>
  <c r="BF179" i="6" s="1"/>
  <c r="AC180" i="6"/>
  <c r="BE180" i="6" s="1"/>
  <c r="AD180" i="6"/>
  <c r="AF180" i="6"/>
  <c r="AE180" i="6"/>
  <c r="AG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N193" i="21" l="1"/>
  <c r="O193" i="21" s="1"/>
  <c r="P193" i="21"/>
  <c r="S193" i="21" s="1"/>
  <c r="T193" i="21" s="1"/>
  <c r="AN187" i="21"/>
  <c r="AD194" i="21"/>
  <c r="L194" i="21"/>
  <c r="M194" i="21" s="1"/>
  <c r="AC194" i="21"/>
  <c r="BE194" i="21" s="1"/>
  <c r="J195" i="21"/>
  <c r="AF194" i="21"/>
  <c r="AE194" i="21"/>
  <c r="Y196" i="21"/>
  <c r="A197" i="21"/>
  <c r="AH191" i="21"/>
  <c r="AI191" i="21" s="1"/>
  <c r="W191" i="21"/>
  <c r="H196" i="21"/>
  <c r="F197" i="21"/>
  <c r="AO186" i="21"/>
  <c r="AG194" i="21"/>
  <c r="G195" i="21"/>
  <c r="U192" i="21"/>
  <c r="V192" i="21"/>
  <c r="I197" i="21"/>
  <c r="Z189" i="21"/>
  <c r="AK189" i="21"/>
  <c r="AM189" i="21" s="1"/>
  <c r="AO187" i="21" s="1"/>
  <c r="AJ190" i="21"/>
  <c r="AL190" i="21" s="1"/>
  <c r="BB190" i="21"/>
  <c r="AQ190" i="21"/>
  <c r="AZ190" i="21" s="1"/>
  <c r="X190" i="21"/>
  <c r="AY190" i="21"/>
  <c r="BD180" i="6"/>
  <c r="BF180" i="6" s="1"/>
  <c r="AD181" i="6"/>
  <c r="AC181" i="6"/>
  <c r="BE181" i="6" s="1"/>
  <c r="AF181" i="6"/>
  <c r="AE181" i="6"/>
  <c r="AG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N194" i="21" l="1"/>
  <c r="O194" i="21" s="1"/>
  <c r="P194" i="21"/>
  <c r="S194" i="21" s="1"/>
  <c r="T194" i="21" s="1"/>
  <c r="F198" i="21"/>
  <c r="AO188" i="21"/>
  <c r="AH192" i="21"/>
  <c r="AI192" i="21" s="1"/>
  <c r="W192" i="21"/>
  <c r="BD194" i="21"/>
  <c r="BF194" i="21" s="1"/>
  <c r="AJ191" i="21"/>
  <c r="AL191" i="21" s="1"/>
  <c r="BB191" i="21"/>
  <c r="AQ191" i="21"/>
  <c r="AZ191" i="21" s="1"/>
  <c r="X191" i="21"/>
  <c r="AY191" i="21"/>
  <c r="AN188" i="21"/>
  <c r="AG195" i="21"/>
  <c r="G196" i="21"/>
  <c r="AD195" i="21"/>
  <c r="BD195" i="21" s="1"/>
  <c r="BF195" i="21" s="1"/>
  <c r="L195" i="21"/>
  <c r="M195" i="21" s="1"/>
  <c r="AC195" i="21"/>
  <c r="BE195" i="21" s="1"/>
  <c r="J196" i="21"/>
  <c r="AE195" i="21"/>
  <c r="AF195" i="21"/>
  <c r="Y197" i="21"/>
  <c r="A198" i="21"/>
  <c r="H197" i="21"/>
  <c r="AN189" i="21"/>
  <c r="U193" i="21"/>
  <c r="V193" i="21"/>
  <c r="Z190" i="21"/>
  <c r="AK190" i="21"/>
  <c r="AM190" i="21" s="1"/>
  <c r="I198" i="21"/>
  <c r="BD181" i="6"/>
  <c r="BF181" i="6" s="1"/>
  <c r="AC182" i="6"/>
  <c r="BE182" i="6" s="1"/>
  <c r="AD182" i="6"/>
  <c r="AF182" i="6"/>
  <c r="AE182" i="6"/>
  <c r="AG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N195" i="21" l="1"/>
  <c r="O195" i="21" s="1"/>
  <c r="P195" i="21"/>
  <c r="S195" i="21" s="1"/>
  <c r="T195" i="21" s="1"/>
  <c r="AH193" i="21"/>
  <c r="AI193" i="21" s="1"/>
  <c r="W193" i="21"/>
  <c r="AD196" i="21"/>
  <c r="BD196" i="21" s="1"/>
  <c r="BF196" i="21" s="1"/>
  <c r="L196" i="21"/>
  <c r="M196" i="21" s="1"/>
  <c r="AC196" i="21"/>
  <c r="BE196" i="21" s="1"/>
  <c r="J197" i="21"/>
  <c r="AE196" i="21"/>
  <c r="AF196" i="21"/>
  <c r="H198" i="21"/>
  <c r="AG196" i="21"/>
  <c r="G197" i="21"/>
  <c r="F199" i="21"/>
  <c r="I199" i="21"/>
  <c r="Y198" i="21"/>
  <c r="A199" i="21"/>
  <c r="AJ192" i="21"/>
  <c r="AL192" i="21" s="1"/>
  <c r="AN190" i="21" s="1"/>
  <c r="BB192" i="21"/>
  <c r="AQ192" i="21"/>
  <c r="AZ192" i="21" s="1"/>
  <c r="X192" i="21"/>
  <c r="U194" i="21"/>
  <c r="V194" i="21"/>
  <c r="Z191" i="21"/>
  <c r="AK191" i="21"/>
  <c r="AM191" i="21" s="1"/>
  <c r="BD182" i="6"/>
  <c r="BF182" i="6" s="1"/>
  <c r="AD183" i="6"/>
  <c r="AC183" i="6"/>
  <c r="BE183" i="6" s="1"/>
  <c r="AF183" i="6"/>
  <c r="AE183" i="6"/>
  <c r="AG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N196" i="21" l="1"/>
  <c r="O196" i="21" s="1"/>
  <c r="P196" i="21"/>
  <c r="S196" i="21" s="1"/>
  <c r="T196" i="21" s="1"/>
  <c r="AD197" i="21"/>
  <c r="L197" i="21"/>
  <c r="M197" i="21" s="1"/>
  <c r="AC197" i="21"/>
  <c r="BE197" i="21" s="1"/>
  <c r="J198" i="21"/>
  <c r="AE197" i="21"/>
  <c r="AF197" i="21"/>
  <c r="Z192" i="21"/>
  <c r="AK192" i="21"/>
  <c r="AM192" i="21" s="1"/>
  <c r="AJ193" i="21"/>
  <c r="AL193" i="21" s="1"/>
  <c r="BB193" i="21"/>
  <c r="AQ193" i="21"/>
  <c r="AZ193" i="21" s="1"/>
  <c r="X193" i="21"/>
  <c r="AY193" i="21" s="1"/>
  <c r="AY192" i="21"/>
  <c r="AG197" i="21"/>
  <c r="G198" i="21"/>
  <c r="F200" i="21"/>
  <c r="AO189" i="21"/>
  <c r="I200" i="21"/>
  <c r="U195" i="21"/>
  <c r="V195" i="21"/>
  <c r="Y199" i="21"/>
  <c r="A200" i="21"/>
  <c r="H199" i="21"/>
  <c r="AH194" i="21"/>
  <c r="AI194" i="21" s="1"/>
  <c r="W194" i="21"/>
  <c r="BD183" i="6"/>
  <c r="BF183" i="6" s="1"/>
  <c r="AD184" i="6"/>
  <c r="AC184" i="6"/>
  <c r="BE184" i="6" s="1"/>
  <c r="AF184" i="6"/>
  <c r="AE184" i="6"/>
  <c r="AG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N197" i="21" l="1"/>
  <c r="O197" i="21" s="1"/>
  <c r="P197" i="21"/>
  <c r="S197" i="21" s="1"/>
  <c r="T197" i="21" s="1"/>
  <c r="H200" i="21"/>
  <c r="AO190" i="21"/>
  <c r="AG198" i="21"/>
  <c r="G199" i="21"/>
  <c r="BD197" i="21"/>
  <c r="BF197" i="21" s="1"/>
  <c r="AH195" i="21"/>
  <c r="AI195" i="21" s="1"/>
  <c r="W195" i="21"/>
  <c r="Z193" i="21"/>
  <c r="AK193" i="21"/>
  <c r="AM193" i="21" s="1"/>
  <c r="U196" i="21"/>
  <c r="V196" i="21"/>
  <c r="F201" i="21"/>
  <c r="AD198" i="21"/>
  <c r="BD198" i="21" s="1"/>
  <c r="BF198" i="21" s="1"/>
  <c r="L198" i="21"/>
  <c r="M198" i="21" s="1"/>
  <c r="AC198" i="21"/>
  <c r="BE198" i="21" s="1"/>
  <c r="J199" i="21"/>
  <c r="AF198" i="21"/>
  <c r="AE198" i="21"/>
  <c r="I201" i="21"/>
  <c r="Y200" i="21"/>
  <c r="A201" i="21"/>
  <c r="AJ194" i="21"/>
  <c r="AL194" i="21" s="1"/>
  <c r="BB194" i="21"/>
  <c r="AQ194" i="21"/>
  <c r="AZ194" i="21" s="1"/>
  <c r="X194" i="21"/>
  <c r="AY194" i="21" s="1"/>
  <c r="AN191" i="21"/>
  <c r="BD184" i="6"/>
  <c r="BF184" i="6" s="1"/>
  <c r="AC185" i="6"/>
  <c r="BE185" i="6" s="1"/>
  <c r="AD185" i="6"/>
  <c r="AF185" i="6"/>
  <c r="AE185" i="6"/>
  <c r="AG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N198" i="21" l="1"/>
  <c r="O198" i="21" s="1"/>
  <c r="P198" i="21"/>
  <c r="S198" i="21" s="1"/>
  <c r="T198" i="21" s="1"/>
  <c r="Y201" i="21"/>
  <c r="A202" i="21"/>
  <c r="AG199" i="21"/>
  <c r="G200" i="21"/>
  <c r="AN193" i="21"/>
  <c r="H201" i="21"/>
  <c r="Z194" i="21"/>
  <c r="AK194" i="21"/>
  <c r="AM194" i="21" s="1"/>
  <c r="F202" i="21"/>
  <c r="AO191" i="21"/>
  <c r="AJ195" i="21"/>
  <c r="AL195" i="21" s="1"/>
  <c r="BB195" i="21"/>
  <c r="AQ195" i="21"/>
  <c r="AZ195" i="21" s="1"/>
  <c r="X195" i="21"/>
  <c r="AY195" i="21" s="1"/>
  <c r="AD199" i="21"/>
  <c r="L199" i="21"/>
  <c r="M199" i="21" s="1"/>
  <c r="AC199" i="21"/>
  <c r="BE199" i="21" s="1"/>
  <c r="J200" i="21"/>
  <c r="AE199" i="21"/>
  <c r="AF199" i="21"/>
  <c r="AH196" i="21"/>
  <c r="AI196" i="21" s="1"/>
  <c r="W196" i="21"/>
  <c r="I202" i="21"/>
  <c r="U197" i="21"/>
  <c r="V197" i="21"/>
  <c r="AN192" i="21"/>
  <c r="BD185" i="6"/>
  <c r="BF185" i="6" s="1"/>
  <c r="AC186" i="6"/>
  <c r="BE186" i="6" s="1"/>
  <c r="AD186" i="6"/>
  <c r="AF186" i="6"/>
  <c r="AE186" i="6"/>
  <c r="AG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BD199" i="21" l="1"/>
  <c r="BF199" i="21" s="1"/>
  <c r="N199" i="21"/>
  <c r="O199" i="21" s="1"/>
  <c r="P199" i="21"/>
  <c r="S199" i="21" s="1"/>
  <c r="T199" i="21" s="1"/>
  <c r="AG200" i="21"/>
  <c r="G201" i="21"/>
  <c r="F203" i="21"/>
  <c r="AD200" i="21"/>
  <c r="BD200" i="21" s="1"/>
  <c r="BF200" i="21" s="1"/>
  <c r="L200" i="21"/>
  <c r="M200" i="21" s="1"/>
  <c r="AC200" i="21"/>
  <c r="BE200" i="21" s="1"/>
  <c r="J201" i="21"/>
  <c r="AE200" i="21"/>
  <c r="AF200" i="21"/>
  <c r="AO192" i="21"/>
  <c r="AJ196" i="21"/>
  <c r="AL196" i="21" s="1"/>
  <c r="BB196" i="21"/>
  <c r="AQ196" i="21"/>
  <c r="AZ196" i="21" s="1"/>
  <c r="X196" i="21"/>
  <c r="AY196" i="21" s="1"/>
  <c r="H202" i="21"/>
  <c r="Y202" i="21"/>
  <c r="A203" i="21"/>
  <c r="Z195" i="21"/>
  <c r="AK195" i="21"/>
  <c r="AM195" i="21" s="1"/>
  <c r="U198" i="21"/>
  <c r="V198" i="21"/>
  <c r="AH197" i="21"/>
  <c r="AI197" i="21" s="1"/>
  <c r="W197" i="21"/>
  <c r="I203" i="21"/>
  <c r="BD186" i="6"/>
  <c r="BF186" i="6" s="1"/>
  <c r="AC187" i="6"/>
  <c r="BE187" i="6" s="1"/>
  <c r="AD187" i="6"/>
  <c r="AF187" i="6"/>
  <c r="AE187" i="6"/>
  <c r="AG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N200" i="21" l="1"/>
  <c r="O200" i="21" s="1"/>
  <c r="P200" i="21"/>
  <c r="S200" i="21" s="1"/>
  <c r="T200" i="21" s="1"/>
  <c r="H203" i="21"/>
  <c r="F204" i="21"/>
  <c r="AH198" i="21"/>
  <c r="AI198" i="21" s="1"/>
  <c r="W198" i="21"/>
  <c r="AO193" i="21"/>
  <c r="AJ197" i="21"/>
  <c r="AL197" i="21" s="1"/>
  <c r="BB197" i="21"/>
  <c r="AQ197" i="21"/>
  <c r="AZ197" i="21" s="1"/>
  <c r="X197" i="21"/>
  <c r="AY197" i="21" s="1"/>
  <c r="Y203" i="21"/>
  <c r="A204" i="21"/>
  <c r="AD201" i="21"/>
  <c r="L201" i="21"/>
  <c r="M201" i="21" s="1"/>
  <c r="AC201" i="21"/>
  <c r="BE201" i="21" s="1"/>
  <c r="J202" i="21"/>
  <c r="AE201" i="21"/>
  <c r="AF201" i="21"/>
  <c r="Z196" i="21"/>
  <c r="AK196" i="21"/>
  <c r="AM196" i="21" s="1"/>
  <c r="AG201" i="21"/>
  <c r="G202" i="21"/>
  <c r="U199" i="21"/>
  <c r="V199" i="21"/>
  <c r="I204" i="21"/>
  <c r="AN194" i="21"/>
  <c r="BD187" i="6"/>
  <c r="BF187" i="6" s="1"/>
  <c r="AC188" i="6"/>
  <c r="BE188" i="6" s="1"/>
  <c r="AD188" i="6"/>
  <c r="AF188" i="6"/>
  <c r="AE188" i="6"/>
  <c r="AG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N201" i="21" l="1"/>
  <c r="O201" i="21" s="1"/>
  <c r="M202" i="21"/>
  <c r="P201" i="21"/>
  <c r="S201" i="21" s="1"/>
  <c r="T201" i="21" s="1"/>
  <c r="AG202" i="21"/>
  <c r="G203" i="21"/>
  <c r="AJ198" i="21"/>
  <c r="AL198" i="21" s="1"/>
  <c r="BB198" i="21"/>
  <c r="AQ198" i="21"/>
  <c r="AZ198" i="21" s="1"/>
  <c r="X198" i="21"/>
  <c r="AY198" i="21" s="1"/>
  <c r="H204" i="21"/>
  <c r="U200" i="21"/>
  <c r="V200" i="21"/>
  <c r="AD202" i="21"/>
  <c r="BD202" i="21" s="1"/>
  <c r="BF202" i="21" s="1"/>
  <c r="L202" i="21"/>
  <c r="AC202" i="21"/>
  <c r="BE202" i="21" s="1"/>
  <c r="J203" i="21"/>
  <c r="AE202" i="21"/>
  <c r="AF202" i="21"/>
  <c r="AH199" i="21"/>
  <c r="AI199" i="21" s="1"/>
  <c r="W199" i="21"/>
  <c r="Y204" i="21"/>
  <c r="Z197" i="21"/>
  <c r="AK197" i="21"/>
  <c r="AM197" i="21" s="1"/>
  <c r="AO194" i="21"/>
  <c r="BD201" i="21"/>
  <c r="BF201" i="21" s="1"/>
  <c r="AN195" i="21"/>
  <c r="AO195" i="21"/>
  <c r="BD188" i="6"/>
  <c r="BF188" i="6" s="1"/>
  <c r="AC189" i="6"/>
  <c r="BE189" i="6" s="1"/>
  <c r="AD189" i="6"/>
  <c r="AF189" i="6"/>
  <c r="AE189" i="6"/>
  <c r="AG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AJ199" i="21" l="1"/>
  <c r="AL199" i="21" s="1"/>
  <c r="AN197" i="21" s="1"/>
  <c r="BB199" i="21"/>
  <c r="AQ199" i="21"/>
  <c r="AZ199" i="21" s="1"/>
  <c r="X199" i="21"/>
  <c r="AY199" i="21" s="1"/>
  <c r="Z198" i="21"/>
  <c r="AK198" i="21"/>
  <c r="AM198" i="21" s="1"/>
  <c r="AD203" i="21"/>
  <c r="L203" i="21"/>
  <c r="M203" i="21" s="1"/>
  <c r="AC203" i="21"/>
  <c r="BE203" i="21" s="1"/>
  <c r="J204" i="21"/>
  <c r="AE203" i="21"/>
  <c r="AF203" i="21"/>
  <c r="AG203" i="21"/>
  <c r="G204" i="21"/>
  <c r="AG204" i="21" s="1"/>
  <c r="U201" i="21"/>
  <c r="V201" i="21"/>
  <c r="N202" i="21"/>
  <c r="O202" i="21" s="1"/>
  <c r="P202" i="21"/>
  <c r="S202" i="21" s="1"/>
  <c r="T202" i="21" s="1"/>
  <c r="AH200" i="21"/>
  <c r="AI200" i="21" s="1"/>
  <c r="W200" i="21"/>
  <c r="AN196" i="21"/>
  <c r="BD189" i="6"/>
  <c r="BF189" i="6" s="1"/>
  <c r="AD190" i="6"/>
  <c r="AC190" i="6"/>
  <c r="BE190" i="6" s="1"/>
  <c r="AF190" i="6"/>
  <c r="AE190" i="6"/>
  <c r="AG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N203" i="21" l="1"/>
  <c r="O203" i="21" s="1"/>
  <c r="P203" i="21"/>
  <c r="S203" i="21" s="1"/>
  <c r="T203" i="21" s="1"/>
  <c r="AH201" i="21"/>
  <c r="AI201" i="21" s="1"/>
  <c r="W201" i="21"/>
  <c r="AO196" i="21"/>
  <c r="AD204" i="21"/>
  <c r="BD204" i="21" s="1"/>
  <c r="BF204" i="21" s="1"/>
  <c r="L204" i="21"/>
  <c r="M204" i="21" s="1"/>
  <c r="AC204" i="21"/>
  <c r="AE204" i="21"/>
  <c r="AF204" i="21"/>
  <c r="U202" i="21"/>
  <c r="V202" i="21"/>
  <c r="Z199" i="21"/>
  <c r="AK199" i="21"/>
  <c r="AM199" i="21" s="1"/>
  <c r="AJ200" i="21"/>
  <c r="AL200" i="21" s="1"/>
  <c r="BB200" i="21"/>
  <c r="AQ200" i="21"/>
  <c r="AZ200" i="21" s="1"/>
  <c r="X200" i="21"/>
  <c r="AY200" i="21" s="1"/>
  <c r="BD203" i="21"/>
  <c r="BF203" i="21" s="1"/>
  <c r="BD190" i="6"/>
  <c r="BF190" i="6" s="1"/>
  <c r="AD191" i="6"/>
  <c r="AC191" i="6"/>
  <c r="BE191" i="6" s="1"/>
  <c r="AF191" i="6"/>
  <c r="AE191" i="6"/>
  <c r="AG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BC204" i="21" l="1"/>
  <c r="BE204" i="21" s="1"/>
  <c r="N204" i="21"/>
  <c r="O204" i="21" s="1"/>
  <c r="P204" i="21"/>
  <c r="S204" i="21" s="1"/>
  <c r="T204" i="21" s="1"/>
  <c r="AN198" i="21"/>
  <c r="Z200" i="21"/>
  <c r="AK200" i="21"/>
  <c r="AM200" i="21" s="1"/>
  <c r="U203" i="21"/>
  <c r="V203" i="21"/>
  <c r="AH202" i="21"/>
  <c r="AI202" i="21" s="1"/>
  <c r="W202" i="21"/>
  <c r="AO197" i="21"/>
  <c r="AJ201" i="21"/>
  <c r="AL201" i="21" s="1"/>
  <c r="AN199" i="21" s="1"/>
  <c r="BB201" i="21"/>
  <c r="AQ201" i="21"/>
  <c r="AZ201" i="21" s="1"/>
  <c r="X201" i="21"/>
  <c r="BD191" i="6"/>
  <c r="BF191" i="6" s="1"/>
  <c r="AD192" i="6"/>
  <c r="AC192" i="6"/>
  <c r="BE192" i="6" s="1"/>
  <c r="AF192" i="6"/>
  <c r="AE192" i="6"/>
  <c r="AG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AO199" i="21" l="1"/>
  <c r="Z201" i="21"/>
  <c r="AK201" i="21"/>
  <c r="AM201" i="21" s="1"/>
  <c r="AO198" i="21"/>
  <c r="AY201" i="21"/>
  <c r="AJ202" i="21"/>
  <c r="AL202" i="21" s="1"/>
  <c r="BB202" i="21"/>
  <c r="AQ202" i="21"/>
  <c r="AZ202" i="21" s="1"/>
  <c r="X202" i="21"/>
  <c r="AY202" i="21" s="1"/>
  <c r="BH4" i="21" s="1"/>
  <c r="U204" i="21"/>
  <c r="V204" i="21"/>
  <c r="AH203" i="21"/>
  <c r="AI203" i="21" s="1"/>
  <c r="W203" i="21"/>
  <c r="BD192" i="6"/>
  <c r="BF192" i="6" s="1"/>
  <c r="AD193" i="6"/>
  <c r="AC193" i="6"/>
  <c r="BE193" i="6" s="1"/>
  <c r="AF193" i="6"/>
  <c r="AE193" i="6"/>
  <c r="AG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BU4" i="21" l="1"/>
  <c r="BI4" i="21"/>
  <c r="AN200" i="21"/>
  <c r="AJ203" i="21"/>
  <c r="AL203" i="21" s="1"/>
  <c r="AN201" i="21" s="1"/>
  <c r="BB203" i="21"/>
  <c r="AQ203" i="21"/>
  <c r="AZ203" i="21" s="1"/>
  <c r="X203" i="21"/>
  <c r="AH204" i="21"/>
  <c r="AI204" i="21" s="1"/>
  <c r="W204" i="21"/>
  <c r="Z202" i="21"/>
  <c r="AK202" i="21"/>
  <c r="AM202" i="21" s="1"/>
  <c r="BD193" i="6"/>
  <c r="BF193" i="6" s="1"/>
  <c r="AD194" i="6"/>
  <c r="AC194" i="6"/>
  <c r="BE194" i="6" s="1"/>
  <c r="AF194" i="6"/>
  <c r="AE194" i="6"/>
  <c r="AG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AJ204" i="21" l="1"/>
  <c r="AL204" i="21" s="1"/>
  <c r="AN202" i="21" s="1"/>
  <c r="BB204" i="21"/>
  <c r="AQ204" i="21"/>
  <c r="AZ204" i="21" s="1"/>
  <c r="BA202" i="21" s="1"/>
  <c r="X204" i="21"/>
  <c r="Z203" i="21"/>
  <c r="AK203" i="21"/>
  <c r="AM203" i="21" s="1"/>
  <c r="AY203" i="21"/>
  <c r="BH5" i="21" s="1"/>
  <c r="AO200" i="21"/>
  <c r="BD194" i="6"/>
  <c r="BF194" i="6" s="1"/>
  <c r="AC195" i="6"/>
  <c r="BE195" i="6" s="1"/>
  <c r="AD195" i="6"/>
  <c r="AF195" i="6"/>
  <c r="AE195" i="6"/>
  <c r="AG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Z204" i="21" l="1"/>
  <c r="AA4" i="21" s="1"/>
  <c r="AK204" i="21"/>
  <c r="AM204" i="21" s="1"/>
  <c r="AO204" i="21" s="1"/>
  <c r="AY204" i="21"/>
  <c r="AN203" i="21"/>
  <c r="BA201" i="21"/>
  <c r="BI1" i="21"/>
  <c r="AO203" i="21"/>
  <c r="AO201" i="21"/>
  <c r="AN204" i="21"/>
  <c r="BI5" i="21"/>
  <c r="BU5" i="21"/>
  <c r="BA8" i="21"/>
  <c r="BA4" i="21"/>
  <c r="BA5" i="21"/>
  <c r="BA6" i="21"/>
  <c r="BA7" i="21"/>
  <c r="BA10" i="21"/>
  <c r="BA9" i="21"/>
  <c r="BA11" i="21"/>
  <c r="BA12" i="21"/>
  <c r="BA14" i="21"/>
  <c r="BA13" i="21"/>
  <c r="BA16" i="21"/>
  <c r="BA17" i="21"/>
  <c r="BA15" i="21"/>
  <c r="BA18" i="21"/>
  <c r="BA20" i="21"/>
  <c r="BA19" i="21"/>
  <c r="BA21" i="21"/>
  <c r="BA22" i="21"/>
  <c r="BA25" i="21"/>
  <c r="BA23" i="21"/>
  <c r="BA24" i="21"/>
  <c r="BA26" i="21"/>
  <c r="BA27" i="21"/>
  <c r="BA29" i="21"/>
  <c r="BA28" i="21"/>
  <c r="BA31" i="21"/>
  <c r="BA32" i="21"/>
  <c r="BA30" i="21"/>
  <c r="BA33" i="21"/>
  <c r="BA36" i="21"/>
  <c r="BA34" i="21"/>
  <c r="BA35" i="21"/>
  <c r="BA38" i="21"/>
  <c r="BA39" i="21"/>
  <c r="BA41" i="21"/>
  <c r="BA37" i="21"/>
  <c r="BA40" i="21"/>
  <c r="BA45" i="21"/>
  <c r="BA42" i="21"/>
  <c r="BA43" i="21"/>
  <c r="BA44" i="21"/>
  <c r="BA46" i="21"/>
  <c r="BA49" i="21"/>
  <c r="BA48" i="21"/>
  <c r="BA47" i="21"/>
  <c r="BA50" i="21"/>
  <c r="BA53" i="21"/>
  <c r="BA51" i="21"/>
  <c r="BA52" i="21"/>
  <c r="BA56" i="21"/>
  <c r="BA55" i="21"/>
  <c r="BA54" i="21"/>
  <c r="BA57" i="21"/>
  <c r="BA60" i="21"/>
  <c r="BA58" i="21"/>
  <c r="BA62" i="21"/>
  <c r="BA59" i="21"/>
  <c r="BA63" i="21"/>
  <c r="BA64" i="21"/>
  <c r="BA61" i="21"/>
  <c r="BA65" i="21"/>
  <c r="BA66" i="21"/>
  <c r="BA69" i="21"/>
  <c r="BA67" i="21"/>
  <c r="BA68" i="21"/>
  <c r="BA70" i="21"/>
  <c r="BA75" i="21"/>
  <c r="BA73" i="21"/>
  <c r="BA71" i="21"/>
  <c r="BA72" i="21"/>
  <c r="BA77" i="21"/>
  <c r="BA74" i="21"/>
  <c r="BA76" i="21"/>
  <c r="BA79" i="21"/>
  <c r="BA78" i="21"/>
  <c r="BA81" i="21"/>
  <c r="BA80" i="21"/>
  <c r="BA82" i="21"/>
  <c r="BA83" i="21"/>
  <c r="BA86" i="21"/>
  <c r="BA85" i="21"/>
  <c r="BA84" i="21"/>
  <c r="BA87" i="21"/>
  <c r="BA89" i="21"/>
  <c r="BA88" i="21"/>
  <c r="BA90" i="21"/>
  <c r="BA92" i="21"/>
  <c r="BA91" i="21"/>
  <c r="BA95" i="21"/>
  <c r="BA93" i="21"/>
  <c r="BA94" i="21"/>
  <c r="BA99" i="21"/>
  <c r="BA97" i="21"/>
  <c r="BA96" i="21"/>
  <c r="BA98" i="21"/>
  <c r="BA101" i="21"/>
  <c r="BA100" i="21"/>
  <c r="BA102" i="21"/>
  <c r="BA103" i="21"/>
  <c r="BA105" i="21"/>
  <c r="BA104" i="21"/>
  <c r="BA106" i="21"/>
  <c r="BA107" i="21"/>
  <c r="BA108" i="21"/>
  <c r="BA109" i="21"/>
  <c r="BA110" i="21"/>
  <c r="BA111" i="21"/>
  <c r="BA113" i="21"/>
  <c r="BA112" i="21"/>
  <c r="BA114" i="21"/>
  <c r="BA115" i="21"/>
  <c r="BA118" i="21"/>
  <c r="BA116" i="21"/>
  <c r="BA120" i="21"/>
  <c r="BA117" i="21"/>
  <c r="BA122" i="21"/>
  <c r="BA119" i="21"/>
  <c r="BA121" i="21"/>
  <c r="BA124" i="21"/>
  <c r="BA125" i="21"/>
  <c r="BA123" i="21"/>
  <c r="BA127" i="21"/>
  <c r="BA126" i="21"/>
  <c r="BA128" i="21"/>
  <c r="BA129" i="21"/>
  <c r="BA130" i="21"/>
  <c r="BA131" i="21"/>
  <c r="BA132" i="21"/>
  <c r="BA135" i="21"/>
  <c r="BA136" i="21"/>
  <c r="BA134" i="21"/>
  <c r="BA133" i="21"/>
  <c r="BA137" i="21"/>
  <c r="BA138" i="21"/>
  <c r="BA139" i="21"/>
  <c r="BA142" i="21"/>
  <c r="BA141" i="21"/>
  <c r="BA140" i="21"/>
  <c r="BA144" i="21"/>
  <c r="BA145" i="21"/>
  <c r="BA143" i="21"/>
  <c r="BA146" i="21"/>
  <c r="BA147" i="21"/>
  <c r="BA150" i="21"/>
  <c r="BA148" i="21"/>
  <c r="BA149" i="21"/>
  <c r="BA152" i="21"/>
  <c r="BA151" i="21"/>
  <c r="BA154" i="21"/>
  <c r="BA153" i="21"/>
  <c r="BA155" i="21"/>
  <c r="BA156" i="21"/>
  <c r="BA158" i="21"/>
  <c r="BA157" i="21"/>
  <c r="BA160" i="21"/>
  <c r="BA162" i="21"/>
  <c r="BA159" i="21"/>
  <c r="BA161" i="21"/>
  <c r="BA163" i="21"/>
  <c r="BA164" i="21"/>
  <c r="BA166" i="21"/>
  <c r="BA165" i="21"/>
  <c r="BA167" i="21"/>
  <c r="BA168" i="21"/>
  <c r="BA169" i="21"/>
  <c r="BA170" i="21"/>
  <c r="BA172" i="21"/>
  <c r="BA171" i="21"/>
  <c r="BA173" i="21"/>
  <c r="BA175" i="21"/>
  <c r="BA174" i="21"/>
  <c r="BA176" i="21"/>
  <c r="BA178" i="21"/>
  <c r="BA179" i="21"/>
  <c r="BA180" i="21"/>
  <c r="BA177" i="21"/>
  <c r="BA182" i="21"/>
  <c r="BA181" i="21"/>
  <c r="BA183" i="21"/>
  <c r="BA184" i="21"/>
  <c r="BA185" i="21"/>
  <c r="BA186" i="21"/>
  <c r="BA187" i="21"/>
  <c r="BA188" i="21"/>
  <c r="BA189" i="21"/>
  <c r="BA190" i="21"/>
  <c r="BA191" i="21"/>
  <c r="BA193" i="21"/>
  <c r="BA194" i="21"/>
  <c r="BA192" i="21"/>
  <c r="BA204" i="21"/>
  <c r="BA195" i="21"/>
  <c r="BA197" i="21"/>
  <c r="BA196" i="21"/>
  <c r="BA198" i="21"/>
  <c r="BA200" i="21"/>
  <c r="BA199" i="21"/>
  <c r="AO202" i="21"/>
  <c r="BA203" i="21"/>
  <c r="BD195" i="6"/>
  <c r="BF195" i="6" s="1"/>
  <c r="AC196" i="6"/>
  <c r="BE196" i="6" s="1"/>
  <c r="AD196" i="6"/>
  <c r="AF196" i="6"/>
  <c r="AE196" i="6"/>
  <c r="AG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BJ5" i="21" l="1"/>
  <c r="BH6" i="21"/>
  <c r="BH7" i="21"/>
  <c r="BH9" i="21"/>
  <c r="BH8" i="21"/>
  <c r="BH10" i="21"/>
  <c r="BH11" i="21"/>
  <c r="BH12" i="21"/>
  <c r="BH13" i="21"/>
  <c r="BH14" i="21"/>
  <c r="BH16" i="21"/>
  <c r="BH19" i="21"/>
  <c r="BH15" i="21"/>
  <c r="BH17" i="21"/>
  <c r="BH20" i="21"/>
  <c r="BH18" i="21"/>
  <c r="BH21" i="21"/>
  <c r="BH22" i="21"/>
  <c r="BH25" i="21"/>
  <c r="BH24" i="21"/>
  <c r="BH23" i="21"/>
  <c r="BH28" i="21"/>
  <c r="BH31" i="21"/>
  <c r="BH26" i="21"/>
  <c r="BH27" i="21"/>
  <c r="BH29" i="21"/>
  <c r="BH33" i="21"/>
  <c r="BH30" i="21"/>
  <c r="BH32" i="21"/>
  <c r="BH34" i="21"/>
  <c r="BH35" i="21"/>
  <c r="BH36" i="21"/>
  <c r="BH38" i="21"/>
  <c r="BH37" i="21"/>
  <c r="BH39" i="21"/>
  <c r="BH40" i="21"/>
  <c r="BH41" i="21"/>
  <c r="BH42" i="21"/>
  <c r="BH43" i="21"/>
  <c r="BH45" i="21"/>
  <c r="BH46" i="21"/>
  <c r="BH44" i="21"/>
  <c r="BH47" i="21"/>
  <c r="BH48" i="21"/>
  <c r="BH49" i="21"/>
  <c r="BH51" i="21"/>
  <c r="BH50" i="21"/>
  <c r="BH52" i="21"/>
  <c r="BH53" i="21"/>
  <c r="BH55" i="21"/>
  <c r="BH54" i="21"/>
  <c r="BD196" i="6"/>
  <c r="BF196" i="6" s="1"/>
  <c r="AD197" i="6"/>
  <c r="AC197" i="6"/>
  <c r="BE197" i="6" s="1"/>
  <c r="AF197" i="6"/>
  <c r="AE197" i="6"/>
  <c r="AG197" i="6"/>
  <c r="K198" i="6"/>
  <c r="A211" i="11"/>
  <c r="Q210" i="11"/>
  <c r="E199" i="10"/>
  <c r="G200" i="10"/>
  <c r="F199" i="10"/>
  <c r="BI19" i="21" l="1"/>
  <c r="BU19" i="21"/>
  <c r="BI45" i="21"/>
  <c r="BU45" i="21"/>
  <c r="BI42" i="21"/>
  <c r="BJ43" i="21" s="1"/>
  <c r="BU42" i="21"/>
  <c r="BI54" i="21"/>
  <c r="BU54" i="21"/>
  <c r="BI41" i="21"/>
  <c r="BU41" i="21"/>
  <c r="BI31" i="21"/>
  <c r="BJ32" i="21" s="1"/>
  <c r="BU31" i="21"/>
  <c r="BV31" i="21" s="1"/>
  <c r="BI13" i="21"/>
  <c r="BJ14" i="21" s="1"/>
  <c r="BU13" i="21"/>
  <c r="BV13" i="21" s="1"/>
  <c r="BI33" i="21"/>
  <c r="BU33" i="21"/>
  <c r="BI16" i="21"/>
  <c r="BU16" i="21"/>
  <c r="BI55" i="21"/>
  <c r="BU55" i="21"/>
  <c r="BV55" i="21" s="1"/>
  <c r="BI40" i="21"/>
  <c r="BU40" i="21"/>
  <c r="BI28" i="21"/>
  <c r="BU28" i="21"/>
  <c r="BI12" i="21"/>
  <c r="BU12" i="21"/>
  <c r="BI29" i="21"/>
  <c r="BU29" i="21"/>
  <c r="BI14" i="21"/>
  <c r="BU14" i="21"/>
  <c r="BI53" i="21"/>
  <c r="BU53" i="21"/>
  <c r="BI39" i="21"/>
  <c r="BU39" i="21"/>
  <c r="BI23" i="21"/>
  <c r="BJ24" i="21" s="1"/>
  <c r="BU23" i="21"/>
  <c r="BI11" i="21"/>
  <c r="BU11" i="21"/>
  <c r="BI15" i="21"/>
  <c r="BJ16" i="21" s="1"/>
  <c r="BU15" i="21"/>
  <c r="BI26" i="21"/>
  <c r="BJ27" i="21" s="1"/>
  <c r="BU26" i="21"/>
  <c r="BV26" i="21" s="1"/>
  <c r="BI37" i="21"/>
  <c r="BU37" i="21"/>
  <c r="BI24" i="21"/>
  <c r="BU24" i="21"/>
  <c r="BI10" i="21"/>
  <c r="BU10" i="21"/>
  <c r="BI38" i="21"/>
  <c r="BU38" i="21"/>
  <c r="BI8" i="21"/>
  <c r="BJ9" i="21" s="1"/>
  <c r="BU8" i="21"/>
  <c r="BI46" i="21"/>
  <c r="BJ47" i="21" s="1"/>
  <c r="BU46" i="21"/>
  <c r="BV46" i="21" s="1"/>
  <c r="BI22" i="21"/>
  <c r="BJ23" i="21" s="1"/>
  <c r="BU22" i="21"/>
  <c r="BI9" i="21"/>
  <c r="BU9" i="21"/>
  <c r="BI27" i="21"/>
  <c r="BU27" i="21"/>
  <c r="BI25" i="21"/>
  <c r="BU25" i="21"/>
  <c r="BI49" i="21"/>
  <c r="BU49" i="21"/>
  <c r="BI35" i="21"/>
  <c r="BU35" i="21"/>
  <c r="BI21" i="21"/>
  <c r="BU21" i="21"/>
  <c r="BI7" i="21"/>
  <c r="BJ8" i="21" s="1"/>
  <c r="BU7" i="21"/>
  <c r="BV7" i="21" s="1"/>
  <c r="BI43" i="21"/>
  <c r="BU43" i="21"/>
  <c r="BI52" i="21"/>
  <c r="BJ53" i="21" s="1"/>
  <c r="BU52" i="21"/>
  <c r="BI36" i="21"/>
  <c r="BJ37" i="21" s="1"/>
  <c r="BU36" i="21"/>
  <c r="BV36" i="21" s="1"/>
  <c r="BI48" i="21"/>
  <c r="BJ49" i="21" s="1"/>
  <c r="BU48" i="21"/>
  <c r="BI34" i="21"/>
  <c r="BJ35" i="21" s="1"/>
  <c r="BU34" i="21"/>
  <c r="BI18" i="21"/>
  <c r="BJ19" i="21" s="1"/>
  <c r="BU18" i="21"/>
  <c r="BI6" i="21"/>
  <c r="BU6" i="21"/>
  <c r="BI47" i="21"/>
  <c r="BU47" i="21"/>
  <c r="BV47" i="21" s="1"/>
  <c r="BI32" i="21"/>
  <c r="BJ33" i="21" s="1"/>
  <c r="BU32" i="21"/>
  <c r="BI20" i="21"/>
  <c r="BU20" i="21"/>
  <c r="BI50" i="21"/>
  <c r="BU50" i="21"/>
  <c r="BI51" i="21"/>
  <c r="BJ52" i="21" s="1"/>
  <c r="BU51" i="21"/>
  <c r="BI44" i="21"/>
  <c r="BJ45" i="21" s="1"/>
  <c r="BU44" i="21"/>
  <c r="BV44" i="21" s="1"/>
  <c r="BI30" i="21"/>
  <c r="BJ31" i="21" s="1"/>
  <c r="BU30" i="21"/>
  <c r="BV30" i="21" s="1"/>
  <c r="BI17" i="21"/>
  <c r="BU17" i="21"/>
  <c r="BD197" i="6"/>
  <c r="BF197" i="6" s="1"/>
  <c r="AD198" i="6"/>
  <c r="AC198" i="6"/>
  <c r="BE198" i="6" s="1"/>
  <c r="AF198" i="6"/>
  <c r="AE198" i="6"/>
  <c r="AG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BJ51" i="21" l="1"/>
  <c r="BJ11" i="21"/>
  <c r="BJ40" i="21"/>
  <c r="BJ13" i="21"/>
  <c r="BJ41" i="21"/>
  <c r="BJ7" i="21"/>
  <c r="BJ6" i="21"/>
  <c r="BJ30" i="21"/>
  <c r="BV29" i="21"/>
  <c r="BV12" i="21"/>
  <c r="BV51" i="21"/>
  <c r="BV35" i="21"/>
  <c r="BV8" i="21"/>
  <c r="BV11" i="21"/>
  <c r="BV28" i="21"/>
  <c r="BV41" i="21"/>
  <c r="BV15" i="21"/>
  <c r="BJ22" i="21"/>
  <c r="BV34" i="21"/>
  <c r="BJ36" i="21"/>
  <c r="BJ12" i="21"/>
  <c r="BJ29" i="21"/>
  <c r="BJ42" i="21"/>
  <c r="BV22" i="21"/>
  <c r="BV48" i="21"/>
  <c r="BV49" i="21"/>
  <c r="BV38" i="21"/>
  <c r="BV23" i="21"/>
  <c r="BV40" i="21"/>
  <c r="BV54" i="21"/>
  <c r="BV50" i="21"/>
  <c r="BJ50" i="21"/>
  <c r="BJ39" i="21"/>
  <c r="BJ55" i="21"/>
  <c r="BV39" i="21"/>
  <c r="BV42" i="21"/>
  <c r="BV25" i="21"/>
  <c r="BJ26" i="21"/>
  <c r="BV10" i="21"/>
  <c r="BJ21" i="21"/>
  <c r="BV32" i="21"/>
  <c r="BV27" i="21"/>
  <c r="BV24" i="21"/>
  <c r="BV16" i="21"/>
  <c r="BV45" i="21"/>
  <c r="BV6" i="21"/>
  <c r="BV4" i="21"/>
  <c r="BV5" i="21"/>
  <c r="BV18" i="21"/>
  <c r="BV52" i="21"/>
  <c r="BV53" i="21"/>
  <c r="BJ28" i="21"/>
  <c r="BJ25" i="21"/>
  <c r="BJ54" i="21"/>
  <c r="BJ17" i="21"/>
  <c r="BJ46" i="21"/>
  <c r="BV21" i="21"/>
  <c r="BV37" i="21"/>
  <c r="BV19" i="21"/>
  <c r="BV20" i="21"/>
  <c r="BV17" i="21"/>
  <c r="BV43" i="21"/>
  <c r="BV9" i="21"/>
  <c r="BV14" i="21"/>
  <c r="BV33" i="21"/>
  <c r="BJ18" i="21"/>
  <c r="BJ48" i="21"/>
  <c r="BJ44" i="21"/>
  <c r="BJ10" i="21"/>
  <c r="BJ38" i="21"/>
  <c r="BJ15" i="21"/>
  <c r="BJ34" i="21"/>
  <c r="BJ20" i="21"/>
  <c r="BD198" i="6"/>
  <c r="BF198" i="6" s="1"/>
  <c r="AD199" i="6"/>
  <c r="AC199" i="6"/>
  <c r="BE199" i="6" s="1"/>
  <c r="AF199" i="6"/>
  <c r="AE199" i="6"/>
  <c r="AG199" i="6"/>
  <c r="K200" i="6"/>
  <c r="A213" i="11"/>
  <c r="Q212" i="11"/>
  <c r="N210" i="11"/>
  <c r="O210" i="11" s="1"/>
  <c r="P210" i="11" s="1"/>
  <c r="R210" i="11" s="1"/>
  <c r="E201" i="10"/>
  <c r="G202" i="10"/>
  <c r="F201" i="10"/>
  <c r="BD199" i="6" l="1"/>
  <c r="BF199" i="6" s="1"/>
  <c r="AC200" i="6"/>
  <c r="BE200" i="6" s="1"/>
  <c r="AD200" i="6"/>
  <c r="AF200" i="6"/>
  <c r="AE200" i="6"/>
  <c r="AG200" i="6"/>
  <c r="K201" i="6"/>
  <c r="N211" i="11"/>
  <c r="O211" i="11" s="1"/>
  <c r="P211" i="11" s="1"/>
  <c r="R211" i="11" s="1"/>
  <c r="Q213" i="11"/>
  <c r="A214" i="11"/>
  <c r="G203" i="10"/>
  <c r="E202" i="10"/>
  <c r="F202" i="10"/>
  <c r="BD200" i="6" l="1"/>
  <c r="BF200" i="6" s="1"/>
  <c r="AC201" i="6"/>
  <c r="BE201" i="6" s="1"/>
  <c r="AD201" i="6"/>
  <c r="AF201" i="6"/>
  <c r="AE201" i="6"/>
  <c r="AG201" i="6"/>
  <c r="K202" i="6"/>
  <c r="A215" i="11"/>
  <c r="Q214" i="11"/>
  <c r="N212" i="11"/>
  <c r="O212" i="11" s="1"/>
  <c r="P212" i="11" s="1"/>
  <c r="R212" i="11" s="1"/>
  <c r="G204" i="10"/>
  <c r="E203" i="10"/>
  <c r="F203" i="10"/>
  <c r="BD201" i="6" l="1"/>
  <c r="BF201" i="6" s="1"/>
  <c r="AD202" i="6"/>
  <c r="AC202" i="6"/>
  <c r="BE202" i="6" s="1"/>
  <c r="AF202" i="6"/>
  <c r="AE202" i="6"/>
  <c r="AG202" i="6"/>
  <c r="K203" i="6"/>
  <c r="Q215" i="11"/>
  <c r="A216" i="11"/>
  <c r="N213" i="11"/>
  <c r="O213" i="11" s="1"/>
  <c r="P213" i="11" s="1"/>
  <c r="R213" i="11" s="1"/>
  <c r="E204" i="10"/>
  <c r="F204" i="10"/>
  <c r="BD202" i="6" l="1"/>
  <c r="BF202" i="6" s="1"/>
  <c r="AC203" i="6"/>
  <c r="BE203" i="6" s="1"/>
  <c r="AD203" i="6"/>
  <c r="AF203" i="6"/>
  <c r="AE203" i="6"/>
  <c r="AG203" i="6"/>
  <c r="K204" i="6"/>
  <c r="N214" i="11"/>
  <c r="O214" i="11" s="1"/>
  <c r="P214" i="11" s="1"/>
  <c r="R214" i="11" s="1"/>
  <c r="Q216" i="11"/>
  <c r="A217" i="11"/>
  <c r="BD203" i="6" l="1"/>
  <c r="BF203" i="6" s="1"/>
  <c r="AD204" i="6"/>
  <c r="AC204" i="6"/>
  <c r="AE204" i="6"/>
  <c r="AF204" i="6"/>
  <c r="AG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C204" i="6" l="1"/>
  <c r="BE204" i="6" s="1"/>
  <c r="BD204" i="6"/>
  <c r="BF204" i="6" s="1"/>
  <c r="B41" i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AU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M110" i="6"/>
  <c r="BM107" i="6"/>
  <c r="BM87" i="6"/>
  <c r="BM102" i="6"/>
  <c r="BM111" i="6"/>
  <c r="BM147" i="6"/>
  <c r="BM118" i="6"/>
  <c r="BM160" i="6"/>
  <c r="BM154" i="6"/>
  <c r="BM151" i="6"/>
  <c r="BM155" i="6"/>
  <c r="BM152" i="6"/>
  <c r="BM149" i="6"/>
  <c r="BM142" i="6"/>
  <c r="BM139" i="6"/>
  <c r="BM166" i="6"/>
  <c r="BM135" i="6"/>
  <c r="BM165" i="6"/>
  <c r="BM134" i="6"/>
  <c r="BM163" i="6"/>
  <c r="BM133" i="6"/>
  <c r="BM162" i="6"/>
  <c r="BM123" i="6"/>
  <c r="BM159" i="6"/>
  <c r="BM117" i="6"/>
  <c r="BM150" i="6"/>
  <c r="BM127" i="6"/>
  <c r="BM101" i="6"/>
  <c r="BM91" i="6"/>
  <c r="BM94" i="6"/>
  <c r="BM86" i="6"/>
  <c r="AU74" i="6"/>
  <c r="BM6" i="6"/>
  <c r="BM78" i="6"/>
  <c r="BM73" i="6"/>
  <c r="BM158" i="6"/>
  <c r="BM143" i="6"/>
  <c r="BM119" i="6"/>
  <c r="BM95" i="6"/>
  <c r="AU72" i="6"/>
  <c r="BM72" i="6"/>
  <c r="BM167" i="6"/>
  <c r="BM157" i="6"/>
  <c r="BM144" i="6"/>
  <c r="BM126" i="6"/>
  <c r="BM103" i="6"/>
  <c r="BM85" i="6"/>
  <c r="AU65" i="6"/>
  <c r="BM62" i="6"/>
  <c r="BM58" i="6"/>
  <c r="BM57" i="6"/>
  <c r="BM55" i="6"/>
  <c r="AV4" i="6"/>
  <c r="BM40" i="6"/>
  <c r="AU34" i="6"/>
  <c r="BM23" i="6"/>
  <c r="AU24" i="6"/>
  <c r="BM24" i="6"/>
  <c r="BN4" i="6"/>
  <c r="BM131" i="6"/>
  <c r="BM115" i="6"/>
  <c r="BM99" i="6"/>
  <c r="BM83" i="6"/>
  <c r="AU69" i="6"/>
  <c r="BM51" i="6"/>
  <c r="BM17" i="6"/>
  <c r="BM79" i="6"/>
  <c r="BM66" i="6"/>
  <c r="BM43" i="6"/>
  <c r="AU8" i="6"/>
  <c r="BM141" i="6"/>
  <c r="BM125" i="6"/>
  <c r="BM109" i="6"/>
  <c r="BM93" i="6"/>
  <c r="BM77" i="6"/>
  <c r="BM64" i="6"/>
  <c r="AU39" i="6"/>
  <c r="N217" i="11"/>
  <c r="O217" i="11" s="1"/>
  <c r="P217" i="11" s="1"/>
  <c r="R217" i="11" s="1"/>
  <c r="A220" i="11"/>
  <c r="Q219" i="11"/>
  <c r="BM164" i="6"/>
  <c r="BM156" i="6"/>
  <c r="BM148" i="6"/>
  <c r="BM140" i="6"/>
  <c r="BM132" i="6"/>
  <c r="BM124" i="6"/>
  <c r="BM116" i="6"/>
  <c r="BM108" i="6"/>
  <c r="BM100" i="6"/>
  <c r="BM92" i="6"/>
  <c r="BM84" i="6"/>
  <c r="BM76" i="6"/>
  <c r="BM70" i="6"/>
  <c r="AU64" i="6"/>
  <c r="AU54" i="6"/>
  <c r="BM39" i="6"/>
  <c r="BM21" i="6"/>
  <c r="BM146" i="6"/>
  <c r="BM138" i="6"/>
  <c r="BM130" i="6"/>
  <c r="BM122" i="6"/>
  <c r="BM114" i="6"/>
  <c r="BM106" i="6"/>
  <c r="BM98" i="6"/>
  <c r="BM90" i="6"/>
  <c r="BM82" i="6"/>
  <c r="BM75" i="6"/>
  <c r="BM69" i="6"/>
  <c r="AU61" i="6"/>
  <c r="AU50" i="6"/>
  <c r="BM33" i="6"/>
  <c r="BM16" i="6"/>
  <c r="BM161" i="6"/>
  <c r="BM153" i="6"/>
  <c r="BM145" i="6"/>
  <c r="BM137" i="6"/>
  <c r="BM129" i="6"/>
  <c r="BM121" i="6"/>
  <c r="BM113" i="6"/>
  <c r="BM105" i="6"/>
  <c r="BM97" i="6"/>
  <c r="BM89" i="6"/>
  <c r="BM81" i="6"/>
  <c r="BM74" i="6"/>
  <c r="AU68" i="6"/>
  <c r="AU60" i="6"/>
  <c r="BM48" i="6"/>
  <c r="AU30" i="6"/>
  <c r="AU13" i="6"/>
  <c r="BM136" i="6"/>
  <c r="BM128" i="6"/>
  <c r="BM120" i="6"/>
  <c r="BM112" i="6"/>
  <c r="BM104" i="6"/>
  <c r="BM96" i="6"/>
  <c r="BM88" i="6"/>
  <c r="BM80" i="6"/>
  <c r="AU73" i="6"/>
  <c r="BM68" i="6"/>
  <c r="BM60" i="6"/>
  <c r="AU46" i="6"/>
  <c r="BM29" i="6"/>
  <c r="AU12" i="6"/>
  <c r="BM65" i="6"/>
  <c r="BM61" i="6"/>
  <c r="AU55" i="6"/>
  <c r="BM49" i="6"/>
  <c r="AU40" i="6"/>
  <c r="BM32" i="6"/>
  <c r="AU23" i="6"/>
  <c r="AU14" i="6"/>
  <c r="AU71" i="6"/>
  <c r="BM67" i="6"/>
  <c r="AU63" i="6"/>
  <c r="AU59" i="6"/>
  <c r="BM54" i="6"/>
  <c r="BM45" i="6"/>
  <c r="BM37" i="6"/>
  <c r="AU28" i="6"/>
  <c r="AU19" i="6"/>
  <c r="BM12" i="6"/>
  <c r="BM71" i="6"/>
  <c r="AU67" i="6"/>
  <c r="BM63" i="6"/>
  <c r="BM59" i="6"/>
  <c r="BM53" i="6"/>
  <c r="AU44" i="6"/>
  <c r="AU35" i="6"/>
  <c r="BM28" i="6"/>
  <c r="BM19" i="6"/>
  <c r="BM11" i="6"/>
  <c r="AU70" i="6"/>
  <c r="AU66" i="6"/>
  <c r="AU62" i="6"/>
  <c r="AU58" i="6"/>
  <c r="AU51" i="6"/>
  <c r="BM44" i="6"/>
  <c r="BM35" i="6"/>
  <c r="BM27" i="6"/>
  <c r="BM18" i="6"/>
  <c r="BM8" i="6"/>
  <c r="AU57" i="6"/>
  <c r="AU53" i="6"/>
  <c r="AU48" i="6"/>
  <c r="AU43" i="6"/>
  <c r="BM38" i="6"/>
  <c r="AU32" i="6"/>
  <c r="AU27" i="6"/>
  <c r="AU22" i="6"/>
  <c r="AU16" i="6"/>
  <c r="AU11" i="6"/>
  <c r="AU56" i="6"/>
  <c r="AU52" i="6"/>
  <c r="AU47" i="6"/>
  <c r="AU42" i="6"/>
  <c r="BM36" i="6"/>
  <c r="AU31" i="6"/>
  <c r="BM26" i="6"/>
  <c r="AU20" i="6"/>
  <c r="AU15" i="6"/>
  <c r="AU10" i="6"/>
  <c r="BM56" i="6"/>
  <c r="BM52" i="6"/>
  <c r="BM47" i="6"/>
  <c r="BM41" i="6"/>
  <c r="AU36" i="6"/>
  <c r="BM31" i="6"/>
  <c r="BM25" i="6"/>
  <c r="BM20" i="6"/>
  <c r="BM15" i="6"/>
  <c r="AU9" i="6"/>
  <c r="BM5" i="6"/>
  <c r="BM4" i="6"/>
  <c r="AU4" i="6"/>
  <c r="AU7" i="6"/>
  <c r="BM7" i="6"/>
  <c r="BM50" i="6"/>
  <c r="BM46" i="6"/>
  <c r="BM42" i="6"/>
  <c r="AU38" i="6"/>
  <c r="BM34" i="6"/>
  <c r="BM30" i="6"/>
  <c r="AU26" i="6"/>
  <c r="BM22" i="6"/>
  <c r="AU18" i="6"/>
  <c r="BM14" i="6"/>
  <c r="BM10" i="6"/>
  <c r="AU6" i="6"/>
  <c r="AU49" i="6"/>
  <c r="AU45" i="6"/>
  <c r="AU41" i="6"/>
  <c r="AU37" i="6"/>
  <c r="AU33" i="6"/>
  <c r="AU29" i="6"/>
  <c r="AU25" i="6"/>
  <c r="AU21" i="6"/>
  <c r="AU17" i="6"/>
  <c r="BM13" i="6"/>
  <c r="BM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M5" i="1" l="1"/>
  <c r="Q5" i="1"/>
  <c r="Q6" i="1"/>
  <c r="BP5" i="6"/>
  <c r="M6" i="6"/>
  <c r="M7" i="6" s="1"/>
  <c r="P5" i="6"/>
  <c r="N5" i="6"/>
  <c r="O5" i="6" s="1"/>
  <c r="BP6" i="6"/>
  <c r="BP23" i="6"/>
  <c r="BP24" i="6"/>
  <c r="BN5" i="6"/>
  <c r="AV5" i="6"/>
  <c r="BP8" i="6"/>
  <c r="BP17" i="6"/>
  <c r="BP13" i="6"/>
  <c r="BP21" i="6"/>
  <c r="BP7" i="6"/>
  <c r="BP20" i="6"/>
  <c r="BP19" i="6"/>
  <c r="BP11" i="6"/>
  <c r="BP12" i="6"/>
  <c r="A221" i="11"/>
  <c r="Q220" i="11"/>
  <c r="N218" i="11"/>
  <c r="O218" i="11" s="1"/>
  <c r="P218" i="11" s="1"/>
  <c r="R218" i="11" s="1"/>
  <c r="BP18" i="6"/>
  <c r="BP16" i="6"/>
  <c r="BP14" i="6"/>
  <c r="BP22" i="6"/>
  <c r="BP15" i="6"/>
  <c r="BP9" i="6"/>
  <c r="BP4" i="6"/>
  <c r="BP25" i="6"/>
  <c r="BP10" i="6"/>
  <c r="AV6" i="6"/>
  <c r="BN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V7" i="6"/>
  <c r="BN7" i="6"/>
  <c r="N5" i="10"/>
  <c r="P5" i="10"/>
  <c r="Q5" i="10" s="1"/>
  <c r="O6" i="10"/>
  <c r="T4" i="10"/>
  <c r="R4" i="10"/>
  <c r="CE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CE5" i="6"/>
  <c r="CF5" i="6" s="1"/>
  <c r="N220" i="11"/>
  <c r="O220" i="11" s="1"/>
  <c r="P220" i="11" s="1"/>
  <c r="R220" i="11" s="1"/>
  <c r="Q222" i="11"/>
  <c r="A223" i="11"/>
  <c r="AV8" i="6"/>
  <c r="BN8" i="6"/>
  <c r="U4" i="10"/>
  <c r="W4" i="10" s="1"/>
  <c r="AB4" i="10"/>
  <c r="P6" i="10"/>
  <c r="Q6" i="10" s="1"/>
  <c r="O7" i="10"/>
  <c r="R5" i="10"/>
  <c r="S5" i="10"/>
  <c r="T5" i="10" s="1"/>
  <c r="W5" i="6" l="1"/>
  <c r="AH5" i="6"/>
  <c r="AI5" i="6" s="1"/>
  <c r="W6" i="6"/>
  <c r="AH6" i="6"/>
  <c r="AI6" i="6" s="1"/>
  <c r="W7" i="6"/>
  <c r="AH7" i="6"/>
  <c r="AI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CH5" i="6"/>
  <c r="CD5" i="6"/>
  <c r="CG5" i="6" s="1"/>
  <c r="N221" i="11"/>
  <c r="O221" i="11" s="1"/>
  <c r="P221" i="11" s="1"/>
  <c r="R221" i="11" s="1"/>
  <c r="Q223" i="11"/>
  <c r="A224" i="11"/>
  <c r="AV9" i="6"/>
  <c r="BN9" i="6"/>
  <c r="BK4" i="6"/>
  <c r="N7" i="10"/>
  <c r="N6" i="10"/>
  <c r="P7" i="10"/>
  <c r="Q7" i="10" s="1"/>
  <c r="O8" i="10"/>
  <c r="CE6" i="6"/>
  <c r="U5" i="10"/>
  <c r="W5" i="10" s="1"/>
  <c r="AB5" i="10"/>
  <c r="R6" i="10"/>
  <c r="S6" i="10"/>
  <c r="X6" i="6" l="1"/>
  <c r="AJ6" i="6"/>
  <c r="X7" i="6"/>
  <c r="AJ7" i="6"/>
  <c r="X5" i="6"/>
  <c r="AY5" i="6" s="1"/>
  <c r="AJ5" i="6"/>
  <c r="AL5" i="6" s="1"/>
  <c r="W8" i="6"/>
  <c r="AH8" i="6"/>
  <c r="AI8" i="6" s="1"/>
  <c r="M11" i="6"/>
  <c r="P11" i="6" s="1"/>
  <c r="P10" i="6"/>
  <c r="R10" i="6" s="1"/>
  <c r="U8" i="6"/>
  <c r="U9" i="6"/>
  <c r="V9" i="6"/>
  <c r="CF6" i="6"/>
  <c r="CH6" i="6"/>
  <c r="CE7" i="6"/>
  <c r="CD6" i="6"/>
  <c r="CG6" i="6" s="1"/>
  <c r="Q224" i="11"/>
  <c r="A225" i="11"/>
  <c r="N222" i="11"/>
  <c r="O222" i="11" s="1"/>
  <c r="P222" i="11" s="1"/>
  <c r="R222" i="11" s="1"/>
  <c r="AV10" i="6"/>
  <c r="BN10" i="6"/>
  <c r="AQ4" i="6"/>
  <c r="AZ4" i="6" s="1"/>
  <c r="BB4" i="6"/>
  <c r="AR4" i="6"/>
  <c r="AX4" i="6"/>
  <c r="T6" i="10"/>
  <c r="AB6" i="10" s="1"/>
  <c r="N8" i="10"/>
  <c r="AQ5" i="6"/>
  <c r="AZ5" i="6" s="1"/>
  <c r="AX5" i="6"/>
  <c r="AR5" i="6"/>
  <c r="AW5" i="6" s="1"/>
  <c r="BB5" i="6"/>
  <c r="O9" i="10"/>
  <c r="P8" i="10"/>
  <c r="Q8" i="10" s="1"/>
  <c r="S7" i="10"/>
  <c r="T7" i="10" s="1"/>
  <c r="R7" i="10"/>
  <c r="AL7" i="6" l="1"/>
  <c r="Q16" i="1"/>
  <c r="AL6" i="6"/>
  <c r="Z6" i="6"/>
  <c r="AK6" i="6"/>
  <c r="Z5" i="6"/>
  <c r="AK5" i="6"/>
  <c r="AM5" i="6" s="1"/>
  <c r="Z7" i="6"/>
  <c r="AK7" i="6"/>
  <c r="X8" i="6"/>
  <c r="AJ8" i="6"/>
  <c r="AL8" i="6" s="1"/>
  <c r="W9" i="6"/>
  <c r="AH9" i="6"/>
  <c r="AI9" i="6" s="1"/>
  <c r="M12" i="6"/>
  <c r="P12" i="6" s="1"/>
  <c r="S10" i="6"/>
  <c r="T10" i="6" s="1"/>
  <c r="U10" i="6" s="1"/>
  <c r="N11" i="6"/>
  <c r="O11" i="6" s="1"/>
  <c r="R11" i="6"/>
  <c r="S11" i="6"/>
  <c r="T11" i="6" s="1"/>
  <c r="CF7" i="6"/>
  <c r="CH7" i="6"/>
  <c r="CE8" i="6"/>
  <c r="CD7" i="6"/>
  <c r="CG7" i="6" s="1"/>
  <c r="N223" i="11"/>
  <c r="O223" i="11" s="1"/>
  <c r="P223" i="11" s="1"/>
  <c r="R223" i="11" s="1"/>
  <c r="A226" i="11"/>
  <c r="Q225" i="11"/>
  <c r="N9" i="10"/>
  <c r="AV11" i="6"/>
  <c r="BN11" i="6"/>
  <c r="BL4" i="6"/>
  <c r="BW5" i="6"/>
  <c r="BY5" i="6"/>
  <c r="BK5" i="6"/>
  <c r="BW4" i="6"/>
  <c r="BY4" i="6"/>
  <c r="BL5" i="6"/>
  <c r="U6" i="10"/>
  <c r="W6" i="10" s="1"/>
  <c r="S8" i="10"/>
  <c r="T8" i="10" s="1"/>
  <c r="R8" i="10"/>
  <c r="O10" i="10"/>
  <c r="P9" i="10"/>
  <c r="Q9" i="10" s="1"/>
  <c r="U7" i="10"/>
  <c r="W7" i="10" s="1"/>
  <c r="AB7" i="10"/>
  <c r="AM7" i="6" l="1"/>
  <c r="AM6" i="6"/>
  <c r="Z8" i="6"/>
  <c r="AK8" i="6"/>
  <c r="AM8" i="6" s="1"/>
  <c r="X9" i="6"/>
  <c r="AJ9" i="6"/>
  <c r="AL9" i="6" s="1"/>
  <c r="M13" i="6"/>
  <c r="N13" i="6" s="1"/>
  <c r="O13" i="6" s="1"/>
  <c r="N12" i="6"/>
  <c r="O12" i="6" s="1"/>
  <c r="V10" i="6"/>
  <c r="U11" i="6"/>
  <c r="V11" i="6"/>
  <c r="R12" i="6"/>
  <c r="S12" i="6"/>
  <c r="T12" i="6" s="1"/>
  <c r="CH8" i="6"/>
  <c r="CF8" i="6"/>
  <c r="CD8" i="6"/>
  <c r="CG8" i="6" s="1"/>
  <c r="Q226" i="11"/>
  <c r="A227" i="11"/>
  <c r="N224" i="11"/>
  <c r="O224" i="11" s="1"/>
  <c r="P224" i="11" s="1"/>
  <c r="R224" i="11" s="1"/>
  <c r="N10" i="10"/>
  <c r="AV12" i="6"/>
  <c r="BN12" i="6"/>
  <c r="BZ5" i="6"/>
  <c r="BX5" i="6"/>
  <c r="AY6" i="6"/>
  <c r="AR7" i="6"/>
  <c r="AW7" i="6" s="1"/>
  <c r="AX7" i="6"/>
  <c r="AQ7" i="6"/>
  <c r="AZ7" i="6" s="1"/>
  <c r="BB7" i="6"/>
  <c r="AR6" i="6"/>
  <c r="AW6" i="6" s="1"/>
  <c r="BB6" i="6"/>
  <c r="AX6" i="6"/>
  <c r="Q15" i="1" s="1"/>
  <c r="AQ6" i="6"/>
  <c r="AZ6" i="6" s="1"/>
  <c r="P10" i="10"/>
  <c r="Q10" i="10" s="1"/>
  <c r="O11" i="10"/>
  <c r="CE9" i="6"/>
  <c r="U8" i="10"/>
  <c r="W8" i="10" s="1"/>
  <c r="AB8" i="10"/>
  <c r="S9" i="10"/>
  <c r="T9" i="10" s="1"/>
  <c r="R9" i="10"/>
  <c r="Q14" i="1" l="1"/>
  <c r="AN7" i="6"/>
  <c r="Z9" i="6"/>
  <c r="AK9" i="6"/>
  <c r="AM9" i="6" s="1"/>
  <c r="W11" i="6"/>
  <c r="AH11" i="6"/>
  <c r="AI11" i="6" s="1"/>
  <c r="W10" i="6"/>
  <c r="AH10" i="6"/>
  <c r="AI10" i="6" s="1"/>
  <c r="P13" i="6"/>
  <c r="R13" i="6" s="1"/>
  <c r="M14" i="6"/>
  <c r="P14" i="6" s="1"/>
  <c r="U12" i="6"/>
  <c r="V12" i="6"/>
  <c r="CH9" i="6"/>
  <c r="CF9" i="6"/>
  <c r="CD9" i="6"/>
  <c r="CG9" i="6" s="1"/>
  <c r="BY7" i="6"/>
  <c r="BW7" i="6"/>
  <c r="AY7" i="6"/>
  <c r="N225" i="11"/>
  <c r="O225" i="11" s="1"/>
  <c r="P225" i="11" s="1"/>
  <c r="R225" i="11" s="1"/>
  <c r="A228" i="11"/>
  <c r="Q227" i="11"/>
  <c r="N11" i="10"/>
  <c r="AV13" i="6"/>
  <c r="BN13" i="6"/>
  <c r="BK6" i="6"/>
  <c r="BL6" i="6"/>
  <c r="BW6" i="6"/>
  <c r="BX6" i="6" s="1"/>
  <c r="BY6" i="6"/>
  <c r="BZ6" i="6" s="1"/>
  <c r="P11" i="10"/>
  <c r="Q11" i="10" s="1"/>
  <c r="O12" i="10"/>
  <c r="CE10" i="6"/>
  <c r="U9" i="10"/>
  <c r="W9" i="10" s="1"/>
  <c r="AB9" i="10"/>
  <c r="S10" i="10"/>
  <c r="T10" i="10" s="1"/>
  <c r="R10" i="10"/>
  <c r="AO7" i="6" l="1"/>
  <c r="X10" i="6"/>
  <c r="AJ10" i="6"/>
  <c r="AL10" i="6" s="1"/>
  <c r="X11" i="6"/>
  <c r="AJ11" i="6"/>
  <c r="W12" i="6"/>
  <c r="AH12" i="6"/>
  <c r="AI12" i="6" s="1"/>
  <c r="M15" i="6"/>
  <c r="P15" i="6" s="1"/>
  <c r="S13" i="6"/>
  <c r="T13" i="6" s="1"/>
  <c r="V13" i="6" s="1"/>
  <c r="N14" i="6"/>
  <c r="O14" i="6" s="1"/>
  <c r="R14" i="6"/>
  <c r="S14" i="6"/>
  <c r="T14" i="6" s="1"/>
  <c r="CH10" i="6"/>
  <c r="CF10" i="6"/>
  <c r="CD10" i="6"/>
  <c r="CG10" i="6" s="1"/>
  <c r="N226" i="11"/>
  <c r="O226" i="11" s="1"/>
  <c r="P226" i="11" s="1"/>
  <c r="R226" i="11" s="1"/>
  <c r="Q228" i="11"/>
  <c r="A229" i="11"/>
  <c r="AV14" i="6"/>
  <c r="BN14" i="6"/>
  <c r="BX7" i="6"/>
  <c r="BZ7" i="6"/>
  <c r="AY8" i="6"/>
  <c r="N12" i="10"/>
  <c r="AQ8" i="6"/>
  <c r="AZ8" i="6" s="1"/>
  <c r="AX8" i="6"/>
  <c r="Q17" i="1" s="1"/>
  <c r="AR8" i="6"/>
  <c r="AW8" i="6" s="1"/>
  <c r="BB8" i="6"/>
  <c r="CE11" i="6"/>
  <c r="S11" i="10"/>
  <c r="T11" i="10" s="1"/>
  <c r="R11" i="10"/>
  <c r="P12" i="10"/>
  <c r="Q12" i="10" s="1"/>
  <c r="O13" i="10"/>
  <c r="U10" i="10"/>
  <c r="W10" i="10" s="1"/>
  <c r="AB10" i="10"/>
  <c r="AL11" i="6" l="1"/>
  <c r="AN9" i="6" s="1"/>
  <c r="AN8" i="6"/>
  <c r="Z11" i="6"/>
  <c r="AK11" i="6"/>
  <c r="Z10" i="6"/>
  <c r="AK10" i="6"/>
  <c r="AM10" i="6" s="1"/>
  <c r="X12" i="6"/>
  <c r="AJ12" i="6"/>
  <c r="AL12" i="6" s="1"/>
  <c r="W13" i="6"/>
  <c r="AH13" i="6"/>
  <c r="AI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CH11" i="6"/>
  <c r="CF11" i="6"/>
  <c r="CE12" i="6"/>
  <c r="CD11" i="6"/>
  <c r="CG11" i="6" s="1"/>
  <c r="BY10" i="6"/>
  <c r="Q229" i="11"/>
  <c r="A230" i="11"/>
  <c r="N227" i="11"/>
  <c r="O227" i="11" s="1"/>
  <c r="P227" i="11" s="1"/>
  <c r="R227" i="11" s="1"/>
  <c r="N13" i="10"/>
  <c r="AV15" i="6"/>
  <c r="BN15" i="6"/>
  <c r="BY8" i="6"/>
  <c r="BW8" i="6"/>
  <c r="AY9" i="6"/>
  <c r="AQ10" i="6"/>
  <c r="AZ10" i="6" s="1"/>
  <c r="AX10" i="6"/>
  <c r="AR10" i="6"/>
  <c r="AW10" i="6" s="1"/>
  <c r="BB10" i="6"/>
  <c r="BB9" i="6"/>
  <c r="AR9" i="6"/>
  <c r="AW9" i="6" s="1"/>
  <c r="AQ9" i="6"/>
  <c r="AZ9" i="6" s="1"/>
  <c r="AX9" i="6"/>
  <c r="S12" i="10"/>
  <c r="T12" i="10" s="1"/>
  <c r="R12" i="10"/>
  <c r="U11" i="10"/>
  <c r="W11" i="10" s="1"/>
  <c r="AB11" i="10"/>
  <c r="P13" i="10"/>
  <c r="Q13" i="10" s="1"/>
  <c r="O14" i="10"/>
  <c r="Q13" i="1" l="1"/>
  <c r="AO8" i="6"/>
  <c r="AN10" i="6"/>
  <c r="AM11" i="6"/>
  <c r="Z12" i="6"/>
  <c r="AK12" i="6"/>
  <c r="AM12" i="6" s="1"/>
  <c r="X13" i="6"/>
  <c r="AJ13" i="6"/>
  <c r="AL13" i="6" s="1"/>
  <c r="W14" i="6"/>
  <c r="AH14" i="6"/>
  <c r="AI14" i="6" s="1"/>
  <c r="M17" i="6"/>
  <c r="P17" i="6" s="1"/>
  <c r="P16" i="6"/>
  <c r="R16" i="6" s="1"/>
  <c r="U15" i="6"/>
  <c r="V15" i="6"/>
  <c r="CH12" i="6"/>
  <c r="CF12" i="6"/>
  <c r="CE13" i="6"/>
  <c r="CD12" i="6"/>
  <c r="CG12" i="6" s="1"/>
  <c r="BW10" i="6"/>
  <c r="AY10" i="6"/>
  <c r="N228" i="11"/>
  <c r="O228" i="11" s="1"/>
  <c r="P228" i="11" s="1"/>
  <c r="R228" i="11" s="1"/>
  <c r="Q230" i="11"/>
  <c r="A231" i="11"/>
  <c r="N14" i="10"/>
  <c r="AV16" i="6"/>
  <c r="BN16" i="6"/>
  <c r="BX8" i="6"/>
  <c r="BZ8" i="6"/>
  <c r="BW9" i="6"/>
  <c r="BX9" i="6" s="1"/>
  <c r="BY9" i="6"/>
  <c r="BZ9" i="6" s="1"/>
  <c r="AY11" i="6"/>
  <c r="AR11" i="6"/>
  <c r="AW11" i="6" s="1"/>
  <c r="AX11" i="6"/>
  <c r="AQ11" i="6"/>
  <c r="AZ11" i="6" s="1"/>
  <c r="BB11" i="6"/>
  <c r="P14" i="10"/>
  <c r="Q14" i="10" s="1"/>
  <c r="O15" i="10"/>
  <c r="S13" i="10"/>
  <c r="T13" i="10" s="1"/>
  <c r="R13" i="10"/>
  <c r="U12" i="10"/>
  <c r="W12" i="10" s="1"/>
  <c r="AB12" i="10"/>
  <c r="AO9" i="6" l="1"/>
  <c r="AO10" i="6"/>
  <c r="AN11" i="6"/>
  <c r="Z13" i="6"/>
  <c r="AK13" i="6"/>
  <c r="AM13" i="6" s="1"/>
  <c r="X14" i="6"/>
  <c r="AJ14" i="6"/>
  <c r="AL14" i="6" s="1"/>
  <c r="AN12" i="6" s="1"/>
  <c r="W15" i="6"/>
  <c r="AH15" i="6"/>
  <c r="AI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CF13" i="6"/>
  <c r="CH13" i="6"/>
  <c r="CE14" i="6"/>
  <c r="CD13" i="6"/>
  <c r="CG13" i="6" s="1"/>
  <c r="A232" i="11"/>
  <c r="Q231" i="11"/>
  <c r="N229" i="11"/>
  <c r="O229" i="11" s="1"/>
  <c r="P229" i="11" s="1"/>
  <c r="R229" i="11" s="1"/>
  <c r="N15" i="10"/>
  <c r="AV17" i="6"/>
  <c r="BN17" i="6"/>
  <c r="BZ10" i="6"/>
  <c r="BX10" i="6"/>
  <c r="BW11" i="6"/>
  <c r="BX11" i="6" s="1"/>
  <c r="BY11" i="6"/>
  <c r="BZ11" i="6" s="1"/>
  <c r="U13" i="10"/>
  <c r="W13" i="10" s="1"/>
  <c r="AB13" i="10"/>
  <c r="O16" i="10"/>
  <c r="P15" i="10"/>
  <c r="Q15" i="10" s="1"/>
  <c r="S14" i="10"/>
  <c r="T14" i="10" s="1"/>
  <c r="R14" i="10"/>
  <c r="AO11" i="6" l="1"/>
  <c r="Z14" i="6"/>
  <c r="AK14" i="6"/>
  <c r="AM14" i="6" s="1"/>
  <c r="X15" i="6"/>
  <c r="AJ15" i="6"/>
  <c r="AL15" i="6" s="1"/>
  <c r="V16" i="6"/>
  <c r="P18" i="6"/>
  <c r="R18" i="6" s="1"/>
  <c r="M19" i="6"/>
  <c r="N19" i="6" s="1"/>
  <c r="O19" i="6" s="1"/>
  <c r="U17" i="6"/>
  <c r="V17" i="6"/>
  <c r="CF14" i="6"/>
  <c r="CH14" i="6"/>
  <c r="CE15" i="6"/>
  <c r="CD14" i="6"/>
  <c r="CG14" i="6" s="1"/>
  <c r="N230" i="11"/>
  <c r="O230" i="11" s="1"/>
  <c r="P230" i="11" s="1"/>
  <c r="R230" i="11" s="1"/>
  <c r="Q232" i="11"/>
  <c r="A233" i="11"/>
  <c r="AV18" i="6"/>
  <c r="BN18" i="6"/>
  <c r="AY12" i="6"/>
  <c r="AX12" i="6"/>
  <c r="AR12" i="6"/>
  <c r="AW12" i="6" s="1"/>
  <c r="BB12" i="6"/>
  <c r="AQ12" i="6"/>
  <c r="AZ12" i="6" s="1"/>
  <c r="N16" i="10"/>
  <c r="S15" i="10"/>
  <c r="T15" i="10" s="1"/>
  <c r="R15" i="10"/>
  <c r="P16" i="10"/>
  <c r="Q16" i="10" s="1"/>
  <c r="O17" i="10"/>
  <c r="U14" i="10"/>
  <c r="W14" i="10" s="1"/>
  <c r="AB14" i="10"/>
  <c r="AN13" i="6" l="1"/>
  <c r="AO12" i="6"/>
  <c r="Z15" i="6"/>
  <c r="AK15" i="6"/>
  <c r="AM15" i="6" s="1"/>
  <c r="W17" i="6"/>
  <c r="AH17" i="6"/>
  <c r="AI17" i="6" s="1"/>
  <c r="W16" i="6"/>
  <c r="AH16" i="6"/>
  <c r="AI16" i="6" s="1"/>
  <c r="S18" i="6"/>
  <c r="T18" i="6" s="1"/>
  <c r="U18" i="6" s="1"/>
  <c r="P19" i="6"/>
  <c r="R19" i="6" s="1"/>
  <c r="M20" i="6"/>
  <c r="N20" i="6" s="1"/>
  <c r="O20" i="6" s="1"/>
  <c r="CF15" i="6"/>
  <c r="CH15" i="6"/>
  <c r="CE16" i="6"/>
  <c r="CD15" i="6"/>
  <c r="CG15" i="6" s="1"/>
  <c r="Q233" i="11"/>
  <c r="A234" i="11"/>
  <c r="N231" i="11"/>
  <c r="O231" i="11" s="1"/>
  <c r="P231" i="11" s="1"/>
  <c r="R231" i="11" s="1"/>
  <c r="N17" i="10"/>
  <c r="AV19" i="6"/>
  <c r="BN19" i="6"/>
  <c r="BW12" i="6"/>
  <c r="BY12" i="6"/>
  <c r="AY14" i="6"/>
  <c r="AY13" i="6"/>
  <c r="AX13" i="6"/>
  <c r="AR13" i="6"/>
  <c r="AW13" i="6" s="1"/>
  <c r="AQ13" i="6"/>
  <c r="AZ13" i="6" s="1"/>
  <c r="BB13" i="6"/>
  <c r="U15" i="10"/>
  <c r="W15" i="10" s="1"/>
  <c r="AB15" i="10"/>
  <c r="S16" i="10"/>
  <c r="T16" i="10" s="1"/>
  <c r="R16" i="10"/>
  <c r="AR14" i="6"/>
  <c r="AW14" i="6" s="1"/>
  <c r="AQ14" i="6"/>
  <c r="AZ14" i="6" s="1"/>
  <c r="AX14" i="6"/>
  <c r="BB14" i="6"/>
  <c r="O18" i="10"/>
  <c r="P17" i="10"/>
  <c r="Q17" i="10" s="1"/>
  <c r="Q12" i="1" l="1"/>
  <c r="AO13" i="6"/>
  <c r="X16" i="6"/>
  <c r="AJ16" i="6"/>
  <c r="AL16" i="6" s="1"/>
  <c r="X17" i="6"/>
  <c r="AJ17" i="6"/>
  <c r="S19" i="6"/>
  <c r="T19" i="6" s="1"/>
  <c r="V19" i="6" s="1"/>
  <c r="V18" i="6"/>
  <c r="P20" i="6"/>
  <c r="S20" i="6" s="1"/>
  <c r="T20" i="6" s="1"/>
  <c r="M21" i="6"/>
  <c r="P21" i="6" s="1"/>
  <c r="CH16" i="6"/>
  <c r="CF16" i="6"/>
  <c r="CD16" i="6"/>
  <c r="CG16" i="6" s="1"/>
  <c r="AY15" i="6"/>
  <c r="N232" i="11"/>
  <c r="O232" i="11" s="1"/>
  <c r="P232" i="11" s="1"/>
  <c r="R232" i="11" s="1"/>
  <c r="A235" i="11"/>
  <c r="Q234" i="11"/>
  <c r="N18" i="10"/>
  <c r="AV20" i="6"/>
  <c r="BN20" i="6"/>
  <c r="BY13" i="6"/>
  <c r="BZ13" i="6" s="1"/>
  <c r="BW13" i="6"/>
  <c r="BX13" i="6" s="1"/>
  <c r="BW14" i="6"/>
  <c r="BY14" i="6"/>
  <c r="BZ12" i="6"/>
  <c r="BX12" i="6"/>
  <c r="BB15" i="6"/>
  <c r="AX15" i="6"/>
  <c r="AR15" i="6"/>
  <c r="AW15" i="6" s="1"/>
  <c r="AQ15" i="6"/>
  <c r="AZ15" i="6" s="1"/>
  <c r="U16" i="10"/>
  <c r="W16" i="10" s="1"/>
  <c r="AB16" i="10"/>
  <c r="S17" i="10"/>
  <c r="T17" i="10" s="1"/>
  <c r="R17" i="10"/>
  <c r="P18" i="10"/>
  <c r="Q18" i="10" s="1"/>
  <c r="O19" i="10"/>
  <c r="CE17" i="6"/>
  <c r="AL17" i="6" l="1"/>
  <c r="AN15" i="6" s="1"/>
  <c r="AN14" i="6"/>
  <c r="Z17" i="6"/>
  <c r="AK17" i="6"/>
  <c r="Z16" i="6"/>
  <c r="AK16" i="6"/>
  <c r="AM16" i="6" s="1"/>
  <c r="W18" i="6"/>
  <c r="AH18" i="6"/>
  <c r="AI18" i="6" s="1"/>
  <c r="W19" i="6"/>
  <c r="AH19" i="6"/>
  <c r="AI19" i="6" s="1"/>
  <c r="U19" i="6"/>
  <c r="N21" i="6"/>
  <c r="O21" i="6" s="1"/>
  <c r="M22" i="6"/>
  <c r="P22" i="6" s="1"/>
  <c r="R20" i="6"/>
  <c r="U20" i="6"/>
  <c r="V20" i="6"/>
  <c r="R21" i="6"/>
  <c r="S21" i="6"/>
  <c r="T21" i="6" s="1"/>
  <c r="CH17" i="6"/>
  <c r="CF17" i="6"/>
  <c r="CD17" i="6"/>
  <c r="CG17" i="6" s="1"/>
  <c r="BY15" i="6"/>
  <c r="BZ15" i="6" s="1"/>
  <c r="BW15" i="6"/>
  <c r="BX15" i="6" s="1"/>
  <c r="AY16" i="6"/>
  <c r="A236" i="11"/>
  <c r="Q235" i="11"/>
  <c r="N233" i="11"/>
  <c r="O233" i="11" s="1"/>
  <c r="P233" i="11" s="1"/>
  <c r="R233" i="11" s="1"/>
  <c r="N19" i="10"/>
  <c r="AV21" i="6"/>
  <c r="BN21" i="6"/>
  <c r="BZ14" i="6"/>
  <c r="BX14" i="6"/>
  <c r="U17" i="10"/>
  <c r="W17" i="10" s="1"/>
  <c r="AB17" i="10"/>
  <c r="CE18" i="6"/>
  <c r="P19" i="10"/>
  <c r="Q19" i="10" s="1"/>
  <c r="O20" i="10"/>
  <c r="R18" i="10"/>
  <c r="S18" i="10"/>
  <c r="T18" i="10" s="1"/>
  <c r="AQ16" i="6"/>
  <c r="AZ16" i="6" s="1"/>
  <c r="AR16" i="6"/>
  <c r="AW16" i="6" s="1"/>
  <c r="BB16" i="6"/>
  <c r="AX16" i="6"/>
  <c r="AO14" i="6" l="1"/>
  <c r="AM17" i="6"/>
  <c r="X19" i="6"/>
  <c r="AJ19" i="6"/>
  <c r="X18" i="6"/>
  <c r="AJ18" i="6"/>
  <c r="AL18" i="6" s="1"/>
  <c r="W20" i="6"/>
  <c r="AH20" i="6"/>
  <c r="AI20" i="6" s="1"/>
  <c r="M23" i="6"/>
  <c r="P23" i="6" s="1"/>
  <c r="N22" i="6"/>
  <c r="O22" i="6" s="1"/>
  <c r="U21" i="6"/>
  <c r="V21" i="6"/>
  <c r="R22" i="6"/>
  <c r="S22" i="6"/>
  <c r="T22" i="6" s="1"/>
  <c r="CH18" i="6"/>
  <c r="CF18" i="6"/>
  <c r="CE19" i="6"/>
  <c r="CD18" i="6"/>
  <c r="CG18" i="6" s="1"/>
  <c r="BW16" i="6"/>
  <c r="BX16" i="6" s="1"/>
  <c r="BY16" i="6"/>
  <c r="BZ16" i="6" s="1"/>
  <c r="N234" i="11"/>
  <c r="O234" i="11" s="1"/>
  <c r="P234" i="11" s="1"/>
  <c r="R234" i="11" s="1"/>
  <c r="Q236" i="11"/>
  <c r="A237" i="11"/>
  <c r="N20" i="10"/>
  <c r="AV22" i="6"/>
  <c r="BN22" i="6"/>
  <c r="O21" i="10"/>
  <c r="P20" i="10"/>
  <c r="Q20" i="10" s="1"/>
  <c r="S19" i="10"/>
  <c r="T19" i="10" s="1"/>
  <c r="R19" i="10"/>
  <c r="U18" i="10"/>
  <c r="W18" i="10" s="1"/>
  <c r="AB18" i="10"/>
  <c r="AN16" i="6" l="1"/>
  <c r="AO15" i="6"/>
  <c r="AL19" i="6"/>
  <c r="Z18" i="6"/>
  <c r="AK18" i="6"/>
  <c r="AM18" i="6" s="1"/>
  <c r="Z19" i="6"/>
  <c r="AK19" i="6"/>
  <c r="X20" i="6"/>
  <c r="AJ20" i="6"/>
  <c r="AL20" i="6" s="1"/>
  <c r="W21" i="6"/>
  <c r="AH21" i="6"/>
  <c r="AI21" i="6" s="1"/>
  <c r="N23" i="6"/>
  <c r="O23" i="6" s="1"/>
  <c r="M24" i="6"/>
  <c r="N24" i="6" s="1"/>
  <c r="O24" i="6" s="1"/>
  <c r="U22" i="6"/>
  <c r="V22" i="6"/>
  <c r="R23" i="6"/>
  <c r="S23" i="6"/>
  <c r="T23" i="6" s="1"/>
  <c r="CH19" i="6"/>
  <c r="CF19" i="6"/>
  <c r="CE20" i="6"/>
  <c r="CD19" i="6"/>
  <c r="CG19" i="6" s="1"/>
  <c r="AY18" i="6"/>
  <c r="Q237" i="11"/>
  <c r="A238" i="11"/>
  <c r="N235" i="11"/>
  <c r="O235" i="11" s="1"/>
  <c r="P235" i="11" s="1"/>
  <c r="R235" i="11" s="1"/>
  <c r="N21" i="10"/>
  <c r="AV23" i="6"/>
  <c r="BN23" i="6"/>
  <c r="AY17" i="6"/>
  <c r="AQ17" i="6"/>
  <c r="AZ17" i="6" s="1"/>
  <c r="AR17" i="6"/>
  <c r="AW17" i="6" s="1"/>
  <c r="BB17" i="6"/>
  <c r="AX17" i="6"/>
  <c r="AX18" i="6"/>
  <c r="AQ18" i="6"/>
  <c r="AZ18" i="6" s="1"/>
  <c r="BB18" i="6"/>
  <c r="AR18" i="6"/>
  <c r="AW18" i="6" s="1"/>
  <c r="S20" i="10"/>
  <c r="T20" i="10" s="1"/>
  <c r="R20" i="10"/>
  <c r="U19" i="10"/>
  <c r="W19" i="10" s="1"/>
  <c r="AB19" i="10"/>
  <c r="O22" i="10"/>
  <c r="P21" i="10"/>
  <c r="Q21" i="10" s="1"/>
  <c r="AN17" i="6" l="1"/>
  <c r="AN18" i="6"/>
  <c r="AO16" i="6"/>
  <c r="AM19" i="6"/>
  <c r="Z20" i="6"/>
  <c r="AK20" i="6"/>
  <c r="AM20" i="6" s="1"/>
  <c r="X21" i="6"/>
  <c r="AJ21" i="6"/>
  <c r="AL21" i="6" s="1"/>
  <c r="AN19" i="6" s="1"/>
  <c r="W22" i="6"/>
  <c r="AH22" i="6"/>
  <c r="AI22" i="6" s="1"/>
  <c r="M25" i="6"/>
  <c r="N25" i="6" s="1"/>
  <c r="O25" i="6" s="1"/>
  <c r="P24" i="6"/>
  <c r="R24" i="6" s="1"/>
  <c r="U23" i="6"/>
  <c r="V23" i="6"/>
  <c r="CH20" i="6"/>
  <c r="CF20" i="6"/>
  <c r="CE21" i="6"/>
  <c r="CD20" i="6"/>
  <c r="CG20" i="6" s="1"/>
  <c r="BY18" i="6"/>
  <c r="BW18" i="6"/>
  <c r="N236" i="11"/>
  <c r="O236" i="11" s="1"/>
  <c r="P236" i="11" s="1"/>
  <c r="R236" i="11" s="1"/>
  <c r="Q238" i="11"/>
  <c r="A239" i="11"/>
  <c r="AV24" i="6"/>
  <c r="BN24" i="6"/>
  <c r="BW17" i="6"/>
  <c r="BX17" i="6" s="1"/>
  <c r="BY17" i="6"/>
  <c r="BZ17" i="6" s="1"/>
  <c r="AY19" i="6"/>
  <c r="AR19" i="6"/>
  <c r="AW19" i="6" s="1"/>
  <c r="AX19" i="6"/>
  <c r="AQ19" i="6"/>
  <c r="AZ19" i="6" s="1"/>
  <c r="BB19" i="6"/>
  <c r="N22" i="10"/>
  <c r="P22" i="10"/>
  <c r="Q22" i="10" s="1"/>
  <c r="O23" i="10"/>
  <c r="U20" i="10"/>
  <c r="W20" i="10" s="1"/>
  <c r="AB20" i="10"/>
  <c r="R21" i="10"/>
  <c r="S21" i="10"/>
  <c r="T21" i="10" s="1"/>
  <c r="AO18" i="6" l="1"/>
  <c r="AO17" i="6"/>
  <c r="Z21" i="6"/>
  <c r="AK21" i="6"/>
  <c r="AM21" i="6" s="1"/>
  <c r="X22" i="6"/>
  <c r="AJ22" i="6"/>
  <c r="AL22" i="6" s="1"/>
  <c r="W23" i="6"/>
  <c r="AH23" i="6"/>
  <c r="AI23" i="6" s="1"/>
  <c r="S24" i="6"/>
  <c r="T24" i="6" s="1"/>
  <c r="U24" i="6" s="1"/>
  <c r="M26" i="6"/>
  <c r="P26" i="6" s="1"/>
  <c r="P25" i="6"/>
  <c r="R25" i="6" s="1"/>
  <c r="CF21" i="6"/>
  <c r="CH21" i="6"/>
  <c r="CE22" i="6"/>
  <c r="CD21" i="6"/>
  <c r="CG21" i="6" s="1"/>
  <c r="N237" i="11"/>
  <c r="O237" i="11" s="1"/>
  <c r="P237" i="11" s="1"/>
  <c r="R237" i="11" s="1"/>
  <c r="Q239" i="11"/>
  <c r="A240" i="11"/>
  <c r="AV25" i="6"/>
  <c r="BN25" i="6"/>
  <c r="BX18" i="6"/>
  <c r="BZ18" i="6"/>
  <c r="BW19" i="6"/>
  <c r="BX19" i="6" s="1"/>
  <c r="BY19" i="6"/>
  <c r="BZ19" i="6" s="1"/>
  <c r="AY20" i="6"/>
  <c r="N23" i="10"/>
  <c r="AX20" i="6"/>
  <c r="Q11" i="1" s="1"/>
  <c r="AQ20" i="6"/>
  <c r="AZ20" i="6" s="1"/>
  <c r="AR20" i="6"/>
  <c r="AW20" i="6" s="1"/>
  <c r="BB20" i="6"/>
  <c r="S22" i="10"/>
  <c r="T22" i="10" s="1"/>
  <c r="R22" i="10"/>
  <c r="U21" i="10"/>
  <c r="W21" i="10" s="1"/>
  <c r="AB21" i="10"/>
  <c r="O24" i="10"/>
  <c r="P23" i="10"/>
  <c r="Q23" i="10" s="1"/>
  <c r="AN20" i="6" l="1"/>
  <c r="AO19" i="6"/>
  <c r="Z22" i="6"/>
  <c r="AK22" i="6"/>
  <c r="AM22" i="6" s="1"/>
  <c r="X23" i="6"/>
  <c r="AJ23" i="6"/>
  <c r="AL23" i="6" s="1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CF22" i="6"/>
  <c r="CH22" i="6"/>
  <c r="CE23" i="6"/>
  <c r="CD22" i="6"/>
  <c r="CG22" i="6" s="1"/>
  <c r="N238" i="11"/>
  <c r="O238" i="11" s="1"/>
  <c r="P238" i="11" s="1"/>
  <c r="R238" i="11" s="1"/>
  <c r="Q240" i="11"/>
  <c r="A241" i="11"/>
  <c r="N24" i="10"/>
  <c r="AV26" i="6"/>
  <c r="BN26" i="6"/>
  <c r="BW20" i="6"/>
  <c r="BY20" i="6"/>
  <c r="S23" i="10"/>
  <c r="T23" i="10" s="1"/>
  <c r="R23" i="10"/>
  <c r="O25" i="10"/>
  <c r="P24" i="10"/>
  <c r="Q24" i="10" s="1"/>
  <c r="U22" i="10"/>
  <c r="W22" i="10" s="1"/>
  <c r="AB22" i="10"/>
  <c r="AO20" i="6" l="1"/>
  <c r="AN21" i="6"/>
  <c r="Z23" i="6"/>
  <c r="AK23" i="6"/>
  <c r="AM23" i="6" s="1"/>
  <c r="W24" i="6"/>
  <c r="AH24" i="6"/>
  <c r="AI24" i="6" s="1"/>
  <c r="W25" i="6"/>
  <c r="AH25" i="6"/>
  <c r="AI25" i="6" s="1"/>
  <c r="M28" i="6"/>
  <c r="P28" i="6" s="1"/>
  <c r="P27" i="6"/>
  <c r="R27" i="6" s="1"/>
  <c r="U25" i="6"/>
  <c r="U26" i="6"/>
  <c r="V26" i="6"/>
  <c r="CF23" i="6"/>
  <c r="CH23" i="6"/>
  <c r="CD23" i="6"/>
  <c r="CG23" i="6" s="1"/>
  <c r="A242" i="11"/>
  <c r="Q241" i="11"/>
  <c r="N239" i="11"/>
  <c r="O239" i="11" s="1"/>
  <c r="P239" i="11" s="1"/>
  <c r="R239" i="11" s="1"/>
  <c r="N25" i="10"/>
  <c r="AV27" i="6"/>
  <c r="BN27" i="6"/>
  <c r="BZ20" i="6"/>
  <c r="BX20" i="6"/>
  <c r="AY21" i="6"/>
  <c r="BB21" i="6"/>
  <c r="AX21" i="6"/>
  <c r="AR21" i="6"/>
  <c r="AW21" i="6" s="1"/>
  <c r="AQ21" i="6"/>
  <c r="AZ21" i="6" s="1"/>
  <c r="U23" i="10"/>
  <c r="W23" i="10" s="1"/>
  <c r="AB23" i="10"/>
  <c r="S24" i="10"/>
  <c r="T24" i="10" s="1"/>
  <c r="R24" i="10"/>
  <c r="P25" i="10"/>
  <c r="Q25" i="10" s="1"/>
  <c r="O26" i="10"/>
  <c r="CE24" i="6"/>
  <c r="AO21" i="6" l="1"/>
  <c r="X25" i="6"/>
  <c r="AJ25" i="6"/>
  <c r="X24" i="6"/>
  <c r="AJ24" i="6"/>
  <c r="AL24" i="6" s="1"/>
  <c r="W26" i="6"/>
  <c r="AH26" i="6"/>
  <c r="AI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CH24" i="6"/>
  <c r="CF24" i="6"/>
  <c r="CE25" i="6"/>
  <c r="CD24" i="6"/>
  <c r="CG24" i="6" s="1"/>
  <c r="AY23" i="6"/>
  <c r="N240" i="11"/>
  <c r="O240" i="11" s="1"/>
  <c r="P240" i="11" s="1"/>
  <c r="R240" i="11" s="1"/>
  <c r="Q242" i="11"/>
  <c r="A243" i="11"/>
  <c r="N26" i="10"/>
  <c r="AV28" i="6"/>
  <c r="BN28" i="6"/>
  <c r="BY21" i="6"/>
  <c r="BZ21" i="6" s="1"/>
  <c r="BW21" i="6"/>
  <c r="BX21" i="6" s="1"/>
  <c r="AY22" i="6"/>
  <c r="AQ22" i="6"/>
  <c r="AZ22" i="6" s="1"/>
  <c r="BB22" i="6"/>
  <c r="AX22" i="6"/>
  <c r="AR22" i="6"/>
  <c r="AW22" i="6" s="1"/>
  <c r="AQ23" i="6"/>
  <c r="AZ23" i="6" s="1"/>
  <c r="AR23" i="6"/>
  <c r="AW23" i="6" s="1"/>
  <c r="BB23" i="6"/>
  <c r="AX23" i="6"/>
  <c r="S25" i="10"/>
  <c r="T25" i="10" s="1"/>
  <c r="R25" i="10"/>
  <c r="U24" i="10"/>
  <c r="W24" i="10" s="1"/>
  <c r="AB24" i="10"/>
  <c r="O27" i="10"/>
  <c r="P26" i="10"/>
  <c r="Q26" i="10" s="1"/>
  <c r="AN22" i="6" l="1"/>
  <c r="AL25" i="6"/>
  <c r="Z24" i="6"/>
  <c r="AK24" i="6"/>
  <c r="AM24" i="6" s="1"/>
  <c r="Z25" i="6"/>
  <c r="AK25" i="6"/>
  <c r="X26" i="6"/>
  <c r="AJ26" i="6"/>
  <c r="AL26" i="6" s="1"/>
  <c r="M30" i="6"/>
  <c r="N30" i="6" s="1"/>
  <c r="O30" i="6" s="1"/>
  <c r="P29" i="6"/>
  <c r="R29" i="6" s="1"/>
  <c r="V27" i="6"/>
  <c r="U28" i="6"/>
  <c r="V28" i="6"/>
  <c r="CH25" i="6"/>
  <c r="CF25" i="6"/>
  <c r="CE26" i="6"/>
  <c r="CD25" i="6"/>
  <c r="CG25" i="6" s="1"/>
  <c r="BY23" i="6"/>
  <c r="BW23" i="6"/>
  <c r="A244" i="11"/>
  <c r="Q243" i="11"/>
  <c r="N241" i="11"/>
  <c r="O241" i="11" s="1"/>
  <c r="P241" i="11" s="1"/>
  <c r="R241" i="11" s="1"/>
  <c r="AV29" i="6"/>
  <c r="BN29" i="6"/>
  <c r="BW22" i="6"/>
  <c r="BY22" i="6"/>
  <c r="BB24" i="6"/>
  <c r="AX24" i="6"/>
  <c r="AQ24" i="6"/>
  <c r="AZ24" i="6" s="1"/>
  <c r="AR24" i="6"/>
  <c r="AW24" i="6" s="1"/>
  <c r="N27" i="10"/>
  <c r="S26" i="10"/>
  <c r="T26" i="10" s="1"/>
  <c r="R26" i="10"/>
  <c r="O28" i="10"/>
  <c r="P27" i="10"/>
  <c r="Q27" i="10" s="1"/>
  <c r="U25" i="10"/>
  <c r="W25" i="10" s="1"/>
  <c r="AB25" i="10"/>
  <c r="AM25" i="6" l="1"/>
  <c r="AO23" i="6" s="1"/>
  <c r="AN23" i="6"/>
  <c r="AN24" i="6"/>
  <c r="AO22" i="6"/>
  <c r="Z26" i="6"/>
  <c r="AK26" i="6"/>
  <c r="AM26" i="6" s="1"/>
  <c r="W28" i="6"/>
  <c r="AH28" i="6"/>
  <c r="AI28" i="6" s="1"/>
  <c r="W27" i="6"/>
  <c r="AH27" i="6"/>
  <c r="AI27" i="6" s="1"/>
  <c r="S29" i="6"/>
  <c r="T29" i="6" s="1"/>
  <c r="V29" i="6" s="1"/>
  <c r="P30" i="6"/>
  <c r="R30" i="6" s="1"/>
  <c r="M31" i="6"/>
  <c r="N31" i="6" s="1"/>
  <c r="O31" i="6" s="1"/>
  <c r="CH26" i="6"/>
  <c r="CF26" i="6"/>
  <c r="CE27" i="6"/>
  <c r="CD26" i="6"/>
  <c r="CG26" i="6" s="1"/>
  <c r="BY24" i="6"/>
  <c r="BZ24" i="6" s="1"/>
  <c r="AY24" i="6"/>
  <c r="BW24" i="6"/>
  <c r="BX24" i="6" s="1"/>
  <c r="N242" i="11"/>
  <c r="O242" i="11" s="1"/>
  <c r="P242" i="11" s="1"/>
  <c r="R242" i="11" s="1"/>
  <c r="A245" i="11"/>
  <c r="Q244" i="11"/>
  <c r="N28" i="10"/>
  <c r="AV30" i="6"/>
  <c r="BN30" i="6"/>
  <c r="BZ23" i="6"/>
  <c r="BZ22" i="6"/>
  <c r="BX23" i="6"/>
  <c r="BX22" i="6"/>
  <c r="R27" i="10"/>
  <c r="S27" i="10"/>
  <c r="T27" i="10" s="1"/>
  <c r="O29" i="10"/>
  <c r="P28" i="10"/>
  <c r="Q28" i="10" s="1"/>
  <c r="U26" i="10"/>
  <c r="W26" i="10" s="1"/>
  <c r="AB26" i="10"/>
  <c r="AO24" i="6" l="1"/>
  <c r="X27" i="6"/>
  <c r="AJ27" i="6"/>
  <c r="AL27" i="6" s="1"/>
  <c r="X28" i="6"/>
  <c r="AJ28" i="6"/>
  <c r="W29" i="6"/>
  <c r="AH29" i="6"/>
  <c r="AI29" i="6" s="1"/>
  <c r="U29" i="6"/>
  <c r="M32" i="6"/>
  <c r="N32" i="6" s="1"/>
  <c r="O32" i="6" s="1"/>
  <c r="P31" i="6"/>
  <c r="R31" i="6" s="1"/>
  <c r="S30" i="6"/>
  <c r="T30" i="6" s="1"/>
  <c r="U30" i="6" s="1"/>
  <c r="CH27" i="6"/>
  <c r="CF27" i="6"/>
  <c r="CE28" i="6"/>
  <c r="CD27" i="6"/>
  <c r="CG27" i="6" s="1"/>
  <c r="AY25" i="6"/>
  <c r="Q245" i="11"/>
  <c r="A246" i="11"/>
  <c r="N243" i="11"/>
  <c r="O243" i="11" s="1"/>
  <c r="P243" i="11" s="1"/>
  <c r="R243" i="11" s="1"/>
  <c r="AV31" i="6"/>
  <c r="BN31" i="6"/>
  <c r="N29" i="10"/>
  <c r="AQ25" i="6"/>
  <c r="AZ25" i="6" s="1"/>
  <c r="AR25" i="6"/>
  <c r="AW25" i="6" s="1"/>
  <c r="BB25" i="6"/>
  <c r="AX25" i="6"/>
  <c r="O30" i="10"/>
  <c r="P29" i="10"/>
  <c r="Q29" i="10" s="1"/>
  <c r="S28" i="10"/>
  <c r="T28" i="10" s="1"/>
  <c r="R28" i="10"/>
  <c r="U27" i="10"/>
  <c r="W27" i="10" s="1"/>
  <c r="AB27" i="10"/>
  <c r="AL28" i="6" l="1"/>
  <c r="AN26" i="6" s="1"/>
  <c r="AN25" i="6"/>
  <c r="Z27" i="6"/>
  <c r="AK27" i="6"/>
  <c r="AM27" i="6" s="1"/>
  <c r="Z28" i="6"/>
  <c r="AK28" i="6"/>
  <c r="X29" i="6"/>
  <c r="AJ29" i="6"/>
  <c r="AL29" i="6" s="1"/>
  <c r="M33" i="6"/>
  <c r="P33" i="6" s="1"/>
  <c r="P32" i="6"/>
  <c r="R32" i="6" s="1"/>
  <c r="S31" i="6"/>
  <c r="T31" i="6" s="1"/>
  <c r="U31" i="6" s="1"/>
  <c r="V30" i="6"/>
  <c r="CH28" i="6"/>
  <c r="CF28" i="6"/>
  <c r="CE29" i="6"/>
  <c r="CD28" i="6"/>
  <c r="CG28" i="6" s="1"/>
  <c r="BY25" i="6"/>
  <c r="BZ25" i="6" s="1"/>
  <c r="BW25" i="6"/>
  <c r="BX25" i="6" s="1"/>
  <c r="AY26" i="6"/>
  <c r="N244" i="11"/>
  <c r="O244" i="11" s="1"/>
  <c r="P244" i="11" s="1"/>
  <c r="R244" i="11" s="1"/>
  <c r="A247" i="11"/>
  <c r="Q246" i="11"/>
  <c r="AV32" i="6"/>
  <c r="BN32" i="6"/>
  <c r="AY27" i="6"/>
  <c r="AQ26" i="6"/>
  <c r="AZ26" i="6" s="1"/>
  <c r="AR26" i="6"/>
  <c r="AW26" i="6" s="1"/>
  <c r="AX26" i="6"/>
  <c r="BB26" i="6"/>
  <c r="N30" i="10"/>
  <c r="AR27" i="6"/>
  <c r="AW27" i="6" s="1"/>
  <c r="AX27" i="6"/>
  <c r="U28" i="10"/>
  <c r="W28" i="10" s="1"/>
  <c r="AB28" i="10"/>
  <c r="BB27" i="6"/>
  <c r="AQ27" i="6"/>
  <c r="AZ27" i="6" s="1"/>
  <c r="S29" i="10"/>
  <c r="T29" i="10" s="1"/>
  <c r="R29" i="10"/>
  <c r="O31" i="10"/>
  <c r="P30" i="10"/>
  <c r="Q30" i="10" s="1"/>
  <c r="AM28" i="6" l="1"/>
  <c r="AO26" i="6" s="1"/>
  <c r="AN27" i="6"/>
  <c r="AO25" i="6"/>
  <c r="Z29" i="6"/>
  <c r="AK29" i="6"/>
  <c r="AM29" i="6" s="1"/>
  <c r="W30" i="6"/>
  <c r="AH30" i="6"/>
  <c r="AI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CF29" i="6"/>
  <c r="CH29" i="6"/>
  <c r="CE30" i="6"/>
  <c r="CD29" i="6"/>
  <c r="CG29" i="6" s="1"/>
  <c r="BY26" i="6"/>
  <c r="BZ26" i="6" s="1"/>
  <c r="BW26" i="6"/>
  <c r="BX26" i="6" s="1"/>
  <c r="Q247" i="11"/>
  <c r="A248" i="11"/>
  <c r="N245" i="11"/>
  <c r="O245" i="11" s="1"/>
  <c r="P245" i="11" s="1"/>
  <c r="R245" i="11" s="1"/>
  <c r="AV33" i="6"/>
  <c r="BN33" i="6"/>
  <c r="BW27" i="6"/>
  <c r="BY27" i="6"/>
  <c r="AX28" i="6"/>
  <c r="AQ28" i="6"/>
  <c r="AZ28" i="6" s="1"/>
  <c r="AR28" i="6"/>
  <c r="AW28" i="6" s="1"/>
  <c r="BB28" i="6"/>
  <c r="N31" i="10"/>
  <c r="P31" i="10"/>
  <c r="Q31" i="10" s="1"/>
  <c r="O32" i="10"/>
  <c r="S30" i="10"/>
  <c r="T30" i="10" s="1"/>
  <c r="R30" i="10"/>
  <c r="U29" i="10"/>
  <c r="W29" i="10" s="1"/>
  <c r="AB29" i="10"/>
  <c r="AO27" i="6" l="1"/>
  <c r="X30" i="6"/>
  <c r="AJ30" i="6"/>
  <c r="AL30" i="6" s="1"/>
  <c r="W31" i="6"/>
  <c r="AH31" i="6"/>
  <c r="AI31" i="6" s="1"/>
  <c r="M35" i="6"/>
  <c r="P35" i="6" s="1"/>
  <c r="P34" i="6"/>
  <c r="S34" i="6" s="1"/>
  <c r="T34" i="6" s="1"/>
  <c r="V32" i="6"/>
  <c r="U33" i="6"/>
  <c r="V33" i="6"/>
  <c r="CF30" i="6"/>
  <c r="CH30" i="6"/>
  <c r="CE31" i="6"/>
  <c r="CD30" i="6"/>
  <c r="CG30" i="6" s="1"/>
  <c r="BX27" i="6"/>
  <c r="BZ27" i="6"/>
  <c r="AY28" i="6"/>
  <c r="BY28" i="6"/>
  <c r="BZ28" i="6" s="1"/>
  <c r="BW28" i="6"/>
  <c r="BX28" i="6" s="1"/>
  <c r="N246" i="11"/>
  <c r="O246" i="11" s="1"/>
  <c r="P246" i="11" s="1"/>
  <c r="R246" i="11" s="1"/>
  <c r="Q248" i="11"/>
  <c r="A249" i="11"/>
  <c r="N32" i="10"/>
  <c r="AV34" i="6"/>
  <c r="BN34" i="6"/>
  <c r="AY29" i="6"/>
  <c r="AR29" i="6"/>
  <c r="AW29" i="6" s="1"/>
  <c r="AX29" i="6"/>
  <c r="AQ29" i="6"/>
  <c r="AZ29" i="6" s="1"/>
  <c r="BB29" i="6"/>
  <c r="R31" i="10"/>
  <c r="S31" i="10"/>
  <c r="T31" i="10" s="1"/>
  <c r="O33" i="10"/>
  <c r="P32" i="10"/>
  <c r="Q32" i="10" s="1"/>
  <c r="U30" i="10"/>
  <c r="W30" i="10" s="1"/>
  <c r="AB30" i="10"/>
  <c r="AN28" i="6" l="1"/>
  <c r="Z30" i="6"/>
  <c r="AK30" i="6"/>
  <c r="AM30" i="6" s="1"/>
  <c r="X31" i="6"/>
  <c r="AJ31" i="6"/>
  <c r="AL31" i="6" s="1"/>
  <c r="W33" i="6"/>
  <c r="AH33" i="6"/>
  <c r="AI33" i="6" s="1"/>
  <c r="W32" i="6"/>
  <c r="AH32" i="6"/>
  <c r="AI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CF31" i="6"/>
  <c r="CH31" i="6"/>
  <c r="CE32" i="6"/>
  <c r="CD31" i="6"/>
  <c r="CG31" i="6" s="1"/>
  <c r="Q249" i="11"/>
  <c r="A250" i="11"/>
  <c r="N247" i="11"/>
  <c r="O247" i="11" s="1"/>
  <c r="P247" i="11" s="1"/>
  <c r="R247" i="11" s="1"/>
  <c r="N33" i="10"/>
  <c r="AV35" i="6"/>
  <c r="BN35" i="6"/>
  <c r="BY29" i="6"/>
  <c r="BZ29" i="6" s="1"/>
  <c r="BW29" i="6"/>
  <c r="BX29" i="6" s="1"/>
  <c r="AY30" i="6"/>
  <c r="BB30" i="6"/>
  <c r="AQ30" i="6"/>
  <c r="AZ30" i="6" s="1"/>
  <c r="AR30" i="6"/>
  <c r="AW30" i="6" s="1"/>
  <c r="AX30" i="6"/>
  <c r="Q10" i="1" s="1"/>
  <c r="O34" i="10"/>
  <c r="P33" i="10"/>
  <c r="Q33" i="10" s="1"/>
  <c r="S32" i="10"/>
  <c r="T32" i="10" s="1"/>
  <c r="R32" i="10"/>
  <c r="U31" i="10"/>
  <c r="W31" i="10" s="1"/>
  <c r="AB31" i="10"/>
  <c r="AN29" i="6" l="1"/>
  <c r="AO28" i="6"/>
  <c r="Z31" i="6"/>
  <c r="AK31" i="6"/>
  <c r="AM31" i="6" s="1"/>
  <c r="AO29" i="6" s="1"/>
  <c r="X33" i="6"/>
  <c r="AJ33" i="6"/>
  <c r="X32" i="6"/>
  <c r="AJ32" i="6"/>
  <c r="AL32" i="6" s="1"/>
  <c r="W34" i="6"/>
  <c r="AH34" i="6"/>
  <c r="AI34" i="6" s="1"/>
  <c r="M37" i="6"/>
  <c r="P37" i="6" s="1"/>
  <c r="P36" i="6"/>
  <c r="R36" i="6" s="1"/>
  <c r="U35" i="6"/>
  <c r="V35" i="6"/>
  <c r="CH32" i="6"/>
  <c r="CF32" i="6"/>
  <c r="CE33" i="6"/>
  <c r="CD32" i="6"/>
  <c r="CG32" i="6" s="1"/>
  <c r="A251" i="11"/>
  <c r="Q250" i="11"/>
  <c r="N248" i="11"/>
  <c r="O248" i="11" s="1"/>
  <c r="P248" i="11" s="1"/>
  <c r="R248" i="11" s="1"/>
  <c r="N34" i="10"/>
  <c r="AV36" i="6"/>
  <c r="BN36" i="6"/>
  <c r="BW30" i="6"/>
  <c r="BY30" i="6"/>
  <c r="AY31" i="6"/>
  <c r="AQ31" i="6"/>
  <c r="AZ31" i="6" s="1"/>
  <c r="AX31" i="6"/>
  <c r="AR31" i="6"/>
  <c r="AW31" i="6" s="1"/>
  <c r="BB31" i="6"/>
  <c r="U32" i="10"/>
  <c r="W32" i="10" s="1"/>
  <c r="AB32" i="10"/>
  <c r="R33" i="10"/>
  <c r="S33" i="10"/>
  <c r="T33" i="10" s="1"/>
  <c r="P34" i="10"/>
  <c r="Q34" i="10" s="1"/>
  <c r="O35" i="10"/>
  <c r="AL33" i="6" l="1"/>
  <c r="AN31" i="6" s="1"/>
  <c r="AN30" i="6"/>
  <c r="Z32" i="6"/>
  <c r="AK32" i="6"/>
  <c r="AM32" i="6" s="1"/>
  <c r="Z33" i="6"/>
  <c r="AK33" i="6"/>
  <c r="X34" i="6"/>
  <c r="AJ34" i="6"/>
  <c r="AL34" i="6" s="1"/>
  <c r="W35" i="6"/>
  <c r="AH35" i="6"/>
  <c r="AI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CH33" i="6"/>
  <c r="CF33" i="6"/>
  <c r="CE34" i="6"/>
  <c r="CD33" i="6"/>
  <c r="CG33" i="6" s="1"/>
  <c r="BW32" i="6"/>
  <c r="N249" i="11"/>
  <c r="O249" i="11" s="1"/>
  <c r="P249" i="11" s="1"/>
  <c r="R249" i="11" s="1"/>
  <c r="A252" i="11"/>
  <c r="Q251" i="11"/>
  <c r="AV37" i="6"/>
  <c r="BN37" i="6"/>
  <c r="BW31" i="6"/>
  <c r="BX31" i="6" s="1"/>
  <c r="BY31" i="6"/>
  <c r="BZ31" i="6" s="1"/>
  <c r="BZ30" i="6"/>
  <c r="BX30" i="6"/>
  <c r="AX32" i="6"/>
  <c r="AQ32" i="6"/>
  <c r="AZ32" i="6" s="1"/>
  <c r="BB32" i="6"/>
  <c r="AR32" i="6"/>
  <c r="AW32" i="6" s="1"/>
  <c r="N35" i="10"/>
  <c r="U33" i="10"/>
  <c r="W33" i="10" s="1"/>
  <c r="AB33" i="10"/>
  <c r="P35" i="10"/>
  <c r="Q35" i="10" s="1"/>
  <c r="O36" i="10"/>
  <c r="S34" i="10"/>
  <c r="T34" i="10" s="1"/>
  <c r="R34" i="10"/>
  <c r="AN32" i="6" l="1"/>
  <c r="AM33" i="6"/>
  <c r="AO31" i="6" s="1"/>
  <c r="AO30" i="6"/>
  <c r="Z34" i="6"/>
  <c r="AK34" i="6"/>
  <c r="AM34" i="6" s="1"/>
  <c r="X35" i="6"/>
  <c r="AJ35" i="6"/>
  <c r="AL35" i="6" s="1"/>
  <c r="V36" i="6"/>
  <c r="M39" i="6"/>
  <c r="N39" i="6" s="1"/>
  <c r="O39" i="6" s="1"/>
  <c r="P38" i="6"/>
  <c r="S38" i="6" s="1"/>
  <c r="T38" i="6" s="1"/>
  <c r="U37" i="6"/>
  <c r="V37" i="6"/>
  <c r="CH34" i="6"/>
  <c r="CF34" i="6"/>
  <c r="CE35" i="6"/>
  <c r="CD34" i="6"/>
  <c r="CG34" i="6" s="1"/>
  <c r="BY32" i="6"/>
  <c r="BZ32" i="6" s="1"/>
  <c r="AY32" i="6"/>
  <c r="Q252" i="11"/>
  <c r="A253" i="11"/>
  <c r="N250" i="11"/>
  <c r="O250" i="11" s="1"/>
  <c r="P250" i="11" s="1"/>
  <c r="R250" i="11" s="1"/>
  <c r="N36" i="10"/>
  <c r="AV38" i="6"/>
  <c r="BN38" i="6"/>
  <c r="BX32" i="6"/>
  <c r="AY33" i="6"/>
  <c r="BB33" i="6"/>
  <c r="AQ33" i="6"/>
  <c r="AZ33" i="6" s="1"/>
  <c r="AX33" i="6"/>
  <c r="AR33" i="6"/>
  <c r="AW33" i="6" s="1"/>
  <c r="S35" i="10"/>
  <c r="T35" i="10" s="1"/>
  <c r="R35" i="10"/>
  <c r="P36" i="10"/>
  <c r="Q36" i="10" s="1"/>
  <c r="O37" i="10"/>
  <c r="U34" i="10"/>
  <c r="W34" i="10" s="1"/>
  <c r="AB34" i="10"/>
  <c r="AN33" i="6" l="1"/>
  <c r="AO32" i="6"/>
  <c r="Z35" i="6"/>
  <c r="AK35" i="6"/>
  <c r="AM35" i="6" s="1"/>
  <c r="W37" i="6"/>
  <c r="AH37" i="6"/>
  <c r="AI37" i="6" s="1"/>
  <c r="W36" i="6"/>
  <c r="AH36" i="6"/>
  <c r="AI36" i="6" s="1"/>
  <c r="P39" i="6"/>
  <c r="S39" i="6" s="1"/>
  <c r="T39" i="6" s="1"/>
  <c r="M40" i="6"/>
  <c r="P40" i="6" s="1"/>
  <c r="R38" i="6"/>
  <c r="U38" i="6"/>
  <c r="V38" i="6"/>
  <c r="CH35" i="6"/>
  <c r="CF35" i="6"/>
  <c r="CD35" i="6"/>
  <c r="CG35" i="6" s="1"/>
  <c r="N251" i="11"/>
  <c r="O251" i="11" s="1"/>
  <c r="P251" i="11" s="1"/>
  <c r="R251" i="11" s="1"/>
  <c r="Q253" i="11"/>
  <c r="A254" i="11"/>
  <c r="AV39" i="6"/>
  <c r="BN39" i="6"/>
  <c r="N37" i="10"/>
  <c r="BW33" i="6"/>
  <c r="BX33" i="6" s="1"/>
  <c r="BY33" i="6"/>
  <c r="BZ33" i="6" s="1"/>
  <c r="R36" i="10"/>
  <c r="S36" i="10"/>
  <c r="T36" i="10" s="1"/>
  <c r="CE36" i="6"/>
  <c r="P37" i="10"/>
  <c r="Q37" i="10" s="1"/>
  <c r="O38" i="10"/>
  <c r="U35" i="10"/>
  <c r="W35" i="10" s="1"/>
  <c r="AB35" i="10"/>
  <c r="AO33" i="6" l="1"/>
  <c r="X36" i="6"/>
  <c r="AJ36" i="6"/>
  <c r="AL36" i="6" s="1"/>
  <c r="X37" i="6"/>
  <c r="AJ37" i="6"/>
  <c r="W38" i="6"/>
  <c r="AH38" i="6"/>
  <c r="AI38" i="6" s="1"/>
  <c r="R39" i="6"/>
  <c r="M41" i="6"/>
  <c r="M42" i="6" s="1"/>
  <c r="N40" i="6"/>
  <c r="O40" i="6" s="1"/>
  <c r="U39" i="6"/>
  <c r="V39" i="6"/>
  <c r="R40" i="6"/>
  <c r="S40" i="6"/>
  <c r="T40" i="6" s="1"/>
  <c r="CH36" i="6"/>
  <c r="CF36" i="6"/>
  <c r="CD36" i="6"/>
  <c r="CG36" i="6" s="1"/>
  <c r="Q254" i="11"/>
  <c r="A255" i="11"/>
  <c r="N252" i="11"/>
  <c r="O252" i="11" s="1"/>
  <c r="P252" i="11" s="1"/>
  <c r="R252" i="11" s="1"/>
  <c r="N38" i="10"/>
  <c r="AV40" i="6"/>
  <c r="BN40" i="6"/>
  <c r="AY35" i="6"/>
  <c r="AY34" i="6"/>
  <c r="AR34" i="6"/>
  <c r="AW34" i="6" s="1"/>
  <c r="AX34" i="6"/>
  <c r="BB34" i="6"/>
  <c r="AQ34" i="6"/>
  <c r="AZ34" i="6" s="1"/>
  <c r="BB35" i="6"/>
  <c r="AX35" i="6"/>
  <c r="AR35" i="6"/>
  <c r="AW35" i="6" s="1"/>
  <c r="AQ35" i="6"/>
  <c r="AZ35" i="6" s="1"/>
  <c r="S37" i="10"/>
  <c r="T37" i="10" s="1"/>
  <c r="R37" i="10"/>
  <c r="P38" i="10"/>
  <c r="Q38" i="10" s="1"/>
  <c r="O39" i="10"/>
  <c r="CE37" i="6"/>
  <c r="U36" i="10"/>
  <c r="W36" i="10" s="1"/>
  <c r="AB36" i="10"/>
  <c r="AL37" i="6" l="1"/>
  <c r="AN35" i="6" s="1"/>
  <c r="AN34" i="6"/>
  <c r="Z37" i="6"/>
  <c r="AK37" i="6"/>
  <c r="Z36" i="6"/>
  <c r="AK36" i="6"/>
  <c r="AM36" i="6" s="1"/>
  <c r="X38" i="6"/>
  <c r="AJ38" i="6"/>
  <c r="AL38" i="6" s="1"/>
  <c r="W39" i="6"/>
  <c r="AH39" i="6"/>
  <c r="AI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CF37" i="6"/>
  <c r="CH37" i="6"/>
  <c r="CE38" i="6"/>
  <c r="CD37" i="6"/>
  <c r="CG37" i="6" s="1"/>
  <c r="BW36" i="6"/>
  <c r="N253" i="11"/>
  <c r="O253" i="11" s="1"/>
  <c r="P253" i="11" s="1"/>
  <c r="R253" i="11" s="1"/>
  <c r="A256" i="11"/>
  <c r="Q255" i="11"/>
  <c r="N39" i="10"/>
  <c r="AV41" i="6"/>
  <c r="BN41" i="6"/>
  <c r="BW34" i="6"/>
  <c r="BY34" i="6"/>
  <c r="BW35" i="6"/>
  <c r="BY35" i="6"/>
  <c r="AQ36" i="6"/>
  <c r="AZ36" i="6" s="1"/>
  <c r="AX36" i="6"/>
  <c r="BB36" i="6"/>
  <c r="AR36" i="6"/>
  <c r="AW36" i="6" s="1"/>
  <c r="S38" i="10"/>
  <c r="T38" i="10" s="1"/>
  <c r="R38" i="10"/>
  <c r="O40" i="10"/>
  <c r="P39" i="10"/>
  <c r="Q39" i="10" s="1"/>
  <c r="U37" i="10"/>
  <c r="W37" i="10" s="1"/>
  <c r="AB37" i="10"/>
  <c r="AO34" i="6" l="1"/>
  <c r="AN36" i="6"/>
  <c r="AM37" i="6"/>
  <c r="Z38" i="6"/>
  <c r="AK38" i="6"/>
  <c r="AM38" i="6" s="1"/>
  <c r="X39" i="6"/>
  <c r="AJ39" i="6"/>
  <c r="AL39" i="6" s="1"/>
  <c r="AN37" i="6" s="1"/>
  <c r="W40" i="6"/>
  <c r="AH40" i="6"/>
  <c r="AI40" i="6" s="1"/>
  <c r="R41" i="6"/>
  <c r="V41" i="6"/>
  <c r="U41" i="6"/>
  <c r="P43" i="6"/>
  <c r="N43" i="6"/>
  <c r="O43" i="6" s="1"/>
  <c r="M44" i="6"/>
  <c r="R42" i="6"/>
  <c r="S42" i="6"/>
  <c r="T42" i="6" s="1"/>
  <c r="CF38" i="6"/>
  <c r="CH38" i="6"/>
  <c r="CE39" i="6"/>
  <c r="CD38" i="6"/>
  <c r="CG38" i="6" s="1"/>
  <c r="AY36" i="6"/>
  <c r="BY36" i="6"/>
  <c r="BZ36" i="6" s="1"/>
  <c r="AY37" i="6"/>
  <c r="A257" i="11"/>
  <c r="Q256" i="11"/>
  <c r="N254" i="11"/>
  <c r="O254" i="11" s="1"/>
  <c r="P254" i="11" s="1"/>
  <c r="R254" i="11" s="1"/>
  <c r="N40" i="10"/>
  <c r="AV42" i="6"/>
  <c r="BN42" i="6"/>
  <c r="BZ35" i="6"/>
  <c r="BZ34" i="6"/>
  <c r="BX35" i="6"/>
  <c r="BX34" i="6"/>
  <c r="BX36" i="6"/>
  <c r="AX37" i="6"/>
  <c r="BB37" i="6"/>
  <c r="AQ37" i="6"/>
  <c r="AZ37" i="6" s="1"/>
  <c r="AR37" i="6"/>
  <c r="AW37" i="6" s="1"/>
  <c r="P40" i="10"/>
  <c r="Q40" i="10" s="1"/>
  <c r="O41" i="10"/>
  <c r="U38" i="10"/>
  <c r="W38" i="10" s="1"/>
  <c r="AB38" i="10"/>
  <c r="R39" i="10"/>
  <c r="S39" i="10"/>
  <c r="T39" i="10" s="1"/>
  <c r="AO36" i="6" l="1"/>
  <c r="AO35" i="6"/>
  <c r="Z39" i="6"/>
  <c r="AK39" i="6"/>
  <c r="AM39" i="6" s="1"/>
  <c r="X40" i="6"/>
  <c r="AJ40" i="6"/>
  <c r="AL40" i="6" s="1"/>
  <c r="W41" i="6"/>
  <c r="AH41" i="6"/>
  <c r="AI41" i="6" s="1"/>
  <c r="U42" i="6"/>
  <c r="V42" i="6"/>
  <c r="N44" i="6"/>
  <c r="O44" i="6" s="1"/>
  <c r="P44" i="6"/>
  <c r="M45" i="6"/>
  <c r="R43" i="6"/>
  <c r="S43" i="6"/>
  <c r="T43" i="6" s="1"/>
  <c r="CF39" i="6"/>
  <c r="CH39" i="6"/>
  <c r="CD39" i="6"/>
  <c r="CG39" i="6" s="1"/>
  <c r="BW37" i="6"/>
  <c r="BX37" i="6" s="1"/>
  <c r="BY37" i="6"/>
  <c r="BZ37" i="6" s="1"/>
  <c r="N255" i="11"/>
  <c r="O255" i="11" s="1"/>
  <c r="P255" i="11" s="1"/>
  <c r="R255" i="11" s="1"/>
  <c r="A258" i="11"/>
  <c r="Q257" i="11"/>
  <c r="AV43" i="6"/>
  <c r="BN43" i="6"/>
  <c r="N41" i="10"/>
  <c r="U39" i="10"/>
  <c r="W39" i="10" s="1"/>
  <c r="AB39" i="10"/>
  <c r="S40" i="10"/>
  <c r="T40" i="10" s="1"/>
  <c r="R40" i="10"/>
  <c r="O42" i="10"/>
  <c r="P41" i="10"/>
  <c r="Q41" i="10" s="1"/>
  <c r="CE40" i="6"/>
  <c r="AN38" i="6" l="1"/>
  <c r="AO37" i="6"/>
  <c r="Z40" i="6"/>
  <c r="AK40" i="6"/>
  <c r="AM40" i="6" s="1"/>
  <c r="X41" i="6"/>
  <c r="AJ41" i="6"/>
  <c r="AL41" i="6" s="1"/>
  <c r="AN39" i="6" s="1"/>
  <c r="W42" i="6"/>
  <c r="AH42" i="6"/>
  <c r="AI42" i="6" s="1"/>
  <c r="U43" i="6"/>
  <c r="V43" i="6"/>
  <c r="P45" i="6"/>
  <c r="N45" i="6"/>
  <c r="O45" i="6" s="1"/>
  <c r="M46" i="6"/>
  <c r="R44" i="6"/>
  <c r="S44" i="6"/>
  <c r="T44" i="6" s="1"/>
  <c r="CH40" i="6"/>
  <c r="CF40" i="6"/>
  <c r="CE41" i="6"/>
  <c r="CD40" i="6"/>
  <c r="CG40" i="6" s="1"/>
  <c r="A259" i="11"/>
  <c r="Q258" i="11"/>
  <c r="N256" i="11"/>
  <c r="O256" i="11" s="1"/>
  <c r="P256" i="11" s="1"/>
  <c r="R256" i="11" s="1"/>
  <c r="AV44" i="6"/>
  <c r="BN44" i="6"/>
  <c r="N42" i="10"/>
  <c r="AY38" i="6"/>
  <c r="BB38" i="6"/>
  <c r="AQ38" i="6"/>
  <c r="AZ38" i="6" s="1"/>
  <c r="AX38" i="6"/>
  <c r="AR38" i="6"/>
  <c r="AW38" i="6" s="1"/>
  <c r="R41" i="10"/>
  <c r="S41" i="10"/>
  <c r="T41" i="10" s="1"/>
  <c r="U40" i="10"/>
  <c r="W40" i="10" s="1"/>
  <c r="AB40" i="10"/>
  <c r="O43" i="10"/>
  <c r="P42" i="10"/>
  <c r="Q42" i="10" s="1"/>
  <c r="AO38" i="6" l="1"/>
  <c r="Z41" i="6"/>
  <c r="AK41" i="6"/>
  <c r="AM41" i="6" s="1"/>
  <c r="X42" i="6"/>
  <c r="AJ42" i="6"/>
  <c r="AL42" i="6" s="1"/>
  <c r="W43" i="6"/>
  <c r="AH43" i="6"/>
  <c r="AI43" i="6" s="1"/>
  <c r="U44" i="6"/>
  <c r="V44" i="6"/>
  <c r="P46" i="6"/>
  <c r="N46" i="6"/>
  <c r="O46" i="6" s="1"/>
  <c r="M47" i="6"/>
  <c r="R45" i="6"/>
  <c r="S45" i="6"/>
  <c r="T45" i="6" s="1"/>
  <c r="CH41" i="6"/>
  <c r="CF41" i="6"/>
  <c r="CD41" i="6"/>
  <c r="CG41" i="6" s="1"/>
  <c r="BW40" i="6"/>
  <c r="N257" i="11"/>
  <c r="O257" i="11" s="1"/>
  <c r="P257" i="11" s="1"/>
  <c r="R257" i="11" s="1"/>
  <c r="Q259" i="11"/>
  <c r="A260" i="11"/>
  <c r="AV45" i="6"/>
  <c r="BN45" i="6"/>
  <c r="BW38" i="6"/>
  <c r="BY38" i="6"/>
  <c r="AY39" i="6"/>
  <c r="AR39" i="6"/>
  <c r="AW39" i="6" s="1"/>
  <c r="BB39" i="6"/>
  <c r="AX39" i="6"/>
  <c r="AQ39" i="6"/>
  <c r="AZ39" i="6" s="1"/>
  <c r="BB40" i="6"/>
  <c r="AX40" i="6"/>
  <c r="AR40" i="6"/>
  <c r="AW40" i="6" s="1"/>
  <c r="AQ40" i="6"/>
  <c r="AZ40" i="6" s="1"/>
  <c r="N43" i="10"/>
  <c r="CE42" i="6"/>
  <c r="O44" i="10"/>
  <c r="P43" i="10"/>
  <c r="Q43" i="10" s="1"/>
  <c r="S42" i="10"/>
  <c r="T42" i="10" s="1"/>
  <c r="R42" i="10"/>
  <c r="U41" i="10"/>
  <c r="W41" i="10" s="1"/>
  <c r="AB41" i="10"/>
  <c r="AN40" i="6" l="1"/>
  <c r="AO39" i="6"/>
  <c r="Z42" i="6"/>
  <c r="AK42" i="6"/>
  <c r="AM42" i="6" s="1"/>
  <c r="X43" i="6"/>
  <c r="AJ43" i="6"/>
  <c r="AL43" i="6" s="1"/>
  <c r="W44" i="6"/>
  <c r="AH44" i="6"/>
  <c r="AI44" i="6" s="1"/>
  <c r="U45" i="6"/>
  <c r="V45" i="6"/>
  <c r="N47" i="6"/>
  <c r="O47" i="6" s="1"/>
  <c r="P47" i="6"/>
  <c r="M48" i="6"/>
  <c r="R46" i="6"/>
  <c r="S46" i="6"/>
  <c r="T46" i="6" s="1"/>
  <c r="CH42" i="6"/>
  <c r="CF42" i="6"/>
  <c r="CE43" i="6"/>
  <c r="CD42" i="6"/>
  <c r="CG42" i="6" s="1"/>
  <c r="BY40" i="6"/>
  <c r="AY40" i="6"/>
  <c r="A261" i="11"/>
  <c r="Q260" i="11"/>
  <c r="N258" i="11"/>
  <c r="O258" i="11" s="1"/>
  <c r="P258" i="11" s="1"/>
  <c r="R258" i="11" s="1"/>
  <c r="N44" i="10"/>
  <c r="AV46" i="6"/>
  <c r="BN46" i="6"/>
  <c r="BZ38" i="6"/>
  <c r="BX38" i="6"/>
  <c r="BW39" i="6"/>
  <c r="BX39" i="6" s="1"/>
  <c r="BY39" i="6"/>
  <c r="BZ39" i="6" s="1"/>
  <c r="AY41" i="6"/>
  <c r="AX41" i="6"/>
  <c r="AR41" i="6"/>
  <c r="AW41" i="6" s="1"/>
  <c r="AQ41" i="6"/>
  <c r="AZ41" i="6" s="1"/>
  <c r="BB41" i="6"/>
  <c r="U42" i="10"/>
  <c r="W42" i="10" s="1"/>
  <c r="AB42" i="10"/>
  <c r="O45" i="10"/>
  <c r="P44" i="10"/>
  <c r="Q44" i="10" s="1"/>
  <c r="S43" i="10"/>
  <c r="T43" i="10" s="1"/>
  <c r="R43" i="10"/>
  <c r="AN41" i="6" l="1"/>
  <c r="AO40" i="6"/>
  <c r="Z43" i="6"/>
  <c r="AK43" i="6"/>
  <c r="AM43" i="6" s="1"/>
  <c r="AO41" i="6" s="1"/>
  <c r="X44" i="6"/>
  <c r="AJ44" i="6"/>
  <c r="AL44" i="6" s="1"/>
  <c r="W45" i="6"/>
  <c r="AH45" i="6"/>
  <c r="AI45" i="6" s="1"/>
  <c r="U46" i="6"/>
  <c r="V46" i="6"/>
  <c r="N48" i="6"/>
  <c r="O48" i="6" s="1"/>
  <c r="P48" i="6"/>
  <c r="M49" i="6"/>
  <c r="R47" i="6"/>
  <c r="S47" i="6"/>
  <c r="T47" i="6" s="1"/>
  <c r="CH43" i="6"/>
  <c r="CF43" i="6"/>
  <c r="CE44" i="6"/>
  <c r="CD43" i="6"/>
  <c r="CG43" i="6" s="1"/>
  <c r="A262" i="11"/>
  <c r="Q261" i="11"/>
  <c r="N259" i="11"/>
  <c r="O259" i="11" s="1"/>
  <c r="P259" i="11" s="1"/>
  <c r="R259" i="11" s="1"/>
  <c r="AV47" i="6"/>
  <c r="BN47" i="6"/>
  <c r="BX40" i="6"/>
  <c r="BZ40" i="6"/>
  <c r="BW41" i="6"/>
  <c r="BX41" i="6" s="1"/>
  <c r="BY41" i="6"/>
  <c r="BZ41" i="6" s="1"/>
  <c r="AY42" i="6"/>
  <c r="N45" i="10"/>
  <c r="BB42" i="6"/>
  <c r="AX42" i="6"/>
  <c r="AQ42" i="6"/>
  <c r="AZ42" i="6" s="1"/>
  <c r="AR42" i="6"/>
  <c r="AW42" i="6" s="1"/>
  <c r="O46" i="10"/>
  <c r="P45" i="10"/>
  <c r="Q45" i="10" s="1"/>
  <c r="U43" i="10"/>
  <c r="W43" i="10" s="1"/>
  <c r="AB43" i="10"/>
  <c r="R44" i="10"/>
  <c r="S44" i="10"/>
  <c r="T44" i="10" s="1"/>
  <c r="AN42" i="6" l="1"/>
  <c r="Z44" i="6"/>
  <c r="AK44" i="6"/>
  <c r="AM44" i="6" s="1"/>
  <c r="X45" i="6"/>
  <c r="AJ45" i="6"/>
  <c r="AL45" i="6" s="1"/>
  <c r="AN43" i="6" s="1"/>
  <c r="W46" i="6"/>
  <c r="AH46" i="6"/>
  <c r="AI46" i="6" s="1"/>
  <c r="U47" i="6"/>
  <c r="V47" i="6"/>
  <c r="N49" i="6"/>
  <c r="O49" i="6" s="1"/>
  <c r="P49" i="6"/>
  <c r="M50" i="6"/>
  <c r="R48" i="6"/>
  <c r="S48" i="6"/>
  <c r="T48" i="6" s="1"/>
  <c r="CF44" i="6"/>
  <c r="CH44" i="6"/>
  <c r="CD44" i="6"/>
  <c r="CG44" i="6" s="1"/>
  <c r="N260" i="11"/>
  <c r="O260" i="11" s="1"/>
  <c r="P260" i="11" s="1"/>
  <c r="R260" i="11" s="1"/>
  <c r="A263" i="11"/>
  <c r="Q262" i="11"/>
  <c r="N46" i="10"/>
  <c r="AV48" i="6"/>
  <c r="BN48" i="6"/>
  <c r="BW42" i="6"/>
  <c r="BY42" i="6"/>
  <c r="AY43" i="6"/>
  <c r="BB43" i="6"/>
  <c r="AR43" i="6"/>
  <c r="AW43" i="6" s="1"/>
  <c r="AX43" i="6"/>
  <c r="AQ43" i="6"/>
  <c r="AZ43" i="6" s="1"/>
  <c r="S45" i="10"/>
  <c r="T45" i="10" s="1"/>
  <c r="R45" i="10"/>
  <c r="U44" i="10"/>
  <c r="W44" i="10" s="1"/>
  <c r="AB44" i="10"/>
  <c r="O47" i="10"/>
  <c r="P46" i="10"/>
  <c r="Q46" i="10" s="1"/>
  <c r="AO42" i="6" l="1"/>
  <c r="Z45" i="6"/>
  <c r="AK45" i="6"/>
  <c r="AM45" i="6" s="1"/>
  <c r="AO43" i="6" s="1"/>
  <c r="X46" i="6"/>
  <c r="AJ46" i="6"/>
  <c r="AL46" i="6" s="1"/>
  <c r="W47" i="6"/>
  <c r="AH47" i="6"/>
  <c r="AI47" i="6" s="1"/>
  <c r="U48" i="6"/>
  <c r="V48" i="6"/>
  <c r="N50" i="6"/>
  <c r="O50" i="6" s="1"/>
  <c r="P50" i="6"/>
  <c r="M51" i="6"/>
  <c r="R49" i="6"/>
  <c r="S49" i="6"/>
  <c r="T49" i="6" s="1"/>
  <c r="CE45" i="6"/>
  <c r="CD45" i="6"/>
  <c r="CG45" i="6" s="1"/>
  <c r="A264" i="11"/>
  <c r="Q263" i="11"/>
  <c r="N261" i="11"/>
  <c r="O261" i="11" s="1"/>
  <c r="P261" i="11" s="1"/>
  <c r="R261" i="11" s="1"/>
  <c r="N47" i="10"/>
  <c r="AV49" i="6"/>
  <c r="BN49" i="6"/>
  <c r="BX42" i="6"/>
  <c r="BW43" i="6"/>
  <c r="BX43" i="6" s="1"/>
  <c r="BY43" i="6"/>
  <c r="BZ43" i="6" s="1"/>
  <c r="BZ42" i="6"/>
  <c r="AY44" i="6"/>
  <c r="BB44" i="6"/>
  <c r="AX44" i="6"/>
  <c r="Q9" i="1" s="1"/>
  <c r="AQ44" i="6"/>
  <c r="AZ44" i="6" s="1"/>
  <c r="AR44" i="6"/>
  <c r="AW44" i="6" s="1"/>
  <c r="U45" i="10"/>
  <c r="W45" i="10" s="1"/>
  <c r="AB45" i="10"/>
  <c r="R46" i="10"/>
  <c r="S46" i="10"/>
  <c r="T46" i="10" s="1"/>
  <c r="P47" i="10"/>
  <c r="Q47" i="10" s="1"/>
  <c r="O48" i="10"/>
  <c r="AN44" i="6" l="1"/>
  <c r="Z46" i="6"/>
  <c r="AK46" i="6"/>
  <c r="AM46" i="6" s="1"/>
  <c r="X47" i="6"/>
  <c r="AJ47" i="6"/>
  <c r="AL47" i="6" s="1"/>
  <c r="W48" i="6"/>
  <c r="AH48" i="6"/>
  <c r="AI48" i="6" s="1"/>
  <c r="U49" i="6"/>
  <c r="V49" i="6"/>
  <c r="N51" i="6"/>
  <c r="O51" i="6" s="1"/>
  <c r="P51" i="6"/>
  <c r="M52" i="6"/>
  <c r="R50" i="6"/>
  <c r="S50" i="6"/>
  <c r="T50" i="6" s="1"/>
  <c r="CE46" i="6"/>
  <c r="CD46" i="6"/>
  <c r="CG46" i="6" s="1"/>
  <c r="CF45" i="6"/>
  <c r="CH45" i="6"/>
  <c r="N262" i="11"/>
  <c r="O262" i="11" s="1"/>
  <c r="P262" i="11" s="1"/>
  <c r="R262" i="11" s="1"/>
  <c r="Q264" i="11"/>
  <c r="A265" i="11"/>
  <c r="N48" i="10"/>
  <c r="AV50" i="6"/>
  <c r="BN50" i="6"/>
  <c r="BW44" i="6"/>
  <c r="BY44" i="6"/>
  <c r="AY45" i="6"/>
  <c r="AQ45" i="6"/>
  <c r="AZ45" i="6" s="1"/>
  <c r="AR45" i="6"/>
  <c r="AW45" i="6" s="1"/>
  <c r="AX45" i="6"/>
  <c r="BB45" i="6"/>
  <c r="U46" i="10"/>
  <c r="W46" i="10" s="1"/>
  <c r="AB46" i="10"/>
  <c r="O49" i="10"/>
  <c r="P48" i="10"/>
  <c r="Q48" i="10" s="1"/>
  <c r="R47" i="10"/>
  <c r="S47" i="10"/>
  <c r="T47" i="10" s="1"/>
  <c r="AN45" i="6" l="1"/>
  <c r="AO44" i="6"/>
  <c r="Z47" i="6"/>
  <c r="AK47" i="6"/>
  <c r="AM47" i="6" s="1"/>
  <c r="X48" i="6"/>
  <c r="AJ48" i="6"/>
  <c r="AL48" i="6" s="1"/>
  <c r="W49" i="6"/>
  <c r="AH49" i="6"/>
  <c r="AI49" i="6" s="1"/>
  <c r="U50" i="6"/>
  <c r="V50" i="6"/>
  <c r="P52" i="6"/>
  <c r="N52" i="6"/>
  <c r="O52" i="6" s="1"/>
  <c r="M53" i="6"/>
  <c r="R51" i="6"/>
  <c r="S51" i="6"/>
  <c r="T51" i="6" s="1"/>
  <c r="CD47" i="6"/>
  <c r="CG47" i="6" s="1"/>
  <c r="CE47" i="6"/>
  <c r="CH46" i="6"/>
  <c r="CF46" i="6"/>
  <c r="N263" i="11"/>
  <c r="O263" i="11" s="1"/>
  <c r="P263" i="11" s="1"/>
  <c r="R263" i="11" s="1"/>
  <c r="Q265" i="11"/>
  <c r="A266" i="11"/>
  <c r="N49" i="10"/>
  <c r="AV51" i="6"/>
  <c r="BN51" i="6"/>
  <c r="BY45" i="6"/>
  <c r="BZ45" i="6" s="1"/>
  <c r="BW45" i="6"/>
  <c r="BX45" i="6" s="1"/>
  <c r="BZ44" i="6"/>
  <c r="BX44" i="6"/>
  <c r="AY46" i="6"/>
  <c r="AR46" i="6"/>
  <c r="AW46" i="6" s="1"/>
  <c r="BB46" i="6"/>
  <c r="AQ46" i="6"/>
  <c r="AZ46" i="6" s="1"/>
  <c r="AX46" i="6"/>
  <c r="O50" i="10"/>
  <c r="P49" i="10"/>
  <c r="Q49" i="10" s="1"/>
  <c r="U47" i="10"/>
  <c r="W47" i="10" s="1"/>
  <c r="AB47" i="10"/>
  <c r="S48" i="10"/>
  <c r="T48" i="10" s="1"/>
  <c r="R48" i="10"/>
  <c r="AN46" i="6" l="1"/>
  <c r="AO45" i="6"/>
  <c r="Z48" i="6"/>
  <c r="AK48" i="6"/>
  <c r="AM48" i="6" s="1"/>
  <c r="X49" i="6"/>
  <c r="AJ49" i="6"/>
  <c r="AL49" i="6" s="1"/>
  <c r="W50" i="6"/>
  <c r="AH50" i="6"/>
  <c r="AI50" i="6" s="1"/>
  <c r="U51" i="6"/>
  <c r="V51" i="6"/>
  <c r="N53" i="6"/>
  <c r="O53" i="6" s="1"/>
  <c r="P53" i="6"/>
  <c r="M54" i="6"/>
  <c r="R52" i="6"/>
  <c r="S52" i="6"/>
  <c r="T52" i="6" s="1"/>
  <c r="CE48" i="6"/>
  <c r="CD48" i="6"/>
  <c r="CG48" i="6" s="1"/>
  <c r="CF47" i="6"/>
  <c r="CH47" i="6"/>
  <c r="Q266" i="11"/>
  <c r="A267" i="11"/>
  <c r="N264" i="11"/>
  <c r="O264" i="11" s="1"/>
  <c r="P264" i="11" s="1"/>
  <c r="R264" i="11" s="1"/>
  <c r="N50" i="10"/>
  <c r="AV52" i="6"/>
  <c r="BN52" i="6"/>
  <c r="BW46" i="6"/>
  <c r="BY46" i="6"/>
  <c r="AY47" i="6"/>
  <c r="AR47" i="6"/>
  <c r="AW47" i="6" s="1"/>
  <c r="AX47" i="6"/>
  <c r="BB47" i="6"/>
  <c r="AQ47" i="6"/>
  <c r="AZ47" i="6" s="1"/>
  <c r="S49" i="10"/>
  <c r="T49" i="10" s="1"/>
  <c r="R49" i="10"/>
  <c r="U48" i="10"/>
  <c r="W48" i="10" s="1"/>
  <c r="AB48" i="10"/>
  <c r="O51" i="10"/>
  <c r="P50" i="10"/>
  <c r="Q50" i="10" s="1"/>
  <c r="AN47" i="6" l="1"/>
  <c r="AO46" i="6"/>
  <c r="Z49" i="6"/>
  <c r="AK49" i="6"/>
  <c r="AM49" i="6" s="1"/>
  <c r="X50" i="6"/>
  <c r="AJ50" i="6"/>
  <c r="AL50" i="6" s="1"/>
  <c r="W51" i="6"/>
  <c r="AH51" i="6"/>
  <c r="AI51" i="6" s="1"/>
  <c r="N54" i="6"/>
  <c r="O54" i="6" s="1"/>
  <c r="P54" i="6"/>
  <c r="M55" i="6"/>
  <c r="V52" i="6"/>
  <c r="U52" i="6"/>
  <c r="R53" i="6"/>
  <c r="S53" i="6"/>
  <c r="T53" i="6" s="1"/>
  <c r="CD49" i="6"/>
  <c r="CG49" i="6" s="1"/>
  <c r="CE49" i="6"/>
  <c r="CF48" i="6"/>
  <c r="CH48" i="6"/>
  <c r="N265" i="11"/>
  <c r="O265" i="11" s="1"/>
  <c r="P265" i="11" s="1"/>
  <c r="R265" i="11" s="1"/>
  <c r="A268" i="11"/>
  <c r="Q267" i="11"/>
  <c r="N51" i="10"/>
  <c r="AV53" i="6"/>
  <c r="BN53" i="6"/>
  <c r="BZ46" i="6"/>
  <c r="BX46" i="6"/>
  <c r="BW47" i="6"/>
  <c r="BX47" i="6" s="1"/>
  <c r="BY47" i="6"/>
  <c r="BZ47" i="6" s="1"/>
  <c r="AY48" i="6"/>
  <c r="AX48" i="6"/>
  <c r="AQ48" i="6"/>
  <c r="AZ48" i="6" s="1"/>
  <c r="AR48" i="6"/>
  <c r="AW48" i="6" s="1"/>
  <c r="BB48" i="6"/>
  <c r="U49" i="10"/>
  <c r="W49" i="10" s="1"/>
  <c r="AB49" i="10"/>
  <c r="S50" i="10"/>
  <c r="T50" i="10" s="1"/>
  <c r="R50" i="10"/>
  <c r="P51" i="10"/>
  <c r="Q51" i="10" s="1"/>
  <c r="O52" i="10"/>
  <c r="AN48" i="6" l="1"/>
  <c r="AO47" i="6"/>
  <c r="Z50" i="6"/>
  <c r="AK50" i="6"/>
  <c r="AM50" i="6" s="1"/>
  <c r="X51" i="6"/>
  <c r="AJ51" i="6"/>
  <c r="AL51" i="6" s="1"/>
  <c r="W52" i="6"/>
  <c r="AH52" i="6"/>
  <c r="AI52" i="6" s="1"/>
  <c r="U53" i="6"/>
  <c r="V53" i="6"/>
  <c r="P55" i="6"/>
  <c r="N55" i="6"/>
  <c r="O55" i="6" s="1"/>
  <c r="M56" i="6"/>
  <c r="R54" i="6"/>
  <c r="S54" i="6"/>
  <c r="T54" i="6" s="1"/>
  <c r="CH49" i="6"/>
  <c r="CF49" i="6"/>
  <c r="CE50" i="6"/>
  <c r="CD50" i="6"/>
  <c r="CG50" i="6" s="1"/>
  <c r="BW49" i="6"/>
  <c r="N266" i="11"/>
  <c r="O266" i="11" s="1"/>
  <c r="P266" i="11" s="1"/>
  <c r="R266" i="11" s="1"/>
  <c r="Q268" i="11"/>
  <c r="A269" i="11"/>
  <c r="N52" i="10"/>
  <c r="AV54" i="6"/>
  <c r="BN54" i="6"/>
  <c r="BY48" i="6"/>
  <c r="BW48" i="6"/>
  <c r="AQ49" i="6"/>
  <c r="AZ49" i="6" s="1"/>
  <c r="AX49" i="6"/>
  <c r="AR49" i="6"/>
  <c r="AW49" i="6" s="1"/>
  <c r="BB49" i="6"/>
  <c r="U50" i="10"/>
  <c r="W50" i="10" s="1"/>
  <c r="AB50" i="10"/>
  <c r="S51" i="10"/>
  <c r="T51" i="10" s="1"/>
  <c r="R51" i="10"/>
  <c r="O53" i="10"/>
  <c r="P52" i="10"/>
  <c r="Q52" i="10" s="1"/>
  <c r="AO48" i="6" l="1"/>
  <c r="AN49" i="6"/>
  <c r="Z51" i="6"/>
  <c r="AK51" i="6"/>
  <c r="AM51" i="6" s="1"/>
  <c r="X52" i="6"/>
  <c r="AJ52" i="6"/>
  <c r="AL52" i="6" s="1"/>
  <c r="W53" i="6"/>
  <c r="AH53" i="6"/>
  <c r="AI53" i="6" s="1"/>
  <c r="P56" i="6"/>
  <c r="N56" i="6"/>
  <c r="O56" i="6" s="1"/>
  <c r="M57" i="6"/>
  <c r="R55" i="6"/>
  <c r="S55" i="6"/>
  <c r="T55" i="6" s="1"/>
  <c r="U54" i="6"/>
  <c r="V54" i="6"/>
  <c r="CD51" i="6"/>
  <c r="CG51" i="6" s="1"/>
  <c r="CE51" i="6"/>
  <c r="CF50" i="6"/>
  <c r="CH50" i="6"/>
  <c r="AY49" i="6"/>
  <c r="BY49" i="6"/>
  <c r="BZ49" i="6" s="1"/>
  <c r="N267" i="11"/>
  <c r="O267" i="11" s="1"/>
  <c r="P267" i="11" s="1"/>
  <c r="R267" i="11" s="1"/>
  <c r="Q269" i="11"/>
  <c r="A270" i="11"/>
  <c r="AV55" i="6"/>
  <c r="BN55" i="6"/>
  <c r="BX49" i="6"/>
  <c r="BX48" i="6"/>
  <c r="BZ48" i="6"/>
  <c r="N53" i="10"/>
  <c r="S52" i="10"/>
  <c r="T52" i="10" s="1"/>
  <c r="R52" i="10"/>
  <c r="U51" i="10"/>
  <c r="W51" i="10" s="1"/>
  <c r="AB51" i="10"/>
  <c r="O54" i="10"/>
  <c r="P53" i="10"/>
  <c r="Q53" i="10" s="1"/>
  <c r="AO49" i="6" l="1"/>
  <c r="AN50" i="6"/>
  <c r="Z52" i="6"/>
  <c r="AK52" i="6"/>
  <c r="AM52" i="6" s="1"/>
  <c r="X53" i="6"/>
  <c r="AJ53" i="6"/>
  <c r="AL53" i="6" s="1"/>
  <c r="W54" i="6"/>
  <c r="AH54" i="6"/>
  <c r="AI54" i="6" s="1"/>
  <c r="U55" i="6"/>
  <c r="V55" i="6"/>
  <c r="N57" i="6"/>
  <c r="O57" i="6" s="1"/>
  <c r="P57" i="6"/>
  <c r="M58" i="6"/>
  <c r="R56" i="6"/>
  <c r="S56" i="6"/>
  <c r="T56" i="6" s="1"/>
  <c r="CD52" i="6"/>
  <c r="CG52" i="6" s="1"/>
  <c r="CE52" i="6"/>
  <c r="CF51" i="6"/>
  <c r="CH51" i="6"/>
  <c r="BW50" i="6"/>
  <c r="A271" i="11"/>
  <c r="Q270" i="11"/>
  <c r="N268" i="11"/>
  <c r="O268" i="11" s="1"/>
  <c r="P268" i="11" s="1"/>
  <c r="R268" i="11" s="1"/>
  <c r="N54" i="10"/>
  <c r="AV56" i="6"/>
  <c r="BN56" i="6"/>
  <c r="BU56" i="6" s="1"/>
  <c r="AQ50" i="6"/>
  <c r="AZ50" i="6" s="1"/>
  <c r="BB50" i="6"/>
  <c r="AX50" i="6"/>
  <c r="AR50" i="6"/>
  <c r="AW50" i="6" s="1"/>
  <c r="S53" i="10"/>
  <c r="T53" i="10" s="1"/>
  <c r="R53" i="10"/>
  <c r="O55" i="10"/>
  <c r="P54" i="10"/>
  <c r="Q54" i="10" s="1"/>
  <c r="U52" i="10"/>
  <c r="W52" i="10" s="1"/>
  <c r="AB52" i="10"/>
  <c r="AO50" i="6" l="1"/>
  <c r="AN51" i="6"/>
  <c r="Z53" i="6"/>
  <c r="AK53" i="6"/>
  <c r="AM53" i="6" s="1"/>
  <c r="X54" i="6"/>
  <c r="AJ54" i="6"/>
  <c r="AL54" i="6" s="1"/>
  <c r="W55" i="6"/>
  <c r="AH55" i="6"/>
  <c r="AI55" i="6" s="1"/>
  <c r="R57" i="6"/>
  <c r="S57" i="6"/>
  <c r="T57" i="6" s="1"/>
  <c r="U56" i="6"/>
  <c r="V56" i="6"/>
  <c r="N58" i="6"/>
  <c r="O58" i="6" s="1"/>
  <c r="P58" i="6"/>
  <c r="M59" i="6"/>
  <c r="CD53" i="6"/>
  <c r="CG53" i="6" s="1"/>
  <c r="CE53" i="6"/>
  <c r="CF52" i="6"/>
  <c r="CH52" i="6"/>
  <c r="AY50" i="6"/>
  <c r="BY50" i="6"/>
  <c r="BZ50" i="6" s="1"/>
  <c r="AY52" i="6"/>
  <c r="N269" i="11"/>
  <c r="O269" i="11" s="1"/>
  <c r="P269" i="11" s="1"/>
  <c r="R269" i="11" s="1"/>
  <c r="Q271" i="11"/>
  <c r="A272" i="11"/>
  <c r="N55" i="10"/>
  <c r="AV57" i="6"/>
  <c r="BN57" i="6"/>
  <c r="BU57" i="6" s="1"/>
  <c r="BX50" i="6"/>
  <c r="AY51" i="6"/>
  <c r="AQ51" i="6"/>
  <c r="AZ51" i="6" s="1"/>
  <c r="BB51" i="6"/>
  <c r="AR51" i="6"/>
  <c r="AW51" i="6" s="1"/>
  <c r="AX51" i="6"/>
  <c r="BB52" i="6"/>
  <c r="AQ52" i="6"/>
  <c r="AZ52" i="6" s="1"/>
  <c r="AX52" i="6"/>
  <c r="AR52" i="6"/>
  <c r="AW52" i="6" s="1"/>
  <c r="O56" i="10"/>
  <c r="P55" i="10"/>
  <c r="Q55" i="10" s="1"/>
  <c r="R54" i="10"/>
  <c r="S54" i="10"/>
  <c r="T54" i="10" s="1"/>
  <c r="U53" i="10"/>
  <c r="W53" i="10" s="1"/>
  <c r="AB53" i="10"/>
  <c r="AN52" i="6" l="1"/>
  <c r="AO51" i="6"/>
  <c r="Z54" i="6"/>
  <c r="AK54" i="6"/>
  <c r="AM54" i="6" s="1"/>
  <c r="X55" i="6"/>
  <c r="AJ55" i="6"/>
  <c r="AL55" i="6" s="1"/>
  <c r="W56" i="6"/>
  <c r="AH56" i="6"/>
  <c r="AI56" i="6" s="1"/>
  <c r="N59" i="6"/>
  <c r="O59" i="6" s="1"/>
  <c r="P59" i="6"/>
  <c r="M60" i="6"/>
  <c r="R58" i="6"/>
  <c r="S58" i="6"/>
  <c r="T58" i="6" s="1"/>
  <c r="U57" i="6"/>
  <c r="V57" i="6"/>
  <c r="CF53" i="6"/>
  <c r="CH53" i="6"/>
  <c r="CD54" i="6"/>
  <c r="CG54" i="6" s="1"/>
  <c r="CE54" i="6"/>
  <c r="BY52" i="6"/>
  <c r="BW52" i="6"/>
  <c r="Q272" i="11"/>
  <c r="A273" i="11"/>
  <c r="N270" i="11"/>
  <c r="O270" i="11" s="1"/>
  <c r="P270" i="11" s="1"/>
  <c r="R270" i="11" s="1"/>
  <c r="N56" i="10"/>
  <c r="AV58" i="6"/>
  <c r="BN58" i="6"/>
  <c r="BU58" i="6" s="1"/>
  <c r="BW51" i="6"/>
  <c r="BX51" i="6" s="1"/>
  <c r="BY51" i="6"/>
  <c r="BZ51" i="6" s="1"/>
  <c r="S55" i="10"/>
  <c r="T55" i="10" s="1"/>
  <c r="R55" i="10"/>
  <c r="P56" i="10"/>
  <c r="Q56" i="10" s="1"/>
  <c r="O57" i="10"/>
  <c r="U54" i="10"/>
  <c r="W54" i="10" s="1"/>
  <c r="AB54" i="10"/>
  <c r="AO52" i="6" l="1"/>
  <c r="AN53" i="6"/>
  <c r="Z55" i="6"/>
  <c r="AK55" i="6"/>
  <c r="AM55" i="6" s="1"/>
  <c r="X56" i="6"/>
  <c r="AJ56" i="6"/>
  <c r="AL56" i="6" s="1"/>
  <c r="W57" i="6"/>
  <c r="AH57" i="6"/>
  <c r="AI57" i="6" s="1"/>
  <c r="U58" i="6"/>
  <c r="V58" i="6"/>
  <c r="N60" i="6"/>
  <c r="O60" i="6" s="1"/>
  <c r="P60" i="6"/>
  <c r="M61" i="6"/>
  <c r="R59" i="6"/>
  <c r="S59" i="6"/>
  <c r="T59" i="6" s="1"/>
  <c r="CD55" i="6"/>
  <c r="CG55" i="6" s="1"/>
  <c r="CE55" i="6"/>
  <c r="CH54" i="6"/>
  <c r="CF54" i="6"/>
  <c r="BY54" i="6"/>
  <c r="BY53" i="6"/>
  <c r="BZ53" i="6" s="1"/>
  <c r="N271" i="11"/>
  <c r="O271" i="11" s="1"/>
  <c r="P271" i="11" s="1"/>
  <c r="R271" i="11" s="1"/>
  <c r="Q273" i="11"/>
  <c r="A274" i="11"/>
  <c r="AV59" i="6"/>
  <c r="BN59" i="6"/>
  <c r="BU59" i="6" s="1"/>
  <c r="BX52" i="6"/>
  <c r="BZ52" i="6"/>
  <c r="BB54" i="6"/>
  <c r="AX54" i="6"/>
  <c r="AQ54" i="6"/>
  <c r="AZ54" i="6" s="1"/>
  <c r="AR54" i="6"/>
  <c r="AW54" i="6" s="1"/>
  <c r="AQ53" i="6"/>
  <c r="AZ53" i="6" s="1"/>
  <c r="BB53" i="6"/>
  <c r="AX53" i="6"/>
  <c r="AR53" i="6"/>
  <c r="AW53" i="6" s="1"/>
  <c r="N57" i="10"/>
  <c r="O58" i="10"/>
  <c r="P57" i="10"/>
  <c r="Q57" i="10" s="1"/>
  <c r="R56" i="10"/>
  <c r="S56" i="10"/>
  <c r="T56" i="10" s="1"/>
  <c r="U55" i="10"/>
  <c r="W55" i="10" s="1"/>
  <c r="AB55" i="10"/>
  <c r="AO53" i="6" l="1"/>
  <c r="AN54" i="6"/>
  <c r="Z56" i="6"/>
  <c r="AK56" i="6"/>
  <c r="AM56" i="6" s="1"/>
  <c r="AO54" i="6" s="1"/>
  <c r="X57" i="6"/>
  <c r="AJ57" i="6"/>
  <c r="AL57" i="6" s="1"/>
  <c r="W58" i="6"/>
  <c r="AH58" i="6"/>
  <c r="AI58" i="6" s="1"/>
  <c r="U59" i="6"/>
  <c r="V59" i="6"/>
  <c r="N61" i="6"/>
  <c r="O61" i="6" s="1"/>
  <c r="P61" i="6"/>
  <c r="M62" i="6"/>
  <c r="R60" i="6"/>
  <c r="S60" i="6"/>
  <c r="T60" i="6" s="1"/>
  <c r="CD56" i="6"/>
  <c r="CG56" i="6" s="1"/>
  <c r="CE56" i="6"/>
  <c r="CF55" i="6"/>
  <c r="CH55" i="6"/>
  <c r="BW54" i="6"/>
  <c r="AY54" i="6"/>
  <c r="AY53" i="6"/>
  <c r="BW53" i="6"/>
  <c r="BX53" i="6" s="1"/>
  <c r="N272" i="11"/>
  <c r="O272" i="11" s="1"/>
  <c r="P272" i="11" s="1"/>
  <c r="R272" i="11" s="1"/>
  <c r="Q274" i="11"/>
  <c r="A275" i="11"/>
  <c r="N58" i="10"/>
  <c r="AV60" i="6"/>
  <c r="BN60" i="6"/>
  <c r="BU60" i="6" s="1"/>
  <c r="BZ54" i="6"/>
  <c r="U56" i="10"/>
  <c r="W56" i="10" s="1"/>
  <c r="AB56" i="10"/>
  <c r="S57" i="10"/>
  <c r="T57" i="10" s="1"/>
  <c r="R57" i="10"/>
  <c r="P58" i="10"/>
  <c r="Q58" i="10" s="1"/>
  <c r="O59" i="10"/>
  <c r="AN55" i="6" l="1"/>
  <c r="Z57" i="6"/>
  <c r="AK57" i="6"/>
  <c r="AM57" i="6" s="1"/>
  <c r="AO55" i="6" s="1"/>
  <c r="X58" i="6"/>
  <c r="AJ58" i="6"/>
  <c r="AL58" i="6" s="1"/>
  <c r="W59" i="6"/>
  <c r="AH59" i="6"/>
  <c r="AI59" i="6" s="1"/>
  <c r="U60" i="6"/>
  <c r="V60" i="6"/>
  <c r="N62" i="6"/>
  <c r="O62" i="6" s="1"/>
  <c r="P62" i="6"/>
  <c r="M63" i="6"/>
  <c r="R61" i="6"/>
  <c r="S61" i="6"/>
  <c r="T61" i="6" s="1"/>
  <c r="CD57" i="6"/>
  <c r="CG57" i="6" s="1"/>
  <c r="CE57" i="6"/>
  <c r="CH56" i="6"/>
  <c r="CF56" i="6"/>
  <c r="BX54" i="6"/>
  <c r="AY56" i="6"/>
  <c r="AY55" i="6"/>
  <c r="Q275" i="11"/>
  <c r="A276" i="11"/>
  <c r="N273" i="11"/>
  <c r="O273" i="11" s="1"/>
  <c r="P273" i="11" s="1"/>
  <c r="R273" i="11" s="1"/>
  <c r="N59" i="10"/>
  <c r="AV61" i="6"/>
  <c r="BN61" i="6"/>
  <c r="BU61" i="6" s="1"/>
  <c r="AR56" i="6"/>
  <c r="AW56" i="6" s="1"/>
  <c r="AX56" i="6"/>
  <c r="BB56" i="6"/>
  <c r="AQ56" i="6"/>
  <c r="AZ56" i="6" s="1"/>
  <c r="AR55" i="6"/>
  <c r="AW55" i="6" s="1"/>
  <c r="BB55" i="6"/>
  <c r="AQ55" i="6"/>
  <c r="AZ55" i="6" s="1"/>
  <c r="AX55" i="6"/>
  <c r="P59" i="10"/>
  <c r="Q59" i="10" s="1"/>
  <c r="O60" i="10"/>
  <c r="U57" i="10"/>
  <c r="W57" i="10" s="1"/>
  <c r="AB57" i="10"/>
  <c r="S58" i="10"/>
  <c r="T58" i="10" s="1"/>
  <c r="R58" i="10"/>
  <c r="AN56" i="6" l="1"/>
  <c r="Z58" i="6"/>
  <c r="AK58" i="6"/>
  <c r="AM58" i="6" s="1"/>
  <c r="X59" i="6"/>
  <c r="AJ59" i="6"/>
  <c r="AL59" i="6" s="1"/>
  <c r="AN57" i="6" s="1"/>
  <c r="W60" i="6"/>
  <c r="AH60" i="6"/>
  <c r="AI60" i="6" s="1"/>
  <c r="U61" i="6"/>
  <c r="V61" i="6"/>
  <c r="P63" i="6"/>
  <c r="N63" i="6"/>
  <c r="O63" i="6" s="1"/>
  <c r="M64" i="6"/>
  <c r="R62" i="6"/>
  <c r="S62" i="6"/>
  <c r="T62" i="6" s="1"/>
  <c r="CH57" i="6"/>
  <c r="CF57" i="6"/>
  <c r="CD58" i="6"/>
  <c r="CG58" i="6" s="1"/>
  <c r="CE58" i="6"/>
  <c r="BY55" i="6"/>
  <c r="BZ55" i="6" s="1"/>
  <c r="BW56" i="6"/>
  <c r="BY56" i="6"/>
  <c r="BW55" i="6"/>
  <c r="BX55" i="6" s="1"/>
  <c r="N274" i="11"/>
  <c r="O274" i="11" s="1"/>
  <c r="P274" i="11" s="1"/>
  <c r="R274" i="11" s="1"/>
  <c r="Q276" i="11"/>
  <c r="A277" i="11"/>
  <c r="N60" i="10"/>
  <c r="AV62" i="6"/>
  <c r="BN62" i="6"/>
  <c r="BU62" i="6" s="1"/>
  <c r="R59" i="10"/>
  <c r="S59" i="10"/>
  <c r="T59" i="10" s="1"/>
  <c r="P60" i="10"/>
  <c r="Q60" i="10" s="1"/>
  <c r="O61" i="10"/>
  <c r="U58" i="10"/>
  <c r="W58" i="10" s="1"/>
  <c r="AB58" i="10"/>
  <c r="AO56" i="6" l="1"/>
  <c r="Z59" i="6"/>
  <c r="AK59" i="6"/>
  <c r="AM59" i="6" s="1"/>
  <c r="X60" i="6"/>
  <c r="AJ60" i="6"/>
  <c r="AL60" i="6" s="1"/>
  <c r="AN58" i="6" s="1"/>
  <c r="W61" i="6"/>
  <c r="AH61" i="6"/>
  <c r="AI61" i="6" s="1"/>
  <c r="U62" i="6"/>
  <c r="V62" i="6"/>
  <c r="N64" i="6"/>
  <c r="O64" i="6" s="1"/>
  <c r="P64" i="6"/>
  <c r="M65" i="6"/>
  <c r="R63" i="6"/>
  <c r="S63" i="6"/>
  <c r="T63" i="6" s="1"/>
  <c r="CF58" i="6"/>
  <c r="CH58" i="6"/>
  <c r="CD59" i="6"/>
  <c r="CG59" i="6" s="1"/>
  <c r="CE59" i="6"/>
  <c r="BZ56" i="6"/>
  <c r="BX56" i="6"/>
  <c r="A278" i="11"/>
  <c r="Q277" i="11"/>
  <c r="N275" i="11"/>
  <c r="O275" i="11" s="1"/>
  <c r="P275" i="11" s="1"/>
  <c r="R275" i="11" s="1"/>
  <c r="N61" i="10"/>
  <c r="AV63" i="6"/>
  <c r="BN63" i="6"/>
  <c r="BU63" i="6" s="1"/>
  <c r="AY57" i="6"/>
  <c r="AR57" i="6"/>
  <c r="AW57" i="6" s="1"/>
  <c r="AX57" i="6"/>
  <c r="AQ57" i="6"/>
  <c r="AZ57" i="6" s="1"/>
  <c r="BB57" i="6"/>
  <c r="O62" i="10"/>
  <c r="P61" i="10"/>
  <c r="Q61" i="10" s="1"/>
  <c r="S60" i="10"/>
  <c r="T60" i="10" s="1"/>
  <c r="R60" i="10"/>
  <c r="U59" i="10"/>
  <c r="W59" i="10" s="1"/>
  <c r="AB59" i="10"/>
  <c r="Q8" i="1" l="1"/>
  <c r="AO57" i="6"/>
  <c r="Z60" i="6"/>
  <c r="AK60" i="6"/>
  <c r="AM60" i="6" s="1"/>
  <c r="X61" i="6"/>
  <c r="AJ61" i="6"/>
  <c r="AL61" i="6" s="1"/>
  <c r="W62" i="6"/>
  <c r="AH62" i="6"/>
  <c r="AI62" i="6" s="1"/>
  <c r="V63" i="6"/>
  <c r="U63" i="6"/>
  <c r="N65" i="6"/>
  <c r="O65" i="6" s="1"/>
  <c r="P65" i="6"/>
  <c r="M66" i="6"/>
  <c r="R64" i="6"/>
  <c r="S64" i="6"/>
  <c r="T64" i="6" s="1"/>
  <c r="CE60" i="6"/>
  <c r="CD60" i="6"/>
  <c r="CG60" i="6" s="1"/>
  <c r="CF59" i="6"/>
  <c r="CH59" i="6"/>
  <c r="AY59" i="6"/>
  <c r="AY58" i="6"/>
  <c r="N276" i="11"/>
  <c r="O276" i="11" s="1"/>
  <c r="P276" i="11" s="1"/>
  <c r="R276" i="11" s="1"/>
  <c r="Q278" i="11"/>
  <c r="A279" i="11"/>
  <c r="N62" i="10"/>
  <c r="AV64" i="6"/>
  <c r="BN64" i="6"/>
  <c r="BU64" i="6" s="1"/>
  <c r="BV56" i="6" s="1"/>
  <c r="BW57" i="6"/>
  <c r="BX57" i="6" s="1"/>
  <c r="BY57" i="6"/>
  <c r="BZ57" i="6" s="1"/>
  <c r="BB59" i="6"/>
  <c r="AQ59" i="6"/>
  <c r="AZ59" i="6" s="1"/>
  <c r="AR59" i="6"/>
  <c r="AW59" i="6" s="1"/>
  <c r="AX59" i="6"/>
  <c r="AR58" i="6"/>
  <c r="AW58" i="6" s="1"/>
  <c r="BB58" i="6"/>
  <c r="AQ58" i="6"/>
  <c r="AZ58" i="6" s="1"/>
  <c r="AX58" i="6"/>
  <c r="U60" i="10"/>
  <c r="W60" i="10" s="1"/>
  <c r="AB60" i="10"/>
  <c r="R61" i="10"/>
  <c r="S61" i="10"/>
  <c r="T61" i="10" s="1"/>
  <c r="P62" i="10"/>
  <c r="Q62" i="10" s="1"/>
  <c r="O63" i="10"/>
  <c r="AO58" i="6" l="1"/>
  <c r="AN59" i="6"/>
  <c r="Z61" i="6"/>
  <c r="AK61" i="6"/>
  <c r="AM61" i="6" s="1"/>
  <c r="X62" i="6"/>
  <c r="AJ62" i="6"/>
  <c r="AL62" i="6" s="1"/>
  <c r="AN60" i="6" s="1"/>
  <c r="W63" i="6"/>
  <c r="AH63" i="6"/>
  <c r="AI63" i="6" s="1"/>
  <c r="U64" i="6"/>
  <c r="V64" i="6"/>
  <c r="P66" i="6"/>
  <c r="N66" i="6"/>
  <c r="O66" i="6" s="1"/>
  <c r="M67" i="6"/>
  <c r="R65" i="6"/>
  <c r="S65" i="6"/>
  <c r="T65" i="6" s="1"/>
  <c r="CD61" i="6"/>
  <c r="CG61" i="6" s="1"/>
  <c r="CE61" i="6"/>
  <c r="CF60" i="6"/>
  <c r="CH60" i="6"/>
  <c r="BY59" i="6"/>
  <c r="BW59" i="6"/>
  <c r="BY58" i="6"/>
  <c r="BW58" i="6"/>
  <c r="Q279" i="11"/>
  <c r="A280" i="11"/>
  <c r="N277" i="11"/>
  <c r="O277" i="11" s="1"/>
  <c r="P277" i="11" s="1"/>
  <c r="R277" i="11" s="1"/>
  <c r="N63" i="10"/>
  <c r="AV65" i="6"/>
  <c r="BN65" i="6"/>
  <c r="BU65" i="6" s="1"/>
  <c r="AY60" i="6"/>
  <c r="AQ60" i="6"/>
  <c r="AZ60" i="6" s="1"/>
  <c r="BB60" i="6"/>
  <c r="AX60" i="6"/>
  <c r="AR60" i="6"/>
  <c r="AW60" i="6" s="1"/>
  <c r="U61" i="10"/>
  <c r="W61" i="10" s="1"/>
  <c r="AB61" i="10"/>
  <c r="S62" i="10"/>
  <c r="T62" i="10" s="1"/>
  <c r="R62" i="10"/>
  <c r="O64" i="10"/>
  <c r="P63" i="10"/>
  <c r="Q63" i="10" s="1"/>
  <c r="AO59" i="6" l="1"/>
  <c r="Z62" i="6"/>
  <c r="AK62" i="6"/>
  <c r="AM62" i="6" s="1"/>
  <c r="X63" i="6"/>
  <c r="AJ63" i="6"/>
  <c r="AL63" i="6" s="1"/>
  <c r="W64" i="6"/>
  <c r="AH64" i="6"/>
  <c r="AI64" i="6" s="1"/>
  <c r="U65" i="6"/>
  <c r="V65" i="6"/>
  <c r="N67" i="6"/>
  <c r="O67" i="6" s="1"/>
  <c r="P67" i="6"/>
  <c r="M68" i="6"/>
  <c r="R66" i="6"/>
  <c r="S66" i="6"/>
  <c r="T66" i="6" s="1"/>
  <c r="CD62" i="6"/>
  <c r="CG62" i="6" s="1"/>
  <c r="CE62" i="6"/>
  <c r="CH61" i="6"/>
  <c r="CF61" i="6"/>
  <c r="BX59" i="6"/>
  <c r="BZ59" i="6"/>
  <c r="BV57" i="6"/>
  <c r="BZ58" i="6"/>
  <c r="BX58" i="6"/>
  <c r="N278" i="11"/>
  <c r="O278" i="11" s="1"/>
  <c r="P278" i="11" s="1"/>
  <c r="R278" i="11" s="1"/>
  <c r="Q280" i="11"/>
  <c r="A281" i="11"/>
  <c r="AV66" i="6"/>
  <c r="BN66" i="6"/>
  <c r="BU66" i="6" s="1"/>
  <c r="BW60" i="6"/>
  <c r="BY60" i="6"/>
  <c r="AY61" i="6"/>
  <c r="N64" i="10"/>
  <c r="AR61" i="6"/>
  <c r="AW61" i="6" s="1"/>
  <c r="BB61" i="6"/>
  <c r="AQ61" i="6"/>
  <c r="AZ61" i="6" s="1"/>
  <c r="AX61" i="6"/>
  <c r="O65" i="10"/>
  <c r="P64" i="10"/>
  <c r="Q64" i="10" s="1"/>
  <c r="U62" i="10"/>
  <c r="W62" i="10" s="1"/>
  <c r="AB62" i="10"/>
  <c r="S63" i="10"/>
  <c r="T63" i="10" s="1"/>
  <c r="R63" i="10"/>
  <c r="AO60" i="6" l="1"/>
  <c r="AN61" i="6"/>
  <c r="Z63" i="6"/>
  <c r="AK63" i="6"/>
  <c r="AM63" i="6" s="1"/>
  <c r="X64" i="6"/>
  <c r="AJ64" i="6"/>
  <c r="AL64" i="6" s="1"/>
  <c r="W65" i="6"/>
  <c r="AH65" i="6"/>
  <c r="AI65" i="6" s="1"/>
  <c r="V66" i="6"/>
  <c r="U66" i="6"/>
  <c r="N68" i="6"/>
  <c r="O68" i="6" s="1"/>
  <c r="P68" i="6"/>
  <c r="M69" i="6"/>
  <c r="R67" i="6"/>
  <c r="S67" i="6"/>
  <c r="T67" i="6" s="1"/>
  <c r="CH62" i="6"/>
  <c r="CF62" i="6"/>
  <c r="CD63" i="6"/>
  <c r="CG63" i="6" s="1"/>
  <c r="CE63" i="6"/>
  <c r="BV58" i="6"/>
  <c r="BW62" i="6"/>
  <c r="A282" i="11"/>
  <c r="Q281" i="11"/>
  <c r="N279" i="11"/>
  <c r="O279" i="11" s="1"/>
  <c r="P279" i="11" s="1"/>
  <c r="R279" i="11" s="1"/>
  <c r="N65" i="10"/>
  <c r="AV67" i="6"/>
  <c r="BN67" i="6"/>
  <c r="BU67" i="6" s="1"/>
  <c r="BY61" i="6"/>
  <c r="BZ61" i="6" s="1"/>
  <c r="BW61" i="6"/>
  <c r="BX61" i="6" s="1"/>
  <c r="BZ60" i="6"/>
  <c r="BX60" i="6"/>
  <c r="BB62" i="6"/>
  <c r="AQ62" i="6"/>
  <c r="AZ62" i="6" s="1"/>
  <c r="AX62" i="6"/>
  <c r="AR62" i="6"/>
  <c r="AW62" i="6" s="1"/>
  <c r="U63" i="10"/>
  <c r="W63" i="10" s="1"/>
  <c r="AB63" i="10"/>
  <c r="R64" i="10"/>
  <c r="S64" i="10"/>
  <c r="T64" i="10" s="1"/>
  <c r="O66" i="10"/>
  <c r="P65" i="10"/>
  <c r="Q65" i="10" s="1"/>
  <c r="AO61" i="6" l="1"/>
  <c r="AN62" i="6"/>
  <c r="Z64" i="6"/>
  <c r="AK64" i="6"/>
  <c r="AM64" i="6" s="1"/>
  <c r="X65" i="6"/>
  <c r="AJ65" i="6"/>
  <c r="AL65" i="6" s="1"/>
  <c r="W66" i="6"/>
  <c r="AH66" i="6"/>
  <c r="AI66" i="6" s="1"/>
  <c r="U67" i="6"/>
  <c r="V67" i="6"/>
  <c r="P69" i="6"/>
  <c r="N69" i="6"/>
  <c r="O69" i="6" s="1"/>
  <c r="M70" i="6"/>
  <c r="S68" i="6"/>
  <c r="T68" i="6" s="1"/>
  <c r="R68" i="6"/>
  <c r="CD64" i="6"/>
  <c r="CG64" i="6" s="1"/>
  <c r="CE64" i="6"/>
  <c r="CH63" i="6"/>
  <c r="CF63" i="6"/>
  <c r="AY62" i="6"/>
  <c r="BY62" i="6"/>
  <c r="BZ62" i="6" s="1"/>
  <c r="BV59" i="6"/>
  <c r="AY63" i="6"/>
  <c r="N280" i="11"/>
  <c r="O280" i="11" s="1"/>
  <c r="P280" i="11" s="1"/>
  <c r="R280" i="11" s="1"/>
  <c r="Q282" i="11"/>
  <c r="A283" i="11"/>
  <c r="AV68" i="6"/>
  <c r="BN68" i="6"/>
  <c r="BU68" i="6" s="1"/>
  <c r="BV60" i="6" s="1"/>
  <c r="BX62" i="6"/>
  <c r="BB63" i="6"/>
  <c r="AQ63" i="6"/>
  <c r="AZ63" i="6" s="1"/>
  <c r="AR63" i="6"/>
  <c r="AW63" i="6" s="1"/>
  <c r="AX63" i="6"/>
  <c r="N66" i="10"/>
  <c r="S65" i="10"/>
  <c r="T65" i="10" s="1"/>
  <c r="U65" i="10" s="1"/>
  <c r="W65" i="10" s="1"/>
  <c r="R65" i="10"/>
  <c r="U64" i="10"/>
  <c r="W64" i="10" s="1"/>
  <c r="AB64" i="10"/>
  <c r="P66" i="10"/>
  <c r="Q66" i="10" s="1"/>
  <c r="O67" i="10"/>
  <c r="AN63" i="6" l="1"/>
  <c r="AO62" i="6"/>
  <c r="Z65" i="6"/>
  <c r="AK65" i="6"/>
  <c r="AM65" i="6" s="1"/>
  <c r="S66" i="10"/>
  <c r="T66" i="10" s="1"/>
  <c r="U66" i="10" s="1"/>
  <c r="W66" i="10" s="1"/>
  <c r="R66" i="10"/>
  <c r="X66" i="6"/>
  <c r="AJ66" i="6"/>
  <c r="AL66" i="6" s="1"/>
  <c r="W67" i="6"/>
  <c r="AH67" i="6"/>
  <c r="AI67" i="6" s="1"/>
  <c r="U68" i="6"/>
  <c r="V68" i="6"/>
  <c r="N70" i="6"/>
  <c r="O70" i="6" s="1"/>
  <c r="P70" i="6"/>
  <c r="M71" i="6"/>
  <c r="R69" i="6"/>
  <c r="S69" i="6"/>
  <c r="T69" i="6" s="1"/>
  <c r="CE65" i="6"/>
  <c r="CD65" i="6"/>
  <c r="CG65" i="6" s="1"/>
  <c r="CF64" i="6"/>
  <c r="CH64" i="6"/>
  <c r="BY63" i="6"/>
  <c r="BZ63" i="6" s="1"/>
  <c r="BW63" i="6"/>
  <c r="BX63" i="6" s="1"/>
  <c r="A284" i="11"/>
  <c r="Q283" i="11"/>
  <c r="N281" i="11"/>
  <c r="O281" i="11" s="1"/>
  <c r="P281" i="11" s="1"/>
  <c r="R281" i="11" s="1"/>
  <c r="N67" i="10"/>
  <c r="AV69" i="6"/>
  <c r="BN69" i="6"/>
  <c r="BU69" i="6" s="1"/>
  <c r="AY64" i="6"/>
  <c r="O68" i="10"/>
  <c r="P67" i="10"/>
  <c r="Q67" i="10" s="1"/>
  <c r="AR64" i="6"/>
  <c r="AW64" i="6" s="1"/>
  <c r="AQ64" i="6"/>
  <c r="AZ64" i="6" s="1"/>
  <c r="BB64" i="6"/>
  <c r="AX64" i="6"/>
  <c r="AO63" i="6" l="1"/>
  <c r="AN64" i="6"/>
  <c r="Z66" i="6"/>
  <c r="AK66" i="6"/>
  <c r="AM66" i="6" s="1"/>
  <c r="S67" i="10"/>
  <c r="T67" i="10" s="1"/>
  <c r="U67" i="10" s="1"/>
  <c r="W67" i="10" s="1"/>
  <c r="R67" i="10"/>
  <c r="X67" i="6"/>
  <c r="AJ67" i="6"/>
  <c r="AL67" i="6" s="1"/>
  <c r="W68" i="6"/>
  <c r="AH68" i="6"/>
  <c r="AI68" i="6" s="1"/>
  <c r="U69" i="6"/>
  <c r="V69" i="6"/>
  <c r="N71" i="6"/>
  <c r="O71" i="6" s="1"/>
  <c r="P71" i="6"/>
  <c r="M72" i="6"/>
  <c r="R70" i="6"/>
  <c r="S70" i="6"/>
  <c r="T70" i="6" s="1"/>
  <c r="CD66" i="6"/>
  <c r="CG66" i="6" s="1"/>
  <c r="CE66" i="6"/>
  <c r="CH65" i="6"/>
  <c r="CF65" i="6"/>
  <c r="BV61" i="6"/>
  <c r="N282" i="11"/>
  <c r="O282" i="11" s="1"/>
  <c r="P282" i="11" s="1"/>
  <c r="R282" i="11" s="1"/>
  <c r="Q284" i="11"/>
  <c r="A285" i="11"/>
  <c r="N68" i="10"/>
  <c r="AV70" i="6"/>
  <c r="BN70" i="6"/>
  <c r="BU70" i="6" s="1"/>
  <c r="BY64" i="6"/>
  <c r="BW64" i="6"/>
  <c r="P68" i="10"/>
  <c r="Q68" i="10" s="1"/>
  <c r="O69" i="10"/>
  <c r="AN65" i="6" l="1"/>
  <c r="AO64" i="6"/>
  <c r="Z67" i="6"/>
  <c r="AK67" i="6"/>
  <c r="AM67" i="6" s="1"/>
  <c r="AO65" i="6" s="1"/>
  <c r="S68" i="10"/>
  <c r="T68" i="10" s="1"/>
  <c r="U68" i="10" s="1"/>
  <c r="W68" i="10" s="1"/>
  <c r="R68" i="10"/>
  <c r="X68" i="6"/>
  <c r="AJ68" i="6"/>
  <c r="AL68" i="6" s="1"/>
  <c r="W69" i="6"/>
  <c r="AH69" i="6"/>
  <c r="AI69" i="6" s="1"/>
  <c r="V70" i="6"/>
  <c r="U70" i="6"/>
  <c r="N72" i="6"/>
  <c r="O72" i="6" s="1"/>
  <c r="P72" i="6"/>
  <c r="M73" i="6"/>
  <c r="R71" i="6"/>
  <c r="S71" i="6"/>
  <c r="T71" i="6" s="1"/>
  <c r="CD67" i="6"/>
  <c r="CG67" i="6" s="1"/>
  <c r="CE67" i="6"/>
  <c r="CF66" i="6"/>
  <c r="CH66" i="6"/>
  <c r="BV62" i="6"/>
  <c r="AY66" i="6"/>
  <c r="Q285" i="11"/>
  <c r="A286" i="11"/>
  <c r="N283" i="11"/>
  <c r="O283" i="11" s="1"/>
  <c r="P283" i="11" s="1"/>
  <c r="R283" i="11" s="1"/>
  <c r="N69" i="10"/>
  <c r="AV71" i="6"/>
  <c r="BN71" i="6"/>
  <c r="BU71" i="6" s="1"/>
  <c r="BX64" i="6"/>
  <c r="BZ64" i="6"/>
  <c r="AY65" i="6"/>
  <c r="BB65" i="6"/>
  <c r="AR65" i="6"/>
  <c r="AW65" i="6" s="1"/>
  <c r="AX66" i="6"/>
  <c r="AR66" i="6"/>
  <c r="AW66" i="6" s="1"/>
  <c r="AQ66" i="6"/>
  <c r="AZ66" i="6" s="1"/>
  <c r="BB66" i="6"/>
  <c r="AX65" i="6"/>
  <c r="AQ65" i="6"/>
  <c r="AZ65" i="6" s="1"/>
  <c r="O70" i="10"/>
  <c r="P69" i="10"/>
  <c r="Q69" i="10" s="1"/>
  <c r="AN66" i="6" l="1"/>
  <c r="Z68" i="6"/>
  <c r="AK68" i="6"/>
  <c r="AM68" i="6" s="1"/>
  <c r="S69" i="10"/>
  <c r="T69" i="10" s="1"/>
  <c r="U69" i="10" s="1"/>
  <c r="W69" i="10" s="1"/>
  <c r="R69" i="10"/>
  <c r="X69" i="6"/>
  <c r="AJ69" i="6"/>
  <c r="AL69" i="6" s="1"/>
  <c r="W70" i="6"/>
  <c r="BB70" i="6" s="1"/>
  <c r="AH70" i="6"/>
  <c r="AI70" i="6" s="1"/>
  <c r="U71" i="6"/>
  <c r="V71" i="6"/>
  <c r="N73" i="6"/>
  <c r="O73" i="6" s="1"/>
  <c r="P73" i="6"/>
  <c r="M74" i="6"/>
  <c r="R72" i="6"/>
  <c r="S72" i="6"/>
  <c r="T72" i="6" s="1"/>
  <c r="CF67" i="6"/>
  <c r="CH67" i="6"/>
  <c r="CD68" i="6"/>
  <c r="CG68" i="6" s="1"/>
  <c r="CE68" i="6"/>
  <c r="BV63" i="6"/>
  <c r="BY66" i="6"/>
  <c r="BW66" i="6"/>
  <c r="N284" i="11"/>
  <c r="O284" i="11" s="1"/>
  <c r="P284" i="11" s="1"/>
  <c r="R284" i="11" s="1"/>
  <c r="A287" i="11"/>
  <c r="Q286" i="11"/>
  <c r="AV72" i="6"/>
  <c r="BN72" i="6"/>
  <c r="BU72" i="6" s="1"/>
  <c r="BW65" i="6"/>
  <c r="BX65" i="6" s="1"/>
  <c r="BY65" i="6"/>
  <c r="BZ65" i="6" s="1"/>
  <c r="N70" i="10"/>
  <c r="P70" i="10"/>
  <c r="Q70" i="10" s="1"/>
  <c r="O71" i="10"/>
  <c r="AN67" i="6" l="1"/>
  <c r="AO66" i="6"/>
  <c r="Z69" i="6"/>
  <c r="AK69" i="6"/>
  <c r="AM69" i="6" s="1"/>
  <c r="S70" i="10"/>
  <c r="T70" i="10" s="1"/>
  <c r="U70" i="10" s="1"/>
  <c r="W70" i="10" s="1"/>
  <c r="R70" i="10"/>
  <c r="X70" i="6"/>
  <c r="AJ70" i="6"/>
  <c r="AL70" i="6" s="1"/>
  <c r="AN68" i="6" s="1"/>
  <c r="W71" i="6"/>
  <c r="BB71" i="6" s="1"/>
  <c r="AH71" i="6"/>
  <c r="AI71" i="6" s="1"/>
  <c r="U72" i="6"/>
  <c r="V72" i="6"/>
  <c r="N74" i="6"/>
  <c r="O74" i="6" s="1"/>
  <c r="P74" i="6"/>
  <c r="M75" i="6"/>
  <c r="R73" i="6"/>
  <c r="S73" i="6"/>
  <c r="T73" i="6" s="1"/>
  <c r="CD69" i="6"/>
  <c r="CG69" i="6" s="1"/>
  <c r="CE69" i="6"/>
  <c r="CF68" i="6"/>
  <c r="CH68" i="6"/>
  <c r="BV64" i="6"/>
  <c r="AY67" i="6"/>
  <c r="BY68" i="6"/>
  <c r="A288" i="11"/>
  <c r="Q287" i="11"/>
  <c r="N285" i="11"/>
  <c r="O285" i="11" s="1"/>
  <c r="P285" i="11" s="1"/>
  <c r="R285" i="11" s="1"/>
  <c r="AV73" i="6"/>
  <c r="BN73" i="6"/>
  <c r="BU73" i="6" s="1"/>
  <c r="BX66" i="6"/>
  <c r="BZ66" i="6"/>
  <c r="AX68" i="6"/>
  <c r="BB68" i="6"/>
  <c r="AR68" i="6"/>
  <c r="AW68" i="6" s="1"/>
  <c r="AQ68" i="6"/>
  <c r="AZ68" i="6" s="1"/>
  <c r="AX67" i="6"/>
  <c r="AQ67" i="6"/>
  <c r="AZ67" i="6" s="1"/>
  <c r="BB67" i="6"/>
  <c r="AR67" i="6"/>
  <c r="AW67" i="6" s="1"/>
  <c r="N71" i="10"/>
  <c r="P71" i="10"/>
  <c r="Q71" i="10" s="1"/>
  <c r="O72" i="10"/>
  <c r="AO67" i="6" l="1"/>
  <c r="Z70" i="6"/>
  <c r="AK70" i="6"/>
  <c r="AM70" i="6" s="1"/>
  <c r="S71" i="10"/>
  <c r="T71" i="10" s="1"/>
  <c r="U71" i="10" s="1"/>
  <c r="W71" i="10" s="1"/>
  <c r="R71" i="10"/>
  <c r="X71" i="6"/>
  <c r="AJ71" i="6"/>
  <c r="AL71" i="6" s="1"/>
  <c r="W72" i="6"/>
  <c r="BB72" i="6" s="1"/>
  <c r="AH72" i="6"/>
  <c r="AI72" i="6" s="1"/>
  <c r="U73" i="6"/>
  <c r="V73" i="6"/>
  <c r="P75" i="6"/>
  <c r="N75" i="6"/>
  <c r="O75" i="6" s="1"/>
  <c r="M76" i="6"/>
  <c r="R74" i="6"/>
  <c r="S74" i="6"/>
  <c r="T74" i="6" s="1"/>
  <c r="CE70" i="6"/>
  <c r="CD70" i="6"/>
  <c r="CG70" i="6" s="1"/>
  <c r="CH69" i="6"/>
  <c r="CF69" i="6"/>
  <c r="BV65" i="6"/>
  <c r="BW68" i="6"/>
  <c r="BY67" i="6"/>
  <c r="BZ67" i="6" s="1"/>
  <c r="BW67" i="6"/>
  <c r="BX67" i="6" s="1"/>
  <c r="AY68" i="6"/>
  <c r="N286" i="11"/>
  <c r="O286" i="11" s="1"/>
  <c r="P286" i="11" s="1"/>
  <c r="R286" i="11" s="1"/>
  <c r="A289" i="11"/>
  <c r="Q288" i="11"/>
  <c r="N72" i="10"/>
  <c r="AV74" i="6"/>
  <c r="BN74" i="6"/>
  <c r="BU74" i="6" s="1"/>
  <c r="O73" i="10"/>
  <c r="P72" i="10"/>
  <c r="Q72" i="10" s="1"/>
  <c r="AN69" i="6" l="1"/>
  <c r="AO68" i="6"/>
  <c r="Z71" i="6"/>
  <c r="AK71" i="6"/>
  <c r="AM71" i="6" s="1"/>
  <c r="S72" i="10"/>
  <c r="T72" i="10" s="1"/>
  <c r="U72" i="10" s="1"/>
  <c r="W72" i="10" s="1"/>
  <c r="R72" i="10"/>
  <c r="X72" i="6"/>
  <c r="AJ72" i="6"/>
  <c r="AL72" i="6" s="1"/>
  <c r="AN70" i="6" s="1"/>
  <c r="W73" i="6"/>
  <c r="BB73" i="6" s="1"/>
  <c r="AH73" i="6"/>
  <c r="AI73" i="6" s="1"/>
  <c r="U74" i="6"/>
  <c r="V74" i="6"/>
  <c r="P76" i="6"/>
  <c r="N76" i="6"/>
  <c r="O76" i="6" s="1"/>
  <c r="M77" i="6"/>
  <c r="R75" i="6"/>
  <c r="S75" i="6"/>
  <c r="T75" i="6" s="1"/>
  <c r="CD71" i="6"/>
  <c r="CG71" i="6" s="1"/>
  <c r="CE71" i="6"/>
  <c r="CH70" i="6"/>
  <c r="CF70" i="6"/>
  <c r="BX68" i="6"/>
  <c r="BV66" i="6"/>
  <c r="BZ68" i="6"/>
  <c r="AY70" i="6"/>
  <c r="AY69" i="6"/>
  <c r="N287" i="11"/>
  <c r="O287" i="11" s="1"/>
  <c r="P287" i="11" s="1"/>
  <c r="R287" i="11" s="1"/>
  <c r="Q289" i="11"/>
  <c r="A290" i="11"/>
  <c r="N73" i="10"/>
  <c r="BN75" i="6"/>
  <c r="BU75" i="6" s="1"/>
  <c r="AQ70" i="6"/>
  <c r="AZ70" i="6" s="1"/>
  <c r="AX70" i="6"/>
  <c r="AR70" i="6"/>
  <c r="AW70" i="6" s="1"/>
  <c r="AX69" i="6"/>
  <c r="BB69" i="6"/>
  <c r="AQ69" i="6"/>
  <c r="AZ69" i="6" s="1"/>
  <c r="AR69" i="6"/>
  <c r="AW69" i="6" s="1"/>
  <c r="O74" i="10"/>
  <c r="P73" i="10"/>
  <c r="Q73" i="10" s="1"/>
  <c r="AO69" i="6" l="1"/>
  <c r="Z72" i="6"/>
  <c r="AK72" i="6"/>
  <c r="AM72" i="6" s="1"/>
  <c r="S73" i="10"/>
  <c r="T73" i="10" s="1"/>
  <c r="U73" i="10" s="1"/>
  <c r="W73" i="10" s="1"/>
  <c r="R73" i="10"/>
  <c r="X73" i="6"/>
  <c r="AJ73" i="6"/>
  <c r="AL73" i="6" s="1"/>
  <c r="W74" i="6"/>
  <c r="BB74" i="6" s="1"/>
  <c r="AH74" i="6"/>
  <c r="AI74" i="6" s="1"/>
  <c r="U75" i="6"/>
  <c r="V75" i="6"/>
  <c r="P77" i="6"/>
  <c r="N77" i="6"/>
  <c r="O77" i="6" s="1"/>
  <c r="M78" i="6"/>
  <c r="R76" i="6"/>
  <c r="S76" i="6"/>
  <c r="T76" i="6" s="1"/>
  <c r="CD72" i="6"/>
  <c r="CG72" i="6" s="1"/>
  <c r="CE72" i="6"/>
  <c r="CH71" i="6"/>
  <c r="CF71" i="6"/>
  <c r="BW70" i="6"/>
  <c r="BV67" i="6"/>
  <c r="BW69" i="6"/>
  <c r="BX69" i="6" s="1"/>
  <c r="BY69" i="6"/>
  <c r="BZ69" i="6" s="1"/>
  <c r="BY70" i="6"/>
  <c r="Q290" i="11"/>
  <c r="A291" i="11"/>
  <c r="N288" i="11"/>
  <c r="O288" i="11" s="1"/>
  <c r="P288" i="11" s="1"/>
  <c r="R288" i="11" s="1"/>
  <c r="N74" i="10"/>
  <c r="BN76" i="6"/>
  <c r="BU76" i="6" s="1"/>
  <c r="P74" i="10"/>
  <c r="Q74" i="10" s="1"/>
  <c r="O75" i="10"/>
  <c r="AN71" i="6" l="1"/>
  <c r="AO70" i="6"/>
  <c r="Z73" i="6"/>
  <c r="AK73" i="6"/>
  <c r="AM73" i="6" s="1"/>
  <c r="S74" i="10"/>
  <c r="T74" i="10" s="1"/>
  <c r="U74" i="10" s="1"/>
  <c r="W74" i="10" s="1"/>
  <c r="R74" i="10"/>
  <c r="X74" i="6"/>
  <c r="AJ74" i="6"/>
  <c r="AL74" i="6" s="1"/>
  <c r="AN72" i="6" s="1"/>
  <c r="W75" i="6"/>
  <c r="BB75" i="6" s="1"/>
  <c r="AH75" i="6"/>
  <c r="AI75" i="6" s="1"/>
  <c r="U76" i="6"/>
  <c r="V76" i="6"/>
  <c r="N78" i="6"/>
  <c r="O78" i="6" s="1"/>
  <c r="P78" i="6"/>
  <c r="M79" i="6"/>
  <c r="R77" i="6"/>
  <c r="S77" i="6"/>
  <c r="T77" i="6" s="1"/>
  <c r="CF72" i="6"/>
  <c r="CH72" i="6"/>
  <c r="CD73" i="6"/>
  <c r="CG73" i="6" s="1"/>
  <c r="CE73" i="6"/>
  <c r="BZ70" i="6"/>
  <c r="BV68" i="6"/>
  <c r="BX70" i="6"/>
  <c r="A292" i="11"/>
  <c r="Q291" i="11"/>
  <c r="N289" i="11"/>
  <c r="O289" i="11" s="1"/>
  <c r="P289" i="11" s="1"/>
  <c r="R289" i="11" s="1"/>
  <c r="N75" i="10"/>
  <c r="BN77" i="6"/>
  <c r="BU77" i="6" s="1"/>
  <c r="AY71" i="6"/>
  <c r="AR71" i="6"/>
  <c r="AW71" i="6" s="1"/>
  <c r="AX71" i="6"/>
  <c r="AQ71" i="6"/>
  <c r="AZ71" i="6" s="1"/>
  <c r="AR72" i="6"/>
  <c r="AW72" i="6" s="1"/>
  <c r="AX72" i="6"/>
  <c r="AQ72" i="6"/>
  <c r="AZ72" i="6" s="1"/>
  <c r="O76" i="10"/>
  <c r="P75" i="10"/>
  <c r="Q75" i="10" s="1"/>
  <c r="AO71" i="6" l="1"/>
  <c r="Z74" i="6"/>
  <c r="AK74" i="6"/>
  <c r="AM74" i="6" s="1"/>
  <c r="S75" i="10"/>
  <c r="T75" i="10" s="1"/>
  <c r="U75" i="10" s="1"/>
  <c r="W75" i="10" s="1"/>
  <c r="R75" i="10"/>
  <c r="X75" i="6"/>
  <c r="AJ75" i="6"/>
  <c r="AL75" i="6" s="1"/>
  <c r="W76" i="6"/>
  <c r="BB76" i="6" s="1"/>
  <c r="AH76" i="6"/>
  <c r="AI76" i="6" s="1"/>
  <c r="U77" i="6"/>
  <c r="V77" i="6"/>
  <c r="N79" i="6"/>
  <c r="O79" i="6" s="1"/>
  <c r="P79" i="6"/>
  <c r="M80" i="6"/>
  <c r="R78" i="6"/>
  <c r="S78" i="6"/>
  <c r="T78" i="6" s="1"/>
  <c r="CE74" i="6"/>
  <c r="CD74" i="6"/>
  <c r="CG74" i="6" s="1"/>
  <c r="CF73" i="6"/>
  <c r="CH73" i="6"/>
  <c r="BW72" i="6"/>
  <c r="AY72" i="6"/>
  <c r="BV69" i="6"/>
  <c r="BY72" i="6"/>
  <c r="N290" i="11"/>
  <c r="O290" i="11" s="1"/>
  <c r="P290" i="11" s="1"/>
  <c r="R290" i="11" s="1"/>
  <c r="A293" i="11"/>
  <c r="Q292" i="11"/>
  <c r="BN78" i="6"/>
  <c r="BU78" i="6" s="1"/>
  <c r="BW71" i="6"/>
  <c r="BX71" i="6" s="1"/>
  <c r="BY71" i="6"/>
  <c r="BZ71" i="6" s="1"/>
  <c r="N76" i="10"/>
  <c r="P76" i="10"/>
  <c r="Q76" i="10" s="1"/>
  <c r="O77" i="10"/>
  <c r="AO72" i="6" l="1"/>
  <c r="AN73" i="6"/>
  <c r="Z75" i="6"/>
  <c r="AK75" i="6"/>
  <c r="AM75" i="6" s="1"/>
  <c r="S76" i="10"/>
  <c r="T76" i="10" s="1"/>
  <c r="U76" i="10" s="1"/>
  <c r="W76" i="10" s="1"/>
  <c r="R76" i="10"/>
  <c r="X76" i="6"/>
  <c r="AJ76" i="6"/>
  <c r="AL76" i="6" s="1"/>
  <c r="AN74" i="6" s="1"/>
  <c r="W77" i="6"/>
  <c r="BB77" i="6" s="1"/>
  <c r="AH77" i="6"/>
  <c r="AI77" i="6" s="1"/>
  <c r="U78" i="6"/>
  <c r="V78" i="6"/>
  <c r="N80" i="6"/>
  <c r="O80" i="6" s="1"/>
  <c r="P80" i="6"/>
  <c r="M81" i="6"/>
  <c r="R79" i="6"/>
  <c r="S79" i="6"/>
  <c r="T79" i="6" s="1"/>
  <c r="CD75" i="6"/>
  <c r="CG75" i="6" s="1"/>
  <c r="CE75" i="6"/>
  <c r="CF74" i="6"/>
  <c r="CH74" i="6"/>
  <c r="BV70" i="6"/>
  <c r="Q293" i="11"/>
  <c r="A294" i="11"/>
  <c r="N291" i="11"/>
  <c r="O291" i="11" s="1"/>
  <c r="P291" i="11" s="1"/>
  <c r="R291" i="11" s="1"/>
  <c r="BN79" i="6"/>
  <c r="BU79" i="6" s="1"/>
  <c r="BV71" i="6" s="1"/>
  <c r="BZ72" i="6"/>
  <c r="BX72" i="6"/>
  <c r="AY73" i="6"/>
  <c r="AQ74" i="6"/>
  <c r="AZ74" i="6" s="1"/>
  <c r="AX74" i="6"/>
  <c r="AR74" i="6"/>
  <c r="AW74" i="6" s="1"/>
  <c r="N77" i="10"/>
  <c r="AQ73" i="6"/>
  <c r="AZ73" i="6" s="1"/>
  <c r="AR73" i="6"/>
  <c r="AW73" i="6" s="1"/>
  <c r="AX73" i="6"/>
  <c r="O78" i="10"/>
  <c r="P77" i="10"/>
  <c r="Q77" i="10" s="1"/>
  <c r="AO73" i="6" l="1"/>
  <c r="Z76" i="6"/>
  <c r="AK76" i="6"/>
  <c r="AM76" i="6" s="1"/>
  <c r="S77" i="10"/>
  <c r="T77" i="10" s="1"/>
  <c r="U77" i="10" s="1"/>
  <c r="W77" i="10" s="1"/>
  <c r="R77" i="10"/>
  <c r="X77" i="6"/>
  <c r="AJ77" i="6"/>
  <c r="AL77" i="6" s="1"/>
  <c r="W78" i="6"/>
  <c r="BB78" i="6" s="1"/>
  <c r="AH78" i="6"/>
  <c r="AI78" i="6" s="1"/>
  <c r="U79" i="6"/>
  <c r="V79" i="6"/>
  <c r="N81" i="6"/>
  <c r="O81" i="6" s="1"/>
  <c r="P81" i="6"/>
  <c r="M82" i="6"/>
  <c r="R80" i="6"/>
  <c r="S80" i="6"/>
  <c r="T80" i="6" s="1"/>
  <c r="CD76" i="6"/>
  <c r="CG76" i="6" s="1"/>
  <c r="CE76" i="6"/>
  <c r="CH75" i="6"/>
  <c r="CF75" i="6"/>
  <c r="BY74" i="6"/>
  <c r="BW74" i="6"/>
  <c r="AY74" i="6"/>
  <c r="N292" i="11"/>
  <c r="O292" i="11" s="1"/>
  <c r="P292" i="11" s="1"/>
  <c r="R292" i="11" s="1"/>
  <c r="A295" i="11"/>
  <c r="Q294" i="11"/>
  <c r="N78" i="10"/>
  <c r="BN80" i="6"/>
  <c r="BU80" i="6" s="1"/>
  <c r="BW73" i="6"/>
  <c r="BX73" i="6" s="1"/>
  <c r="BY73" i="6"/>
  <c r="BZ73" i="6" s="1"/>
  <c r="AY75" i="6"/>
  <c r="AX75" i="6"/>
  <c r="AQ75" i="6"/>
  <c r="AZ75" i="6" s="1"/>
  <c r="P78" i="10"/>
  <c r="Q78" i="10" s="1"/>
  <c r="O79" i="10"/>
  <c r="AN75" i="6" l="1"/>
  <c r="AO74" i="6"/>
  <c r="Z77" i="6"/>
  <c r="AK77" i="6"/>
  <c r="AM77" i="6" s="1"/>
  <c r="S78" i="10"/>
  <c r="T78" i="10" s="1"/>
  <c r="U78" i="10" s="1"/>
  <c r="W78" i="10" s="1"/>
  <c r="R78" i="10"/>
  <c r="X78" i="6"/>
  <c r="AJ78" i="6"/>
  <c r="AL78" i="6" s="1"/>
  <c r="AN76" i="6" s="1"/>
  <c r="W79" i="6"/>
  <c r="BB79" i="6" s="1"/>
  <c r="AH79" i="6"/>
  <c r="AI79" i="6" s="1"/>
  <c r="U80" i="6"/>
  <c r="V80" i="6"/>
  <c r="N82" i="6"/>
  <c r="O82" i="6" s="1"/>
  <c r="P82" i="6"/>
  <c r="M83" i="6"/>
  <c r="R81" i="6"/>
  <c r="S81" i="6"/>
  <c r="T81" i="6" s="1"/>
  <c r="CD77" i="6"/>
  <c r="CG77" i="6" s="1"/>
  <c r="CE77" i="6"/>
  <c r="CH76" i="6"/>
  <c r="CF76" i="6"/>
  <c r="BV72" i="6"/>
  <c r="A296" i="11"/>
  <c r="Q295" i="11"/>
  <c r="N293" i="11"/>
  <c r="O293" i="11" s="1"/>
  <c r="P293" i="11" s="1"/>
  <c r="R293" i="11" s="1"/>
  <c r="BN81" i="6"/>
  <c r="BU81" i="6" s="1"/>
  <c r="BX74" i="6"/>
  <c r="BZ74" i="6"/>
  <c r="BW75" i="6"/>
  <c r="BX75" i="6" s="1"/>
  <c r="BY75" i="6"/>
  <c r="BZ75" i="6" s="1"/>
  <c r="N79" i="10"/>
  <c r="P79" i="10"/>
  <c r="Q79" i="10" s="1"/>
  <c r="O80" i="10"/>
  <c r="AO75" i="6" l="1"/>
  <c r="Z78" i="6"/>
  <c r="AK78" i="6"/>
  <c r="AM78" i="6" s="1"/>
  <c r="S79" i="10"/>
  <c r="T79" i="10" s="1"/>
  <c r="U79" i="10" s="1"/>
  <c r="W79" i="10" s="1"/>
  <c r="R79" i="10"/>
  <c r="X79" i="6"/>
  <c r="AJ79" i="6"/>
  <c r="AL79" i="6" s="1"/>
  <c r="W80" i="6"/>
  <c r="BB80" i="6" s="1"/>
  <c r="AH80" i="6"/>
  <c r="AI80" i="6" s="1"/>
  <c r="U81" i="6"/>
  <c r="V81" i="6"/>
  <c r="N83" i="6"/>
  <c r="O83" i="6" s="1"/>
  <c r="P83" i="6"/>
  <c r="M84" i="6"/>
  <c r="R82" i="6"/>
  <c r="S82" i="6"/>
  <c r="T82" i="6" s="1"/>
  <c r="CD78" i="6"/>
  <c r="CG78" i="6" s="1"/>
  <c r="CE78" i="6"/>
  <c r="CF77" i="6"/>
  <c r="CH77" i="6"/>
  <c r="BV73" i="6"/>
  <c r="N294" i="11"/>
  <c r="O294" i="11" s="1"/>
  <c r="P294" i="11" s="1"/>
  <c r="R294" i="11" s="1"/>
  <c r="Q296" i="11"/>
  <c r="A297" i="11"/>
  <c r="BN82" i="6"/>
  <c r="BU82" i="6" s="1"/>
  <c r="AY76" i="6"/>
  <c r="AX76" i="6"/>
  <c r="AQ76" i="6"/>
  <c r="AZ76" i="6" s="1"/>
  <c r="N80" i="10"/>
  <c r="O81" i="10"/>
  <c r="P80" i="10"/>
  <c r="Q80" i="10" s="1"/>
  <c r="AN77" i="6" l="1"/>
  <c r="AO76" i="6"/>
  <c r="Z79" i="6"/>
  <c r="AK79" i="6"/>
  <c r="AM79" i="6" s="1"/>
  <c r="S80" i="10"/>
  <c r="T80" i="10" s="1"/>
  <c r="U80" i="10" s="1"/>
  <c r="W80" i="10" s="1"/>
  <c r="R80" i="10"/>
  <c r="X80" i="6"/>
  <c r="AJ80" i="6"/>
  <c r="AL80" i="6" s="1"/>
  <c r="W81" i="6"/>
  <c r="BB81" i="6" s="1"/>
  <c r="AH81" i="6"/>
  <c r="AI81" i="6" s="1"/>
  <c r="U82" i="6"/>
  <c r="V82" i="6"/>
  <c r="N84" i="6"/>
  <c r="O84" i="6" s="1"/>
  <c r="P84" i="6"/>
  <c r="M85" i="6"/>
  <c r="R83" i="6"/>
  <c r="S83" i="6"/>
  <c r="T83" i="6" s="1"/>
  <c r="CD79" i="6"/>
  <c r="CG79" i="6" s="1"/>
  <c r="CE79" i="6"/>
  <c r="CF78" i="6"/>
  <c r="CH78" i="6"/>
  <c r="BV74" i="6"/>
  <c r="Q297" i="11"/>
  <c r="A298" i="11"/>
  <c r="N295" i="11"/>
  <c r="O295" i="11" s="1"/>
  <c r="P295" i="11" s="1"/>
  <c r="R295" i="11" s="1"/>
  <c r="N81" i="10"/>
  <c r="BN83" i="6"/>
  <c r="BU83" i="6" s="1"/>
  <c r="BW76" i="6"/>
  <c r="BY76" i="6"/>
  <c r="AY78" i="6"/>
  <c r="AY77" i="6"/>
  <c r="AQ77" i="6"/>
  <c r="AZ77" i="6" s="1"/>
  <c r="AX77" i="6"/>
  <c r="AQ78" i="6"/>
  <c r="AZ78" i="6" s="1"/>
  <c r="AX78" i="6"/>
  <c r="P81" i="10"/>
  <c r="Q81" i="10" s="1"/>
  <c r="O82" i="10"/>
  <c r="AO77" i="6" l="1"/>
  <c r="AN78" i="6"/>
  <c r="Z80" i="6"/>
  <c r="AK80" i="6"/>
  <c r="AM80" i="6" s="1"/>
  <c r="S81" i="10"/>
  <c r="T81" i="10" s="1"/>
  <c r="U81" i="10" s="1"/>
  <c r="W81" i="10" s="1"/>
  <c r="R81" i="10"/>
  <c r="X81" i="6"/>
  <c r="AJ81" i="6"/>
  <c r="AL81" i="6" s="1"/>
  <c r="W82" i="6"/>
  <c r="BB82" i="6" s="1"/>
  <c r="AH82" i="6"/>
  <c r="AI82" i="6" s="1"/>
  <c r="U83" i="6"/>
  <c r="V83" i="6"/>
  <c r="N85" i="6"/>
  <c r="O85" i="6" s="1"/>
  <c r="P85" i="6"/>
  <c r="M86" i="6"/>
  <c r="R84" i="6"/>
  <c r="S84" i="6"/>
  <c r="T84" i="6" s="1"/>
  <c r="CD80" i="6"/>
  <c r="CG80" i="6" s="1"/>
  <c r="CE80" i="6"/>
  <c r="CH79" i="6"/>
  <c r="CF79" i="6"/>
  <c r="BV75" i="6"/>
  <c r="N296" i="11"/>
  <c r="O296" i="11" s="1"/>
  <c r="P296" i="11" s="1"/>
  <c r="R296" i="11" s="1"/>
  <c r="A299" i="11"/>
  <c r="Q298" i="11"/>
  <c r="N82" i="10"/>
  <c r="BN84" i="6"/>
  <c r="BU84" i="6" s="1"/>
  <c r="BW78" i="6"/>
  <c r="BY78" i="6"/>
  <c r="BZ76" i="6"/>
  <c r="BY77" i="6"/>
  <c r="BZ77" i="6" s="1"/>
  <c r="BW77" i="6"/>
  <c r="BX77" i="6" s="1"/>
  <c r="BX76" i="6"/>
  <c r="O83" i="10"/>
  <c r="P82" i="10"/>
  <c r="Q82" i="10" s="1"/>
  <c r="CE81" i="6"/>
  <c r="CF81" i="6" s="1"/>
  <c r="AO78" i="6" l="1"/>
  <c r="AN79" i="6"/>
  <c r="Z81" i="6"/>
  <c r="AK81" i="6"/>
  <c r="AM81" i="6" s="1"/>
  <c r="S82" i="10"/>
  <c r="T82" i="10" s="1"/>
  <c r="U82" i="10" s="1"/>
  <c r="W82" i="10" s="1"/>
  <c r="R82" i="10"/>
  <c r="X82" i="6"/>
  <c r="AJ82" i="6"/>
  <c r="AL82" i="6" s="1"/>
  <c r="W83" i="6"/>
  <c r="BB83" i="6" s="1"/>
  <c r="AH83" i="6"/>
  <c r="AI83" i="6" s="1"/>
  <c r="U84" i="6"/>
  <c r="V84" i="6"/>
  <c r="P86" i="6"/>
  <c r="N86" i="6"/>
  <c r="O86" i="6" s="1"/>
  <c r="M87" i="6"/>
  <c r="R85" i="6"/>
  <c r="S85" i="6"/>
  <c r="T85" i="6" s="1"/>
  <c r="CH80" i="6"/>
  <c r="CF80" i="6"/>
  <c r="BV76" i="6"/>
  <c r="AY80" i="6"/>
  <c r="N297" i="11"/>
  <c r="O297" i="11" s="1"/>
  <c r="P297" i="11" s="1"/>
  <c r="R297" i="11" s="1"/>
  <c r="Q299" i="11"/>
  <c r="A300" i="11"/>
  <c r="N83" i="10"/>
  <c r="BN85" i="6"/>
  <c r="BU85" i="6" s="1"/>
  <c r="BZ78" i="6"/>
  <c r="BX78" i="6"/>
  <c r="AY79" i="6"/>
  <c r="AX79" i="6"/>
  <c r="Q7" i="1" s="1"/>
  <c r="Q19" i="1" s="1"/>
  <c r="AQ79" i="6"/>
  <c r="AZ79" i="6" s="1"/>
  <c r="AX80" i="6"/>
  <c r="AQ80" i="6"/>
  <c r="AZ80" i="6" s="1"/>
  <c r="CE82" i="6"/>
  <c r="CF82" i="6" s="1"/>
  <c r="O84" i="10"/>
  <c r="P83" i="10"/>
  <c r="Q83" i="10" s="1"/>
  <c r="AN80" i="6" l="1"/>
  <c r="AO79" i="6"/>
  <c r="Z82" i="6"/>
  <c r="AK82" i="6"/>
  <c r="AM82" i="6" s="1"/>
  <c r="S83" i="10"/>
  <c r="T83" i="10" s="1"/>
  <c r="U83" i="10" s="1"/>
  <c r="W83" i="10" s="1"/>
  <c r="R83" i="10"/>
  <c r="X83" i="6"/>
  <c r="AJ83" i="6"/>
  <c r="AL83" i="6" s="1"/>
  <c r="W84" i="6"/>
  <c r="BB84" i="6" s="1"/>
  <c r="AH84" i="6"/>
  <c r="AI84" i="6" s="1"/>
  <c r="U85" i="6"/>
  <c r="V85" i="6"/>
  <c r="N87" i="6"/>
  <c r="O87" i="6" s="1"/>
  <c r="P87" i="6"/>
  <c r="M88" i="6"/>
  <c r="R86" i="6"/>
  <c r="S86" i="6"/>
  <c r="T86" i="6" s="1"/>
  <c r="BY80" i="6"/>
  <c r="BV77" i="6"/>
  <c r="BW80" i="6"/>
  <c r="A301" i="11"/>
  <c r="Q300" i="11"/>
  <c r="N298" i="11"/>
  <c r="O298" i="11" s="1"/>
  <c r="P298" i="11" s="1"/>
  <c r="R298" i="11" s="1"/>
  <c r="N84" i="10"/>
  <c r="BN86" i="6"/>
  <c r="BU86" i="6" s="1"/>
  <c r="BW79" i="6"/>
  <c r="BX79" i="6" s="1"/>
  <c r="BY79" i="6"/>
  <c r="BZ79" i="6" s="1"/>
  <c r="P84" i="10"/>
  <c r="Q84" i="10" s="1"/>
  <c r="O85" i="10"/>
  <c r="CE83" i="6"/>
  <c r="CF83" i="6" s="1"/>
  <c r="AQ81" i="6"/>
  <c r="AZ81" i="6" s="1"/>
  <c r="AX81" i="6"/>
  <c r="AO80" i="6" l="1"/>
  <c r="AN81" i="6"/>
  <c r="Z83" i="6"/>
  <c r="AK83" i="6"/>
  <c r="AM83" i="6" s="1"/>
  <c r="S84" i="10"/>
  <c r="T84" i="10" s="1"/>
  <c r="U84" i="10" s="1"/>
  <c r="W84" i="10" s="1"/>
  <c r="R84" i="10"/>
  <c r="X84" i="6"/>
  <c r="AJ84" i="6"/>
  <c r="AL84" i="6" s="1"/>
  <c r="W85" i="6"/>
  <c r="BB85" i="6" s="1"/>
  <c r="AH85" i="6"/>
  <c r="AI85" i="6" s="1"/>
  <c r="V86" i="6"/>
  <c r="U86" i="6"/>
  <c r="N88" i="6"/>
  <c r="O88" i="6" s="1"/>
  <c r="P88" i="6"/>
  <c r="M89" i="6"/>
  <c r="R87" i="6"/>
  <c r="S87" i="6"/>
  <c r="T87" i="6" s="1"/>
  <c r="BY81" i="6"/>
  <c r="BZ81" i="6" s="1"/>
  <c r="BW81" i="6"/>
  <c r="BX81" i="6" s="1"/>
  <c r="AY81" i="6"/>
  <c r="BV78" i="6"/>
  <c r="N299" i="11"/>
  <c r="O299" i="11" s="1"/>
  <c r="P299" i="11" s="1"/>
  <c r="R299" i="11" s="1"/>
  <c r="A302" i="11"/>
  <c r="Q301" i="11"/>
  <c r="N85" i="10"/>
  <c r="BN87" i="6"/>
  <c r="BU87" i="6" s="1"/>
  <c r="BX80" i="6"/>
  <c r="BZ80" i="6"/>
  <c r="AX82" i="6"/>
  <c r="AQ82" i="6"/>
  <c r="AZ82" i="6" s="1"/>
  <c r="CE84" i="6"/>
  <c r="CF84" i="6" s="1"/>
  <c r="O86" i="10"/>
  <c r="P85" i="10"/>
  <c r="Q85" i="10" s="1"/>
  <c r="AO81" i="6" l="1"/>
  <c r="AN82" i="6"/>
  <c r="Z84" i="6"/>
  <c r="AK84" i="6"/>
  <c r="AM84" i="6" s="1"/>
  <c r="S85" i="10"/>
  <c r="T85" i="10" s="1"/>
  <c r="U85" i="10" s="1"/>
  <c r="W85" i="10" s="1"/>
  <c r="R85" i="10"/>
  <c r="X85" i="6"/>
  <c r="AJ85" i="6"/>
  <c r="AL85" i="6" s="1"/>
  <c r="AN83" i="6" s="1"/>
  <c r="W86" i="6"/>
  <c r="BB86" i="6" s="1"/>
  <c r="AH86" i="6"/>
  <c r="AI86" i="6" s="1"/>
  <c r="U87" i="6"/>
  <c r="V87" i="6"/>
  <c r="N89" i="6"/>
  <c r="O89" i="6" s="1"/>
  <c r="P89" i="6"/>
  <c r="M90" i="6"/>
  <c r="R88" i="6"/>
  <c r="S88" i="6"/>
  <c r="T88" i="6" s="1"/>
  <c r="BY82" i="6"/>
  <c r="BZ82" i="6" s="1"/>
  <c r="BW82" i="6"/>
  <c r="BX82" i="6" s="1"/>
  <c r="AY82" i="6"/>
  <c r="BV79" i="6"/>
  <c r="Q302" i="11"/>
  <c r="A303" i="11"/>
  <c r="N300" i="11"/>
  <c r="O300" i="11" s="1"/>
  <c r="P300" i="11" s="1"/>
  <c r="R300" i="11" s="1"/>
  <c r="N86" i="10"/>
  <c r="BN88" i="6"/>
  <c r="BU88" i="6" s="1"/>
  <c r="BV80" i="6" s="1"/>
  <c r="O87" i="10"/>
  <c r="P86" i="10"/>
  <c r="Q86" i="10" s="1"/>
  <c r="CE85" i="6"/>
  <c r="CF85" i="6" s="1"/>
  <c r="AO82" i="6" l="1"/>
  <c r="Z85" i="6"/>
  <c r="AK85" i="6"/>
  <c r="AM85" i="6" s="1"/>
  <c r="S86" i="10"/>
  <c r="T86" i="10" s="1"/>
  <c r="U86" i="10" s="1"/>
  <c r="W86" i="10" s="1"/>
  <c r="R86" i="10"/>
  <c r="X86" i="6"/>
  <c r="AJ86" i="6"/>
  <c r="AL86" i="6" s="1"/>
  <c r="W87" i="6"/>
  <c r="BB87" i="6" s="1"/>
  <c r="AH87" i="6"/>
  <c r="AI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N89" i="6"/>
  <c r="BU89" i="6" s="1"/>
  <c r="AY83" i="6"/>
  <c r="AQ84" i="6"/>
  <c r="AZ84" i="6" s="1"/>
  <c r="AX84" i="6"/>
  <c r="AQ83" i="6"/>
  <c r="AZ83" i="6" s="1"/>
  <c r="AX83" i="6"/>
  <c r="CE86" i="6"/>
  <c r="CF86" i="6" s="1"/>
  <c r="P87" i="10"/>
  <c r="Q87" i="10" s="1"/>
  <c r="O88" i="10"/>
  <c r="AN84" i="6" l="1"/>
  <c r="AO83" i="6"/>
  <c r="Z86" i="6"/>
  <c r="AK86" i="6"/>
  <c r="AM86" i="6" s="1"/>
  <c r="S87" i="10"/>
  <c r="T87" i="10" s="1"/>
  <c r="U87" i="10" s="1"/>
  <c r="W87" i="10" s="1"/>
  <c r="R87" i="10"/>
  <c r="X87" i="6"/>
  <c r="AJ87" i="6"/>
  <c r="AL87" i="6" s="1"/>
  <c r="W88" i="6"/>
  <c r="BB88" i="6" s="1"/>
  <c r="AH88" i="6"/>
  <c r="AI88" i="6" s="1"/>
  <c r="R90" i="6"/>
  <c r="S90" i="6"/>
  <c r="T90" i="6" s="1"/>
  <c r="U89" i="6"/>
  <c r="V89" i="6"/>
  <c r="N91" i="6"/>
  <c r="O91" i="6" s="1"/>
  <c r="P91" i="6"/>
  <c r="M92" i="6"/>
  <c r="BW84" i="6"/>
  <c r="BY84" i="6"/>
  <c r="AY84" i="6"/>
  <c r="BV81" i="6"/>
  <c r="BY85" i="6"/>
  <c r="Q304" i="11"/>
  <c r="N302" i="11"/>
  <c r="O302" i="11" s="1"/>
  <c r="P302" i="11" s="1"/>
  <c r="R302" i="11" s="1"/>
  <c r="N88" i="10"/>
  <c r="BN90" i="6"/>
  <c r="BU90" i="6" s="1"/>
  <c r="BW83" i="6"/>
  <c r="BX83" i="6" s="1"/>
  <c r="BY83" i="6"/>
  <c r="BZ83" i="6" s="1"/>
  <c r="P88" i="10"/>
  <c r="Q88" i="10" s="1"/>
  <c r="O89" i="10"/>
  <c r="CE87" i="6"/>
  <c r="CF87" i="6" s="1"/>
  <c r="AX85" i="6"/>
  <c r="AQ85" i="6"/>
  <c r="AZ85" i="6" s="1"/>
  <c r="AN85" i="6" l="1"/>
  <c r="AO84" i="6"/>
  <c r="Z87" i="6"/>
  <c r="AK87" i="6"/>
  <c r="AM87" i="6" s="1"/>
  <c r="S88" i="10"/>
  <c r="T88" i="10" s="1"/>
  <c r="U88" i="10" s="1"/>
  <c r="W88" i="10" s="1"/>
  <c r="R88" i="10"/>
  <c r="X88" i="6"/>
  <c r="AJ88" i="6"/>
  <c r="AL88" i="6" s="1"/>
  <c r="W89" i="6"/>
  <c r="BB89" i="6" s="1"/>
  <c r="AH89" i="6"/>
  <c r="AI89" i="6" s="1"/>
  <c r="N92" i="6"/>
  <c r="O92" i="6" s="1"/>
  <c r="P92" i="6"/>
  <c r="M93" i="6"/>
  <c r="R91" i="6"/>
  <c r="S91" i="6"/>
  <c r="T91" i="6" s="1"/>
  <c r="U90" i="6"/>
  <c r="V90" i="6"/>
  <c r="BZ85" i="6"/>
  <c r="BW85" i="6"/>
  <c r="BX85" i="6" s="1"/>
  <c r="BV82" i="6"/>
  <c r="AY85" i="6"/>
  <c r="AY86" i="6"/>
  <c r="N303" i="11"/>
  <c r="O303" i="11" s="1"/>
  <c r="P303" i="11" s="1"/>
  <c r="R303" i="11" s="1"/>
  <c r="N89" i="10"/>
  <c r="BN91" i="6"/>
  <c r="BU91" i="6" s="1"/>
  <c r="BX84" i="6"/>
  <c r="BZ84" i="6"/>
  <c r="AX86" i="6"/>
  <c r="AQ86" i="6"/>
  <c r="AZ86" i="6" s="1"/>
  <c r="O90" i="10"/>
  <c r="P89" i="10"/>
  <c r="Q89" i="10" s="1"/>
  <c r="CE88" i="6"/>
  <c r="CF88" i="6" s="1"/>
  <c r="AO85" i="6" l="1"/>
  <c r="AN86" i="6"/>
  <c r="Z88" i="6"/>
  <c r="AK88" i="6"/>
  <c r="AM88" i="6" s="1"/>
  <c r="S89" i="10"/>
  <c r="T89" i="10" s="1"/>
  <c r="U89" i="10" s="1"/>
  <c r="W89" i="10" s="1"/>
  <c r="R89" i="10"/>
  <c r="X89" i="6"/>
  <c r="AJ89" i="6"/>
  <c r="AL89" i="6" s="1"/>
  <c r="AN87" i="6" s="1"/>
  <c r="W90" i="6"/>
  <c r="BB90" i="6" s="1"/>
  <c r="AH90" i="6"/>
  <c r="AI90" i="6" s="1"/>
  <c r="U91" i="6"/>
  <c r="V91" i="6"/>
  <c r="N93" i="6"/>
  <c r="O93" i="6" s="1"/>
  <c r="P93" i="6"/>
  <c r="M94" i="6"/>
  <c r="S92" i="6"/>
  <c r="T92" i="6" s="1"/>
  <c r="R92" i="6"/>
  <c r="BY86" i="6"/>
  <c r="BZ86" i="6" s="1"/>
  <c r="BW86" i="6"/>
  <c r="BX86" i="6" s="1"/>
  <c r="BV83" i="6"/>
  <c r="N304" i="11"/>
  <c r="O304" i="11" s="1"/>
  <c r="P304" i="11" s="1"/>
  <c r="R304" i="11" s="1"/>
  <c r="S4" i="11" s="1"/>
  <c r="N90" i="10"/>
  <c r="BN92" i="6"/>
  <c r="BU92" i="6" s="1"/>
  <c r="P90" i="10"/>
  <c r="Q90" i="10" s="1"/>
  <c r="O91" i="10"/>
  <c r="AO86" i="6" l="1"/>
  <c r="Z89" i="6"/>
  <c r="AK89" i="6"/>
  <c r="AM89" i="6" s="1"/>
  <c r="S90" i="10"/>
  <c r="T90" i="10" s="1"/>
  <c r="U90" i="10" s="1"/>
  <c r="W90" i="10" s="1"/>
  <c r="R90" i="10"/>
  <c r="X90" i="6"/>
  <c r="AJ90" i="6"/>
  <c r="AL90" i="6" s="1"/>
  <c r="W91" i="6"/>
  <c r="BB91" i="6" s="1"/>
  <c r="AH91" i="6"/>
  <c r="AI91" i="6" s="1"/>
  <c r="U92" i="6"/>
  <c r="V92" i="6"/>
  <c r="N94" i="6"/>
  <c r="O94" i="6" s="1"/>
  <c r="P94" i="6"/>
  <c r="M95" i="6"/>
  <c r="R93" i="6"/>
  <c r="S93" i="6"/>
  <c r="T93" i="6" s="1"/>
  <c r="BV84" i="6"/>
  <c r="N91" i="10"/>
  <c r="BN93" i="6"/>
  <c r="BU93" i="6" s="1"/>
  <c r="AY88" i="6"/>
  <c r="AY87" i="6"/>
  <c r="AX87" i="6"/>
  <c r="AQ87" i="6"/>
  <c r="AZ87" i="6" s="1"/>
  <c r="AX88" i="6"/>
  <c r="AQ88" i="6"/>
  <c r="AZ88" i="6" s="1"/>
  <c r="P91" i="10"/>
  <c r="Q91" i="10" s="1"/>
  <c r="O92" i="10"/>
  <c r="AO87" i="6" l="1"/>
  <c r="AN88" i="6"/>
  <c r="Z90" i="6"/>
  <c r="AK90" i="6"/>
  <c r="AM90" i="6" s="1"/>
  <c r="S91" i="10"/>
  <c r="T91" i="10" s="1"/>
  <c r="U91" i="10" s="1"/>
  <c r="W91" i="10" s="1"/>
  <c r="R91" i="10"/>
  <c r="X91" i="6"/>
  <c r="AJ91" i="6"/>
  <c r="AL91" i="6" s="1"/>
  <c r="AN89" i="6" s="1"/>
  <c r="W92" i="6"/>
  <c r="BB92" i="6" s="1"/>
  <c r="AH92" i="6"/>
  <c r="AI92" i="6" s="1"/>
  <c r="U93" i="6"/>
  <c r="V93" i="6"/>
  <c r="N95" i="6"/>
  <c r="O95" i="6" s="1"/>
  <c r="P95" i="6"/>
  <c r="M96" i="6"/>
  <c r="R94" i="6"/>
  <c r="S94" i="6"/>
  <c r="T94" i="6" s="1"/>
  <c r="BV85" i="6"/>
  <c r="N92" i="10"/>
  <c r="BN94" i="6"/>
  <c r="BU94" i="6" s="1"/>
  <c r="BW87" i="6"/>
  <c r="BX87" i="6" s="1"/>
  <c r="BY87" i="6"/>
  <c r="BZ87" i="6" s="1"/>
  <c r="BY88" i="6"/>
  <c r="BW88" i="6"/>
  <c r="AY89" i="6"/>
  <c r="AQ89" i="6"/>
  <c r="AZ89" i="6" s="1"/>
  <c r="AX89" i="6"/>
  <c r="O93" i="10"/>
  <c r="P92" i="10"/>
  <c r="Q92" i="10" s="1"/>
  <c r="AO88" i="6" l="1"/>
  <c r="Z91" i="6"/>
  <c r="AK91" i="6"/>
  <c r="AM91" i="6" s="1"/>
  <c r="S92" i="10"/>
  <c r="T92" i="10" s="1"/>
  <c r="U92" i="10" s="1"/>
  <c r="W92" i="10" s="1"/>
  <c r="R92" i="10"/>
  <c r="X92" i="6"/>
  <c r="AJ92" i="6"/>
  <c r="AL92" i="6" s="1"/>
  <c r="W93" i="6"/>
  <c r="BB93" i="6" s="1"/>
  <c r="AH93" i="6"/>
  <c r="AI93" i="6" s="1"/>
  <c r="U94" i="6"/>
  <c r="V94" i="6"/>
  <c r="N96" i="6"/>
  <c r="O96" i="6" s="1"/>
  <c r="P96" i="6"/>
  <c r="M97" i="6"/>
  <c r="R95" i="6"/>
  <c r="S95" i="6"/>
  <c r="T95" i="6" s="1"/>
  <c r="BV86" i="6"/>
  <c r="N93" i="10"/>
  <c r="BN95" i="6"/>
  <c r="BU95" i="6" s="1"/>
  <c r="BZ88" i="6"/>
  <c r="BX88" i="6"/>
  <c r="BW89" i="6"/>
  <c r="BX89" i="6" s="1"/>
  <c r="BY89" i="6"/>
  <c r="BZ89" i="6" s="1"/>
  <c r="AY90" i="6"/>
  <c r="AQ90" i="6"/>
  <c r="AZ90" i="6" s="1"/>
  <c r="P93" i="10"/>
  <c r="Q93" i="10" s="1"/>
  <c r="O94" i="10"/>
  <c r="AX90" i="6"/>
  <c r="AN90" i="6" l="1"/>
  <c r="AO89" i="6"/>
  <c r="Z92" i="6"/>
  <c r="AK92" i="6"/>
  <c r="AM92" i="6" s="1"/>
  <c r="S93" i="10"/>
  <c r="T93" i="10" s="1"/>
  <c r="U93" i="10" s="1"/>
  <c r="W93" i="10" s="1"/>
  <c r="R93" i="10"/>
  <c r="X93" i="6"/>
  <c r="AJ93" i="6"/>
  <c r="AL93" i="6" s="1"/>
  <c r="W94" i="6"/>
  <c r="BB94" i="6" s="1"/>
  <c r="AH94" i="6"/>
  <c r="AI94" i="6" s="1"/>
  <c r="U95" i="6"/>
  <c r="V95" i="6"/>
  <c r="N97" i="6"/>
  <c r="O97" i="6" s="1"/>
  <c r="P97" i="6"/>
  <c r="M98" i="6"/>
  <c r="R96" i="6"/>
  <c r="S96" i="6"/>
  <c r="T96" i="6" s="1"/>
  <c r="BV87" i="6"/>
  <c r="BY91" i="6"/>
  <c r="N94" i="10"/>
  <c r="BN96" i="6"/>
  <c r="BU96" i="6" s="1"/>
  <c r="BW90" i="6"/>
  <c r="BY90" i="6"/>
  <c r="AQ91" i="6"/>
  <c r="AZ91" i="6" s="1"/>
  <c r="AX91" i="6"/>
  <c r="O95" i="10"/>
  <c r="P94" i="10"/>
  <c r="Q94" i="10" s="1"/>
  <c r="AO90" i="6" l="1"/>
  <c r="AN91" i="6"/>
  <c r="Z93" i="6"/>
  <c r="AK93" i="6"/>
  <c r="AM93" i="6" s="1"/>
  <c r="S94" i="10"/>
  <c r="T94" i="10" s="1"/>
  <c r="U94" i="10" s="1"/>
  <c r="W94" i="10" s="1"/>
  <c r="R94" i="10"/>
  <c r="X94" i="6"/>
  <c r="AJ94" i="6"/>
  <c r="AL94" i="6" s="1"/>
  <c r="W95" i="6"/>
  <c r="BB95" i="6" s="1"/>
  <c r="AH95" i="6"/>
  <c r="AI95" i="6" s="1"/>
  <c r="U96" i="6"/>
  <c r="V96" i="6"/>
  <c r="N98" i="6"/>
  <c r="O98" i="6" s="1"/>
  <c r="P98" i="6"/>
  <c r="M99" i="6"/>
  <c r="R97" i="6"/>
  <c r="S97" i="6"/>
  <c r="T97" i="6" s="1"/>
  <c r="AY91" i="6"/>
  <c r="BW91" i="6"/>
  <c r="BX91" i="6" s="1"/>
  <c r="BV88" i="6"/>
  <c r="AY92" i="6"/>
  <c r="N95" i="10"/>
  <c r="BN97" i="6"/>
  <c r="BU97" i="6" s="1"/>
  <c r="BX90" i="6"/>
  <c r="BZ91" i="6"/>
  <c r="BZ90" i="6"/>
  <c r="AX92" i="6"/>
  <c r="AQ92" i="6"/>
  <c r="AZ92" i="6" s="1"/>
  <c r="O96" i="10"/>
  <c r="P95" i="10"/>
  <c r="Q95" i="10" s="1"/>
  <c r="AO91" i="6" l="1"/>
  <c r="AN92" i="6"/>
  <c r="Z94" i="6"/>
  <c r="AK94" i="6"/>
  <c r="AM94" i="6" s="1"/>
  <c r="S95" i="10"/>
  <c r="T95" i="10" s="1"/>
  <c r="U95" i="10" s="1"/>
  <c r="W95" i="10" s="1"/>
  <c r="R95" i="10"/>
  <c r="X95" i="6"/>
  <c r="AJ95" i="6"/>
  <c r="AL95" i="6" s="1"/>
  <c r="W96" i="6"/>
  <c r="BB96" i="6" s="1"/>
  <c r="AH96" i="6"/>
  <c r="AI96" i="6" s="1"/>
  <c r="U97" i="6"/>
  <c r="V97" i="6"/>
  <c r="N99" i="6"/>
  <c r="O99" i="6" s="1"/>
  <c r="P99" i="6"/>
  <c r="M100" i="6"/>
  <c r="S98" i="6"/>
  <c r="T98" i="6" s="1"/>
  <c r="R98" i="6"/>
  <c r="BV89" i="6"/>
  <c r="BY92" i="6"/>
  <c r="BZ92" i="6" s="1"/>
  <c r="BW92" i="6"/>
  <c r="BX92" i="6" s="1"/>
  <c r="N96" i="10"/>
  <c r="BN98" i="6"/>
  <c r="BU98" i="6" s="1"/>
  <c r="O97" i="10"/>
  <c r="P96" i="10"/>
  <c r="Q96" i="10" s="1"/>
  <c r="AN93" i="6" l="1"/>
  <c r="AO92" i="6"/>
  <c r="Z95" i="6"/>
  <c r="AK95" i="6"/>
  <c r="AM95" i="6" s="1"/>
  <c r="S96" i="10"/>
  <c r="T96" i="10" s="1"/>
  <c r="U96" i="10" s="1"/>
  <c r="W96" i="10" s="1"/>
  <c r="R96" i="10"/>
  <c r="X96" i="6"/>
  <c r="AJ96" i="6"/>
  <c r="AL96" i="6" s="1"/>
  <c r="AN94" i="6" s="1"/>
  <c r="W97" i="6"/>
  <c r="BB97" i="6" s="1"/>
  <c r="AH97" i="6"/>
  <c r="AI97" i="6" s="1"/>
  <c r="U98" i="6"/>
  <c r="V98" i="6"/>
  <c r="N100" i="6"/>
  <c r="O100" i="6" s="1"/>
  <c r="P100" i="6"/>
  <c r="M101" i="6"/>
  <c r="R99" i="6"/>
  <c r="S99" i="6"/>
  <c r="T99" i="6" s="1"/>
  <c r="BV90" i="6"/>
  <c r="AY94" i="6"/>
  <c r="BN99" i="6"/>
  <c r="BU99" i="6" s="1"/>
  <c r="AX93" i="6"/>
  <c r="AY93" i="6"/>
  <c r="AQ93" i="6"/>
  <c r="AZ93" i="6" s="1"/>
  <c r="AQ94" i="6"/>
  <c r="AZ94" i="6" s="1"/>
  <c r="AX94" i="6"/>
  <c r="N97" i="10"/>
  <c r="P97" i="10"/>
  <c r="Q97" i="10" s="1"/>
  <c r="O98" i="10"/>
  <c r="AO93" i="6" l="1"/>
  <c r="Z96" i="6"/>
  <c r="AK96" i="6"/>
  <c r="AM96" i="6" s="1"/>
  <c r="S97" i="10"/>
  <c r="T97" i="10" s="1"/>
  <c r="U97" i="10" s="1"/>
  <c r="W97" i="10" s="1"/>
  <c r="R97" i="10"/>
  <c r="X97" i="6"/>
  <c r="AJ97" i="6"/>
  <c r="AL97" i="6" s="1"/>
  <c r="W98" i="6"/>
  <c r="BB98" i="6" s="1"/>
  <c r="AH98" i="6"/>
  <c r="AI98" i="6" s="1"/>
  <c r="V99" i="6"/>
  <c r="U99" i="6"/>
  <c r="P101" i="6"/>
  <c r="N101" i="6"/>
  <c r="O101" i="6" s="1"/>
  <c r="M102" i="6"/>
  <c r="R100" i="6"/>
  <c r="S100" i="6"/>
  <c r="T100" i="6" s="1"/>
  <c r="BY94" i="6"/>
  <c r="BW94" i="6"/>
  <c r="BV91" i="6"/>
  <c r="BN100" i="6"/>
  <c r="BU100" i="6" s="1"/>
  <c r="BY93" i="6"/>
  <c r="BZ93" i="6" s="1"/>
  <c r="BW93" i="6"/>
  <c r="BX93" i="6" s="1"/>
  <c r="N98" i="10"/>
  <c r="P98" i="10"/>
  <c r="Q98" i="10" s="1"/>
  <c r="O99" i="10"/>
  <c r="AO94" i="6" l="1"/>
  <c r="AN95" i="6"/>
  <c r="Z97" i="6"/>
  <c r="AK97" i="6"/>
  <c r="AM97" i="6" s="1"/>
  <c r="S98" i="10"/>
  <c r="T98" i="10" s="1"/>
  <c r="U98" i="10" s="1"/>
  <c r="W98" i="10" s="1"/>
  <c r="R98" i="10"/>
  <c r="X98" i="6"/>
  <c r="AJ98" i="6"/>
  <c r="AL98" i="6" s="1"/>
  <c r="W99" i="6"/>
  <c r="BB99" i="6" s="1"/>
  <c r="AH99" i="6"/>
  <c r="AI99" i="6" s="1"/>
  <c r="U100" i="6"/>
  <c r="V100" i="6"/>
  <c r="N102" i="6"/>
  <c r="O102" i="6" s="1"/>
  <c r="P102" i="6"/>
  <c r="M103" i="6"/>
  <c r="R101" i="6"/>
  <c r="S101" i="6"/>
  <c r="T101" i="6" s="1"/>
  <c r="BV100" i="6"/>
  <c r="BV92" i="6"/>
  <c r="BV94" i="6"/>
  <c r="BV96" i="6"/>
  <c r="BV93" i="6"/>
  <c r="BV97" i="6"/>
  <c r="BV95" i="6"/>
  <c r="BV99" i="6"/>
  <c r="BV98" i="6"/>
  <c r="BY95" i="6"/>
  <c r="BZ95" i="6" s="1"/>
  <c r="BW96" i="6"/>
  <c r="BN101" i="6"/>
  <c r="BZ94" i="6"/>
  <c r="BX94" i="6"/>
  <c r="AQ96" i="6"/>
  <c r="AZ96" i="6" s="1"/>
  <c r="AX96" i="6"/>
  <c r="AX95" i="6"/>
  <c r="AQ95" i="6"/>
  <c r="AZ95" i="6" s="1"/>
  <c r="N99" i="10"/>
  <c r="P99" i="10"/>
  <c r="Q99" i="10" s="1"/>
  <c r="O100" i="10"/>
  <c r="AO95" i="6" l="1"/>
  <c r="AN96" i="6"/>
  <c r="Z98" i="6"/>
  <c r="AK98" i="6"/>
  <c r="AM98" i="6" s="1"/>
  <c r="S99" i="10"/>
  <c r="T99" i="10" s="1"/>
  <c r="U99" i="10" s="1"/>
  <c r="W99" i="10" s="1"/>
  <c r="R99" i="10"/>
  <c r="X99" i="6"/>
  <c r="AJ99" i="6"/>
  <c r="AL99" i="6" s="1"/>
  <c r="W100" i="6"/>
  <c r="BB100" i="6" s="1"/>
  <c r="AH100" i="6"/>
  <c r="AI100" i="6" s="1"/>
  <c r="U101" i="6"/>
  <c r="V101" i="6"/>
  <c r="N103" i="6"/>
  <c r="O103" i="6" s="1"/>
  <c r="P103" i="6"/>
  <c r="M104" i="6"/>
  <c r="R102" i="6"/>
  <c r="S102" i="6"/>
  <c r="T102" i="6" s="1"/>
  <c r="BY96" i="6"/>
  <c r="BZ96" i="6" s="1"/>
  <c r="AY96" i="6"/>
  <c r="BW95" i="6"/>
  <c r="BX95" i="6" s="1"/>
  <c r="AY95" i="6"/>
  <c r="BN102" i="6"/>
  <c r="N100" i="10"/>
  <c r="AX97" i="6"/>
  <c r="AQ97" i="6"/>
  <c r="AZ97" i="6" s="1"/>
  <c r="O101" i="10"/>
  <c r="P100" i="10"/>
  <c r="Q100" i="10" s="1"/>
  <c r="AN97" i="6" l="1"/>
  <c r="AO96" i="6"/>
  <c r="Z99" i="6"/>
  <c r="AK99" i="6"/>
  <c r="AM99" i="6" s="1"/>
  <c r="AO97" i="6" s="1"/>
  <c r="S100" i="10"/>
  <c r="T100" i="10" s="1"/>
  <c r="U100" i="10" s="1"/>
  <c r="W100" i="10" s="1"/>
  <c r="R100" i="10"/>
  <c r="X100" i="6"/>
  <c r="AJ100" i="6"/>
  <c r="AL100" i="6" s="1"/>
  <c r="W101" i="6"/>
  <c r="BB101" i="6" s="1"/>
  <c r="AH101" i="6"/>
  <c r="AI101" i="6" s="1"/>
  <c r="U102" i="6"/>
  <c r="V102" i="6"/>
  <c r="N104" i="6"/>
  <c r="O104" i="6" s="1"/>
  <c r="P104" i="6"/>
  <c r="M105" i="6"/>
  <c r="S103" i="6"/>
  <c r="T103" i="6" s="1"/>
  <c r="R103" i="6"/>
  <c r="BX96" i="6"/>
  <c r="BW97" i="6"/>
  <c r="BX97" i="6" s="1"/>
  <c r="BY97" i="6"/>
  <c r="BZ97" i="6" s="1"/>
  <c r="AY97" i="6"/>
  <c r="BY98" i="6"/>
  <c r="N101" i="10"/>
  <c r="BN103" i="6"/>
  <c r="AQ98" i="6"/>
  <c r="AZ98" i="6" s="1"/>
  <c r="AX98" i="6"/>
  <c r="O102" i="10"/>
  <c r="P101" i="10"/>
  <c r="Q101" i="10" s="1"/>
  <c r="AN98" i="6" l="1"/>
  <c r="Z100" i="6"/>
  <c r="AK100" i="6"/>
  <c r="AM100" i="6" s="1"/>
  <c r="S101" i="10"/>
  <c r="T101" i="10" s="1"/>
  <c r="U101" i="10" s="1"/>
  <c r="W101" i="10" s="1"/>
  <c r="R101" i="10"/>
  <c r="X101" i="6"/>
  <c r="AJ101" i="6"/>
  <c r="AL101" i="6" s="1"/>
  <c r="W102" i="6"/>
  <c r="BB102" i="6" s="1"/>
  <c r="AH102" i="6"/>
  <c r="AI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Y98" i="6"/>
  <c r="BW98" i="6"/>
  <c r="BX98" i="6" s="1"/>
  <c r="N102" i="10"/>
  <c r="BN104" i="6"/>
  <c r="BZ98" i="6"/>
  <c r="P102" i="10"/>
  <c r="Q102" i="10" s="1"/>
  <c r="O103" i="10"/>
  <c r="AN99" i="6" l="1"/>
  <c r="AO98" i="6"/>
  <c r="Z101" i="6"/>
  <c r="AK101" i="6"/>
  <c r="AM101" i="6" s="1"/>
  <c r="S102" i="10"/>
  <c r="T102" i="10" s="1"/>
  <c r="U102" i="10" s="1"/>
  <c r="W102" i="10" s="1"/>
  <c r="R102" i="10"/>
  <c r="X102" i="6"/>
  <c r="AJ102" i="6"/>
  <c r="AL102" i="6" s="1"/>
  <c r="AN100" i="6" s="1"/>
  <c r="W103" i="6"/>
  <c r="BB103" i="6" s="1"/>
  <c r="AH103" i="6"/>
  <c r="AI103" i="6" s="1"/>
  <c r="U104" i="6"/>
  <c r="V104" i="6"/>
  <c r="N106" i="6"/>
  <c r="O106" i="6" s="1"/>
  <c r="P106" i="6"/>
  <c r="S106" i="6" s="1"/>
  <c r="T106" i="6" s="1"/>
  <c r="M107" i="6"/>
  <c r="U105" i="6"/>
  <c r="V105" i="6"/>
  <c r="AY99" i="6"/>
  <c r="N103" i="10"/>
  <c r="BN105" i="6"/>
  <c r="AX99" i="6"/>
  <c r="AQ99" i="6"/>
  <c r="AZ99" i="6" s="1"/>
  <c r="P103" i="10"/>
  <c r="Q103" i="10" s="1"/>
  <c r="O104" i="10"/>
  <c r="AO99" i="6" l="1"/>
  <c r="Z102" i="6"/>
  <c r="AK102" i="6"/>
  <c r="AM102" i="6" s="1"/>
  <c r="S103" i="10"/>
  <c r="T103" i="10" s="1"/>
  <c r="U103" i="10" s="1"/>
  <c r="W103" i="10" s="1"/>
  <c r="R103" i="10"/>
  <c r="X103" i="6"/>
  <c r="AJ103" i="6"/>
  <c r="AL103" i="6" s="1"/>
  <c r="W105" i="6"/>
  <c r="BB105" i="6" s="1"/>
  <c r="AH105" i="6"/>
  <c r="AI105" i="6" s="1"/>
  <c r="W104" i="6"/>
  <c r="BB104" i="6" s="1"/>
  <c r="AH104" i="6"/>
  <c r="AI104" i="6" s="1"/>
  <c r="N107" i="6"/>
  <c r="O107" i="6" s="1"/>
  <c r="P107" i="6"/>
  <c r="S107" i="6" s="1"/>
  <c r="T107" i="6" s="1"/>
  <c r="M108" i="6"/>
  <c r="U106" i="6"/>
  <c r="V106" i="6"/>
  <c r="BY99" i="6"/>
  <c r="BZ99" i="6" s="1"/>
  <c r="BW99" i="6"/>
  <c r="BX99" i="6" s="1"/>
  <c r="AY100" i="6"/>
  <c r="AY101" i="6"/>
  <c r="N104" i="10"/>
  <c r="BN106" i="6"/>
  <c r="AQ101" i="6"/>
  <c r="AZ101" i="6" s="1"/>
  <c r="AX101" i="6"/>
  <c r="AX100" i="6"/>
  <c r="AQ100" i="6"/>
  <c r="AZ100" i="6" s="1"/>
  <c r="P104" i="10"/>
  <c r="Q104" i="10" s="1"/>
  <c r="O105" i="10"/>
  <c r="AN101" i="6" l="1"/>
  <c r="AO100" i="6"/>
  <c r="Z103" i="6"/>
  <c r="AK103" i="6"/>
  <c r="AM103" i="6" s="1"/>
  <c r="S104" i="10"/>
  <c r="T104" i="10" s="1"/>
  <c r="U104" i="10" s="1"/>
  <c r="W104" i="10" s="1"/>
  <c r="R104" i="10"/>
  <c r="X104" i="6"/>
  <c r="AJ104" i="6"/>
  <c r="AL104" i="6" s="1"/>
  <c r="AN102" i="6" s="1"/>
  <c r="X105" i="6"/>
  <c r="AJ105" i="6"/>
  <c r="W106" i="6"/>
  <c r="BB106" i="6" s="1"/>
  <c r="AH106" i="6"/>
  <c r="AI106" i="6" s="1"/>
  <c r="N108" i="6"/>
  <c r="O108" i="6" s="1"/>
  <c r="P108" i="6"/>
  <c r="S108" i="6" s="1"/>
  <c r="T108" i="6" s="1"/>
  <c r="M109" i="6"/>
  <c r="U107" i="6"/>
  <c r="V107" i="6"/>
  <c r="BY100" i="6"/>
  <c r="BZ100" i="6" s="1"/>
  <c r="BW100" i="6"/>
  <c r="BX100" i="6" s="1"/>
  <c r="AY102" i="6"/>
  <c r="N105" i="10"/>
  <c r="BN107" i="6"/>
  <c r="AX102" i="6"/>
  <c r="AQ102" i="6"/>
  <c r="AZ102" i="6" s="1"/>
  <c r="O106" i="10"/>
  <c r="P105" i="10"/>
  <c r="Q105" i="10" s="1"/>
  <c r="AL105" i="6" l="1"/>
  <c r="AN103" i="6" s="1"/>
  <c r="AO101" i="6"/>
  <c r="Z104" i="6"/>
  <c r="AK104" i="6"/>
  <c r="AM104" i="6" s="1"/>
  <c r="Z105" i="6"/>
  <c r="AK105" i="6"/>
  <c r="S105" i="10"/>
  <c r="T105" i="10" s="1"/>
  <c r="U105" i="10" s="1"/>
  <c r="W105" i="10" s="1"/>
  <c r="R105" i="10"/>
  <c r="X106" i="6"/>
  <c r="AJ106" i="6"/>
  <c r="AL106" i="6" s="1"/>
  <c r="W107" i="6"/>
  <c r="BB107" i="6" s="1"/>
  <c r="AH107" i="6"/>
  <c r="AI107" i="6" s="1"/>
  <c r="N109" i="6"/>
  <c r="O109" i="6" s="1"/>
  <c r="P109" i="6"/>
  <c r="S109" i="6" s="1"/>
  <c r="T109" i="6" s="1"/>
  <c r="M110" i="6"/>
  <c r="U108" i="6"/>
  <c r="V108" i="6"/>
  <c r="AY103" i="6"/>
  <c r="BN108" i="6"/>
  <c r="AX103" i="6"/>
  <c r="AQ103" i="6"/>
  <c r="AZ103" i="6" s="1"/>
  <c r="N106" i="10"/>
  <c r="P106" i="10"/>
  <c r="Q106" i="10" s="1"/>
  <c r="O107" i="10"/>
  <c r="AM105" i="6" l="1"/>
  <c r="AN104" i="6"/>
  <c r="AO103" i="6"/>
  <c r="AO102" i="6"/>
  <c r="Z106" i="6"/>
  <c r="AK106" i="6"/>
  <c r="AM106" i="6" s="1"/>
  <c r="S106" i="10"/>
  <c r="T106" i="10" s="1"/>
  <c r="U106" i="10" s="1"/>
  <c r="W106" i="10" s="1"/>
  <c r="R106" i="10"/>
  <c r="X107" i="6"/>
  <c r="AJ107" i="6"/>
  <c r="AL107" i="6" s="1"/>
  <c r="W108" i="6"/>
  <c r="BB108" i="6" s="1"/>
  <c r="AH108" i="6"/>
  <c r="AI108" i="6" s="1"/>
  <c r="N110" i="6"/>
  <c r="O110" i="6" s="1"/>
  <c r="P110" i="6"/>
  <c r="S110" i="6" s="1"/>
  <c r="T110" i="6" s="1"/>
  <c r="M111" i="6"/>
  <c r="U109" i="6"/>
  <c r="V109" i="6"/>
  <c r="N107" i="10"/>
  <c r="BN109" i="6"/>
  <c r="P107" i="10"/>
  <c r="Q107" i="10" s="1"/>
  <c r="O108" i="10"/>
  <c r="AN105" i="6" l="1"/>
  <c r="AO104" i="6"/>
  <c r="Z107" i="6"/>
  <c r="AK107" i="6"/>
  <c r="AM107" i="6" s="1"/>
  <c r="S107" i="10"/>
  <c r="T107" i="10" s="1"/>
  <c r="U107" i="10" s="1"/>
  <c r="W107" i="10" s="1"/>
  <c r="R107" i="10"/>
  <c r="X108" i="6"/>
  <c r="AJ108" i="6"/>
  <c r="AL108" i="6" s="1"/>
  <c r="AN106" i="6" s="1"/>
  <c r="W109" i="6"/>
  <c r="BB109" i="6" s="1"/>
  <c r="AH109" i="6"/>
  <c r="AI109" i="6" s="1"/>
  <c r="P111" i="6"/>
  <c r="S111" i="6" s="1"/>
  <c r="T111" i="6" s="1"/>
  <c r="N111" i="6"/>
  <c r="O111" i="6" s="1"/>
  <c r="M112" i="6"/>
  <c r="U110" i="6"/>
  <c r="V110" i="6"/>
  <c r="N108" i="10"/>
  <c r="BN110" i="6"/>
  <c r="AQ104" i="6"/>
  <c r="AZ104" i="6" s="1"/>
  <c r="AX104" i="6"/>
  <c r="P108" i="10"/>
  <c r="Q108" i="10" s="1"/>
  <c r="O109" i="10"/>
  <c r="AO105" i="6" l="1"/>
  <c r="Z108" i="6"/>
  <c r="AK108" i="6"/>
  <c r="AM108" i="6" s="1"/>
  <c r="S108" i="10"/>
  <c r="T108" i="10" s="1"/>
  <c r="U108" i="10" s="1"/>
  <c r="W108" i="10" s="1"/>
  <c r="R108" i="10"/>
  <c r="X109" i="6"/>
  <c r="AJ109" i="6"/>
  <c r="AL109" i="6" s="1"/>
  <c r="W110" i="6"/>
  <c r="BB110" i="6" s="1"/>
  <c r="AH110" i="6"/>
  <c r="AI110" i="6" s="1"/>
  <c r="P112" i="6"/>
  <c r="S112" i="6" s="1"/>
  <c r="T112" i="6" s="1"/>
  <c r="N112" i="6"/>
  <c r="O112" i="6" s="1"/>
  <c r="M113" i="6"/>
  <c r="U111" i="6"/>
  <c r="V111" i="6"/>
  <c r="AY106" i="6"/>
  <c r="AY104" i="6"/>
  <c r="N109" i="10"/>
  <c r="BN111" i="6"/>
  <c r="AQ105" i="6"/>
  <c r="AZ105" i="6" s="1"/>
  <c r="AQ106" i="6"/>
  <c r="AZ106" i="6" s="1"/>
  <c r="P109" i="10"/>
  <c r="Q109" i="10" s="1"/>
  <c r="O110" i="10"/>
  <c r="AN107" i="6" l="1"/>
  <c r="AO106" i="6"/>
  <c r="Z109" i="6"/>
  <c r="AK109" i="6"/>
  <c r="AM109" i="6" s="1"/>
  <c r="S109" i="10"/>
  <c r="T109" i="10" s="1"/>
  <c r="U109" i="10" s="1"/>
  <c r="W109" i="10" s="1"/>
  <c r="R109" i="10"/>
  <c r="X110" i="6"/>
  <c r="AJ110" i="6"/>
  <c r="AL110" i="6" s="1"/>
  <c r="AN108" i="6" s="1"/>
  <c r="W111" i="6"/>
  <c r="BB111" i="6" s="1"/>
  <c r="AH111" i="6"/>
  <c r="AI111" i="6" s="1"/>
  <c r="N113" i="6"/>
  <c r="O113" i="6" s="1"/>
  <c r="P113" i="6"/>
  <c r="S113" i="6" s="1"/>
  <c r="T113" i="6" s="1"/>
  <c r="M114" i="6"/>
  <c r="U112" i="6"/>
  <c r="V112" i="6"/>
  <c r="AY105" i="6"/>
  <c r="N110" i="10"/>
  <c r="BN112" i="6"/>
  <c r="O111" i="10"/>
  <c r="P110" i="10"/>
  <c r="Q110" i="10" s="1"/>
  <c r="AO107" i="6" l="1"/>
  <c r="Z110" i="6"/>
  <c r="AK110" i="6"/>
  <c r="AM110" i="6" s="1"/>
  <c r="S110" i="10"/>
  <c r="T110" i="10" s="1"/>
  <c r="U110" i="10" s="1"/>
  <c r="W110" i="10" s="1"/>
  <c r="R110" i="10"/>
  <c r="X111" i="6"/>
  <c r="AJ111" i="6"/>
  <c r="AL111" i="6" s="1"/>
  <c r="W112" i="6"/>
  <c r="BB112" i="6" s="1"/>
  <c r="AH112" i="6"/>
  <c r="AI112" i="6" s="1"/>
  <c r="N114" i="6"/>
  <c r="O114" i="6" s="1"/>
  <c r="P114" i="6"/>
  <c r="S114" i="6" s="1"/>
  <c r="T114" i="6" s="1"/>
  <c r="M115" i="6"/>
  <c r="U113" i="6"/>
  <c r="V113" i="6"/>
  <c r="AY108" i="6"/>
  <c r="N111" i="10"/>
  <c r="BN113" i="6"/>
  <c r="AQ108" i="6"/>
  <c r="AZ108" i="6" s="1"/>
  <c r="AQ107" i="6"/>
  <c r="AZ107" i="6" s="1"/>
  <c r="O112" i="10"/>
  <c r="P111" i="10"/>
  <c r="Q111" i="10" s="1"/>
  <c r="AN109" i="6" l="1"/>
  <c r="AO108" i="6"/>
  <c r="Z111" i="6"/>
  <c r="AK111" i="6"/>
  <c r="AM111" i="6" s="1"/>
  <c r="S111" i="10"/>
  <c r="T111" i="10" s="1"/>
  <c r="U111" i="10" s="1"/>
  <c r="W111" i="10" s="1"/>
  <c r="R111" i="10"/>
  <c r="X112" i="6"/>
  <c r="AJ112" i="6"/>
  <c r="AL112" i="6" s="1"/>
  <c r="AN110" i="6" s="1"/>
  <c r="W113" i="6"/>
  <c r="BB113" i="6" s="1"/>
  <c r="AH113" i="6"/>
  <c r="AI113" i="6" s="1"/>
  <c r="N115" i="6"/>
  <c r="O115" i="6" s="1"/>
  <c r="P115" i="6"/>
  <c r="S115" i="6" s="1"/>
  <c r="T115" i="6" s="1"/>
  <c r="M116" i="6"/>
  <c r="U114" i="6"/>
  <c r="V114" i="6"/>
  <c r="AY107" i="6"/>
  <c r="N112" i="10"/>
  <c r="BN114" i="6"/>
  <c r="P112" i="10"/>
  <c r="Q112" i="10" s="1"/>
  <c r="O113" i="10"/>
  <c r="AO109" i="6" l="1"/>
  <c r="Z112" i="6"/>
  <c r="AK112" i="6"/>
  <c r="AM112" i="6" s="1"/>
  <c r="AO110" i="6" s="1"/>
  <c r="S112" i="10"/>
  <c r="T112" i="10" s="1"/>
  <c r="U112" i="10" s="1"/>
  <c r="W112" i="10" s="1"/>
  <c r="R112" i="10"/>
  <c r="X113" i="6"/>
  <c r="AJ113" i="6"/>
  <c r="AL113" i="6" s="1"/>
  <c r="W114" i="6"/>
  <c r="BB114" i="6" s="1"/>
  <c r="AH114" i="6"/>
  <c r="AI114" i="6" s="1"/>
  <c r="N116" i="6"/>
  <c r="O116" i="6" s="1"/>
  <c r="P116" i="6"/>
  <c r="S116" i="6" s="1"/>
  <c r="T116" i="6" s="1"/>
  <c r="M117" i="6"/>
  <c r="U115" i="6"/>
  <c r="V115" i="6"/>
  <c r="AY110" i="6"/>
  <c r="AY109" i="6"/>
  <c r="N113" i="10"/>
  <c r="BN115" i="6"/>
  <c r="AQ110" i="6"/>
  <c r="AZ110" i="6" s="1"/>
  <c r="AQ109" i="6"/>
  <c r="AZ109" i="6" s="1"/>
  <c r="O114" i="10"/>
  <c r="P113" i="10"/>
  <c r="Q113" i="10" s="1"/>
  <c r="AN111" i="6" l="1"/>
  <c r="Z113" i="6"/>
  <c r="AK113" i="6"/>
  <c r="AM113" i="6" s="1"/>
  <c r="S113" i="10"/>
  <c r="T113" i="10" s="1"/>
  <c r="U113" i="10" s="1"/>
  <c r="W113" i="10" s="1"/>
  <c r="R113" i="10"/>
  <c r="X114" i="6"/>
  <c r="AJ114" i="6"/>
  <c r="AL114" i="6" s="1"/>
  <c r="AN112" i="6" s="1"/>
  <c r="W115" i="6"/>
  <c r="BB115" i="6" s="1"/>
  <c r="AH115" i="6"/>
  <c r="AI115" i="6" s="1"/>
  <c r="U116" i="6"/>
  <c r="V116" i="6"/>
  <c r="N117" i="6"/>
  <c r="O117" i="6" s="1"/>
  <c r="P117" i="6"/>
  <c r="S117" i="6" s="1"/>
  <c r="T117" i="6" s="1"/>
  <c r="M118" i="6"/>
  <c r="BN116" i="6"/>
  <c r="N114" i="10"/>
  <c r="AQ111" i="6"/>
  <c r="AZ111" i="6" s="1"/>
  <c r="O115" i="10"/>
  <c r="P114" i="10"/>
  <c r="Q114" i="10" s="1"/>
  <c r="AO111" i="6" l="1"/>
  <c r="Z114" i="6"/>
  <c r="AK114" i="6"/>
  <c r="AM114" i="6" s="1"/>
  <c r="S114" i="10"/>
  <c r="T114" i="10" s="1"/>
  <c r="U114" i="10" s="1"/>
  <c r="W114" i="10" s="1"/>
  <c r="R114" i="10"/>
  <c r="X115" i="6"/>
  <c r="AJ115" i="6"/>
  <c r="AL115" i="6" s="1"/>
  <c r="W116" i="6"/>
  <c r="BB116" i="6" s="1"/>
  <c r="AH116" i="6"/>
  <c r="AI116" i="6" s="1"/>
  <c r="N118" i="6"/>
  <c r="O118" i="6" s="1"/>
  <c r="P118" i="6"/>
  <c r="S118" i="6" s="1"/>
  <c r="T118" i="6" s="1"/>
  <c r="M119" i="6"/>
  <c r="V117" i="6"/>
  <c r="U117" i="6"/>
  <c r="AY111" i="6"/>
  <c r="N115" i="10"/>
  <c r="BN117" i="6"/>
  <c r="AQ112" i="6"/>
  <c r="AZ112" i="6" s="1"/>
  <c r="P115" i="10"/>
  <c r="Q115" i="10" s="1"/>
  <c r="O116" i="10"/>
  <c r="AN113" i="6" l="1"/>
  <c r="AO112" i="6"/>
  <c r="Z115" i="6"/>
  <c r="AK115" i="6"/>
  <c r="AM115" i="6" s="1"/>
  <c r="AO113" i="6" s="1"/>
  <c r="S115" i="10"/>
  <c r="T115" i="10" s="1"/>
  <c r="U115" i="10" s="1"/>
  <c r="W115" i="10" s="1"/>
  <c r="R115" i="10"/>
  <c r="X116" i="6"/>
  <c r="AJ116" i="6"/>
  <c r="AL116" i="6" s="1"/>
  <c r="AN114" i="6" s="1"/>
  <c r="W117" i="6"/>
  <c r="BB117" i="6" s="1"/>
  <c r="AH117" i="6"/>
  <c r="AI117" i="6" s="1"/>
  <c r="N119" i="6"/>
  <c r="O119" i="6" s="1"/>
  <c r="P119" i="6"/>
  <c r="S119" i="6" s="1"/>
  <c r="T119" i="6" s="1"/>
  <c r="M120" i="6"/>
  <c r="U118" i="6"/>
  <c r="V118" i="6"/>
  <c r="AY113" i="6"/>
  <c r="AY112" i="6"/>
  <c r="N116" i="10"/>
  <c r="BN118" i="6"/>
  <c r="AQ113" i="6"/>
  <c r="AZ113" i="6" s="1"/>
  <c r="O117" i="10"/>
  <c r="P116" i="10"/>
  <c r="Q116" i="10" s="1"/>
  <c r="Z116" i="6" l="1"/>
  <c r="AK116" i="6"/>
  <c r="AM116" i="6" s="1"/>
  <c r="S116" i="10"/>
  <c r="T116" i="10" s="1"/>
  <c r="U116" i="10" s="1"/>
  <c r="W116" i="10" s="1"/>
  <c r="R116" i="10"/>
  <c r="X117" i="6"/>
  <c r="AJ117" i="6"/>
  <c r="AL117" i="6" s="1"/>
  <c r="W118" i="6"/>
  <c r="BB118" i="6" s="1"/>
  <c r="AH118" i="6"/>
  <c r="AI118" i="6" s="1"/>
  <c r="N120" i="6"/>
  <c r="O120" i="6" s="1"/>
  <c r="P120" i="6"/>
  <c r="S120" i="6" s="1"/>
  <c r="T120" i="6" s="1"/>
  <c r="M121" i="6"/>
  <c r="U119" i="6"/>
  <c r="V119" i="6"/>
  <c r="N117" i="10"/>
  <c r="BN119" i="6"/>
  <c r="P117" i="10"/>
  <c r="Q117" i="10" s="1"/>
  <c r="O118" i="10"/>
  <c r="AN115" i="6" l="1"/>
  <c r="AO114" i="6"/>
  <c r="Z117" i="6"/>
  <c r="AK117" i="6"/>
  <c r="AM117" i="6" s="1"/>
  <c r="AO115" i="6" s="1"/>
  <c r="S117" i="10"/>
  <c r="T117" i="10" s="1"/>
  <c r="U117" i="10" s="1"/>
  <c r="W117" i="10" s="1"/>
  <c r="R117" i="10"/>
  <c r="X118" i="6"/>
  <c r="AJ118" i="6"/>
  <c r="AL118" i="6" s="1"/>
  <c r="AN116" i="6" s="1"/>
  <c r="W119" i="6"/>
  <c r="BB119" i="6" s="1"/>
  <c r="AH119" i="6"/>
  <c r="AI119" i="6" s="1"/>
  <c r="N121" i="6"/>
  <c r="O121" i="6" s="1"/>
  <c r="P121" i="6"/>
  <c r="S121" i="6" s="1"/>
  <c r="T121" i="6" s="1"/>
  <c r="M122" i="6"/>
  <c r="U120" i="6"/>
  <c r="V120" i="6"/>
  <c r="AY115" i="6"/>
  <c r="N118" i="10"/>
  <c r="BN120" i="6"/>
  <c r="AQ114" i="6"/>
  <c r="AZ114" i="6" s="1"/>
  <c r="AQ115" i="6"/>
  <c r="AZ115" i="6" s="1"/>
  <c r="O119" i="10"/>
  <c r="P118" i="10"/>
  <c r="Q118" i="10" s="1"/>
  <c r="Z118" i="6" l="1"/>
  <c r="AK118" i="6"/>
  <c r="AM118" i="6" s="1"/>
  <c r="S118" i="10"/>
  <c r="T118" i="10" s="1"/>
  <c r="U118" i="10" s="1"/>
  <c r="W118" i="10" s="1"/>
  <c r="R118" i="10"/>
  <c r="X119" i="6"/>
  <c r="AJ119" i="6"/>
  <c r="AL119" i="6" s="1"/>
  <c r="W120" i="6"/>
  <c r="BB120" i="6" s="1"/>
  <c r="AH120" i="6"/>
  <c r="AI120" i="6" s="1"/>
  <c r="P122" i="6"/>
  <c r="S122" i="6" s="1"/>
  <c r="T122" i="6" s="1"/>
  <c r="N122" i="6"/>
  <c r="O122" i="6" s="1"/>
  <c r="M123" i="6"/>
  <c r="U121" i="6"/>
  <c r="V121" i="6"/>
  <c r="AY114" i="6"/>
  <c r="BN121" i="6"/>
  <c r="N119" i="10"/>
  <c r="AQ116" i="6"/>
  <c r="AZ116" i="6" s="1"/>
  <c r="O120" i="10"/>
  <c r="P119" i="10"/>
  <c r="Q119" i="10" s="1"/>
  <c r="AN117" i="6" l="1"/>
  <c r="AO116" i="6"/>
  <c r="Z119" i="6"/>
  <c r="AK119" i="6"/>
  <c r="AM119" i="6" s="1"/>
  <c r="AO117" i="6" s="1"/>
  <c r="S119" i="10"/>
  <c r="T119" i="10" s="1"/>
  <c r="U119" i="10" s="1"/>
  <c r="W119" i="10" s="1"/>
  <c r="R119" i="10"/>
  <c r="X120" i="6"/>
  <c r="AJ120" i="6"/>
  <c r="AL120" i="6" s="1"/>
  <c r="AN118" i="6" s="1"/>
  <c r="W121" i="6"/>
  <c r="BB121" i="6" s="1"/>
  <c r="AH121" i="6"/>
  <c r="AI121" i="6" s="1"/>
  <c r="N123" i="6"/>
  <c r="O123" i="6" s="1"/>
  <c r="P123" i="6"/>
  <c r="S123" i="6" s="1"/>
  <c r="T123" i="6" s="1"/>
  <c r="M124" i="6"/>
  <c r="U122" i="6"/>
  <c r="V122" i="6"/>
  <c r="AY116" i="6"/>
  <c r="N120" i="10"/>
  <c r="BN122" i="6"/>
  <c r="O121" i="10"/>
  <c r="P120" i="10"/>
  <c r="Q120" i="10" s="1"/>
  <c r="Z120" i="6" l="1"/>
  <c r="AK120" i="6"/>
  <c r="AM120" i="6" s="1"/>
  <c r="S120" i="10"/>
  <c r="T120" i="10" s="1"/>
  <c r="U120" i="10" s="1"/>
  <c r="W120" i="10" s="1"/>
  <c r="R120" i="10"/>
  <c r="X121" i="6"/>
  <c r="AJ121" i="6"/>
  <c r="AL121" i="6" s="1"/>
  <c r="W122" i="6"/>
  <c r="BB122" i="6" s="1"/>
  <c r="AH122" i="6"/>
  <c r="AI122" i="6" s="1"/>
  <c r="P124" i="6"/>
  <c r="S124" i="6" s="1"/>
  <c r="T124" i="6" s="1"/>
  <c r="N124" i="6"/>
  <c r="O124" i="6" s="1"/>
  <c r="M125" i="6"/>
  <c r="U123" i="6"/>
  <c r="V123" i="6"/>
  <c r="AY118" i="6"/>
  <c r="N121" i="10"/>
  <c r="BN123" i="6"/>
  <c r="AQ117" i="6"/>
  <c r="AZ117" i="6" s="1"/>
  <c r="AQ118" i="6"/>
  <c r="AZ118" i="6" s="1"/>
  <c r="P121" i="10"/>
  <c r="Q121" i="10" s="1"/>
  <c r="O122" i="10"/>
  <c r="AN119" i="6" l="1"/>
  <c r="AO118" i="6"/>
  <c r="Z121" i="6"/>
  <c r="AK121" i="6"/>
  <c r="AM121" i="6" s="1"/>
  <c r="S121" i="10"/>
  <c r="T121" i="10" s="1"/>
  <c r="U121" i="10" s="1"/>
  <c r="W121" i="10" s="1"/>
  <c r="R121" i="10"/>
  <c r="X122" i="6"/>
  <c r="AJ122" i="6"/>
  <c r="AL122" i="6" s="1"/>
  <c r="W123" i="6"/>
  <c r="BB123" i="6" s="1"/>
  <c r="AH123" i="6"/>
  <c r="AI123" i="6" s="1"/>
  <c r="N125" i="6"/>
  <c r="O125" i="6" s="1"/>
  <c r="P125" i="6"/>
  <c r="S125" i="6" s="1"/>
  <c r="T125" i="6" s="1"/>
  <c r="M126" i="6"/>
  <c r="U124" i="6"/>
  <c r="V124" i="6"/>
  <c r="AY119" i="6"/>
  <c r="AY117" i="6"/>
  <c r="N122" i="10"/>
  <c r="BN124" i="6"/>
  <c r="AQ119" i="6"/>
  <c r="AZ119" i="6" s="1"/>
  <c r="O123" i="10"/>
  <c r="P122" i="10"/>
  <c r="Q122" i="10" s="1"/>
  <c r="AO119" i="6" l="1"/>
  <c r="AN120" i="6"/>
  <c r="Z122" i="6"/>
  <c r="AK122" i="6"/>
  <c r="AM122" i="6" s="1"/>
  <c r="S122" i="10"/>
  <c r="T122" i="10" s="1"/>
  <c r="U122" i="10" s="1"/>
  <c r="W122" i="10" s="1"/>
  <c r="R122" i="10"/>
  <c r="X123" i="6"/>
  <c r="AJ123" i="6"/>
  <c r="AL123" i="6" s="1"/>
  <c r="W124" i="6"/>
  <c r="BB124" i="6" s="1"/>
  <c r="AH124" i="6"/>
  <c r="AI124" i="6" s="1"/>
  <c r="N126" i="6"/>
  <c r="O126" i="6" s="1"/>
  <c r="P126" i="6"/>
  <c r="S126" i="6" s="1"/>
  <c r="T126" i="6" s="1"/>
  <c r="M127" i="6"/>
  <c r="V125" i="6"/>
  <c r="U125" i="6"/>
  <c r="BN125" i="6"/>
  <c r="N123" i="10"/>
  <c r="P123" i="10"/>
  <c r="Q123" i="10" s="1"/>
  <c r="O124" i="10"/>
  <c r="AN121" i="6" l="1"/>
  <c r="AO120" i="6"/>
  <c r="Z123" i="6"/>
  <c r="AK123" i="6"/>
  <c r="AM123" i="6" s="1"/>
  <c r="S123" i="10"/>
  <c r="T123" i="10" s="1"/>
  <c r="U123" i="10" s="1"/>
  <c r="W123" i="10" s="1"/>
  <c r="R123" i="10"/>
  <c r="X124" i="6"/>
  <c r="AJ124" i="6"/>
  <c r="AL124" i="6" s="1"/>
  <c r="W125" i="6"/>
  <c r="BB125" i="6" s="1"/>
  <c r="AH125" i="6"/>
  <c r="AI125" i="6" s="1"/>
  <c r="N127" i="6"/>
  <c r="O127" i="6" s="1"/>
  <c r="P127" i="6"/>
  <c r="S127" i="6" s="1"/>
  <c r="T127" i="6" s="1"/>
  <c r="M128" i="6"/>
  <c r="U126" i="6"/>
  <c r="V126" i="6"/>
  <c r="AY121" i="6"/>
  <c r="N124" i="10"/>
  <c r="BN126" i="6"/>
  <c r="AQ121" i="6"/>
  <c r="AZ121" i="6" s="1"/>
  <c r="AQ120" i="6"/>
  <c r="AZ120" i="6" s="1"/>
  <c r="O125" i="10"/>
  <c r="P124" i="10"/>
  <c r="Q124" i="10" s="1"/>
  <c r="AO121" i="6" l="1"/>
  <c r="AN122" i="6"/>
  <c r="Z124" i="6"/>
  <c r="AK124" i="6"/>
  <c r="AM124" i="6" s="1"/>
  <c r="S124" i="10"/>
  <c r="T124" i="10" s="1"/>
  <c r="U124" i="10" s="1"/>
  <c r="W124" i="10" s="1"/>
  <c r="R124" i="10"/>
  <c r="X125" i="6"/>
  <c r="AJ125" i="6"/>
  <c r="AL125" i="6" s="1"/>
  <c r="W126" i="6"/>
  <c r="BB126" i="6" s="1"/>
  <c r="AH126" i="6"/>
  <c r="AI126" i="6" s="1"/>
  <c r="N128" i="6"/>
  <c r="O128" i="6" s="1"/>
  <c r="P128" i="6"/>
  <c r="S128" i="6" s="1"/>
  <c r="T128" i="6" s="1"/>
  <c r="M129" i="6"/>
  <c r="U127" i="6"/>
  <c r="V127" i="6"/>
  <c r="AY120" i="6"/>
  <c r="AY122" i="6"/>
  <c r="BN127" i="6"/>
  <c r="AQ122" i="6"/>
  <c r="AZ122" i="6" s="1"/>
  <c r="N125" i="10"/>
  <c r="P125" i="10"/>
  <c r="Q125" i="10" s="1"/>
  <c r="O126" i="10"/>
  <c r="AN123" i="6" l="1"/>
  <c r="AO122" i="6"/>
  <c r="Z125" i="6"/>
  <c r="AK125" i="6"/>
  <c r="AM125" i="6" s="1"/>
  <c r="AO123" i="6" s="1"/>
  <c r="S125" i="10"/>
  <c r="T125" i="10" s="1"/>
  <c r="U125" i="10" s="1"/>
  <c r="W125" i="10" s="1"/>
  <c r="R125" i="10"/>
  <c r="X126" i="6"/>
  <c r="AJ126" i="6"/>
  <c r="AL126" i="6" s="1"/>
  <c r="AN124" i="6" s="1"/>
  <c r="W127" i="6"/>
  <c r="BB127" i="6" s="1"/>
  <c r="AH127" i="6"/>
  <c r="AI127" i="6" s="1"/>
  <c r="P129" i="6"/>
  <c r="S129" i="6" s="1"/>
  <c r="T129" i="6" s="1"/>
  <c r="N129" i="6"/>
  <c r="O129" i="6" s="1"/>
  <c r="M130" i="6"/>
  <c r="V128" i="6"/>
  <c r="U128" i="6"/>
  <c r="N126" i="10"/>
  <c r="BN128" i="6"/>
  <c r="AQ123" i="6"/>
  <c r="AZ123" i="6" s="1"/>
  <c r="O127" i="10"/>
  <c r="P126" i="10"/>
  <c r="Q126" i="10" s="1"/>
  <c r="Z126" i="6" l="1"/>
  <c r="AK126" i="6"/>
  <c r="AM126" i="6" s="1"/>
  <c r="AO124" i="6" s="1"/>
  <c r="S126" i="10"/>
  <c r="T126" i="10" s="1"/>
  <c r="U126" i="10" s="1"/>
  <c r="W126" i="10" s="1"/>
  <c r="R126" i="10"/>
  <c r="X127" i="6"/>
  <c r="AJ127" i="6"/>
  <c r="AL127" i="6" s="1"/>
  <c r="W128" i="6"/>
  <c r="BB128" i="6" s="1"/>
  <c r="AH128" i="6"/>
  <c r="AI128" i="6" s="1"/>
  <c r="N130" i="6"/>
  <c r="O130" i="6" s="1"/>
  <c r="P130" i="6"/>
  <c r="S130" i="6" s="1"/>
  <c r="T130" i="6" s="1"/>
  <c r="M131" i="6"/>
  <c r="U129" i="6"/>
  <c r="V129" i="6"/>
  <c r="AY123" i="6"/>
  <c r="N127" i="10"/>
  <c r="BN129" i="6"/>
  <c r="P127" i="10"/>
  <c r="Q127" i="10" s="1"/>
  <c r="O128" i="10"/>
  <c r="AN125" i="6" l="1"/>
  <c r="Z127" i="6"/>
  <c r="AK127" i="6"/>
  <c r="AM127" i="6" s="1"/>
  <c r="S127" i="10"/>
  <c r="T127" i="10" s="1"/>
  <c r="U127" i="10" s="1"/>
  <c r="W127" i="10" s="1"/>
  <c r="R127" i="10"/>
  <c r="X128" i="6"/>
  <c r="AJ128" i="6"/>
  <c r="AL128" i="6" s="1"/>
  <c r="AN126" i="6" s="1"/>
  <c r="W129" i="6"/>
  <c r="BB129" i="6" s="1"/>
  <c r="AH129" i="6"/>
  <c r="AI129" i="6" s="1"/>
  <c r="P131" i="6"/>
  <c r="S131" i="6" s="1"/>
  <c r="T131" i="6" s="1"/>
  <c r="N131" i="6"/>
  <c r="O131" i="6" s="1"/>
  <c r="M132" i="6"/>
  <c r="U130" i="6"/>
  <c r="V130" i="6"/>
  <c r="AY125" i="6"/>
  <c r="N128" i="10"/>
  <c r="BN130" i="6"/>
  <c r="AQ124" i="6"/>
  <c r="AZ124" i="6" s="1"/>
  <c r="AQ125" i="6"/>
  <c r="AZ125" i="6" s="1"/>
  <c r="P128" i="10"/>
  <c r="Q128" i="10" s="1"/>
  <c r="O129" i="10"/>
  <c r="AO125" i="6" l="1"/>
  <c r="Z128" i="6"/>
  <c r="AK128" i="6"/>
  <c r="AM128" i="6" s="1"/>
  <c r="S128" i="10"/>
  <c r="T128" i="10" s="1"/>
  <c r="U128" i="10" s="1"/>
  <c r="W128" i="10" s="1"/>
  <c r="R128" i="10"/>
  <c r="X129" i="6"/>
  <c r="AJ129" i="6"/>
  <c r="AL129" i="6" s="1"/>
  <c r="W130" i="6"/>
  <c r="BB130" i="6" s="1"/>
  <c r="AH130" i="6"/>
  <c r="AI130" i="6" s="1"/>
  <c r="N132" i="6"/>
  <c r="O132" i="6" s="1"/>
  <c r="P132" i="6"/>
  <c r="S132" i="6" s="1"/>
  <c r="T132" i="6" s="1"/>
  <c r="M133" i="6"/>
  <c r="U131" i="6"/>
  <c r="V131" i="6"/>
  <c r="AY124" i="6"/>
  <c r="AY126" i="6"/>
  <c r="BN131" i="6"/>
  <c r="AQ126" i="6"/>
  <c r="AZ126" i="6" s="1"/>
  <c r="N129" i="10"/>
  <c r="O130" i="10"/>
  <c r="P129" i="10"/>
  <c r="Q129" i="10" s="1"/>
  <c r="AN127" i="6" l="1"/>
  <c r="AO126" i="6"/>
  <c r="Z129" i="6"/>
  <c r="AK129" i="6"/>
  <c r="AM129" i="6" s="1"/>
  <c r="AO127" i="6" s="1"/>
  <c r="S129" i="10"/>
  <c r="T129" i="10" s="1"/>
  <c r="U129" i="10" s="1"/>
  <c r="W129" i="10" s="1"/>
  <c r="R129" i="10"/>
  <c r="X130" i="6"/>
  <c r="AJ130" i="6"/>
  <c r="AL130" i="6" s="1"/>
  <c r="AN128" i="6" s="1"/>
  <c r="W131" i="6"/>
  <c r="BB131" i="6" s="1"/>
  <c r="AH131" i="6"/>
  <c r="AI131" i="6" s="1"/>
  <c r="N133" i="6"/>
  <c r="O133" i="6" s="1"/>
  <c r="P133" i="6"/>
  <c r="S133" i="6" s="1"/>
  <c r="T133" i="6" s="1"/>
  <c r="M134" i="6"/>
  <c r="U132" i="6"/>
  <c r="V132" i="6"/>
  <c r="N130" i="10"/>
  <c r="BN132" i="6"/>
  <c r="AQ127" i="6"/>
  <c r="AZ127" i="6" s="1"/>
  <c r="O131" i="10"/>
  <c r="P130" i="10"/>
  <c r="Q130" i="10" s="1"/>
  <c r="Z130" i="6" l="1"/>
  <c r="AK130" i="6"/>
  <c r="AM130" i="6" s="1"/>
  <c r="AO128" i="6" s="1"/>
  <c r="S130" i="10"/>
  <c r="T130" i="10" s="1"/>
  <c r="U130" i="10" s="1"/>
  <c r="W130" i="10" s="1"/>
  <c r="R130" i="10"/>
  <c r="X131" i="6"/>
  <c r="AJ131" i="6"/>
  <c r="AL131" i="6" s="1"/>
  <c r="W132" i="6"/>
  <c r="BB132" i="6" s="1"/>
  <c r="AH132" i="6"/>
  <c r="AI132" i="6" s="1"/>
  <c r="N134" i="6"/>
  <c r="O134" i="6" s="1"/>
  <c r="P134" i="6"/>
  <c r="S134" i="6" s="1"/>
  <c r="T134" i="6" s="1"/>
  <c r="M135" i="6"/>
  <c r="V133" i="6"/>
  <c r="U133" i="6"/>
  <c r="AY127" i="6"/>
  <c r="BN133" i="6"/>
  <c r="N131" i="10"/>
  <c r="AQ128" i="6"/>
  <c r="AZ128" i="6" s="1"/>
  <c r="O132" i="10"/>
  <c r="P131" i="10"/>
  <c r="Q131" i="10" s="1"/>
  <c r="AN129" i="6" l="1"/>
  <c r="Z131" i="6"/>
  <c r="AK131" i="6"/>
  <c r="AM131" i="6" s="1"/>
  <c r="S131" i="10"/>
  <c r="T131" i="10" s="1"/>
  <c r="U131" i="10" s="1"/>
  <c r="W131" i="10" s="1"/>
  <c r="R131" i="10"/>
  <c r="X132" i="6"/>
  <c r="AJ132" i="6"/>
  <c r="AL132" i="6" s="1"/>
  <c r="AN130" i="6" s="1"/>
  <c r="W133" i="6"/>
  <c r="BB133" i="6" s="1"/>
  <c r="AH133" i="6"/>
  <c r="AI133" i="6" s="1"/>
  <c r="N135" i="6"/>
  <c r="O135" i="6" s="1"/>
  <c r="P135" i="6"/>
  <c r="S135" i="6" s="1"/>
  <c r="T135" i="6" s="1"/>
  <c r="M136" i="6"/>
  <c r="U134" i="6"/>
  <c r="V134" i="6"/>
  <c r="AY128" i="6"/>
  <c r="BN134" i="6"/>
  <c r="N132" i="10"/>
  <c r="P132" i="10"/>
  <c r="Q132" i="10" s="1"/>
  <c r="O133" i="10"/>
  <c r="AO129" i="6" l="1"/>
  <c r="Z132" i="6"/>
  <c r="AK132" i="6"/>
  <c r="AM132" i="6" s="1"/>
  <c r="S132" i="10"/>
  <c r="T132" i="10" s="1"/>
  <c r="U132" i="10" s="1"/>
  <c r="W132" i="10" s="1"/>
  <c r="R132" i="10"/>
  <c r="X133" i="6"/>
  <c r="AJ133" i="6"/>
  <c r="AL133" i="6" s="1"/>
  <c r="W134" i="6"/>
  <c r="BB134" i="6" s="1"/>
  <c r="AH134" i="6"/>
  <c r="AI134" i="6" s="1"/>
  <c r="N136" i="6"/>
  <c r="O136" i="6" s="1"/>
  <c r="P136" i="6"/>
  <c r="S136" i="6" s="1"/>
  <c r="T136" i="6" s="1"/>
  <c r="M137" i="6"/>
  <c r="U135" i="6"/>
  <c r="V135" i="6"/>
  <c r="N133" i="10"/>
  <c r="BN135" i="6"/>
  <c r="AY130" i="6"/>
  <c r="AQ129" i="6"/>
  <c r="AZ129" i="6" s="1"/>
  <c r="AQ130" i="6"/>
  <c r="AZ130" i="6" s="1"/>
  <c r="O134" i="10"/>
  <c r="P133" i="10"/>
  <c r="Q133" i="10" s="1"/>
  <c r="AO130" i="6" l="1"/>
  <c r="AN131" i="6"/>
  <c r="Z133" i="6"/>
  <c r="AK133" i="6"/>
  <c r="AM133" i="6" s="1"/>
  <c r="S133" i="10"/>
  <c r="T133" i="10" s="1"/>
  <c r="U133" i="10" s="1"/>
  <c r="W133" i="10" s="1"/>
  <c r="R133" i="10"/>
  <c r="X134" i="6"/>
  <c r="AJ134" i="6"/>
  <c r="AL134" i="6" s="1"/>
  <c r="AN132" i="6" s="1"/>
  <c r="W135" i="6"/>
  <c r="BB135" i="6" s="1"/>
  <c r="AH135" i="6"/>
  <c r="AI135" i="6" s="1"/>
  <c r="P137" i="6"/>
  <c r="S137" i="6" s="1"/>
  <c r="T137" i="6" s="1"/>
  <c r="N137" i="6"/>
  <c r="O137" i="6" s="1"/>
  <c r="M138" i="6"/>
  <c r="V136" i="6"/>
  <c r="U136" i="6"/>
  <c r="AY129" i="6"/>
  <c r="BN136" i="6"/>
  <c r="N134" i="10"/>
  <c r="O135" i="10"/>
  <c r="P134" i="10"/>
  <c r="Q134" i="10" s="1"/>
  <c r="AO131" i="6" l="1"/>
  <c r="Z134" i="6"/>
  <c r="AK134" i="6"/>
  <c r="AM134" i="6" s="1"/>
  <c r="S134" i="10"/>
  <c r="T134" i="10" s="1"/>
  <c r="U134" i="10" s="1"/>
  <c r="W134" i="10" s="1"/>
  <c r="R134" i="10"/>
  <c r="X135" i="6"/>
  <c r="AJ135" i="6"/>
  <c r="AL135" i="6" s="1"/>
  <c r="W136" i="6"/>
  <c r="BB136" i="6" s="1"/>
  <c r="AH136" i="6"/>
  <c r="AI136" i="6" s="1"/>
  <c r="N138" i="6"/>
  <c r="O138" i="6" s="1"/>
  <c r="P138" i="6"/>
  <c r="S138" i="6" s="1"/>
  <c r="T138" i="6" s="1"/>
  <c r="M139" i="6"/>
  <c r="U137" i="6"/>
  <c r="V137" i="6"/>
  <c r="AY132" i="6"/>
  <c r="N135" i="10"/>
  <c r="BN137" i="6"/>
  <c r="AQ131" i="6"/>
  <c r="AZ131" i="6" s="1"/>
  <c r="AQ132" i="6"/>
  <c r="AZ132" i="6" s="1"/>
  <c r="O136" i="10"/>
  <c r="P135" i="10"/>
  <c r="Q135" i="10" s="1"/>
  <c r="AN133" i="6" l="1"/>
  <c r="AO132" i="6"/>
  <c r="Z135" i="6"/>
  <c r="AK135" i="6"/>
  <c r="AM135" i="6" s="1"/>
  <c r="S135" i="10"/>
  <c r="T135" i="10" s="1"/>
  <c r="U135" i="10" s="1"/>
  <c r="W135" i="10" s="1"/>
  <c r="R135" i="10"/>
  <c r="X136" i="6"/>
  <c r="AJ136" i="6"/>
  <c r="AL136" i="6" s="1"/>
  <c r="AN134" i="6" s="1"/>
  <c r="W137" i="6"/>
  <c r="BB137" i="6" s="1"/>
  <c r="AH137" i="6"/>
  <c r="AI137" i="6" s="1"/>
  <c r="P139" i="6"/>
  <c r="S139" i="6" s="1"/>
  <c r="T139" i="6" s="1"/>
  <c r="N139" i="6"/>
  <c r="O139" i="6" s="1"/>
  <c r="M140" i="6"/>
  <c r="U138" i="6"/>
  <c r="V138" i="6"/>
  <c r="AY131" i="6"/>
  <c r="N136" i="10"/>
  <c r="BN138" i="6"/>
  <c r="P136" i="10"/>
  <c r="Q136" i="10" s="1"/>
  <c r="O137" i="10"/>
  <c r="AO133" i="6" l="1"/>
  <c r="Z136" i="6"/>
  <c r="AK136" i="6"/>
  <c r="AM136" i="6" s="1"/>
  <c r="S136" i="10"/>
  <c r="T136" i="10" s="1"/>
  <c r="U136" i="10" s="1"/>
  <c r="W136" i="10" s="1"/>
  <c r="R136" i="10"/>
  <c r="X137" i="6"/>
  <c r="AJ137" i="6"/>
  <c r="AL137" i="6" s="1"/>
  <c r="W138" i="6"/>
  <c r="BB138" i="6" s="1"/>
  <c r="AH138" i="6"/>
  <c r="AI138" i="6" s="1"/>
  <c r="N140" i="6"/>
  <c r="O140" i="6" s="1"/>
  <c r="P140" i="6"/>
  <c r="S140" i="6" s="1"/>
  <c r="T140" i="6" s="1"/>
  <c r="M141" i="6"/>
  <c r="U139" i="6"/>
  <c r="V139" i="6"/>
  <c r="N137" i="10"/>
  <c r="BN139" i="6"/>
  <c r="AQ133" i="6"/>
  <c r="AZ133" i="6" s="1"/>
  <c r="AQ134" i="6"/>
  <c r="AZ134" i="6" s="1"/>
  <c r="P137" i="10"/>
  <c r="Q137" i="10" s="1"/>
  <c r="O138" i="10"/>
  <c r="AN135" i="6" l="1"/>
  <c r="AO134" i="6"/>
  <c r="Z137" i="6"/>
  <c r="AK137" i="6"/>
  <c r="AM137" i="6" s="1"/>
  <c r="AO135" i="6" s="1"/>
  <c r="S137" i="10"/>
  <c r="T137" i="10" s="1"/>
  <c r="U137" i="10" s="1"/>
  <c r="W137" i="10" s="1"/>
  <c r="R137" i="10"/>
  <c r="X138" i="6"/>
  <c r="AJ138" i="6"/>
  <c r="AL138" i="6" s="1"/>
  <c r="AN136" i="6" s="1"/>
  <c r="W139" i="6"/>
  <c r="BB139" i="6" s="1"/>
  <c r="AH139" i="6"/>
  <c r="AI139" i="6" s="1"/>
  <c r="N141" i="6"/>
  <c r="O141" i="6" s="1"/>
  <c r="P141" i="6"/>
  <c r="S141" i="6" s="1"/>
  <c r="T141" i="6" s="1"/>
  <c r="M142" i="6"/>
  <c r="U140" i="6"/>
  <c r="V140" i="6"/>
  <c r="AY135" i="6"/>
  <c r="AY133" i="6"/>
  <c r="AY134" i="6"/>
  <c r="N138" i="10"/>
  <c r="BN140" i="6"/>
  <c r="AQ135" i="6"/>
  <c r="AZ135" i="6" s="1"/>
  <c r="O139" i="10"/>
  <c r="P138" i="10"/>
  <c r="Q138" i="10" s="1"/>
  <c r="Z138" i="6" l="1"/>
  <c r="AK138" i="6"/>
  <c r="AM138" i="6" s="1"/>
  <c r="S138" i="10"/>
  <c r="T138" i="10" s="1"/>
  <c r="U138" i="10" s="1"/>
  <c r="W138" i="10" s="1"/>
  <c r="R138" i="10"/>
  <c r="X139" i="6"/>
  <c r="AJ139" i="6"/>
  <c r="AL139" i="6" s="1"/>
  <c r="W140" i="6"/>
  <c r="BB140" i="6" s="1"/>
  <c r="AH140" i="6"/>
  <c r="AI140" i="6" s="1"/>
  <c r="N142" i="6"/>
  <c r="O142" i="6" s="1"/>
  <c r="P142" i="6"/>
  <c r="S142" i="6" s="1"/>
  <c r="T142" i="6" s="1"/>
  <c r="M143" i="6"/>
  <c r="U141" i="6"/>
  <c r="V141" i="6"/>
  <c r="N139" i="10"/>
  <c r="BN141" i="6"/>
  <c r="P139" i="10"/>
  <c r="Q139" i="10" s="1"/>
  <c r="O140" i="10"/>
  <c r="AQ136" i="6"/>
  <c r="AZ136" i="6" s="1"/>
  <c r="AO136" i="6" l="1"/>
  <c r="AN137" i="6"/>
  <c r="Z139" i="6"/>
  <c r="AK139" i="6"/>
  <c r="AM139" i="6" s="1"/>
  <c r="S139" i="10"/>
  <c r="T139" i="10" s="1"/>
  <c r="U139" i="10" s="1"/>
  <c r="W139" i="10" s="1"/>
  <c r="R139" i="10"/>
  <c r="X140" i="6"/>
  <c r="AJ140" i="6"/>
  <c r="AL140" i="6" s="1"/>
  <c r="AN138" i="6" s="1"/>
  <c r="W141" i="6"/>
  <c r="BB141" i="6" s="1"/>
  <c r="AH141" i="6"/>
  <c r="AI141" i="6" s="1"/>
  <c r="N143" i="6"/>
  <c r="O143" i="6" s="1"/>
  <c r="P143" i="6"/>
  <c r="S143" i="6" s="1"/>
  <c r="T143" i="6" s="1"/>
  <c r="M144" i="6"/>
  <c r="V142" i="6"/>
  <c r="U142" i="6"/>
  <c r="AY137" i="6"/>
  <c r="AY136" i="6"/>
  <c r="N140" i="10"/>
  <c r="BN142" i="6"/>
  <c r="AQ137" i="6"/>
  <c r="AZ137" i="6" s="1"/>
  <c r="O141" i="10"/>
  <c r="P140" i="10"/>
  <c r="Q140" i="10" s="1"/>
  <c r="AO137" i="6" l="1"/>
  <c r="Z140" i="6"/>
  <c r="AK140" i="6"/>
  <c r="AM140" i="6" s="1"/>
  <c r="S140" i="10"/>
  <c r="T140" i="10" s="1"/>
  <c r="U140" i="10" s="1"/>
  <c r="W140" i="10" s="1"/>
  <c r="R140" i="10"/>
  <c r="X141" i="6"/>
  <c r="AJ141" i="6"/>
  <c r="AL141" i="6" s="1"/>
  <c r="W142" i="6"/>
  <c r="BB142" i="6" s="1"/>
  <c r="AH142" i="6"/>
  <c r="AI142" i="6" s="1"/>
  <c r="P144" i="6"/>
  <c r="S144" i="6" s="1"/>
  <c r="T144" i="6" s="1"/>
  <c r="N144" i="6"/>
  <c r="O144" i="6" s="1"/>
  <c r="M145" i="6"/>
  <c r="V143" i="6"/>
  <c r="U143" i="6"/>
  <c r="N141" i="10"/>
  <c r="BN143" i="6"/>
  <c r="P141" i="10"/>
  <c r="Q141" i="10" s="1"/>
  <c r="O142" i="10"/>
  <c r="AO138" i="6" l="1"/>
  <c r="AN139" i="6"/>
  <c r="Z141" i="6"/>
  <c r="AK141" i="6"/>
  <c r="AM141" i="6" s="1"/>
  <c r="S141" i="10"/>
  <c r="T141" i="10" s="1"/>
  <c r="U141" i="10" s="1"/>
  <c r="W141" i="10" s="1"/>
  <c r="R141" i="10"/>
  <c r="X142" i="6"/>
  <c r="AJ142" i="6"/>
  <c r="AL142" i="6" s="1"/>
  <c r="AN140" i="6" s="1"/>
  <c r="W143" i="6"/>
  <c r="BB143" i="6" s="1"/>
  <c r="AH143" i="6"/>
  <c r="AI143" i="6" s="1"/>
  <c r="P145" i="6"/>
  <c r="S145" i="6" s="1"/>
  <c r="T145" i="6" s="1"/>
  <c r="N145" i="6"/>
  <c r="O145" i="6" s="1"/>
  <c r="M146" i="6"/>
  <c r="U144" i="6"/>
  <c r="V144" i="6"/>
  <c r="AY138" i="6"/>
  <c r="N142" i="10"/>
  <c r="BN144" i="6"/>
  <c r="AQ139" i="6"/>
  <c r="AZ139" i="6" s="1"/>
  <c r="AQ138" i="6"/>
  <c r="AZ138" i="6" s="1"/>
  <c r="P142" i="10"/>
  <c r="Q142" i="10" s="1"/>
  <c r="O143" i="10"/>
  <c r="AO139" i="6" l="1"/>
  <c r="Z142" i="6"/>
  <c r="AK142" i="6"/>
  <c r="AM142" i="6" s="1"/>
  <c r="AO140" i="6" s="1"/>
  <c r="S142" i="10"/>
  <c r="T142" i="10" s="1"/>
  <c r="U142" i="10" s="1"/>
  <c r="W142" i="10" s="1"/>
  <c r="R142" i="10"/>
  <c r="X143" i="6"/>
  <c r="AJ143" i="6"/>
  <c r="AL143" i="6" s="1"/>
  <c r="W144" i="6"/>
  <c r="BB144" i="6" s="1"/>
  <c r="AH144" i="6"/>
  <c r="AI144" i="6" s="1"/>
  <c r="N146" i="6"/>
  <c r="O146" i="6" s="1"/>
  <c r="P146" i="6"/>
  <c r="S146" i="6" s="1"/>
  <c r="T146" i="6" s="1"/>
  <c r="M147" i="6"/>
  <c r="U145" i="6"/>
  <c r="V145" i="6"/>
  <c r="AY139" i="6"/>
  <c r="AY140" i="6"/>
  <c r="N143" i="10"/>
  <c r="BN145" i="6"/>
  <c r="O144" i="10"/>
  <c r="P143" i="10"/>
  <c r="Q143" i="10" s="1"/>
  <c r="AQ140" i="6"/>
  <c r="AZ140" i="6" s="1"/>
  <c r="AN141" i="6" l="1"/>
  <c r="Z143" i="6"/>
  <c r="AK143" i="6"/>
  <c r="AM143" i="6" s="1"/>
  <c r="S143" i="10"/>
  <c r="T143" i="10" s="1"/>
  <c r="U143" i="10" s="1"/>
  <c r="W143" i="10" s="1"/>
  <c r="R143" i="10"/>
  <c r="X144" i="6"/>
  <c r="AJ144" i="6"/>
  <c r="AL144" i="6" s="1"/>
  <c r="W145" i="6"/>
  <c r="BB145" i="6" s="1"/>
  <c r="AH145" i="6"/>
  <c r="AI145" i="6" s="1"/>
  <c r="N147" i="6"/>
  <c r="O147" i="6" s="1"/>
  <c r="P147" i="6"/>
  <c r="S147" i="6" s="1"/>
  <c r="T147" i="6" s="1"/>
  <c r="M148" i="6"/>
  <c r="U146" i="6"/>
  <c r="V146" i="6"/>
  <c r="AY141" i="6"/>
  <c r="N144" i="10"/>
  <c r="BN146" i="6"/>
  <c r="AQ141" i="6"/>
  <c r="AZ141" i="6" s="1"/>
  <c r="P144" i="10"/>
  <c r="Q144" i="10" s="1"/>
  <c r="O145" i="10"/>
  <c r="AN142" i="6" l="1"/>
  <c r="AO141" i="6"/>
  <c r="Z144" i="6"/>
  <c r="AK144" i="6"/>
  <c r="AM144" i="6" s="1"/>
  <c r="S144" i="10"/>
  <c r="T144" i="10" s="1"/>
  <c r="U144" i="10" s="1"/>
  <c r="W144" i="10" s="1"/>
  <c r="R144" i="10"/>
  <c r="X145" i="6"/>
  <c r="AJ145" i="6"/>
  <c r="AL145" i="6" s="1"/>
  <c r="AN143" i="6" s="1"/>
  <c r="W146" i="6"/>
  <c r="BB146" i="6" s="1"/>
  <c r="AH146" i="6"/>
  <c r="AI146" i="6" s="1"/>
  <c r="N148" i="6"/>
  <c r="O148" i="6" s="1"/>
  <c r="P148" i="6"/>
  <c r="S148" i="6" s="1"/>
  <c r="T148" i="6" s="1"/>
  <c r="M149" i="6"/>
  <c r="U147" i="6"/>
  <c r="V147" i="6"/>
  <c r="AY142" i="6"/>
  <c r="N145" i="10"/>
  <c r="BN147" i="6"/>
  <c r="AQ142" i="6"/>
  <c r="AZ142" i="6" s="1"/>
  <c r="O146" i="10"/>
  <c r="P145" i="10"/>
  <c r="Q145" i="10" s="1"/>
  <c r="AO142" i="6" l="1"/>
  <c r="Z145" i="6"/>
  <c r="AK145" i="6"/>
  <c r="AM145" i="6" s="1"/>
  <c r="S145" i="10"/>
  <c r="T145" i="10" s="1"/>
  <c r="U145" i="10" s="1"/>
  <c r="W145" i="10" s="1"/>
  <c r="R145" i="10"/>
  <c r="X146" i="6"/>
  <c r="AJ146" i="6"/>
  <c r="AL146" i="6" s="1"/>
  <c r="W147" i="6"/>
  <c r="BB147" i="6" s="1"/>
  <c r="AH147" i="6"/>
  <c r="AI147" i="6" s="1"/>
  <c r="P149" i="6"/>
  <c r="S149" i="6" s="1"/>
  <c r="T149" i="6" s="1"/>
  <c r="N149" i="6"/>
  <c r="O149" i="6" s="1"/>
  <c r="M150" i="6"/>
  <c r="U148" i="6"/>
  <c r="V148" i="6"/>
  <c r="AY143" i="6"/>
  <c r="N146" i="10"/>
  <c r="BN148" i="6"/>
  <c r="AQ143" i="6"/>
  <c r="AZ143" i="6" s="1"/>
  <c r="P146" i="10"/>
  <c r="Q146" i="10" s="1"/>
  <c r="O147" i="10"/>
  <c r="AN144" i="6" l="1"/>
  <c r="AO143" i="6"/>
  <c r="Z146" i="6"/>
  <c r="AK146" i="6"/>
  <c r="AM146" i="6" s="1"/>
  <c r="AO144" i="6" s="1"/>
  <c r="S146" i="10"/>
  <c r="T146" i="10" s="1"/>
  <c r="U146" i="10" s="1"/>
  <c r="W146" i="10" s="1"/>
  <c r="R146" i="10"/>
  <c r="X147" i="6"/>
  <c r="AJ147" i="6"/>
  <c r="AL147" i="6" s="1"/>
  <c r="W148" i="6"/>
  <c r="BB148" i="6" s="1"/>
  <c r="AH148" i="6"/>
  <c r="AI148" i="6" s="1"/>
  <c r="P150" i="6"/>
  <c r="S150" i="6" s="1"/>
  <c r="T150" i="6" s="1"/>
  <c r="N150" i="6"/>
  <c r="O150" i="6" s="1"/>
  <c r="M151" i="6"/>
  <c r="U149" i="6"/>
  <c r="V149" i="6"/>
  <c r="N147" i="10"/>
  <c r="BN149" i="6"/>
  <c r="O148" i="10"/>
  <c r="P147" i="10"/>
  <c r="Q147" i="10" s="1"/>
  <c r="AQ144" i="6"/>
  <c r="AZ144" i="6" s="1"/>
  <c r="AN145" i="6" l="1"/>
  <c r="Z147" i="6"/>
  <c r="AK147" i="6"/>
  <c r="AM147" i="6" s="1"/>
  <c r="S147" i="10"/>
  <c r="T147" i="10" s="1"/>
  <c r="U147" i="10" s="1"/>
  <c r="W147" i="10" s="1"/>
  <c r="R147" i="10"/>
  <c r="X148" i="6"/>
  <c r="AJ148" i="6"/>
  <c r="AL148" i="6" s="1"/>
  <c r="W149" i="6"/>
  <c r="BB149" i="6" s="1"/>
  <c r="AH149" i="6"/>
  <c r="AI149" i="6" s="1"/>
  <c r="P151" i="6"/>
  <c r="S151" i="6" s="1"/>
  <c r="T151" i="6" s="1"/>
  <c r="N151" i="6"/>
  <c r="O151" i="6" s="1"/>
  <c r="M152" i="6"/>
  <c r="U150" i="6"/>
  <c r="V150" i="6"/>
  <c r="AY144" i="6"/>
  <c r="N148" i="10"/>
  <c r="BN150" i="6"/>
  <c r="AQ145" i="6"/>
  <c r="AZ145" i="6" s="1"/>
  <c r="O149" i="10"/>
  <c r="P148" i="10"/>
  <c r="Q148" i="10" s="1"/>
  <c r="AN146" i="6" l="1"/>
  <c r="AO145" i="6"/>
  <c r="Z148" i="6"/>
  <c r="AK148" i="6"/>
  <c r="AM148" i="6" s="1"/>
  <c r="AO146" i="6" s="1"/>
  <c r="S148" i="10"/>
  <c r="T148" i="10" s="1"/>
  <c r="U148" i="10" s="1"/>
  <c r="W148" i="10" s="1"/>
  <c r="R148" i="10"/>
  <c r="X149" i="6"/>
  <c r="AJ149" i="6"/>
  <c r="AL149" i="6" s="1"/>
  <c r="AN147" i="6" s="1"/>
  <c r="W150" i="6"/>
  <c r="BB150" i="6" s="1"/>
  <c r="AH150" i="6"/>
  <c r="AI150" i="6" s="1"/>
  <c r="N152" i="6"/>
  <c r="O152" i="6" s="1"/>
  <c r="P152" i="6"/>
  <c r="S152" i="6" s="1"/>
  <c r="T152" i="6" s="1"/>
  <c r="M153" i="6"/>
  <c r="U151" i="6"/>
  <c r="V151" i="6"/>
  <c r="AY146" i="6"/>
  <c r="AY145" i="6"/>
  <c r="N149" i="10"/>
  <c r="BN151" i="6"/>
  <c r="AQ146" i="6"/>
  <c r="AZ146" i="6" s="1"/>
  <c r="P149" i="10"/>
  <c r="Q149" i="10" s="1"/>
  <c r="O150" i="10"/>
  <c r="Z149" i="6" l="1"/>
  <c r="AK149" i="6"/>
  <c r="AM149" i="6" s="1"/>
  <c r="AO147" i="6" s="1"/>
  <c r="S149" i="10"/>
  <c r="T149" i="10" s="1"/>
  <c r="U149" i="10" s="1"/>
  <c r="W149" i="10" s="1"/>
  <c r="R149" i="10"/>
  <c r="X150" i="6"/>
  <c r="AJ150" i="6"/>
  <c r="AL150" i="6" s="1"/>
  <c r="W151" i="6"/>
  <c r="BB151" i="6" s="1"/>
  <c r="AH151" i="6"/>
  <c r="AI151" i="6" s="1"/>
  <c r="N153" i="6"/>
  <c r="O153" i="6" s="1"/>
  <c r="P153" i="6"/>
  <c r="S153" i="6" s="1"/>
  <c r="T153" i="6" s="1"/>
  <c r="M154" i="6"/>
  <c r="U152" i="6"/>
  <c r="V152" i="6"/>
  <c r="AY147" i="6"/>
  <c r="N150" i="10"/>
  <c r="BN152" i="6"/>
  <c r="AQ147" i="6"/>
  <c r="AZ147" i="6" s="1"/>
  <c r="O151" i="10"/>
  <c r="P150" i="10"/>
  <c r="Q150" i="10" s="1"/>
  <c r="AN148" i="6" l="1"/>
  <c r="Z150" i="6"/>
  <c r="AK150" i="6"/>
  <c r="AM150" i="6" s="1"/>
  <c r="S150" i="10"/>
  <c r="T150" i="10" s="1"/>
  <c r="U150" i="10" s="1"/>
  <c r="W150" i="10" s="1"/>
  <c r="R150" i="10"/>
  <c r="X151" i="6"/>
  <c r="AJ151" i="6"/>
  <c r="AL151" i="6" s="1"/>
  <c r="W152" i="6"/>
  <c r="BB152" i="6" s="1"/>
  <c r="AH152" i="6"/>
  <c r="AI152" i="6" s="1"/>
  <c r="P154" i="6"/>
  <c r="S154" i="6" s="1"/>
  <c r="T154" i="6" s="1"/>
  <c r="N154" i="6"/>
  <c r="O154" i="6" s="1"/>
  <c r="M155" i="6"/>
  <c r="U153" i="6"/>
  <c r="V153" i="6"/>
  <c r="N151" i="10"/>
  <c r="BN153" i="6"/>
  <c r="O152" i="10"/>
  <c r="P151" i="10"/>
  <c r="Q151" i="10" s="1"/>
  <c r="AO148" i="6" l="1"/>
  <c r="AN149" i="6"/>
  <c r="Z151" i="6"/>
  <c r="AK151" i="6"/>
  <c r="AM151" i="6" s="1"/>
  <c r="S151" i="10"/>
  <c r="T151" i="10" s="1"/>
  <c r="U151" i="10" s="1"/>
  <c r="W151" i="10" s="1"/>
  <c r="R151" i="10"/>
  <c r="X152" i="6"/>
  <c r="AJ152" i="6"/>
  <c r="AL152" i="6" s="1"/>
  <c r="W153" i="6"/>
  <c r="BB153" i="6" s="1"/>
  <c r="AH153" i="6"/>
  <c r="AI153" i="6" s="1"/>
  <c r="P155" i="6"/>
  <c r="S155" i="6" s="1"/>
  <c r="T155" i="6" s="1"/>
  <c r="N155" i="6"/>
  <c r="O155" i="6" s="1"/>
  <c r="M156" i="6"/>
  <c r="U154" i="6"/>
  <c r="V154" i="6"/>
  <c r="AY148" i="6"/>
  <c r="BN154" i="6"/>
  <c r="AQ148" i="6"/>
  <c r="AZ148" i="6" s="1"/>
  <c r="N152" i="10"/>
  <c r="O153" i="10"/>
  <c r="P152" i="10"/>
  <c r="Q152" i="10" s="1"/>
  <c r="AO149" i="6" l="1"/>
  <c r="AN150" i="6"/>
  <c r="Z152" i="6"/>
  <c r="AK152" i="6"/>
  <c r="AM152" i="6" s="1"/>
  <c r="S152" i="10"/>
  <c r="T152" i="10" s="1"/>
  <c r="U152" i="10" s="1"/>
  <c r="W152" i="10" s="1"/>
  <c r="R152" i="10"/>
  <c r="X153" i="6"/>
  <c r="AJ153" i="6"/>
  <c r="AL153" i="6" s="1"/>
  <c r="W154" i="6"/>
  <c r="BB154" i="6" s="1"/>
  <c r="AH154" i="6"/>
  <c r="AI154" i="6" s="1"/>
  <c r="N156" i="6"/>
  <c r="O156" i="6" s="1"/>
  <c r="P156" i="6"/>
  <c r="S156" i="6" s="1"/>
  <c r="T156" i="6" s="1"/>
  <c r="M157" i="6"/>
  <c r="U155" i="6"/>
  <c r="V155" i="6"/>
  <c r="N153" i="10"/>
  <c r="BN155" i="6"/>
  <c r="AQ149" i="6"/>
  <c r="AZ149" i="6" s="1"/>
  <c r="AQ150" i="6"/>
  <c r="AZ150" i="6" s="1"/>
  <c r="P153" i="10"/>
  <c r="Q153" i="10" s="1"/>
  <c r="O154" i="10"/>
  <c r="AN151" i="6" l="1"/>
  <c r="AO150" i="6"/>
  <c r="Z153" i="6"/>
  <c r="AK153" i="6"/>
  <c r="AM153" i="6" s="1"/>
  <c r="S153" i="10"/>
  <c r="T153" i="10" s="1"/>
  <c r="U153" i="10" s="1"/>
  <c r="W153" i="10" s="1"/>
  <c r="R153" i="10"/>
  <c r="X154" i="6"/>
  <c r="AJ154" i="6"/>
  <c r="AL154" i="6" s="1"/>
  <c r="AN152" i="6" s="1"/>
  <c r="W155" i="6"/>
  <c r="BB155" i="6" s="1"/>
  <c r="AH155" i="6"/>
  <c r="AI155" i="6" s="1"/>
  <c r="N157" i="6"/>
  <c r="O157" i="6" s="1"/>
  <c r="P157" i="6"/>
  <c r="S157" i="6" s="1"/>
  <c r="T157" i="6" s="1"/>
  <c r="M158" i="6"/>
  <c r="U156" i="6"/>
  <c r="V156" i="6"/>
  <c r="AY150" i="6"/>
  <c r="AY151" i="6"/>
  <c r="AY149" i="6"/>
  <c r="N154" i="10"/>
  <c r="AQ151" i="6"/>
  <c r="AZ151" i="6" s="1"/>
  <c r="P154" i="10"/>
  <c r="Q154" i="10" s="1"/>
  <c r="O155" i="10"/>
  <c r="AO151" i="6" l="1"/>
  <c r="Z154" i="6"/>
  <c r="AK154" i="6"/>
  <c r="AM154" i="6" s="1"/>
  <c r="S154" i="10"/>
  <c r="T154" i="10" s="1"/>
  <c r="U154" i="10" s="1"/>
  <c r="W154" i="10" s="1"/>
  <c r="R154" i="10"/>
  <c r="X155" i="6"/>
  <c r="AJ155" i="6"/>
  <c r="AL155" i="6" s="1"/>
  <c r="W156" i="6"/>
  <c r="BB156" i="6" s="1"/>
  <c r="AH156" i="6"/>
  <c r="AI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AO152" i="6" l="1"/>
  <c r="AN153" i="6"/>
  <c r="Z155" i="6"/>
  <c r="AK155" i="6"/>
  <c r="AM155" i="6" s="1"/>
  <c r="AO153" i="6" s="1"/>
  <c r="S155" i="10"/>
  <c r="T155" i="10" s="1"/>
  <c r="U155" i="10" s="1"/>
  <c r="W155" i="10" s="1"/>
  <c r="R155" i="10"/>
  <c r="X156" i="6"/>
  <c r="AJ156" i="6"/>
  <c r="AL156" i="6" s="1"/>
  <c r="AN154" i="6" s="1"/>
  <c r="W157" i="6"/>
  <c r="BB157" i="6" s="1"/>
  <c r="AH157" i="6"/>
  <c r="AI157" i="6" s="1"/>
  <c r="P159" i="6"/>
  <c r="S159" i="6" s="1"/>
  <c r="T159" i="6" s="1"/>
  <c r="N159" i="6"/>
  <c r="O159" i="6" s="1"/>
  <c r="M160" i="6"/>
  <c r="V158" i="6"/>
  <c r="U158" i="6"/>
  <c r="AY152" i="6"/>
  <c r="AY153" i="6"/>
  <c r="N156" i="10"/>
  <c r="AQ153" i="6"/>
  <c r="AZ153" i="6" s="1"/>
  <c r="AQ152" i="6"/>
  <c r="AZ152" i="6" s="1"/>
  <c r="P156" i="10"/>
  <c r="Q156" i="10" s="1"/>
  <c r="O157" i="10"/>
  <c r="Z156" i="6" l="1"/>
  <c r="AK156" i="6"/>
  <c r="AM156" i="6" s="1"/>
  <c r="S156" i="10"/>
  <c r="T156" i="10" s="1"/>
  <c r="U156" i="10" s="1"/>
  <c r="W156" i="10" s="1"/>
  <c r="R156" i="10"/>
  <c r="X157" i="6"/>
  <c r="AJ157" i="6"/>
  <c r="AL157" i="6" s="1"/>
  <c r="W158" i="6"/>
  <c r="BB158" i="6" s="1"/>
  <c r="AH158" i="6"/>
  <c r="AI158" i="6" s="1"/>
  <c r="N160" i="6"/>
  <c r="O160" i="6" s="1"/>
  <c r="P160" i="6"/>
  <c r="S160" i="6" s="1"/>
  <c r="T160" i="6" s="1"/>
  <c r="M161" i="6"/>
  <c r="U159" i="6"/>
  <c r="V159" i="6"/>
  <c r="AY154" i="6"/>
  <c r="N157" i="10"/>
  <c r="O158" i="10"/>
  <c r="P157" i="10"/>
  <c r="Q157" i="10" s="1"/>
  <c r="AQ154" i="6"/>
  <c r="AZ154" i="6" s="1"/>
  <c r="AO154" i="6" l="1"/>
  <c r="AN155" i="6"/>
  <c r="Z157" i="6"/>
  <c r="AK157" i="6"/>
  <c r="AM157" i="6" s="1"/>
  <c r="S157" i="10"/>
  <c r="T157" i="10" s="1"/>
  <c r="U157" i="10" s="1"/>
  <c r="W157" i="10" s="1"/>
  <c r="R157" i="10"/>
  <c r="X158" i="6"/>
  <c r="AJ158" i="6"/>
  <c r="AL158" i="6" s="1"/>
  <c r="W159" i="6"/>
  <c r="BB159" i="6" s="1"/>
  <c r="AH159" i="6"/>
  <c r="AI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AO155" i="6" l="1"/>
  <c r="AN156" i="6"/>
  <c r="Z158" i="6"/>
  <c r="AK158" i="6"/>
  <c r="AM158" i="6" s="1"/>
  <c r="S158" i="10"/>
  <c r="T158" i="10" s="1"/>
  <c r="U158" i="10" s="1"/>
  <c r="W158" i="10" s="1"/>
  <c r="R158" i="10"/>
  <c r="X159" i="6"/>
  <c r="AJ159" i="6"/>
  <c r="AL159" i="6" s="1"/>
  <c r="W160" i="6"/>
  <c r="BB160" i="6" s="1"/>
  <c r="AH160" i="6"/>
  <c r="AI160" i="6" s="1"/>
  <c r="N162" i="6"/>
  <c r="O162" i="6" s="1"/>
  <c r="P162" i="6"/>
  <c r="S162" i="6" s="1"/>
  <c r="T162" i="6" s="1"/>
  <c r="M163" i="6"/>
  <c r="U161" i="6"/>
  <c r="V161" i="6"/>
  <c r="AY155" i="6"/>
  <c r="N159" i="10"/>
  <c r="AQ155" i="6"/>
  <c r="AZ155" i="6" s="1"/>
  <c r="AQ156" i="6"/>
  <c r="AZ156" i="6" s="1"/>
  <c r="P159" i="10"/>
  <c r="Q159" i="10" s="1"/>
  <c r="O160" i="10"/>
  <c r="AN157" i="6" l="1"/>
  <c r="AO156" i="6"/>
  <c r="Z159" i="6"/>
  <c r="AK159" i="6"/>
  <c r="AM159" i="6" s="1"/>
  <c r="AO157" i="6" s="1"/>
  <c r="S159" i="10"/>
  <c r="T159" i="10" s="1"/>
  <c r="U159" i="10" s="1"/>
  <c r="W159" i="10" s="1"/>
  <c r="R159" i="10"/>
  <c r="X160" i="6"/>
  <c r="AJ160" i="6"/>
  <c r="AL160" i="6" s="1"/>
  <c r="AN158" i="6" s="1"/>
  <c r="W161" i="6"/>
  <c r="BB161" i="6" s="1"/>
  <c r="AH161" i="6"/>
  <c r="AI161" i="6" s="1"/>
  <c r="N163" i="6"/>
  <c r="O163" i="6" s="1"/>
  <c r="P163" i="6"/>
  <c r="S163" i="6" s="1"/>
  <c r="T163" i="6" s="1"/>
  <c r="M164" i="6"/>
  <c r="U162" i="6"/>
  <c r="V162" i="6"/>
  <c r="AY157" i="6"/>
  <c r="AY156" i="6"/>
  <c r="N160" i="10"/>
  <c r="O161" i="10"/>
  <c r="P160" i="10"/>
  <c r="Q160" i="10" s="1"/>
  <c r="AQ157" i="6"/>
  <c r="AZ157" i="6" s="1"/>
  <c r="Z160" i="6" l="1"/>
  <c r="AK160" i="6"/>
  <c r="AM160" i="6" s="1"/>
  <c r="AO158" i="6" s="1"/>
  <c r="S160" i="10"/>
  <c r="T160" i="10" s="1"/>
  <c r="U160" i="10" s="1"/>
  <c r="W160" i="10" s="1"/>
  <c r="R160" i="10"/>
  <c r="X161" i="6"/>
  <c r="AJ161" i="6"/>
  <c r="AL161" i="6" s="1"/>
  <c r="W162" i="6"/>
  <c r="BB162" i="6" s="1"/>
  <c r="AH162" i="6"/>
  <c r="AI162" i="6" s="1"/>
  <c r="N164" i="6"/>
  <c r="O164" i="6" s="1"/>
  <c r="P164" i="6"/>
  <c r="S164" i="6" s="1"/>
  <c r="T164" i="6" s="1"/>
  <c r="M165" i="6"/>
  <c r="U163" i="6"/>
  <c r="V163" i="6"/>
  <c r="N161" i="10"/>
  <c r="AQ158" i="6"/>
  <c r="AZ158" i="6" s="1"/>
  <c r="P161" i="10"/>
  <c r="Q161" i="10" s="1"/>
  <c r="O162" i="10"/>
  <c r="AN159" i="6" l="1"/>
  <c r="Z161" i="6"/>
  <c r="AK161" i="6"/>
  <c r="AM161" i="6" s="1"/>
  <c r="S161" i="10"/>
  <c r="T161" i="10" s="1"/>
  <c r="U161" i="10" s="1"/>
  <c r="W161" i="10" s="1"/>
  <c r="R161" i="10"/>
  <c r="X162" i="6"/>
  <c r="AJ162" i="6"/>
  <c r="AL162" i="6" s="1"/>
  <c r="W163" i="6"/>
  <c r="BB163" i="6" s="1"/>
  <c r="AH163" i="6"/>
  <c r="AI163" i="6" s="1"/>
  <c r="N165" i="6"/>
  <c r="O165" i="6" s="1"/>
  <c r="P165" i="6"/>
  <c r="S165" i="6" s="1"/>
  <c r="T165" i="6" s="1"/>
  <c r="M166" i="6"/>
  <c r="U164" i="6"/>
  <c r="V164" i="6"/>
  <c r="AY158" i="6"/>
  <c r="N162" i="10"/>
  <c r="O163" i="10"/>
  <c r="P162" i="10"/>
  <c r="Q162" i="10" s="1"/>
  <c r="AO159" i="6" l="1"/>
  <c r="AN160" i="6"/>
  <c r="Z162" i="6"/>
  <c r="AK162" i="6"/>
  <c r="AM162" i="6" s="1"/>
  <c r="S162" i="10"/>
  <c r="T162" i="10" s="1"/>
  <c r="U162" i="10" s="1"/>
  <c r="W162" i="10" s="1"/>
  <c r="R162" i="10"/>
  <c r="X163" i="6"/>
  <c r="AJ163" i="6"/>
  <c r="AL163" i="6" s="1"/>
  <c r="AN161" i="6" s="1"/>
  <c r="W164" i="6"/>
  <c r="BB164" i="6" s="1"/>
  <c r="AH164" i="6"/>
  <c r="AI164" i="6" s="1"/>
  <c r="P166" i="6"/>
  <c r="S166" i="6" s="1"/>
  <c r="T166" i="6" s="1"/>
  <c r="N166" i="6"/>
  <c r="O166" i="6" s="1"/>
  <c r="M167" i="6"/>
  <c r="U165" i="6"/>
  <c r="V165" i="6"/>
  <c r="N163" i="10"/>
  <c r="AY160" i="6"/>
  <c r="AQ159" i="6"/>
  <c r="AZ159" i="6" s="1"/>
  <c r="AQ160" i="6"/>
  <c r="AZ160" i="6" s="1"/>
  <c r="O164" i="10"/>
  <c r="P163" i="10"/>
  <c r="Q163" i="10" s="1"/>
  <c r="AO160" i="6" l="1"/>
  <c r="Z163" i="6"/>
  <c r="AK163" i="6"/>
  <c r="AM163" i="6" s="1"/>
  <c r="AO161" i="6" s="1"/>
  <c r="S163" i="10"/>
  <c r="T163" i="10" s="1"/>
  <c r="U163" i="10" s="1"/>
  <c r="W163" i="10" s="1"/>
  <c r="R163" i="10"/>
  <c r="X164" i="6"/>
  <c r="AJ164" i="6"/>
  <c r="AL164" i="6" s="1"/>
  <c r="W165" i="6"/>
  <c r="BB165" i="6" s="1"/>
  <c r="AH165" i="6"/>
  <c r="AI165" i="6" s="1"/>
  <c r="N167" i="6"/>
  <c r="O167" i="6" s="1"/>
  <c r="P167" i="6"/>
  <c r="S167" i="6" s="1"/>
  <c r="T167" i="6" s="1"/>
  <c r="M168" i="6"/>
  <c r="U166" i="6"/>
  <c r="V166" i="6"/>
  <c r="AY161" i="6"/>
  <c r="AY159" i="6"/>
  <c r="N164" i="10"/>
  <c r="AQ161" i="6"/>
  <c r="AZ161" i="6" s="1"/>
  <c r="P164" i="10"/>
  <c r="Q164" i="10" s="1"/>
  <c r="O165" i="10"/>
  <c r="AN162" i="6" l="1"/>
  <c r="Z164" i="6"/>
  <c r="AK164" i="6"/>
  <c r="AM164" i="6" s="1"/>
  <c r="S164" i="10"/>
  <c r="T164" i="10" s="1"/>
  <c r="U164" i="10" s="1"/>
  <c r="W164" i="10" s="1"/>
  <c r="R164" i="10"/>
  <c r="X165" i="6"/>
  <c r="AJ165" i="6"/>
  <c r="AL165" i="6" s="1"/>
  <c r="W166" i="6"/>
  <c r="BB166" i="6" s="1"/>
  <c r="AH166" i="6"/>
  <c r="AI166" i="6" s="1"/>
  <c r="P168" i="6"/>
  <c r="S168" i="6" s="1"/>
  <c r="T168" i="6" s="1"/>
  <c r="N168" i="6"/>
  <c r="O168" i="6" s="1"/>
  <c r="M169" i="6"/>
  <c r="U167" i="6"/>
  <c r="V167" i="6"/>
  <c r="AY162" i="6"/>
  <c r="N165" i="10"/>
  <c r="AQ162" i="6"/>
  <c r="AZ162" i="6" s="1"/>
  <c r="O166" i="10"/>
  <c r="P165" i="10"/>
  <c r="Q165" i="10" s="1"/>
  <c r="AN163" i="6" l="1"/>
  <c r="AO162" i="6"/>
  <c r="Z165" i="6"/>
  <c r="AK165" i="6"/>
  <c r="AM165" i="6" s="1"/>
  <c r="S165" i="10"/>
  <c r="T165" i="10" s="1"/>
  <c r="U165" i="10" s="1"/>
  <c r="W165" i="10" s="1"/>
  <c r="R165" i="10"/>
  <c r="X166" i="6"/>
  <c r="AJ166" i="6"/>
  <c r="AL166" i="6" s="1"/>
  <c r="W167" i="6"/>
  <c r="BB167" i="6" s="1"/>
  <c r="AH167" i="6"/>
  <c r="AI167" i="6" s="1"/>
  <c r="N169" i="6"/>
  <c r="O169" i="6" s="1"/>
  <c r="P169" i="6"/>
  <c r="S169" i="6" s="1"/>
  <c r="T169" i="6" s="1"/>
  <c r="M170" i="6"/>
  <c r="U168" i="6"/>
  <c r="V168" i="6"/>
  <c r="AY163" i="6"/>
  <c r="N166" i="10"/>
  <c r="AQ163" i="6"/>
  <c r="AZ163" i="6" s="1"/>
  <c r="O167" i="10"/>
  <c r="P166" i="10"/>
  <c r="Q166" i="10" s="1"/>
  <c r="AN164" i="6" l="1"/>
  <c r="AO163" i="6"/>
  <c r="Z166" i="6"/>
  <c r="AK166" i="6"/>
  <c r="AM166" i="6" s="1"/>
  <c r="S166" i="10"/>
  <c r="T166" i="10" s="1"/>
  <c r="U166" i="10" s="1"/>
  <c r="W166" i="10" s="1"/>
  <c r="R166" i="10"/>
  <c r="X167" i="6"/>
  <c r="AJ167" i="6"/>
  <c r="AL167" i="6" s="1"/>
  <c r="W168" i="6"/>
  <c r="BB168" i="6" s="1"/>
  <c r="AH168" i="6"/>
  <c r="AI168" i="6" s="1"/>
  <c r="P170" i="6"/>
  <c r="S170" i="6" s="1"/>
  <c r="T170" i="6" s="1"/>
  <c r="N170" i="6"/>
  <c r="O170" i="6" s="1"/>
  <c r="M171" i="6"/>
  <c r="U169" i="6"/>
  <c r="V169" i="6"/>
  <c r="AY164" i="6"/>
  <c r="N167" i="10"/>
  <c r="AQ164" i="6"/>
  <c r="AZ164" i="6" s="1"/>
  <c r="O168" i="10"/>
  <c r="P167" i="10"/>
  <c r="Q167" i="10" s="1"/>
  <c r="AN165" i="6" l="1"/>
  <c r="AO164" i="6"/>
  <c r="Z167" i="6"/>
  <c r="AK167" i="6"/>
  <c r="AM167" i="6" s="1"/>
  <c r="AO165" i="6" s="1"/>
  <c r="S167" i="10"/>
  <c r="T167" i="10" s="1"/>
  <c r="U167" i="10" s="1"/>
  <c r="W167" i="10" s="1"/>
  <c r="R167" i="10"/>
  <c r="X168" i="6"/>
  <c r="AJ168" i="6"/>
  <c r="AL168" i="6" s="1"/>
  <c r="W169" i="6"/>
  <c r="BB169" i="6" s="1"/>
  <c r="AH169" i="6"/>
  <c r="AI169" i="6" s="1"/>
  <c r="N171" i="6"/>
  <c r="O171" i="6" s="1"/>
  <c r="P171" i="6"/>
  <c r="S171" i="6" s="1"/>
  <c r="T171" i="6" s="1"/>
  <c r="M172" i="6"/>
  <c r="U170" i="6"/>
  <c r="V170" i="6"/>
  <c r="AY165" i="6"/>
  <c r="AQ165" i="6"/>
  <c r="AZ165" i="6" s="1"/>
  <c r="N168" i="10"/>
  <c r="O169" i="10"/>
  <c r="P168" i="10"/>
  <c r="Q168" i="10" s="1"/>
  <c r="AN166" i="6" l="1"/>
  <c r="Z168" i="6"/>
  <c r="AK168" i="6"/>
  <c r="AM168" i="6" s="1"/>
  <c r="S168" i="10"/>
  <c r="T168" i="10" s="1"/>
  <c r="U168" i="10" s="1"/>
  <c r="W168" i="10" s="1"/>
  <c r="R168" i="10"/>
  <c r="X169" i="6"/>
  <c r="AJ169" i="6"/>
  <c r="AL169" i="6" s="1"/>
  <c r="W170" i="6"/>
  <c r="BB170" i="6" s="1"/>
  <c r="AH170" i="6"/>
  <c r="AI170" i="6" s="1"/>
  <c r="P172" i="6"/>
  <c r="S172" i="6" s="1"/>
  <c r="T172" i="6" s="1"/>
  <c r="N172" i="6"/>
  <c r="O172" i="6" s="1"/>
  <c r="M173" i="6"/>
  <c r="U171" i="6"/>
  <c r="V171" i="6"/>
  <c r="N169" i="10"/>
  <c r="AQ166" i="6"/>
  <c r="AZ166" i="6" s="1"/>
  <c r="P169" i="10"/>
  <c r="Q169" i="10" s="1"/>
  <c r="O170" i="10"/>
  <c r="AO166" i="6" l="1"/>
  <c r="AN167" i="6"/>
  <c r="Z169" i="6"/>
  <c r="AK169" i="6"/>
  <c r="AM169" i="6" s="1"/>
  <c r="AO167" i="6" s="1"/>
  <c r="S169" i="10"/>
  <c r="T169" i="10" s="1"/>
  <c r="U169" i="10" s="1"/>
  <c r="W169" i="10" s="1"/>
  <c r="R169" i="10"/>
  <c r="X170" i="6"/>
  <c r="AJ170" i="6"/>
  <c r="AL170" i="6" s="1"/>
  <c r="W171" i="6"/>
  <c r="BB171" i="6" s="1"/>
  <c r="AH171" i="6"/>
  <c r="AI171" i="6" s="1"/>
  <c r="N173" i="6"/>
  <c r="O173" i="6" s="1"/>
  <c r="P173" i="6"/>
  <c r="S173" i="6" s="1"/>
  <c r="T173" i="6" s="1"/>
  <c r="M174" i="6"/>
  <c r="U172" i="6"/>
  <c r="V172" i="6"/>
  <c r="AY166" i="6"/>
  <c r="AY167" i="6"/>
  <c r="AQ167" i="6"/>
  <c r="AZ167" i="6" s="1"/>
  <c r="N170" i="10"/>
  <c r="P170" i="10"/>
  <c r="Q170" i="10" s="1"/>
  <c r="O171" i="10"/>
  <c r="AN168" i="6" l="1"/>
  <c r="Z170" i="6"/>
  <c r="AK170" i="6"/>
  <c r="AM170" i="6" s="1"/>
  <c r="S170" i="10"/>
  <c r="T170" i="10" s="1"/>
  <c r="U170" i="10" s="1"/>
  <c r="W170" i="10" s="1"/>
  <c r="R170" i="10"/>
  <c r="X171" i="6"/>
  <c r="AJ171" i="6"/>
  <c r="AL171" i="6" s="1"/>
  <c r="W172" i="6"/>
  <c r="BB172" i="6" s="1"/>
  <c r="AH172" i="6"/>
  <c r="AI172" i="6" s="1"/>
  <c r="N174" i="6"/>
  <c r="O174" i="6" s="1"/>
  <c r="P174" i="6"/>
  <c r="S174" i="6" s="1"/>
  <c r="T174" i="6" s="1"/>
  <c r="M175" i="6"/>
  <c r="U173" i="6"/>
  <c r="V173" i="6"/>
  <c r="AY168" i="6"/>
  <c r="AQ168" i="6"/>
  <c r="AZ168" i="6" s="1"/>
  <c r="N171" i="10"/>
  <c r="P171" i="10"/>
  <c r="Q171" i="10" s="1"/>
  <c r="O172" i="10"/>
  <c r="AN169" i="6" l="1"/>
  <c r="AO168" i="6"/>
  <c r="Z171" i="6"/>
  <c r="AK171" i="6"/>
  <c r="AM171" i="6" s="1"/>
  <c r="S171" i="10"/>
  <c r="T171" i="10" s="1"/>
  <c r="U171" i="10" s="1"/>
  <c r="W171" i="10" s="1"/>
  <c r="R171" i="10"/>
  <c r="X172" i="6"/>
  <c r="AJ172" i="6"/>
  <c r="AL172" i="6" s="1"/>
  <c r="AN170" i="6" s="1"/>
  <c r="W173" i="6"/>
  <c r="BB173" i="6" s="1"/>
  <c r="AH173" i="6"/>
  <c r="AI173" i="6" s="1"/>
  <c r="N175" i="6"/>
  <c r="O175" i="6" s="1"/>
  <c r="P175" i="6"/>
  <c r="S175" i="6" s="1"/>
  <c r="T175" i="6" s="1"/>
  <c r="M176" i="6"/>
  <c r="U174" i="6"/>
  <c r="V174" i="6"/>
  <c r="AY169" i="6"/>
  <c r="AQ169" i="6"/>
  <c r="AZ169" i="6" s="1"/>
  <c r="N172" i="10"/>
  <c r="O173" i="10"/>
  <c r="P172" i="10"/>
  <c r="Q172" i="10" s="1"/>
  <c r="AO169" i="6" l="1"/>
  <c r="Z172" i="6"/>
  <c r="AK172" i="6"/>
  <c r="AM172" i="6" s="1"/>
  <c r="AO170" i="6" s="1"/>
  <c r="S172" i="10"/>
  <c r="T172" i="10" s="1"/>
  <c r="U172" i="10" s="1"/>
  <c r="W172" i="10" s="1"/>
  <c r="R172" i="10"/>
  <c r="X173" i="6"/>
  <c r="AJ173" i="6"/>
  <c r="AL173" i="6" s="1"/>
  <c r="W174" i="6"/>
  <c r="BB174" i="6" s="1"/>
  <c r="AH174" i="6"/>
  <c r="AI174" i="6" s="1"/>
  <c r="N176" i="6"/>
  <c r="O176" i="6" s="1"/>
  <c r="P176" i="6"/>
  <c r="S176" i="6" s="1"/>
  <c r="T176" i="6" s="1"/>
  <c r="M177" i="6"/>
  <c r="U175" i="6"/>
  <c r="V175" i="6"/>
  <c r="AQ170" i="6"/>
  <c r="AZ170" i="6" s="1"/>
  <c r="N173" i="10"/>
  <c r="P173" i="10"/>
  <c r="Q173" i="10" s="1"/>
  <c r="O174" i="10"/>
  <c r="AN171" i="6" l="1"/>
  <c r="Z173" i="6"/>
  <c r="AK173" i="6"/>
  <c r="AM173" i="6" s="1"/>
  <c r="AO171" i="6" s="1"/>
  <c r="S173" i="10"/>
  <c r="T173" i="10" s="1"/>
  <c r="U173" i="10" s="1"/>
  <c r="W173" i="10" s="1"/>
  <c r="R173" i="10"/>
  <c r="X174" i="6"/>
  <c r="AJ174" i="6"/>
  <c r="AL174" i="6" s="1"/>
  <c r="AN172" i="6" s="1"/>
  <c r="W175" i="6"/>
  <c r="BB175" i="6" s="1"/>
  <c r="AH175" i="6"/>
  <c r="AI175" i="6" s="1"/>
  <c r="N177" i="6"/>
  <c r="O177" i="6" s="1"/>
  <c r="P177" i="6"/>
  <c r="S177" i="6" s="1"/>
  <c r="T177" i="6" s="1"/>
  <c r="M178" i="6"/>
  <c r="U176" i="6"/>
  <c r="V176" i="6"/>
  <c r="AY170" i="6"/>
  <c r="N174" i="10"/>
  <c r="O175" i="10"/>
  <c r="P174" i="10"/>
  <c r="Q174" i="10" s="1"/>
  <c r="Z174" i="6" l="1"/>
  <c r="AK174" i="6"/>
  <c r="AM174" i="6" s="1"/>
  <c r="S174" i="10"/>
  <c r="T174" i="10" s="1"/>
  <c r="U174" i="10" s="1"/>
  <c r="W174" i="10" s="1"/>
  <c r="R174" i="10"/>
  <c r="X175" i="6"/>
  <c r="AJ175" i="6"/>
  <c r="AL175" i="6" s="1"/>
  <c r="W176" i="6"/>
  <c r="BB176" i="6" s="1"/>
  <c r="AH176" i="6"/>
  <c r="AI176" i="6" s="1"/>
  <c r="N178" i="6"/>
  <c r="O178" i="6" s="1"/>
  <c r="P178" i="6"/>
  <c r="S178" i="6" s="1"/>
  <c r="T178" i="6" s="1"/>
  <c r="M179" i="6"/>
  <c r="U177" i="6"/>
  <c r="V177" i="6"/>
  <c r="AY172" i="6"/>
  <c r="N175" i="10"/>
  <c r="AQ171" i="6"/>
  <c r="AZ171" i="6" s="1"/>
  <c r="P175" i="10"/>
  <c r="Q175" i="10" s="1"/>
  <c r="O176" i="10"/>
  <c r="AQ172" i="6"/>
  <c r="AZ172" i="6" s="1"/>
  <c r="AN173" i="6" l="1"/>
  <c r="AO172" i="6"/>
  <c r="Z175" i="6"/>
  <c r="AK175" i="6"/>
  <c r="AM175" i="6" s="1"/>
  <c r="AO173" i="6" s="1"/>
  <c r="S175" i="10"/>
  <c r="T175" i="10" s="1"/>
  <c r="U175" i="10" s="1"/>
  <c r="W175" i="10" s="1"/>
  <c r="R175" i="10"/>
  <c r="X176" i="6"/>
  <c r="AJ176" i="6"/>
  <c r="AL176" i="6" s="1"/>
  <c r="AN174" i="6" s="1"/>
  <c r="W177" i="6"/>
  <c r="BB177" i="6" s="1"/>
  <c r="AH177" i="6"/>
  <c r="AI177" i="6" s="1"/>
  <c r="N179" i="6"/>
  <c r="O179" i="6" s="1"/>
  <c r="P179" i="6"/>
  <c r="S179" i="6" s="1"/>
  <c r="T179" i="6" s="1"/>
  <c r="M180" i="6"/>
  <c r="U178" i="6"/>
  <c r="V178" i="6"/>
  <c r="AY171" i="6"/>
  <c r="AQ173" i="6"/>
  <c r="AZ173" i="6" s="1"/>
  <c r="N176" i="10"/>
  <c r="P176" i="10"/>
  <c r="Q176" i="10" s="1"/>
  <c r="O177" i="10"/>
  <c r="Z176" i="6" l="1"/>
  <c r="AK176" i="6"/>
  <c r="AM176" i="6" s="1"/>
  <c r="S176" i="10"/>
  <c r="T176" i="10" s="1"/>
  <c r="U176" i="10" s="1"/>
  <c r="W176" i="10" s="1"/>
  <c r="R176" i="10"/>
  <c r="X177" i="6"/>
  <c r="AJ177" i="6"/>
  <c r="AL177" i="6" s="1"/>
  <c r="W178" i="6"/>
  <c r="BB178" i="6" s="1"/>
  <c r="AH178" i="6"/>
  <c r="AI178" i="6" s="1"/>
  <c r="P180" i="6"/>
  <c r="S180" i="6" s="1"/>
  <c r="T180" i="6" s="1"/>
  <c r="N180" i="6"/>
  <c r="O180" i="6" s="1"/>
  <c r="M181" i="6"/>
  <c r="U179" i="6"/>
  <c r="V179" i="6"/>
  <c r="AY173" i="6"/>
  <c r="AY174" i="6"/>
  <c r="AQ174" i="6"/>
  <c r="AZ174" i="6" s="1"/>
  <c r="N177" i="10"/>
  <c r="O178" i="10"/>
  <c r="P177" i="10"/>
  <c r="Q177" i="10" s="1"/>
  <c r="AN175" i="6" l="1"/>
  <c r="AO174" i="6"/>
  <c r="Z177" i="6"/>
  <c r="AK177" i="6"/>
  <c r="AM177" i="6" s="1"/>
  <c r="AO175" i="6" s="1"/>
  <c r="S177" i="10"/>
  <c r="T177" i="10" s="1"/>
  <c r="U177" i="10" s="1"/>
  <c r="W177" i="10" s="1"/>
  <c r="R177" i="10"/>
  <c r="X178" i="6"/>
  <c r="AJ178" i="6"/>
  <c r="AL178" i="6" s="1"/>
  <c r="W179" i="6"/>
  <c r="BB179" i="6" s="1"/>
  <c r="AH179" i="6"/>
  <c r="AI179" i="6" s="1"/>
  <c r="N181" i="6"/>
  <c r="O181" i="6" s="1"/>
  <c r="P181" i="6"/>
  <c r="S181" i="6" s="1"/>
  <c r="T181" i="6" s="1"/>
  <c r="M182" i="6"/>
  <c r="U180" i="6"/>
  <c r="V180" i="6"/>
  <c r="AY175" i="6"/>
  <c r="AQ175" i="6"/>
  <c r="AZ175" i="6" s="1"/>
  <c r="N178" i="10"/>
  <c r="O179" i="10"/>
  <c r="P178" i="10"/>
  <c r="Q178" i="10" s="1"/>
  <c r="AN176" i="6" l="1"/>
  <c r="Z178" i="6"/>
  <c r="AK178" i="6"/>
  <c r="AM178" i="6" s="1"/>
  <c r="S178" i="10"/>
  <c r="T178" i="10" s="1"/>
  <c r="U178" i="10" s="1"/>
  <c r="W178" i="10" s="1"/>
  <c r="R178" i="10"/>
  <c r="X179" i="6"/>
  <c r="AJ179" i="6"/>
  <c r="AL179" i="6" s="1"/>
  <c r="W180" i="6"/>
  <c r="BB180" i="6" s="1"/>
  <c r="AH180" i="6"/>
  <c r="AI180" i="6" s="1"/>
  <c r="N182" i="6"/>
  <c r="O182" i="6" s="1"/>
  <c r="P182" i="6"/>
  <c r="S182" i="6" s="1"/>
  <c r="T182" i="6" s="1"/>
  <c r="M183" i="6"/>
  <c r="U181" i="6"/>
  <c r="V181" i="6"/>
  <c r="AY176" i="6"/>
  <c r="AQ176" i="6"/>
  <c r="AZ176" i="6" s="1"/>
  <c r="N179" i="10"/>
  <c r="P179" i="10"/>
  <c r="Q179" i="10" s="1"/>
  <c r="O180" i="10"/>
  <c r="AO176" i="6" l="1"/>
  <c r="AN177" i="6"/>
  <c r="Z179" i="6"/>
  <c r="AK179" i="6"/>
  <c r="AM179" i="6" s="1"/>
  <c r="S179" i="10"/>
  <c r="T179" i="10" s="1"/>
  <c r="U179" i="10" s="1"/>
  <c r="W179" i="10" s="1"/>
  <c r="R179" i="10"/>
  <c r="X180" i="6"/>
  <c r="AJ180" i="6"/>
  <c r="AL180" i="6" s="1"/>
  <c r="AN178" i="6" s="1"/>
  <c r="W181" i="6"/>
  <c r="BB181" i="6" s="1"/>
  <c r="AH181" i="6"/>
  <c r="AI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Q177" i="6"/>
  <c r="AZ177" i="6" s="1"/>
  <c r="AO177" i="6" l="1"/>
  <c r="Z180" i="6"/>
  <c r="AK180" i="6"/>
  <c r="AM180" i="6" s="1"/>
  <c r="S180" i="10"/>
  <c r="T180" i="10" s="1"/>
  <c r="U180" i="10" s="1"/>
  <c r="W180" i="10" s="1"/>
  <c r="R180" i="10"/>
  <c r="X181" i="6"/>
  <c r="AJ181" i="6"/>
  <c r="AL181" i="6" s="1"/>
  <c r="W182" i="6"/>
  <c r="BB182" i="6" s="1"/>
  <c r="AH182" i="6"/>
  <c r="AI182" i="6" s="1"/>
  <c r="N184" i="6"/>
  <c r="O184" i="6" s="1"/>
  <c r="P184" i="6"/>
  <c r="S184" i="6" s="1"/>
  <c r="T184" i="6" s="1"/>
  <c r="M185" i="6"/>
  <c r="U183" i="6"/>
  <c r="V183" i="6"/>
  <c r="AY178" i="6"/>
  <c r="AY177" i="6"/>
  <c r="AQ178" i="6"/>
  <c r="AZ178" i="6" s="1"/>
  <c r="N181" i="10"/>
  <c r="O182" i="10"/>
  <c r="P181" i="10"/>
  <c r="Q181" i="10" s="1"/>
  <c r="AN179" i="6" l="1"/>
  <c r="AO178" i="6"/>
  <c r="Z181" i="6"/>
  <c r="AK181" i="6"/>
  <c r="AM181" i="6" s="1"/>
  <c r="AO179" i="6" s="1"/>
  <c r="S181" i="10"/>
  <c r="T181" i="10" s="1"/>
  <c r="U181" i="10" s="1"/>
  <c r="W181" i="10" s="1"/>
  <c r="R181" i="10"/>
  <c r="X182" i="6"/>
  <c r="AJ182" i="6"/>
  <c r="AL182" i="6" s="1"/>
  <c r="W183" i="6"/>
  <c r="BB183" i="6" s="1"/>
  <c r="AH183" i="6"/>
  <c r="AI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AN180" i="6" l="1"/>
  <c r="Z182" i="6"/>
  <c r="AK182" i="6"/>
  <c r="AM182" i="6" s="1"/>
  <c r="AO180" i="6" s="1"/>
  <c r="S182" i="10"/>
  <c r="T182" i="10" s="1"/>
  <c r="U182" i="10" s="1"/>
  <c r="W182" i="10" s="1"/>
  <c r="R182" i="10"/>
  <c r="X183" i="6"/>
  <c r="AJ183" i="6"/>
  <c r="AL183" i="6" s="1"/>
  <c r="W184" i="6"/>
  <c r="BB184" i="6" s="1"/>
  <c r="AH184" i="6"/>
  <c r="AI184" i="6" s="1"/>
  <c r="N186" i="6"/>
  <c r="O186" i="6" s="1"/>
  <c r="P186" i="6"/>
  <c r="S186" i="6" s="1"/>
  <c r="T186" i="6" s="1"/>
  <c r="M187" i="6"/>
  <c r="U185" i="6"/>
  <c r="V185" i="6"/>
  <c r="AY180" i="6"/>
  <c r="N183" i="10"/>
  <c r="AQ180" i="6"/>
  <c r="AZ180" i="6" s="1"/>
  <c r="O184" i="10"/>
  <c r="P183" i="10"/>
  <c r="Q183" i="10" s="1"/>
  <c r="AQ179" i="6"/>
  <c r="AZ179" i="6" s="1"/>
  <c r="AN181" i="6" l="1"/>
  <c r="Z183" i="6"/>
  <c r="AK183" i="6"/>
  <c r="AM183" i="6" s="1"/>
  <c r="S183" i="10"/>
  <c r="T183" i="10" s="1"/>
  <c r="U183" i="10" s="1"/>
  <c r="W183" i="10" s="1"/>
  <c r="R183" i="10"/>
  <c r="X184" i="6"/>
  <c r="AJ184" i="6"/>
  <c r="AL184" i="6" s="1"/>
  <c r="AN182" i="6" s="1"/>
  <c r="W185" i="6"/>
  <c r="BB185" i="6" s="1"/>
  <c r="AH185" i="6"/>
  <c r="AI185" i="6" s="1"/>
  <c r="N187" i="6"/>
  <c r="O187" i="6" s="1"/>
  <c r="P187" i="6"/>
  <c r="S187" i="6" s="1"/>
  <c r="T187" i="6" s="1"/>
  <c r="M188" i="6"/>
  <c r="U186" i="6"/>
  <c r="V186" i="6"/>
  <c r="AY179" i="6"/>
  <c r="N184" i="10"/>
  <c r="AQ181" i="6"/>
  <c r="AZ181" i="6" s="1"/>
  <c r="P184" i="10"/>
  <c r="Q184" i="10" s="1"/>
  <c r="O185" i="10"/>
  <c r="AO181" i="6" l="1"/>
  <c r="Z184" i="6"/>
  <c r="AK184" i="6"/>
  <c r="AM184" i="6" s="1"/>
  <c r="S184" i="10"/>
  <c r="T184" i="10" s="1"/>
  <c r="U184" i="10" s="1"/>
  <c r="W184" i="10" s="1"/>
  <c r="R184" i="10"/>
  <c r="X185" i="6"/>
  <c r="AJ185" i="6"/>
  <c r="AL185" i="6" s="1"/>
  <c r="W186" i="6"/>
  <c r="BB186" i="6" s="1"/>
  <c r="AH186" i="6"/>
  <c r="AI186" i="6" s="1"/>
  <c r="N188" i="6"/>
  <c r="O188" i="6" s="1"/>
  <c r="P188" i="6"/>
  <c r="S188" i="6" s="1"/>
  <c r="T188" i="6" s="1"/>
  <c r="M189" i="6"/>
  <c r="U187" i="6"/>
  <c r="V187" i="6"/>
  <c r="AY182" i="6"/>
  <c r="AY181" i="6"/>
  <c r="N185" i="10"/>
  <c r="O186" i="10"/>
  <c r="P185" i="10"/>
  <c r="Q185" i="10" s="1"/>
  <c r="AQ182" i="6"/>
  <c r="AZ182" i="6" s="1"/>
  <c r="AN183" i="6" l="1"/>
  <c r="AO182" i="6"/>
  <c r="Z185" i="6"/>
  <c r="AK185" i="6"/>
  <c r="AM185" i="6" s="1"/>
  <c r="S185" i="10"/>
  <c r="T185" i="10" s="1"/>
  <c r="U185" i="10" s="1"/>
  <c r="W185" i="10" s="1"/>
  <c r="R185" i="10"/>
  <c r="X186" i="6"/>
  <c r="AJ186" i="6"/>
  <c r="AL186" i="6" s="1"/>
  <c r="AN184" i="6" s="1"/>
  <c r="W187" i="6"/>
  <c r="BB187" i="6" s="1"/>
  <c r="AH187" i="6"/>
  <c r="AI187" i="6" s="1"/>
  <c r="P189" i="6"/>
  <c r="S189" i="6" s="1"/>
  <c r="T189" i="6" s="1"/>
  <c r="N189" i="6"/>
  <c r="O189" i="6" s="1"/>
  <c r="M190" i="6"/>
  <c r="U188" i="6"/>
  <c r="V188" i="6"/>
  <c r="AY183" i="6"/>
  <c r="AQ183" i="6"/>
  <c r="AZ183" i="6" s="1"/>
  <c r="N186" i="10"/>
  <c r="P186" i="10"/>
  <c r="Q186" i="10" s="1"/>
  <c r="O187" i="10"/>
  <c r="AO183" i="6" l="1"/>
  <c r="Z186" i="6"/>
  <c r="AK186" i="6"/>
  <c r="AM186" i="6" s="1"/>
  <c r="S186" i="10"/>
  <c r="T186" i="10" s="1"/>
  <c r="U186" i="10" s="1"/>
  <c r="W186" i="10" s="1"/>
  <c r="R186" i="10"/>
  <c r="X187" i="6"/>
  <c r="AJ187" i="6"/>
  <c r="AL187" i="6" s="1"/>
  <c r="W188" i="6"/>
  <c r="BB188" i="6" s="1"/>
  <c r="AH188" i="6"/>
  <c r="AI188" i="6" s="1"/>
  <c r="N190" i="6"/>
  <c r="O190" i="6" s="1"/>
  <c r="P190" i="6"/>
  <c r="S190" i="6" s="1"/>
  <c r="T190" i="6" s="1"/>
  <c r="M191" i="6"/>
  <c r="U189" i="6"/>
  <c r="V189" i="6"/>
  <c r="AY184" i="6"/>
  <c r="N187" i="10"/>
  <c r="O188" i="10"/>
  <c r="P187" i="10"/>
  <c r="Q187" i="10" s="1"/>
  <c r="AQ184" i="6"/>
  <c r="AZ184" i="6" s="1"/>
  <c r="AO184" i="6" l="1"/>
  <c r="AN185" i="6"/>
  <c r="Z187" i="6"/>
  <c r="AK187" i="6"/>
  <c r="AM187" i="6" s="1"/>
  <c r="AO185" i="6" s="1"/>
  <c r="S187" i="10"/>
  <c r="T187" i="10" s="1"/>
  <c r="U187" i="10" s="1"/>
  <c r="W187" i="10" s="1"/>
  <c r="R187" i="10"/>
  <c r="X188" i="6"/>
  <c r="AJ188" i="6"/>
  <c r="AL188" i="6" s="1"/>
  <c r="AN186" i="6" s="1"/>
  <c r="W189" i="6"/>
  <c r="BB189" i="6" s="1"/>
  <c r="AH189" i="6"/>
  <c r="AI189" i="6" s="1"/>
  <c r="N191" i="6"/>
  <c r="O191" i="6" s="1"/>
  <c r="P191" i="6"/>
  <c r="S191" i="6" s="1"/>
  <c r="T191" i="6" s="1"/>
  <c r="M192" i="6"/>
  <c r="U190" i="6"/>
  <c r="V190" i="6"/>
  <c r="AY185" i="6"/>
  <c r="AQ185" i="6"/>
  <c r="AZ185" i="6" s="1"/>
  <c r="N188" i="10"/>
  <c r="P188" i="10"/>
  <c r="Q188" i="10" s="1"/>
  <c r="O189" i="10"/>
  <c r="Z188" i="6" l="1"/>
  <c r="AK188" i="6"/>
  <c r="AM188" i="6" s="1"/>
  <c r="S188" i="10"/>
  <c r="T188" i="10" s="1"/>
  <c r="U188" i="10" s="1"/>
  <c r="W188" i="10" s="1"/>
  <c r="R188" i="10"/>
  <c r="X189" i="6"/>
  <c r="AJ189" i="6"/>
  <c r="AL189" i="6" s="1"/>
  <c r="W190" i="6"/>
  <c r="BB190" i="6" s="1"/>
  <c r="AH190" i="6"/>
  <c r="AI190" i="6" s="1"/>
  <c r="N192" i="6"/>
  <c r="O192" i="6" s="1"/>
  <c r="P192" i="6"/>
  <c r="S192" i="6" s="1"/>
  <c r="T192" i="6" s="1"/>
  <c r="M193" i="6"/>
  <c r="U191" i="6"/>
  <c r="V191" i="6"/>
  <c r="AY186" i="6"/>
  <c r="N189" i="10"/>
  <c r="P189" i="10"/>
  <c r="Q189" i="10" s="1"/>
  <c r="O190" i="10"/>
  <c r="AQ186" i="6"/>
  <c r="AZ186" i="6" s="1"/>
  <c r="AN187" i="6" l="1"/>
  <c r="AO186" i="6"/>
  <c r="Z189" i="6"/>
  <c r="AK189" i="6"/>
  <c r="AM189" i="6" s="1"/>
  <c r="AO187" i="6" s="1"/>
  <c r="S189" i="10"/>
  <c r="T189" i="10" s="1"/>
  <c r="U189" i="10" s="1"/>
  <c r="W189" i="10" s="1"/>
  <c r="R189" i="10"/>
  <c r="X190" i="6"/>
  <c r="AJ190" i="6"/>
  <c r="AL190" i="6" s="1"/>
  <c r="AN188" i="6" s="1"/>
  <c r="W191" i="6"/>
  <c r="BB191" i="6" s="1"/>
  <c r="AH191" i="6"/>
  <c r="AI191" i="6" s="1"/>
  <c r="N193" i="6"/>
  <c r="O193" i="6" s="1"/>
  <c r="P193" i="6"/>
  <c r="S193" i="6" s="1"/>
  <c r="T193" i="6" s="1"/>
  <c r="M194" i="6"/>
  <c r="U192" i="6"/>
  <c r="V192" i="6"/>
  <c r="AY187" i="6"/>
  <c r="AQ187" i="6"/>
  <c r="AZ187" i="6" s="1"/>
  <c r="N190" i="10"/>
  <c r="P190" i="10"/>
  <c r="Q190" i="10" s="1"/>
  <c r="O191" i="10"/>
  <c r="Z190" i="6" l="1"/>
  <c r="AK190" i="6"/>
  <c r="AM190" i="6" s="1"/>
  <c r="S190" i="10"/>
  <c r="T190" i="10" s="1"/>
  <c r="U190" i="10" s="1"/>
  <c r="W190" i="10" s="1"/>
  <c r="R190" i="10"/>
  <c r="X191" i="6"/>
  <c r="AJ191" i="6"/>
  <c r="AL191" i="6" s="1"/>
  <c r="W192" i="6"/>
  <c r="BB192" i="6" s="1"/>
  <c r="AH192" i="6"/>
  <c r="AI192" i="6" s="1"/>
  <c r="N194" i="6"/>
  <c r="O194" i="6" s="1"/>
  <c r="P194" i="6"/>
  <c r="S194" i="6" s="1"/>
  <c r="T194" i="6" s="1"/>
  <c r="M195" i="6"/>
  <c r="U193" i="6"/>
  <c r="V193" i="6"/>
  <c r="AY188" i="6"/>
  <c r="AQ188" i="6"/>
  <c r="AZ188" i="6" s="1"/>
  <c r="N191" i="10"/>
  <c r="P191" i="10"/>
  <c r="Q191" i="10" s="1"/>
  <c r="O192" i="10"/>
  <c r="AN189" i="6" l="1"/>
  <c r="AO188" i="6"/>
  <c r="Z191" i="6"/>
  <c r="AK191" i="6"/>
  <c r="AM191" i="6" s="1"/>
  <c r="S191" i="10"/>
  <c r="T191" i="10" s="1"/>
  <c r="U191" i="10" s="1"/>
  <c r="W191" i="10" s="1"/>
  <c r="R191" i="10"/>
  <c r="X192" i="6"/>
  <c r="AJ192" i="6"/>
  <c r="AL192" i="6" s="1"/>
  <c r="AN190" i="6" s="1"/>
  <c r="W193" i="6"/>
  <c r="BB193" i="6" s="1"/>
  <c r="AH193" i="6"/>
  <c r="AI193" i="6" s="1"/>
  <c r="N195" i="6"/>
  <c r="O195" i="6" s="1"/>
  <c r="P195" i="6"/>
  <c r="S195" i="6" s="1"/>
  <c r="T195" i="6" s="1"/>
  <c r="M196" i="6"/>
  <c r="U194" i="6"/>
  <c r="V194" i="6"/>
  <c r="N192" i="10"/>
  <c r="AQ189" i="6"/>
  <c r="AZ189" i="6" s="1"/>
  <c r="P192" i="10"/>
  <c r="Q192" i="10" s="1"/>
  <c r="O193" i="10"/>
  <c r="AO189" i="6" l="1"/>
  <c r="Z192" i="6"/>
  <c r="AK192" i="6"/>
  <c r="AM192" i="6" s="1"/>
  <c r="S192" i="10"/>
  <c r="T192" i="10" s="1"/>
  <c r="U192" i="10" s="1"/>
  <c r="W192" i="10" s="1"/>
  <c r="R192" i="10"/>
  <c r="X193" i="6"/>
  <c r="AJ193" i="6"/>
  <c r="AL193" i="6" s="1"/>
  <c r="W194" i="6"/>
  <c r="BB194" i="6" s="1"/>
  <c r="AH194" i="6"/>
  <c r="AI194" i="6" s="1"/>
  <c r="N196" i="6"/>
  <c r="O196" i="6" s="1"/>
  <c r="P196" i="6"/>
  <c r="S196" i="6" s="1"/>
  <c r="T196" i="6" s="1"/>
  <c r="M197" i="6"/>
  <c r="U195" i="6"/>
  <c r="V195" i="6"/>
  <c r="AY190" i="6"/>
  <c r="AY189" i="6"/>
  <c r="AQ190" i="6"/>
  <c r="AZ190" i="6" s="1"/>
  <c r="N193" i="10"/>
  <c r="O194" i="10"/>
  <c r="P193" i="10"/>
  <c r="Q193" i="10" s="1"/>
  <c r="AN191" i="6" l="1"/>
  <c r="AO190" i="6"/>
  <c r="Z193" i="6"/>
  <c r="AK193" i="6"/>
  <c r="AM193" i="6" s="1"/>
  <c r="S193" i="10"/>
  <c r="T193" i="10" s="1"/>
  <c r="U193" i="10" s="1"/>
  <c r="W193" i="10" s="1"/>
  <c r="R193" i="10"/>
  <c r="X194" i="6"/>
  <c r="AJ194" i="6"/>
  <c r="AL194" i="6" s="1"/>
  <c r="W195" i="6"/>
  <c r="BB195" i="6" s="1"/>
  <c r="AH195" i="6"/>
  <c r="AI195" i="6" s="1"/>
  <c r="N197" i="6"/>
  <c r="O197" i="6" s="1"/>
  <c r="P197" i="6"/>
  <c r="S197" i="6" s="1"/>
  <c r="T197" i="6" s="1"/>
  <c r="M198" i="6"/>
  <c r="U196" i="6"/>
  <c r="V196" i="6"/>
  <c r="AY191" i="6"/>
  <c r="AQ191" i="6"/>
  <c r="AZ191" i="6" s="1"/>
  <c r="N194" i="10"/>
  <c r="O195" i="10"/>
  <c r="P194" i="10"/>
  <c r="Q194" i="10" s="1"/>
  <c r="AO191" i="6" l="1"/>
  <c r="AN192" i="6"/>
  <c r="Z194" i="6"/>
  <c r="AK194" i="6"/>
  <c r="AM194" i="6" s="1"/>
  <c r="S194" i="10"/>
  <c r="T194" i="10" s="1"/>
  <c r="U194" i="10" s="1"/>
  <c r="W194" i="10" s="1"/>
  <c r="R194" i="10"/>
  <c r="X195" i="6"/>
  <c r="AJ195" i="6"/>
  <c r="AL195" i="6" s="1"/>
  <c r="W196" i="6"/>
  <c r="BB196" i="6" s="1"/>
  <c r="AH196" i="6"/>
  <c r="AI196" i="6" s="1"/>
  <c r="N198" i="6"/>
  <c r="O198" i="6" s="1"/>
  <c r="P198" i="6"/>
  <c r="S198" i="6" s="1"/>
  <c r="T198" i="6" s="1"/>
  <c r="M199" i="6"/>
  <c r="U197" i="6"/>
  <c r="V197" i="6"/>
  <c r="N195" i="10"/>
  <c r="AQ192" i="6"/>
  <c r="AZ192" i="6" s="1"/>
  <c r="P195" i="10"/>
  <c r="Q195" i="10" s="1"/>
  <c r="O196" i="10"/>
  <c r="AN193" i="6" l="1"/>
  <c r="AO192" i="6"/>
  <c r="Z195" i="6"/>
  <c r="AK195" i="6"/>
  <c r="AM195" i="6" s="1"/>
  <c r="AO193" i="6" s="1"/>
  <c r="S195" i="10"/>
  <c r="T195" i="10" s="1"/>
  <c r="U195" i="10" s="1"/>
  <c r="W195" i="10" s="1"/>
  <c r="R195" i="10"/>
  <c r="X196" i="6"/>
  <c r="AJ196" i="6"/>
  <c r="AL196" i="6" s="1"/>
  <c r="AN194" i="6" s="1"/>
  <c r="W197" i="6"/>
  <c r="BB197" i="6" s="1"/>
  <c r="AH197" i="6"/>
  <c r="AI197" i="6" s="1"/>
  <c r="N199" i="6"/>
  <c r="O199" i="6" s="1"/>
  <c r="P199" i="6"/>
  <c r="S199" i="6" s="1"/>
  <c r="T199" i="6" s="1"/>
  <c r="M200" i="6"/>
  <c r="U198" i="6"/>
  <c r="V198" i="6"/>
  <c r="AY192" i="6"/>
  <c r="N196" i="10"/>
  <c r="O197" i="10"/>
  <c r="P196" i="10"/>
  <c r="Q196" i="10" s="1"/>
  <c r="Z196" i="6" l="1"/>
  <c r="AK196" i="6"/>
  <c r="AM196" i="6" s="1"/>
  <c r="S196" i="10"/>
  <c r="T196" i="10" s="1"/>
  <c r="U196" i="10" s="1"/>
  <c r="W196" i="10" s="1"/>
  <c r="R196" i="10"/>
  <c r="X197" i="6"/>
  <c r="AJ197" i="6"/>
  <c r="AL197" i="6" s="1"/>
  <c r="W198" i="6"/>
  <c r="BB198" i="6" s="1"/>
  <c r="AH198" i="6"/>
  <c r="AI198" i="6" s="1"/>
  <c r="N200" i="6"/>
  <c r="O200" i="6" s="1"/>
  <c r="P200" i="6"/>
  <c r="S200" i="6" s="1"/>
  <c r="T200" i="6" s="1"/>
  <c r="M201" i="6"/>
  <c r="V199" i="6"/>
  <c r="U199" i="6"/>
  <c r="AY194" i="6"/>
  <c r="AQ194" i="6"/>
  <c r="AZ194" i="6" s="1"/>
  <c r="N197" i="10"/>
  <c r="AQ193" i="6"/>
  <c r="AZ193" i="6" s="1"/>
  <c r="O198" i="10"/>
  <c r="P197" i="10"/>
  <c r="Q197" i="10" s="1"/>
  <c r="AN195" i="6" l="1"/>
  <c r="AO194" i="6"/>
  <c r="Z197" i="6"/>
  <c r="AK197" i="6"/>
  <c r="AM197" i="6" s="1"/>
  <c r="AO195" i="6" s="1"/>
  <c r="S197" i="10"/>
  <c r="T197" i="10" s="1"/>
  <c r="U197" i="10" s="1"/>
  <c r="W197" i="10" s="1"/>
  <c r="R197" i="10"/>
  <c r="X198" i="6"/>
  <c r="AJ198" i="6"/>
  <c r="AL198" i="6" s="1"/>
  <c r="AN196" i="6" s="1"/>
  <c r="W199" i="6"/>
  <c r="BB199" i="6" s="1"/>
  <c r="AH199" i="6"/>
  <c r="AI199" i="6" s="1"/>
  <c r="N201" i="6"/>
  <c r="O201" i="6" s="1"/>
  <c r="P201" i="6"/>
  <c r="S201" i="6" s="1"/>
  <c r="T201" i="6" s="1"/>
  <c r="M202" i="6"/>
  <c r="U200" i="6"/>
  <c r="V200" i="6"/>
  <c r="AY195" i="6"/>
  <c r="AY193" i="6"/>
  <c r="N198" i="10"/>
  <c r="P198" i="10"/>
  <c r="Q198" i="10" s="1"/>
  <c r="O199" i="10"/>
  <c r="AQ195" i="6"/>
  <c r="AZ195" i="6" s="1"/>
  <c r="Z198" i="6" l="1"/>
  <c r="AK198" i="6"/>
  <c r="AM198" i="6" s="1"/>
  <c r="S198" i="10"/>
  <c r="T198" i="10" s="1"/>
  <c r="U198" i="10" s="1"/>
  <c r="W198" i="10" s="1"/>
  <c r="R198" i="10"/>
  <c r="X199" i="6"/>
  <c r="AJ199" i="6"/>
  <c r="AL199" i="6" s="1"/>
  <c r="W200" i="6"/>
  <c r="BB200" i="6" s="1"/>
  <c r="AH200" i="6"/>
  <c r="AI200" i="6" s="1"/>
  <c r="N202" i="6"/>
  <c r="O202" i="6" s="1"/>
  <c r="P202" i="6"/>
  <c r="S202" i="6" s="1"/>
  <c r="T202" i="6" s="1"/>
  <c r="M203" i="6"/>
  <c r="U201" i="6"/>
  <c r="V201" i="6"/>
  <c r="AY196" i="6"/>
  <c r="N199" i="10"/>
  <c r="P199" i="10"/>
  <c r="Q199" i="10" s="1"/>
  <c r="O200" i="10"/>
  <c r="AQ196" i="6"/>
  <c r="AZ196" i="6" s="1"/>
  <c r="AO196" i="6" l="1"/>
  <c r="AN197" i="6"/>
  <c r="Z199" i="6"/>
  <c r="AK199" i="6"/>
  <c r="AM199" i="6" s="1"/>
  <c r="AO197" i="6" s="1"/>
  <c r="S199" i="10"/>
  <c r="T199" i="10" s="1"/>
  <c r="U199" i="10" s="1"/>
  <c r="W199" i="10" s="1"/>
  <c r="R199" i="10"/>
  <c r="X200" i="6"/>
  <c r="AJ200" i="6"/>
  <c r="AL200" i="6" s="1"/>
  <c r="AN198" i="6" s="1"/>
  <c r="W201" i="6"/>
  <c r="BB201" i="6" s="1"/>
  <c r="AH201" i="6"/>
  <c r="AI201" i="6" s="1"/>
  <c r="N203" i="6"/>
  <c r="O203" i="6" s="1"/>
  <c r="P203" i="6"/>
  <c r="S203" i="6" s="1"/>
  <c r="T203" i="6" s="1"/>
  <c r="M204" i="6"/>
  <c r="U202" i="6"/>
  <c r="V202" i="6"/>
  <c r="AY197" i="6"/>
  <c r="N200" i="10"/>
  <c r="AQ197" i="6"/>
  <c r="AZ197" i="6" s="1"/>
  <c r="O201" i="10"/>
  <c r="P200" i="10"/>
  <c r="Q200" i="10" s="1"/>
  <c r="Z200" i="6" l="1"/>
  <c r="AK200" i="6"/>
  <c r="AM200" i="6" s="1"/>
  <c r="S200" i="10"/>
  <c r="T200" i="10" s="1"/>
  <c r="U200" i="10" s="1"/>
  <c r="W200" i="10" s="1"/>
  <c r="R200" i="10"/>
  <c r="X201" i="6"/>
  <c r="AJ201" i="6"/>
  <c r="AL201" i="6" s="1"/>
  <c r="W202" i="6"/>
  <c r="BB202" i="6" s="1"/>
  <c r="AH202" i="6"/>
  <c r="AI202" i="6" s="1"/>
  <c r="N204" i="6"/>
  <c r="O204" i="6" s="1"/>
  <c r="P204" i="6"/>
  <c r="S204" i="6" s="1"/>
  <c r="T204" i="6" s="1"/>
  <c r="U203" i="6"/>
  <c r="V203" i="6"/>
  <c r="AY198" i="6"/>
  <c r="N201" i="10"/>
  <c r="O202" i="10"/>
  <c r="P201" i="10"/>
  <c r="Q201" i="10" s="1"/>
  <c r="AQ198" i="6"/>
  <c r="AZ198" i="6" s="1"/>
  <c r="AN199" i="6" l="1"/>
  <c r="AO198" i="6"/>
  <c r="Z201" i="6"/>
  <c r="AK201" i="6"/>
  <c r="AM201" i="6" s="1"/>
  <c r="S201" i="10"/>
  <c r="T201" i="10" s="1"/>
  <c r="U201" i="10" s="1"/>
  <c r="W201" i="10" s="1"/>
  <c r="R201" i="10"/>
  <c r="X202" i="6"/>
  <c r="AJ202" i="6"/>
  <c r="AL202" i="6" s="1"/>
  <c r="AN200" i="6" s="1"/>
  <c r="W203" i="6"/>
  <c r="BB203" i="6" s="1"/>
  <c r="AH203" i="6"/>
  <c r="AI203" i="6" s="1"/>
  <c r="U204" i="6"/>
  <c r="V204" i="6"/>
  <c r="AY199" i="6"/>
  <c r="N202" i="10"/>
  <c r="AQ199" i="6"/>
  <c r="AZ199" i="6" s="1"/>
  <c r="O203" i="10"/>
  <c r="P202" i="10"/>
  <c r="Q202" i="10" s="1"/>
  <c r="AO199" i="6" l="1"/>
  <c r="Z202" i="6"/>
  <c r="AK202" i="6"/>
  <c r="AM202" i="6" s="1"/>
  <c r="S202" i="10"/>
  <c r="T202" i="10" s="1"/>
  <c r="U202" i="10" s="1"/>
  <c r="W202" i="10" s="1"/>
  <c r="R202" i="10"/>
  <c r="X203" i="6"/>
  <c r="AJ203" i="6"/>
  <c r="AL203" i="6" s="1"/>
  <c r="W204" i="6"/>
  <c r="BB204" i="6" s="1"/>
  <c r="AH204" i="6"/>
  <c r="AI204" i="6" s="1"/>
  <c r="AY200" i="6"/>
  <c r="N204" i="10"/>
  <c r="N203" i="10"/>
  <c r="P203" i="10"/>
  <c r="Q203" i="10" s="1"/>
  <c r="O204" i="10"/>
  <c r="AQ200" i="6"/>
  <c r="AZ200" i="6" s="1"/>
  <c r="AN201" i="6" l="1"/>
  <c r="AO200" i="6"/>
  <c r="Z203" i="6"/>
  <c r="AK203" i="6"/>
  <c r="AM203" i="6" s="1"/>
  <c r="AO201" i="6" s="1"/>
  <c r="S203" i="10"/>
  <c r="T203" i="10" s="1"/>
  <c r="U203" i="10" s="1"/>
  <c r="W203" i="10" s="1"/>
  <c r="R203" i="10"/>
  <c r="X204" i="6"/>
  <c r="AJ204" i="6"/>
  <c r="AL204" i="6" s="1"/>
  <c r="AN204" i="6" s="1"/>
  <c r="AY201" i="6"/>
  <c r="P204" i="10"/>
  <c r="Q204" i="10" s="1"/>
  <c r="AQ201" i="6"/>
  <c r="AZ201" i="6" s="1"/>
  <c r="AN203" i="6" l="1"/>
  <c r="AN202" i="6"/>
  <c r="Z204" i="6"/>
  <c r="AA4" i="6" s="1"/>
  <c r="AK204" i="6"/>
  <c r="AM204" i="6" s="1"/>
  <c r="AO202" i="6" s="1"/>
  <c r="S204" i="10"/>
  <c r="T204" i="10" s="1"/>
  <c r="U204" i="10" s="1"/>
  <c r="W204" i="10" s="1"/>
  <c r="R204" i="10"/>
  <c r="AY202" i="6"/>
  <c r="AQ202" i="6"/>
  <c r="AZ202" i="6" s="1"/>
  <c r="AO204" i="6" l="1"/>
  <c r="AO203" i="6"/>
  <c r="AY203" i="6"/>
  <c r="BH5" i="6" s="1"/>
  <c r="AY204" i="6"/>
  <c r="AQ204" i="6"/>
  <c r="AQ203" i="6"/>
  <c r="AZ203" i="6" s="1"/>
  <c r="BI1" i="6" l="1"/>
  <c r="BU5" i="6"/>
  <c r="BI5" i="6"/>
  <c r="BH6" i="6"/>
  <c r="BH7" i="6"/>
  <c r="BH11" i="6"/>
  <c r="BH9" i="6"/>
  <c r="BH10" i="6"/>
  <c r="BH8" i="6"/>
  <c r="BH12" i="6"/>
  <c r="BH13" i="6"/>
  <c r="BH14" i="6"/>
  <c r="BH15" i="6"/>
  <c r="BH17" i="6"/>
  <c r="BH16" i="6"/>
  <c r="BH19" i="6"/>
  <c r="BH18" i="6"/>
  <c r="BH20" i="6"/>
  <c r="BH21" i="6"/>
  <c r="BH22" i="6"/>
  <c r="BH23" i="6"/>
  <c r="BH24" i="6"/>
  <c r="BH27" i="6"/>
  <c r="BH25" i="6"/>
  <c r="BH26" i="6"/>
  <c r="BH29" i="6"/>
  <c r="BH28" i="6"/>
  <c r="BH30" i="6"/>
  <c r="BH32" i="6"/>
  <c r="BH33" i="6"/>
  <c r="BH31" i="6"/>
  <c r="BH35" i="6"/>
  <c r="BH34" i="6"/>
  <c r="BH36" i="6"/>
  <c r="BH37" i="6"/>
  <c r="BH40" i="6"/>
  <c r="BH38" i="6"/>
  <c r="BH39" i="6"/>
  <c r="BH41" i="6"/>
  <c r="BH42" i="6"/>
  <c r="BH44" i="6"/>
  <c r="BH43" i="6"/>
  <c r="BH45" i="6"/>
  <c r="BH47" i="6"/>
  <c r="BH46" i="6"/>
  <c r="BH48" i="6"/>
  <c r="BH50" i="6"/>
  <c r="BH49" i="6"/>
  <c r="BH55" i="6"/>
  <c r="BH52" i="6"/>
  <c r="BH54" i="6"/>
  <c r="BH51" i="6"/>
  <c r="BH53" i="6"/>
  <c r="AZ204" i="6"/>
  <c r="BA204" i="6" l="1"/>
  <c r="BA108" i="6"/>
  <c r="BA106" i="6"/>
  <c r="BA105" i="6"/>
  <c r="BA110" i="6"/>
  <c r="BA107" i="6"/>
  <c r="BA109" i="6"/>
  <c r="BA111" i="6"/>
  <c r="BA113" i="6"/>
  <c r="BA112" i="6"/>
  <c r="BA116" i="6"/>
  <c r="BA115" i="6"/>
  <c r="BA114" i="6"/>
  <c r="BA121" i="6"/>
  <c r="BA118" i="6"/>
  <c r="BA119" i="6"/>
  <c r="BA117" i="6"/>
  <c r="BA122" i="6"/>
  <c r="BA120" i="6"/>
  <c r="BA126" i="6"/>
  <c r="BA125" i="6"/>
  <c r="BA123" i="6"/>
  <c r="BA124" i="6"/>
  <c r="BA127" i="6"/>
  <c r="BA128" i="6"/>
  <c r="BA130" i="6"/>
  <c r="BA129" i="6"/>
  <c r="BA131" i="6"/>
  <c r="BA132" i="6"/>
  <c r="BA134" i="6"/>
  <c r="BA133" i="6"/>
  <c r="BA139" i="6"/>
  <c r="BA135" i="6"/>
  <c r="BA136" i="6"/>
  <c r="BA137" i="6"/>
  <c r="BA138" i="6"/>
  <c r="BA140" i="6"/>
  <c r="BA141" i="6"/>
  <c r="BA142" i="6"/>
  <c r="BA143" i="6"/>
  <c r="BA144" i="6"/>
  <c r="BA145" i="6"/>
  <c r="BA146" i="6"/>
  <c r="BA147" i="6"/>
  <c r="BA150" i="6"/>
  <c r="BA149" i="6"/>
  <c r="BA148" i="6"/>
  <c r="BA151" i="6"/>
  <c r="BA153" i="6"/>
  <c r="BA156" i="6"/>
  <c r="BA152" i="6"/>
  <c r="BA154" i="6"/>
  <c r="BA157" i="6"/>
  <c r="BA155" i="6"/>
  <c r="BA158" i="6"/>
  <c r="BA159" i="6"/>
  <c r="BA160" i="6"/>
  <c r="BA161" i="6"/>
  <c r="BA162" i="6"/>
  <c r="BA164" i="6"/>
  <c r="BA163" i="6"/>
  <c r="BA165" i="6"/>
  <c r="BA166" i="6"/>
  <c r="BA167" i="6"/>
  <c r="BA168" i="6"/>
  <c r="BA169" i="6"/>
  <c r="BA170" i="6"/>
  <c r="BA172" i="6"/>
  <c r="BA171" i="6"/>
  <c r="BA173" i="6"/>
  <c r="BA174" i="6"/>
  <c r="BA175" i="6"/>
  <c r="BA176" i="6"/>
  <c r="BA177" i="6"/>
  <c r="BA180" i="6"/>
  <c r="BA178" i="6"/>
  <c r="BA179" i="6"/>
  <c r="BA181" i="6"/>
  <c r="BA182" i="6"/>
  <c r="BA183" i="6"/>
  <c r="BA184" i="6"/>
  <c r="BA185" i="6"/>
  <c r="BA186" i="6"/>
  <c r="BA187" i="6"/>
  <c r="BA188" i="6"/>
  <c r="BA189" i="6"/>
  <c r="BA190" i="6"/>
  <c r="BA191" i="6"/>
  <c r="BA192" i="6"/>
  <c r="BA195" i="6"/>
  <c r="BA194" i="6"/>
  <c r="BA193" i="6"/>
  <c r="BA196" i="6"/>
  <c r="BA198" i="6"/>
  <c r="BA197" i="6"/>
  <c r="BA199" i="6"/>
  <c r="BA200" i="6"/>
  <c r="BA202" i="6"/>
  <c r="BA203" i="6"/>
  <c r="BA201" i="6"/>
  <c r="BU44" i="6"/>
  <c r="BI44" i="6"/>
  <c r="BU18" i="6"/>
  <c r="BI18" i="6"/>
  <c r="BU35" i="6"/>
  <c r="BI35" i="6"/>
  <c r="BU19" i="6"/>
  <c r="BI19" i="6"/>
  <c r="BU31" i="6"/>
  <c r="BI31" i="6"/>
  <c r="BU9" i="6"/>
  <c r="BI9" i="6"/>
  <c r="BU48" i="6"/>
  <c r="BI48" i="6"/>
  <c r="BU24" i="6"/>
  <c r="BI24" i="6"/>
  <c r="BU11" i="6"/>
  <c r="BI11" i="6"/>
  <c r="BU53" i="6"/>
  <c r="BI53" i="6"/>
  <c r="BU46" i="6"/>
  <c r="BI46" i="6"/>
  <c r="BU38" i="6"/>
  <c r="BI38" i="6"/>
  <c r="BU32" i="6"/>
  <c r="BI32" i="6"/>
  <c r="BU23" i="6"/>
  <c r="BI23" i="6"/>
  <c r="BU15" i="6"/>
  <c r="BI15" i="6"/>
  <c r="BU7" i="6"/>
  <c r="BI7" i="6"/>
  <c r="BU26" i="6"/>
  <c r="BI26" i="6"/>
  <c r="BU49" i="6"/>
  <c r="BI49" i="6"/>
  <c r="BU25" i="6"/>
  <c r="BI25" i="6"/>
  <c r="BU50" i="6"/>
  <c r="BI50" i="6"/>
  <c r="BU27" i="6"/>
  <c r="BI27" i="6"/>
  <c r="BU39" i="6"/>
  <c r="BI39" i="6"/>
  <c r="BU51" i="6"/>
  <c r="BI51" i="6"/>
  <c r="BU30" i="6"/>
  <c r="BI30" i="6"/>
  <c r="BU14" i="6"/>
  <c r="BI14" i="6"/>
  <c r="BU6" i="6"/>
  <c r="BI6" i="6"/>
  <c r="BU16" i="6"/>
  <c r="BI16" i="6"/>
  <c r="BU33" i="6"/>
  <c r="BI33" i="6"/>
  <c r="BU54" i="6"/>
  <c r="BI54" i="6"/>
  <c r="BU13" i="6"/>
  <c r="BI13" i="6"/>
  <c r="BU55" i="6"/>
  <c r="BV55" i="6" s="1"/>
  <c r="BI55" i="6"/>
  <c r="BU34" i="6"/>
  <c r="BI34" i="6"/>
  <c r="BU8" i="6"/>
  <c r="BI8" i="6"/>
  <c r="BU42" i="6"/>
  <c r="BI42" i="6"/>
  <c r="BU10" i="6"/>
  <c r="BI10" i="6"/>
  <c r="BU41" i="6"/>
  <c r="BI41" i="6"/>
  <c r="BU17" i="6"/>
  <c r="BI17" i="6"/>
  <c r="BU47" i="6"/>
  <c r="BI47" i="6"/>
  <c r="BU40" i="6"/>
  <c r="BI40" i="6"/>
  <c r="BU22" i="6"/>
  <c r="BI22" i="6"/>
  <c r="BU45" i="6"/>
  <c r="BI45" i="6"/>
  <c r="BU37" i="6"/>
  <c r="BI37" i="6"/>
  <c r="BU28" i="6"/>
  <c r="BI28" i="6"/>
  <c r="BU21" i="6"/>
  <c r="BI21" i="6"/>
  <c r="BU52" i="6"/>
  <c r="BI52" i="6"/>
  <c r="BU43" i="6"/>
  <c r="BI43" i="6"/>
  <c r="BU36" i="6"/>
  <c r="BI36" i="6"/>
  <c r="BU29" i="6"/>
  <c r="BI29" i="6"/>
  <c r="BU20" i="6"/>
  <c r="BI20" i="6"/>
  <c r="BU12" i="6"/>
  <c r="BI12" i="6"/>
  <c r="BA4" i="6"/>
  <c r="M17" i="1" s="1"/>
  <c r="BA7" i="6"/>
  <c r="BA10" i="6"/>
  <c r="BA6" i="6"/>
  <c r="BA9" i="6"/>
  <c r="BA12" i="6"/>
  <c r="BA5" i="6"/>
  <c r="BA11" i="6"/>
  <c r="BA14" i="6"/>
  <c r="BA8" i="6"/>
  <c r="BA17" i="6"/>
  <c r="BA13" i="6"/>
  <c r="BA18" i="6"/>
  <c r="BA16" i="6"/>
  <c r="BA19" i="6"/>
  <c r="BA15" i="6"/>
  <c r="BA22" i="6"/>
  <c r="BA20" i="6"/>
  <c r="BA24" i="6"/>
  <c r="BA21" i="6"/>
  <c r="BA26" i="6"/>
  <c r="BA25" i="6"/>
  <c r="BA29" i="6"/>
  <c r="BA27" i="6"/>
  <c r="BA28" i="6"/>
  <c r="BA23" i="6"/>
  <c r="BA30" i="6"/>
  <c r="BA31" i="6"/>
  <c r="BA32" i="6"/>
  <c r="BA34" i="6"/>
  <c r="BA33" i="6"/>
  <c r="BA36" i="6"/>
  <c r="BA35" i="6"/>
  <c r="BA38" i="6"/>
  <c r="BA40" i="6"/>
  <c r="BA39" i="6"/>
  <c r="BA42" i="6"/>
  <c r="BA43" i="6"/>
  <c r="BA46" i="6"/>
  <c r="BA41" i="6"/>
  <c r="BA37" i="6"/>
  <c r="BA44" i="6"/>
  <c r="BA52" i="6"/>
  <c r="BA48" i="6"/>
  <c r="BA49" i="6"/>
  <c r="BA45" i="6"/>
  <c r="BA50" i="6"/>
  <c r="BA54" i="6"/>
  <c r="BA47" i="6"/>
  <c r="BA55" i="6"/>
  <c r="BA56" i="6"/>
  <c r="BA58" i="6"/>
  <c r="BA51" i="6"/>
  <c r="BA53" i="6"/>
  <c r="BA59" i="6"/>
  <c r="BA60" i="6"/>
  <c r="BA62" i="6"/>
  <c r="BA57" i="6"/>
  <c r="BA66" i="6"/>
  <c r="BA64" i="6"/>
  <c r="BA61" i="6"/>
  <c r="BA68" i="6"/>
  <c r="BA67" i="6"/>
  <c r="BA63" i="6"/>
  <c r="BA65" i="6"/>
  <c r="BA69" i="6"/>
  <c r="BA72" i="6"/>
  <c r="BA70" i="6"/>
  <c r="BA74" i="6"/>
  <c r="BA71" i="6"/>
  <c r="BA73" i="6"/>
  <c r="BA75" i="6"/>
  <c r="BA76" i="6"/>
  <c r="BA78" i="6"/>
  <c r="BA80" i="6"/>
  <c r="BA79" i="6"/>
  <c r="BA81" i="6"/>
  <c r="BA82" i="6"/>
  <c r="BA86" i="6"/>
  <c r="BA84" i="6"/>
  <c r="BA77" i="6"/>
  <c r="BA83" i="6"/>
  <c r="BA85" i="6"/>
  <c r="BA89" i="6"/>
  <c r="BA87" i="6"/>
  <c r="BA88" i="6"/>
  <c r="BA91" i="6"/>
  <c r="BA92" i="6"/>
  <c r="BA94" i="6"/>
  <c r="BA90" i="6"/>
  <c r="BA93" i="6"/>
  <c r="BA97" i="6"/>
  <c r="BA101" i="6"/>
  <c r="BA95" i="6"/>
  <c r="BA96" i="6"/>
  <c r="BA100" i="6"/>
  <c r="BA99" i="6"/>
  <c r="BA98" i="6"/>
  <c r="BA102" i="6"/>
  <c r="BA104" i="6"/>
  <c r="BA103" i="6"/>
  <c r="M6" i="1" l="1"/>
  <c r="M7" i="1"/>
  <c r="M8" i="1"/>
  <c r="M12" i="1"/>
  <c r="M9" i="1"/>
  <c r="M13" i="1"/>
  <c r="M10" i="1"/>
  <c r="M11" i="1"/>
  <c r="M14" i="1"/>
  <c r="M15" i="1"/>
  <c r="M16" i="1"/>
  <c r="BJ13" i="6"/>
  <c r="BJ31" i="6"/>
  <c r="BJ8" i="6"/>
  <c r="BJ44" i="6"/>
  <c r="BJ11" i="6"/>
  <c r="BJ26" i="6"/>
  <c r="BJ20" i="6"/>
  <c r="BJ14" i="6"/>
  <c r="BJ23" i="6"/>
  <c r="BJ35" i="6"/>
  <c r="BJ17" i="6"/>
  <c r="BJ52" i="6"/>
  <c r="BJ54" i="6"/>
  <c r="BJ42" i="6"/>
  <c r="BJ51" i="6"/>
  <c r="BJ39" i="6"/>
  <c r="BJ25" i="6"/>
  <c r="BJ22" i="6"/>
  <c r="BJ30" i="6"/>
  <c r="BV52" i="6"/>
  <c r="BV36" i="6"/>
  <c r="BV10" i="6"/>
  <c r="BV40" i="6"/>
  <c r="BV9" i="6"/>
  <c r="BV29" i="6"/>
  <c r="BV18" i="6"/>
  <c r="BV41" i="6"/>
  <c r="BV30" i="6"/>
  <c r="BV44" i="6"/>
  <c r="BV8" i="6"/>
  <c r="BV51" i="6"/>
  <c r="BV43" i="6"/>
  <c r="BJ34" i="6"/>
  <c r="BV34" i="6"/>
  <c r="BJ37" i="6"/>
  <c r="BJ47" i="6"/>
  <c r="BJ49" i="6"/>
  <c r="BJ53" i="6"/>
  <c r="BJ18" i="6"/>
  <c r="BJ9" i="6"/>
  <c r="BV39" i="6"/>
  <c r="BV22" i="6"/>
  <c r="BV32" i="6"/>
  <c r="BV7" i="6"/>
  <c r="BV38" i="6"/>
  <c r="BV24" i="6"/>
  <c r="BV19" i="6"/>
  <c r="BJ29" i="6"/>
  <c r="BJ41" i="6"/>
  <c r="BJ16" i="6"/>
  <c r="BJ36" i="6"/>
  <c r="BV25" i="6"/>
  <c r="BV14" i="6"/>
  <c r="BV46" i="6"/>
  <c r="BV48" i="6"/>
  <c r="BV35" i="6"/>
  <c r="BJ38" i="6"/>
  <c r="BJ48" i="6"/>
  <c r="BJ43" i="6"/>
  <c r="BJ6" i="6"/>
  <c r="BJ7" i="6"/>
  <c r="BJ40" i="6"/>
  <c r="BJ50" i="6"/>
  <c r="BJ24" i="6"/>
  <c r="BJ10" i="6"/>
  <c r="BJ19" i="6"/>
  <c r="BV17" i="6"/>
  <c r="BV11" i="6"/>
  <c r="BV37" i="6"/>
  <c r="BV33" i="6"/>
  <c r="BJ21" i="6"/>
  <c r="BJ46" i="6"/>
  <c r="BJ55" i="6"/>
  <c r="BJ15" i="6"/>
  <c r="BJ28" i="6"/>
  <c r="BJ27" i="6"/>
  <c r="BJ33" i="6"/>
  <c r="BJ12" i="6"/>
  <c r="BJ32" i="6"/>
  <c r="BJ45" i="6"/>
  <c r="BV5" i="6"/>
  <c r="BV47" i="6"/>
  <c r="BV13" i="6"/>
  <c r="BV31" i="6"/>
  <c r="BV49" i="6"/>
  <c r="BV28" i="6"/>
  <c r="BV53" i="6"/>
  <c r="BV23" i="6"/>
  <c r="BV50" i="6"/>
  <c r="BV12" i="6"/>
  <c r="BV16" i="6"/>
  <c r="BV15" i="6"/>
  <c r="BV6" i="6"/>
  <c r="BV42" i="6"/>
  <c r="BV20" i="6"/>
  <c r="BV26" i="6"/>
  <c r="BV21" i="6"/>
  <c r="BV27" i="6"/>
  <c r="BV45" i="6"/>
  <c r="BV54" i="6"/>
  <c r="M19" i="1" l="1"/>
  <c r="M20" i="1" s="1"/>
  <c r="CA83" i="6"/>
  <c r="CA61" i="6"/>
  <c r="CA12" i="6"/>
  <c r="CA78" i="6"/>
  <c r="CA54" i="6"/>
  <c r="CA99" i="6"/>
  <c r="CA91" i="6"/>
  <c r="CA84" i="6"/>
  <c r="CA79" i="6"/>
  <c r="CA80" i="6"/>
  <c r="CA67" i="6"/>
  <c r="CA60" i="6"/>
  <c r="CA50" i="6"/>
  <c r="CA26" i="6"/>
  <c r="CA19" i="6"/>
  <c r="CA13" i="6"/>
  <c r="CA100" i="6"/>
  <c r="CA92" i="6"/>
  <c r="CA85" i="6"/>
  <c r="CA69" i="6"/>
  <c r="CA75" i="6"/>
  <c r="CA65" i="6"/>
  <c r="CA58" i="6"/>
  <c r="CA51" i="6"/>
  <c r="CA43" i="6"/>
  <c r="CA34" i="6"/>
  <c r="CA27" i="6"/>
  <c r="CA16" i="6"/>
  <c r="CA17" i="6"/>
  <c r="CA11" i="6"/>
  <c r="CA23" i="6"/>
  <c r="CA24" i="6"/>
  <c r="CA98" i="6"/>
  <c r="CA89" i="6"/>
  <c r="CA81" i="6"/>
  <c r="CA73" i="6"/>
  <c r="CA68" i="6"/>
  <c r="CA57" i="6"/>
  <c r="CA52" i="6"/>
  <c r="CA42" i="6"/>
  <c r="CA33" i="6"/>
  <c r="CA25" i="6"/>
  <c r="CA20" i="6"/>
  <c r="CA9" i="6"/>
  <c r="CA36" i="6"/>
  <c r="CA37" i="6"/>
  <c r="CA87" i="6"/>
  <c r="CA82" i="6"/>
  <c r="CA71" i="6"/>
  <c r="CA66" i="6"/>
  <c r="CA56" i="6"/>
  <c r="CA59" i="6"/>
  <c r="CA49" i="6"/>
  <c r="CA41" i="6"/>
  <c r="CA35" i="6"/>
  <c r="CA18" i="6"/>
  <c r="CA8" i="6"/>
  <c r="CA44" i="6"/>
  <c r="CA45" i="6"/>
  <c r="CA97" i="6"/>
  <c r="CA90" i="6"/>
  <c r="CA76" i="6"/>
  <c r="CA63" i="6"/>
  <c r="CA64" i="6"/>
  <c r="CA53" i="6"/>
  <c r="CA48" i="6"/>
  <c r="CA39" i="6"/>
  <c r="CA40" i="6"/>
  <c r="CA31" i="6"/>
  <c r="CA32" i="6"/>
  <c r="CA21" i="6"/>
  <c r="CA10" i="6"/>
  <c r="CA93" i="6"/>
  <c r="CA74" i="6"/>
  <c r="CA47" i="6"/>
  <c r="CA30" i="6"/>
  <c r="CA14" i="6"/>
  <c r="CA6" i="6"/>
  <c r="CA4" i="6"/>
  <c r="CA94" i="6"/>
  <c r="CA70" i="6"/>
  <c r="CA86" i="6"/>
  <c r="CA77" i="6"/>
  <c r="CA95" i="6"/>
  <c r="CA96" i="6"/>
  <c r="CA88" i="6"/>
  <c r="CA72" i="6"/>
  <c r="CA62" i="6"/>
  <c r="CA55" i="6"/>
  <c r="CA46" i="6"/>
  <c r="CA38" i="6"/>
  <c r="CA28" i="6"/>
  <c r="CA29" i="6"/>
  <c r="CA22" i="6"/>
  <c r="CA15" i="6"/>
  <c r="CA5" i="6"/>
  <c r="CA7" i="6"/>
  <c r="CB83" i="6" l="1"/>
  <c r="CB77" i="6"/>
  <c r="CC77" i="6"/>
  <c r="CB74" i="6"/>
  <c r="CC74" i="6"/>
  <c r="CB58" i="6"/>
  <c r="CC58" i="6"/>
  <c r="CB91" i="6"/>
  <c r="CC91" i="6"/>
  <c r="CC73" i="6"/>
  <c r="CB73" i="6"/>
  <c r="CB72" i="6"/>
  <c r="CC72" i="6"/>
  <c r="CB64" i="6"/>
  <c r="CC64" i="6"/>
  <c r="CC82" i="6"/>
  <c r="CB82" i="6"/>
  <c r="CB81" i="6"/>
  <c r="CC81" i="6"/>
  <c r="CB75" i="6"/>
  <c r="CC75" i="6"/>
  <c r="CC88" i="6"/>
  <c r="CB88" i="6"/>
  <c r="CB63" i="6"/>
  <c r="CC63" i="6"/>
  <c r="CC87" i="6"/>
  <c r="CC89" i="6"/>
  <c r="CB89" i="6"/>
  <c r="CB69" i="6"/>
  <c r="CC69" i="6"/>
  <c r="CB60" i="6"/>
  <c r="CC60" i="6"/>
  <c r="CB87" i="6"/>
  <c r="CC86" i="6"/>
  <c r="CB86" i="6"/>
  <c r="CC96" i="6"/>
  <c r="CB96" i="6"/>
  <c r="CB76" i="6"/>
  <c r="CC76" i="6"/>
  <c r="CC98" i="6"/>
  <c r="CB98" i="6"/>
  <c r="CB85" i="6"/>
  <c r="CC85" i="6"/>
  <c r="CB67" i="6"/>
  <c r="CC67" i="6"/>
  <c r="CC54" i="6"/>
  <c r="CB54" i="6"/>
  <c r="CB68" i="6"/>
  <c r="CC68" i="6"/>
  <c r="CC65" i="6"/>
  <c r="CB65" i="6"/>
  <c r="CC90" i="6"/>
  <c r="CB90" i="6"/>
  <c r="CB92" i="6"/>
  <c r="CC92" i="6"/>
  <c r="CB80" i="6"/>
  <c r="CC80" i="6"/>
  <c r="CC61" i="6"/>
  <c r="CB59" i="6"/>
  <c r="CC59" i="6"/>
  <c r="CB100" i="6"/>
  <c r="CC100" i="6"/>
  <c r="CC79" i="6"/>
  <c r="CB79" i="6"/>
  <c r="CB61" i="6"/>
  <c r="CC55" i="6"/>
  <c r="CB55" i="6"/>
  <c r="CC94" i="6"/>
  <c r="CB94" i="6"/>
  <c r="CB66" i="6"/>
  <c r="CC66" i="6"/>
  <c r="CB78" i="6"/>
  <c r="CC62" i="6"/>
  <c r="CB62" i="6"/>
  <c r="CB93" i="6"/>
  <c r="CC93" i="6"/>
  <c r="CB71" i="6"/>
  <c r="CC71" i="6"/>
  <c r="CC99" i="6"/>
  <c r="CB99" i="6"/>
  <c r="CB95" i="6"/>
  <c r="CC95" i="6"/>
  <c r="CC5" i="6"/>
  <c r="CB97" i="6"/>
  <c r="CC97" i="6"/>
  <c r="CC70" i="6"/>
  <c r="CB70" i="6"/>
  <c r="CC83" i="6"/>
  <c r="CC56" i="6"/>
  <c r="CB56" i="6"/>
  <c r="CC78" i="6"/>
  <c r="CC57" i="6"/>
  <c r="CB57" i="6"/>
  <c r="CC84" i="6"/>
  <c r="CB84" i="6"/>
  <c r="CB53" i="6"/>
  <c r="CC53" i="6"/>
  <c r="CB31" i="6"/>
  <c r="CB35" i="6"/>
  <c r="CB43" i="6"/>
  <c r="CC43" i="6"/>
  <c r="CB33" i="6"/>
  <c r="CC33" i="6"/>
  <c r="CC46" i="6"/>
  <c r="CB46" i="6"/>
  <c r="CB40" i="6"/>
  <c r="CC40" i="6"/>
  <c r="CC36" i="6"/>
  <c r="CB36" i="6"/>
  <c r="CB45" i="6"/>
  <c r="CC45" i="6"/>
  <c r="CC50" i="6"/>
  <c r="CB50" i="6"/>
  <c r="CB51" i="6"/>
  <c r="CC51" i="6"/>
  <c r="CC26" i="6"/>
  <c r="CB26" i="6"/>
  <c r="CB48" i="6"/>
  <c r="CC48" i="6"/>
  <c r="CB9" i="6"/>
  <c r="CB44" i="6"/>
  <c r="CC44" i="6"/>
  <c r="CC18" i="6"/>
  <c r="CB18" i="6"/>
  <c r="CB20" i="6"/>
  <c r="CC20" i="6"/>
  <c r="CB11" i="6"/>
  <c r="CB49" i="6"/>
  <c r="CC49" i="6"/>
  <c r="CC39" i="6"/>
  <c r="CB38" i="6"/>
  <c r="CC38" i="6"/>
  <c r="CB37" i="6"/>
  <c r="CC37" i="6"/>
  <c r="CB23" i="6"/>
  <c r="CC23" i="6"/>
  <c r="CC10" i="6"/>
  <c r="CB10" i="6"/>
  <c r="CC28" i="6"/>
  <c r="CB28" i="6"/>
  <c r="CB25" i="6"/>
  <c r="CC25" i="6"/>
  <c r="CB17" i="6"/>
  <c r="CC17" i="6"/>
  <c r="CC32" i="6"/>
  <c r="CB32" i="6"/>
  <c r="CB13" i="6"/>
  <c r="CC13" i="6"/>
  <c r="CB24" i="6"/>
  <c r="CC24" i="6"/>
  <c r="CC19" i="6"/>
  <c r="CB19" i="6"/>
  <c r="CC31" i="6"/>
  <c r="CB30" i="6"/>
  <c r="CC30" i="6"/>
  <c r="CC42" i="6"/>
  <c r="CB42" i="6"/>
  <c r="CC27" i="6"/>
  <c r="CB27" i="6"/>
  <c r="CB14" i="6"/>
  <c r="CC14" i="6"/>
  <c r="CB15" i="6"/>
  <c r="CC15" i="6"/>
  <c r="CB22" i="6"/>
  <c r="CC22" i="6"/>
  <c r="CB39" i="6"/>
  <c r="CB16" i="6"/>
  <c r="CC16" i="6"/>
  <c r="CB29" i="6"/>
  <c r="CC29" i="6"/>
  <c r="CB47" i="6"/>
  <c r="CC47" i="6"/>
  <c r="CB21" i="6"/>
  <c r="CC21" i="6"/>
  <c r="CB41" i="6"/>
  <c r="CC41" i="6"/>
  <c r="CB52" i="6"/>
  <c r="CC52" i="6"/>
  <c r="CC35" i="6"/>
  <c r="CC34" i="6"/>
  <c r="CB34" i="6"/>
  <c r="CB12" i="6"/>
  <c r="CC12" i="6"/>
  <c r="CB5" i="6"/>
  <c r="CC6" i="6"/>
  <c r="CC8" i="6"/>
  <c r="CB8" i="6"/>
  <c r="CC9" i="6"/>
  <c r="CC11" i="6"/>
  <c r="CB7" i="6"/>
  <c r="CC7" i="6"/>
  <c r="CB6" i="6"/>
  <c r="X4" i="10" l="1"/>
  <c r="BH4" i="6"/>
  <c r="BU4" i="6" s="1"/>
  <c r="BV4" i="6" s="1"/>
  <c r="BI4" i="6" l="1"/>
  <c r="BJ5" i="6" s="1"/>
</calcChain>
</file>

<file path=xl/sharedStrings.xml><?xml version="1.0" encoding="utf-8"?>
<sst xmlns="http://schemas.openxmlformats.org/spreadsheetml/2006/main" count="348" uniqueCount="214">
  <si>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</si>
  <si>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</si>
  <si>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</si>
  <si>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</si>
  <si>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</si>
  <si>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</si>
  <si>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</si>
  <si>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</si>
  <si>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</si>
  <si>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</si>
  <si>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</si>
  <si>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</si>
  <si>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</si>
  <si>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</si>
  <si>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</si>
  <si>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</si>
  <si>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</si>
  <si>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</si>
  <si>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</si>
  <si>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</si>
  <si>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</si>
  <si>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</si>
  <si>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</si>
  <si>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</si>
  <si>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</si>
  <si>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</si>
  <si>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</si>
  <si>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</si>
  <si>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</si>
  <si>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</si>
  <si>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</si>
  <si>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</si>
  <si>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</si>
  <si>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</si>
  <si>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</si>
  <si>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</si>
  <si>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</si>
  <si>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discount factor</t>
  </si>
  <si>
    <t>ratio of renewable over all energy  from IEA (should be 0.16)</t>
  </si>
  <si>
    <t>mean emissions intensity at start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</si>
  <si>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</si>
  <si>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</si>
  <si>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</si>
  <si>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</si>
  <si>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</si>
  <si>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</si>
  <si>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</si>
  <si>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</si>
  <si>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</si>
  <si>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</si>
  <si>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</si>
  <si>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</si>
  <si>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</si>
  <si>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</si>
  <si>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</si>
  <si>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</si>
  <si>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</si>
  <si>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</si>
  <si>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</si>
  <si>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</si>
  <si>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</si>
  <si>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</si>
  <si>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</si>
  <si>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</si>
  <si>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</si>
  <si>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</si>
  <si>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</si>
  <si>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</si>
  <si>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</si>
  <si>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</si>
  <si>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</si>
  <si>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</si>
  <si>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</si>
  <si>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</si>
  <si>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</si>
  <si>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</si>
  <si>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</si>
  <si>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</si>
  <si>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</si>
  <si>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</si>
  <si>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</si>
  <si>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</si>
  <si>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</si>
  <si>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</si>
  <si>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</si>
  <si>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</si>
  <si>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</si>
  <si>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</si>
  <si>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</si>
  <si>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</si>
  <si>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</si>
  <si>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</si>
  <si>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</si>
  <si>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</si>
  <si>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</si>
  <si>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</si>
  <si>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</si>
  <si>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</si>
  <si>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</si>
  <si>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</si>
  <si>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</si>
  <si>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</si>
  <si>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</si>
  <si>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</si>
  <si>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</si>
  <si>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</si>
  <si>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</si>
  <si>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</si>
  <si>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</si>
  <si>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</si>
  <si>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</si>
  <si>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</si>
  <si>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</si>
  <si>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</si>
  <si>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</si>
  <si>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</si>
  <si>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</si>
  <si>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</si>
  <si>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</si>
  <si>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</si>
  <si>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</si>
  <si>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</si>
  <si>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</si>
  <si>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</si>
  <si>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</si>
  <si>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</si>
  <si>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</si>
  <si>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</si>
  <si>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</si>
  <si>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</si>
  <si>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</si>
  <si>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</si>
  <si>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</si>
  <si>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</si>
  <si>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</si>
  <si>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</si>
  <si>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</si>
  <si>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</si>
  <si>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</si>
  <si>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</si>
  <si>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</si>
  <si>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</si>
  <si>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</si>
  <si>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</si>
  <si>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</si>
  <si>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</si>
  <si>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</si>
  <si>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</si>
  <si>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</si>
  <si>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</si>
  <si>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</si>
  <si>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</si>
  <si>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</si>
  <si>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</si>
  <si>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</si>
  <si>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</si>
  <si>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</si>
  <si>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</si>
  <si>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</si>
  <si>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</si>
  <si>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</si>
  <si>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</si>
  <si>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</si>
  <si>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</si>
  <si>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</si>
  <si>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</si>
  <si>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</si>
  <si>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</si>
  <si>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</si>
  <si>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</si>
  <si>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</si>
  <si>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</si>
  <si>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</si>
  <si>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</si>
  <si>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</si>
  <si>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</si>
  <si>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</si>
  <si>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</si>
  <si>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</si>
  <si>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</si>
  <si>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</si>
  <si>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</si>
  <si>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</si>
  <si>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</si>
  <si>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</si>
  <si>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</si>
  <si>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</si>
  <si>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</si>
  <si>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</si>
  <si>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</si>
  <si>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</si>
  <si>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</si>
  <si>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</si>
  <si>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</si>
  <si>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</si>
  <si>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</si>
  <si>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</si>
  <si>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</si>
  <si>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</si>
  <si>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</si>
  <si>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</si>
  <si>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</si>
  <si>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</si>
  <si>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</si>
  <si>
    <t>g_Y[t]</t>
  </si>
  <si>
    <t>g_C[t]</t>
  </si>
  <si>
    <t>g_Y[t] (5-year moving average)</t>
  </si>
  <si>
    <t>g_C[t] (5-year moving average)</t>
  </si>
  <si>
    <t>I_c[t]</t>
  </si>
  <si>
    <t>I_d[t]</t>
  </si>
  <si>
    <t>\iota_c[t]</t>
  </si>
  <si>
    <t>\Theta[t]</t>
  </si>
  <si>
    <t>Abs(\Theta[t]/I_d[t])</t>
  </si>
  <si>
    <t>\iota_c[t]/I_c[t]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</si>
</sst>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" fontId="0" fillId="0" borderId="1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9" fontId="0" fillId="0" borderId="0" xfId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ont="1" applyFill="1"/>
    <xf numFmtId="169" fontId="0" fillId="0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0" xfId="0" applyNumberFormat="1" applyFont="1" applyBorder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 applyBorder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" fontId="0" fillId="3" borderId="0" xfId="0" applyNumberFormat="1" applyFill="1" applyBorder="1"/>
    <xf numFmtId="0" fontId="0" fillId="3" borderId="0" xfId="0" applyFill="1" applyBorder="1"/>
    <xf numFmtId="2" fontId="0" fillId="3" borderId="0" xfId="0" applyNumberFormat="1" applyFill="1" applyBorder="1"/>
    <xf numFmtId="169" fontId="0" fillId="0" borderId="0" xfId="0" applyNumberFormat="1" applyFont="1"/>
    <xf numFmtId="2" fontId="0" fillId="0" borderId="0" xfId="0" applyNumberFormat="1" applyFill="1" applyBorder="1"/>
    <xf numFmtId="0" fontId="0" fillId="0" borderId="0" xfId="0" applyFill="1"/>
    <xf numFmtId="165" fontId="4" fillId="0" borderId="5" xfId="0" applyNumberFormat="1" applyFont="1" applyFill="1" applyBorder="1"/>
    <xf numFmtId="165" fontId="4" fillId="0" borderId="0" xfId="0" applyNumberFormat="1" applyFont="1" applyFill="1" applyBorder="1"/>
    <xf numFmtId="165" fontId="4" fillId="0" borderId="6" xfId="0" applyNumberFormat="1" applyFont="1" applyFill="1" applyBorder="1"/>
    <xf numFmtId="2" fontId="0" fillId="0" borderId="0" xfId="0" applyNumberFormat="1" applyFill="1"/>
    <xf numFmtId="165" fontId="0" fillId="0" borderId="0" xfId="0" applyNumberFormat="1" applyFill="1"/>
    <xf numFmtId="1" fontId="0" fillId="0" borderId="0" xfId="0" applyNumberFormat="1" applyFill="1"/>
    <xf numFmtId="1" fontId="0" fillId="0" borderId="0" xfId="0" applyNumberFormat="1" applyFill="1" applyBorder="1"/>
    <xf numFmtId="0" fontId="0" fillId="0" borderId="0" xfId="0" applyFill="1" applyBorder="1"/>
    <xf numFmtId="166" fontId="0" fillId="0" borderId="0" xfId="1" applyNumberFormat="1" applyFont="1" applyFill="1"/>
    <xf numFmtId="168" fontId="0" fillId="0" borderId="0" xfId="0" applyNumberFormat="1" applyFill="1"/>
    <xf numFmtId="164" fontId="0" fillId="0" borderId="0" xfId="0" applyNumberFormat="1" applyFill="1"/>
    <xf numFmtId="169" fontId="0" fillId="3" borderId="0" xfId="0" applyNumberFormat="1" applyFill="1" applyBorder="1"/>
    <xf numFmtId="166" fontId="0" fillId="3" borderId="0" xfId="1" applyNumberFormat="1" applyFont="1" applyFill="1" applyBorder="1"/>
    <xf numFmtId="9" fontId="0" fillId="0" borderId="0" xfId="1" applyFont="1" applyFill="1"/>
    <xf numFmtId="2" fontId="0" fillId="0" borderId="0" xfId="1" applyNumberFormat="1" applyFont="1" applyFill="1"/>
    <xf numFmtId="0" fontId="0" fillId="0" borderId="0" xfId="0" applyFont="1" applyFill="1"/>
    <xf numFmtId="0" fontId="4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chartsheet" Target="chart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chartsheet" Target="chart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chartsheet" Target="chartsheets/sheet5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4.xml"/><Relationship Id="rId14" Type="http://schemas.openxmlformats.org/officeDocument/2006/relationships/chartsheet" Target="chart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'6states'!$BA$4:$BA$104</c:f>
              <c:numCache>
                <c:formatCode>0.00</c:formatCode>
                <c:ptCount val="101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  <c:pt idx="76">
                  <c:v>1040.0640977075111</c:v>
                </c:pt>
                <c:pt idx="77">
                  <c:v>1062.7540861706152</c:v>
                </c:pt>
                <c:pt idx="78">
                  <c:v>1085.9053720413142</c:v>
                </c:pt>
                <c:pt idx="79">
                  <c:v>1109.524188762924</c:v>
                </c:pt>
                <c:pt idx="80">
                  <c:v>1133.6206353002619</c:v>
                </c:pt>
                <c:pt idx="81">
                  <c:v>1158.2004036285314</c:v>
                </c:pt>
                <c:pt idx="82">
                  <c:v>1183.2773034561267</c:v>
                </c:pt>
                <c:pt idx="83">
                  <c:v>1208.859395398908</c:v>
                </c:pt>
                <c:pt idx="84">
                  <c:v>1234.9512045952608</c:v>
                </c:pt>
                <c:pt idx="85">
                  <c:v>1261.5605908715922</c:v>
                </c:pt>
                <c:pt idx="86">
                  <c:v>1288.7040670395043</c:v>
                </c:pt>
                <c:pt idx="87">
                  <c:v>1316.3814966105865</c:v>
                </c:pt>
                <c:pt idx="88">
                  <c:v>1344.6056062172611</c:v>
                </c:pt>
                <c:pt idx="89">
                  <c:v>1373.383916755412</c:v>
                </c:pt>
                <c:pt idx="90">
                  <c:v>1402.7300937882521</c:v>
                </c:pt>
                <c:pt idx="91">
                  <c:v>1432.6482182457539</c:v>
                </c:pt>
                <c:pt idx="92">
                  <c:v>1463.1474142412087</c:v>
                </c:pt>
                <c:pt idx="93">
                  <c:v>1494.2431969792688</c:v>
                </c:pt>
                <c:pt idx="94">
                  <c:v>1525.9480272965616</c:v>
                </c:pt>
                <c:pt idx="95">
                  <c:v>1558.2713208542382</c:v>
                </c:pt>
                <c:pt idx="96">
                  <c:v>1591.2185594408982</c:v>
                </c:pt>
                <c:pt idx="97">
                  <c:v>1624.7993677884467</c:v>
                </c:pt>
                <c:pt idx="98">
                  <c:v>1659.0258073420559</c:v>
                </c:pt>
                <c:pt idx="99">
                  <c:v>1693.900994234981</c:v>
                </c:pt>
                <c:pt idx="100">
                  <c:v>1729.4494166955174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'6states'!$AX$4:$AX$104</c:f>
              <c:numCache>
                <c:formatCode>0.0%</c:formatCode>
                <c:ptCount val="101"/>
                <c:pt idx="0">
                  <c:v>0</c:v>
                </c:pt>
                <c:pt idx="1">
                  <c:v>6.1319594336600725E-3</c:v>
                </c:pt>
                <c:pt idx="2">
                  <c:v>1.1600138314336372E-2</c:v>
                </c:pt>
                <c:pt idx="3">
                  <c:v>1.6986406778977559E-2</c:v>
                </c:pt>
                <c:pt idx="4">
                  <c:v>2.1133298136372325E-2</c:v>
                </c:pt>
                <c:pt idx="5">
                  <c:v>2.5143929525146547E-2</c:v>
                </c:pt>
                <c:pt idx="6">
                  <c:v>3.02004529015234E-2</c:v>
                </c:pt>
                <c:pt idx="7">
                  <c:v>3.5464019515660694E-2</c:v>
                </c:pt>
                <c:pt idx="8">
                  <c:v>3.8746961508393962E-2</c:v>
                </c:pt>
                <c:pt idx="9">
                  <c:v>4.1890425332954839E-2</c:v>
                </c:pt>
                <c:pt idx="10">
                  <c:v>4.4795322873353971E-2</c:v>
                </c:pt>
                <c:pt idx="11">
                  <c:v>4.7539243850613366E-2</c:v>
                </c:pt>
                <c:pt idx="12">
                  <c:v>5.0070412479186421E-2</c:v>
                </c:pt>
                <c:pt idx="13">
                  <c:v>5.2481027516539935E-2</c:v>
                </c:pt>
                <c:pt idx="14">
                  <c:v>5.4724869261599918E-2</c:v>
                </c:pt>
                <c:pt idx="15">
                  <c:v>5.679702903689321E-2</c:v>
                </c:pt>
                <c:pt idx="16">
                  <c:v>5.8776251931399015E-2</c:v>
                </c:pt>
                <c:pt idx="17">
                  <c:v>6.055355846630428E-2</c:v>
                </c:pt>
                <c:pt idx="18">
                  <c:v>6.2341264421839959E-2</c:v>
                </c:pt>
                <c:pt idx="19">
                  <c:v>6.4074813101874795E-2</c:v>
                </c:pt>
                <c:pt idx="20">
                  <c:v>6.5570408104651756E-2</c:v>
                </c:pt>
                <c:pt idx="21">
                  <c:v>6.697182719430117E-2</c:v>
                </c:pt>
                <c:pt idx="22">
                  <c:v>6.8408006104042407E-2</c:v>
                </c:pt>
                <c:pt idx="23">
                  <c:v>6.9793927817667689E-2</c:v>
                </c:pt>
                <c:pt idx="24">
                  <c:v>7.1073133666599064E-2</c:v>
                </c:pt>
                <c:pt idx="25">
                  <c:v>7.2254011283773845E-2</c:v>
                </c:pt>
                <c:pt idx="26">
                  <c:v>7.3430287479171685E-2</c:v>
                </c:pt>
                <c:pt idx="27">
                  <c:v>7.4556452860562228E-2</c:v>
                </c:pt>
                <c:pt idx="28">
                  <c:v>7.5489463172868865E-2</c:v>
                </c:pt>
                <c:pt idx="29">
                  <c:v>7.6400701318125597E-2</c:v>
                </c:pt>
                <c:pt idx="30">
                  <c:v>7.7163712296539955E-2</c:v>
                </c:pt>
                <c:pt idx="31">
                  <c:v>7.7841034522067254E-2</c:v>
                </c:pt>
                <c:pt idx="32">
                  <c:v>7.8526113440829159E-2</c:v>
                </c:pt>
                <c:pt idx="33">
                  <c:v>7.9095880712576339E-2</c:v>
                </c:pt>
                <c:pt idx="34">
                  <c:v>7.9760172144058283E-2</c:v>
                </c:pt>
                <c:pt idx="35">
                  <c:v>8.0312962807313593E-2</c:v>
                </c:pt>
                <c:pt idx="36">
                  <c:v>8.2654899497468737E-2</c:v>
                </c:pt>
                <c:pt idx="37">
                  <c:v>8.2916914613062165E-2</c:v>
                </c:pt>
                <c:pt idx="38">
                  <c:v>8.3231558270295825E-2</c:v>
                </c:pt>
                <c:pt idx="39">
                  <c:v>8.5166201610644476E-2</c:v>
                </c:pt>
                <c:pt idx="40">
                  <c:v>8.5504903904078944E-2</c:v>
                </c:pt>
                <c:pt idx="41">
                  <c:v>8.5762684588205018E-2</c:v>
                </c:pt>
                <c:pt idx="42">
                  <c:v>8.6117408676482432E-2</c:v>
                </c:pt>
                <c:pt idx="43">
                  <c:v>8.6337825059664919E-2</c:v>
                </c:pt>
                <c:pt idx="44">
                  <c:v>8.8051367676562631E-2</c:v>
                </c:pt>
                <c:pt idx="45">
                  <c:v>8.8340480838829949E-2</c:v>
                </c:pt>
                <c:pt idx="46">
                  <c:v>8.8684449479664473E-2</c:v>
                </c:pt>
                <c:pt idx="47">
                  <c:v>8.8993195613213172E-2</c:v>
                </c:pt>
                <c:pt idx="48">
                  <c:v>8.9212903801912158E-2</c:v>
                </c:pt>
                <c:pt idx="49">
                  <c:v>8.9469031644868524E-2</c:v>
                </c:pt>
                <c:pt idx="50">
                  <c:v>8.9726956091162546E-2</c:v>
                </c:pt>
                <c:pt idx="51">
                  <c:v>9.0008863452489707E-2</c:v>
                </c:pt>
                <c:pt idx="52">
                  <c:v>9.0109167447543048E-2</c:v>
                </c:pt>
                <c:pt idx="53">
                  <c:v>9.1093150074798457E-2</c:v>
                </c:pt>
                <c:pt idx="54">
                  <c:v>9.1777161763562876E-2</c:v>
                </c:pt>
                <c:pt idx="55">
                  <c:v>9.1913502733951824E-2</c:v>
                </c:pt>
                <c:pt idx="56">
                  <c:v>9.2593037995598704E-2</c:v>
                </c:pt>
                <c:pt idx="57">
                  <c:v>9.3140777147979192E-2</c:v>
                </c:pt>
                <c:pt idx="58">
                  <c:v>9.3108445644778715E-2</c:v>
                </c:pt>
                <c:pt idx="59">
                  <c:v>9.3234697680149026E-2</c:v>
                </c:pt>
                <c:pt idx="60">
                  <c:v>9.3232473073145306E-2</c:v>
                </c:pt>
                <c:pt idx="61">
                  <c:v>9.3633892035447808E-2</c:v>
                </c:pt>
                <c:pt idx="62">
                  <c:v>9.3606884448105054E-2</c:v>
                </c:pt>
                <c:pt idx="63">
                  <c:v>9.3725179297179162E-2</c:v>
                </c:pt>
                <c:pt idx="64">
                  <c:v>9.3792410012546346E-2</c:v>
                </c:pt>
                <c:pt idx="65">
                  <c:v>9.4242185989537486E-2</c:v>
                </c:pt>
                <c:pt idx="66">
                  <c:v>9.4151313359980393E-2</c:v>
                </c:pt>
                <c:pt idx="67">
                  <c:v>9.4205716412773977E-2</c:v>
                </c:pt>
                <c:pt idx="68">
                  <c:v>9.4496723267054827E-2</c:v>
                </c:pt>
                <c:pt idx="69">
                  <c:v>9.4578978747033693E-2</c:v>
                </c:pt>
                <c:pt idx="70">
                  <c:v>9.4696814417536523E-2</c:v>
                </c:pt>
                <c:pt idx="71">
                  <c:v>9.470934478216475E-2</c:v>
                </c:pt>
                <c:pt idx="72">
                  <c:v>9.5038678739549409E-2</c:v>
                </c:pt>
                <c:pt idx="73">
                  <c:v>9.5306000732989893E-2</c:v>
                </c:pt>
                <c:pt idx="74">
                  <c:v>9.5396614662149881E-2</c:v>
                </c:pt>
                <c:pt idx="75">
                  <c:v>9.5463259836809256E-2</c:v>
                </c:pt>
                <c:pt idx="76">
                  <c:v>9.5657513136849337E-2</c:v>
                </c:pt>
                <c:pt idx="77">
                  <c:v>9.5786297845456669E-2</c:v>
                </c:pt>
                <c:pt idx="78">
                  <c:v>9.5775187357473701E-2</c:v>
                </c:pt>
                <c:pt idx="79">
                  <c:v>9.5857167090289797E-2</c:v>
                </c:pt>
                <c:pt idx="80">
                  <c:v>9.5765238322514823E-2</c:v>
                </c:pt>
                <c:pt idx="81">
                  <c:v>9.5968949684999028E-2</c:v>
                </c:pt>
                <c:pt idx="82">
                  <c:v>9.6113718341759302E-2</c:v>
                </c:pt>
                <c:pt idx="83">
                  <c:v>9.6012403166397253E-2</c:v>
                </c:pt>
                <c:pt idx="84">
                  <c:v>9.5856415711801812E-2</c:v>
                </c:pt>
                <c:pt idx="85">
                  <c:v>9.6083815802787909E-2</c:v>
                </c:pt>
                <c:pt idx="86">
                  <c:v>9.582944694161033E-2</c:v>
                </c:pt>
                <c:pt idx="87">
                  <c:v>9.575743399889558E-2</c:v>
                </c:pt>
                <c:pt idx="88">
                  <c:v>9.5600322365898105E-2</c:v>
                </c:pt>
                <c:pt idx="89">
                  <c:v>9.5645681834009344E-2</c:v>
                </c:pt>
                <c:pt idx="90">
                  <c:v>9.5440178476397741E-2</c:v>
                </c:pt>
                <c:pt idx="91">
                  <c:v>9.519310122088287E-2</c:v>
                </c:pt>
                <c:pt idx="92">
                  <c:v>9.5212616556316743E-2</c:v>
                </c:pt>
                <c:pt idx="93">
                  <c:v>9.5342043696370005E-2</c:v>
                </c:pt>
                <c:pt idx="94">
                  <c:v>9.5443602056694443E-2</c:v>
                </c:pt>
                <c:pt idx="95">
                  <c:v>9.5360783413529826E-2</c:v>
                </c:pt>
                <c:pt idx="96">
                  <c:v>9.5271681929255281E-2</c:v>
                </c:pt>
                <c:pt idx="97">
                  <c:v>9.5268501043593967E-2</c:v>
                </c:pt>
                <c:pt idx="98">
                  <c:v>9.5009012014240724E-2</c:v>
                </c:pt>
                <c:pt idx="99">
                  <c:v>9.5293235773671436E-2</c:v>
                </c:pt>
                <c:pt idx="100">
                  <c:v>9.4821590137557199E-2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10"/>
      </c:val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1.405265954076008</c:v>
                </c:pt>
                <c:pt idx="2">
                  <c:v>1.4283496245591909</c:v>
                </c:pt>
                <c:pt idx="3">
                  <c:v>1.4498144387003007</c:v>
                </c:pt>
                <c:pt idx="4">
                  <c:v>1.4703817916245965</c:v>
                </c:pt>
                <c:pt idx="5">
                  <c:v>1.4901474728501578</c:v>
                </c:pt>
                <c:pt idx="6">
                  <c:v>1.5086709077876872</c:v>
                </c:pt>
                <c:pt idx="7">
                  <c:v>1.5260371999512716</c:v>
                </c:pt>
                <c:pt idx="8">
                  <c:v>1.5428729351794299</c:v>
                </c:pt>
                <c:pt idx="9">
                  <c:v>1.5592205736769704</c:v>
                </c:pt>
                <c:pt idx="10">
                  <c:v>1.5751101061728516</c:v>
                </c:pt>
                <c:pt idx="11">
                  <c:v>1.590573770085993</c:v>
                </c:pt>
                <c:pt idx="12">
                  <c:v>1.6056364100716931</c:v>
                </c:pt>
                <c:pt idx="13">
                  <c:v>1.6203248274738151</c:v>
                </c:pt>
                <c:pt idx="14">
                  <c:v>1.6346602801430243</c:v>
                </c:pt>
                <c:pt idx="15">
                  <c:v>1.6486610263282764</c:v>
                </c:pt>
                <c:pt idx="16">
                  <c:v>1.6623468320140029</c:v>
                </c:pt>
                <c:pt idx="17">
                  <c:v>1.6757286214310692</c:v>
                </c:pt>
                <c:pt idx="18">
                  <c:v>1.6888262261470683</c:v>
                </c:pt>
                <c:pt idx="19">
                  <c:v>1.7016563224966046</c:v>
                </c:pt>
                <c:pt idx="20">
                  <c:v>1.7142232434630296</c:v>
                </c:pt>
                <c:pt idx="21">
                  <c:v>1.726537446402383</c:v>
                </c:pt>
                <c:pt idx="22">
                  <c:v>1.7386125570625366</c:v>
                </c:pt>
                <c:pt idx="23">
                  <c:v>1.7504581385828071</c:v>
                </c:pt>
                <c:pt idx="24">
                  <c:v>1.7620811713454805</c:v>
                </c:pt>
                <c:pt idx="25">
                  <c:v>1.7734883129447041</c:v>
                </c:pt>
                <c:pt idx="26">
                  <c:v>1.7846912414622351</c:v>
                </c:pt>
                <c:pt idx="27">
                  <c:v>1.7956996257120879</c:v>
                </c:pt>
                <c:pt idx="28">
                  <c:v>1.8065183387392278</c:v>
                </c:pt>
                <c:pt idx="29">
                  <c:v>1.8171587480347535</c:v>
                </c:pt>
                <c:pt idx="30">
                  <c:v>1.8276275108407458</c:v>
                </c:pt>
                <c:pt idx="31">
                  <c:v>1.8379345330015513</c:v>
                </c:pt>
                <c:pt idx="32">
                  <c:v>1.8480927360912915</c:v>
                </c:pt>
                <c:pt idx="33">
                  <c:v>1.858112639624883</c:v>
                </c:pt>
                <c:pt idx="34">
                  <c:v>1.8680167760104101</c:v>
                </c:pt>
                <c:pt idx="35">
                  <c:v>1.8778284596055315</c:v>
                </c:pt>
                <c:pt idx="36">
                  <c:v>1.8867542435268327</c:v>
                </c:pt>
                <c:pt idx="37">
                  <c:v>1.8956150269626988</c:v>
                </c:pt>
                <c:pt idx="38">
                  <c:v>1.9044102511219567</c:v>
                </c:pt>
                <c:pt idx="39">
                  <c:v>1.9125672580882846</c:v>
                </c:pt>
                <c:pt idx="40">
                  <c:v>1.9206570626934725</c:v>
                </c:pt>
                <c:pt idx="41">
                  <c:v>1.9286649208966953</c:v>
                </c:pt>
                <c:pt idx="42">
                  <c:v>1.9365864494134517</c:v>
                </c:pt>
                <c:pt idx="43">
                  <c:v>1.9444180981081958</c:v>
                </c:pt>
                <c:pt idx="44">
                  <c:v>1.9516868743923681</c:v>
                </c:pt>
                <c:pt idx="45">
                  <c:v>1.9588692371038241</c:v>
                </c:pt>
                <c:pt idx="46">
                  <c:v>1.9659559527003498</c:v>
                </c:pt>
                <c:pt idx="47">
                  <c:v>1.9729409442055927</c:v>
                </c:pt>
                <c:pt idx="48">
                  <c:v>1.9798198822960302</c:v>
                </c:pt>
                <c:pt idx="49">
                  <c:v>1.9865927164031472</c:v>
                </c:pt>
                <c:pt idx="50">
                  <c:v>1.9932607681138723</c:v>
                </c:pt>
                <c:pt idx="51">
                  <c:v>1.9998296941748803</c:v>
                </c:pt>
                <c:pt idx="52">
                  <c:v>2.0063042542421541</c:v>
                </c:pt>
                <c:pt idx="53">
                  <c:v>2.0124142824701634</c:v>
                </c:pt>
                <c:pt idx="54">
                  <c:v>2.0182126956214037</c:v>
                </c:pt>
                <c:pt idx="55">
                  <c:v>2.023945657982257</c:v>
                </c:pt>
                <c:pt idx="56">
                  <c:v>2.0294030430266199</c:v>
                </c:pt>
                <c:pt idx="57">
                  <c:v>2.0345989760486622</c:v>
                </c:pt>
                <c:pt idx="58">
                  <c:v>2.0397279360110225</c:v>
                </c:pt>
                <c:pt idx="59">
                  <c:v>2.0447854502971845</c:v>
                </c:pt>
                <c:pt idx="60">
                  <c:v>2.0497673111850938</c:v>
                </c:pt>
                <c:pt idx="61">
                  <c:v>2.0545064831843924</c:v>
                </c:pt>
                <c:pt idx="62">
                  <c:v>2.0591682931216955</c:v>
                </c:pt>
                <c:pt idx="63">
                  <c:v>2.0637487610201237</c:v>
                </c:pt>
                <c:pt idx="64">
                  <c:v>2.0682456891278105</c:v>
                </c:pt>
                <c:pt idx="65">
                  <c:v>2.0725382288969225</c:v>
                </c:pt>
                <c:pt idx="66">
                  <c:v>2.076749409511371</c:v>
                </c:pt>
                <c:pt idx="67">
                  <c:v>2.0808789145473052</c:v>
                </c:pt>
                <c:pt idx="68">
                  <c:v>2.084842517268064</c:v>
                </c:pt>
                <c:pt idx="69">
                  <c:v>2.0887298766725748</c:v>
                </c:pt>
                <c:pt idx="70">
                  <c:v>2.0924792891074224</c:v>
                </c:pt>
                <c:pt idx="71">
                  <c:v>2.0961027143879698</c:v>
                </c:pt>
                <c:pt idx="72">
                  <c:v>2.0996126281212706</c:v>
                </c:pt>
                <c:pt idx="73">
                  <c:v>2.1030172923166068</c:v>
                </c:pt>
                <c:pt idx="74">
                  <c:v>2.1063225592465646</c:v>
                </c:pt>
                <c:pt idx="75">
                  <c:v>2.109534121276373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(°C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'6states'!$BA$4:$BA$79</c:f>
              <c:numCache>
                <c:formatCode>0.00</c:formatCode>
                <c:ptCount val="76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carbon(2024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'6states'!$AE$4:$AE$79</c:f>
              <c:numCache>
                <c:formatCode>0.0</c:formatCode>
                <c:ptCount val="76"/>
                <c:pt idx="0">
                  <c:v>0</c:v>
                </c:pt>
                <c:pt idx="1">
                  <c:v>2.3295806844223446</c:v>
                </c:pt>
                <c:pt idx="2">
                  <c:v>3.2635683978095869</c:v>
                </c:pt>
                <c:pt idx="3">
                  <c:v>3.8093502637486476</c:v>
                </c:pt>
                <c:pt idx="4">
                  <c:v>3.6516962720289596</c:v>
                </c:pt>
                <c:pt idx="5">
                  <c:v>3.5005669575860461</c:v>
                </c:pt>
                <c:pt idx="6">
                  <c:v>3.7736073797397736</c:v>
                </c:pt>
                <c:pt idx="7">
                  <c:v>4.0314399187771768</c:v>
                </c:pt>
                <c:pt idx="8">
                  <c:v>3.86459451166886</c:v>
                </c:pt>
                <c:pt idx="9">
                  <c:v>3.7046541782895317</c:v>
                </c:pt>
                <c:pt idx="10">
                  <c:v>3.5513331448559682</c:v>
                </c:pt>
                <c:pt idx="11">
                  <c:v>3.4043574646353698</c:v>
                </c:pt>
                <c:pt idx="12">
                  <c:v>3.2634645284703656</c:v>
                </c:pt>
                <c:pt idx="13">
                  <c:v>3.1284025955614556</c:v>
                </c:pt>
                <c:pt idx="14">
                  <c:v>2.9989303436685177</c:v>
                </c:pt>
                <c:pt idx="15">
                  <c:v>2.8748164379277066</c:v>
                </c:pt>
                <c:pt idx="16">
                  <c:v>2.7558391175133137</c:v>
                </c:pt>
                <c:pt idx="17">
                  <c:v>2.6417857994060712</c:v>
                </c:pt>
                <c:pt idx="18">
                  <c:v>2.5324526985599181</c:v>
                </c:pt>
                <c:pt idx="19">
                  <c:v>2.4276444637885701</c:v>
                </c:pt>
                <c:pt idx="20">
                  <c:v>2.3271738287213082</c:v>
                </c:pt>
                <c:pt idx="21">
                  <c:v>2.230861277204331</c:v>
                </c:pt>
                <c:pt idx="22">
                  <c:v>2.1385347225498266</c:v>
                </c:pt>
                <c:pt idx="23">
                  <c:v>2.0500292000596581</c:v>
                </c:pt>
                <c:pt idx="24">
                  <c:v>1.9651865722742896</c:v>
                </c:pt>
                <c:pt idx="25">
                  <c:v>1.8838552464202871</c:v>
                </c:pt>
                <c:pt idx="26">
                  <c:v>1.8058899035515616</c:v>
                </c:pt>
                <c:pt idx="27">
                  <c:v>1.7311512389003838</c:v>
                </c:pt>
                <c:pt idx="28">
                  <c:v>1.6595057129742505</c:v>
                </c:pt>
                <c:pt idx="29">
                  <c:v>1.5908253129538661</c:v>
                </c:pt>
                <c:pt idx="30">
                  <c:v>1.5249873239659242</c:v>
                </c:pt>
                <c:pt idx="31">
                  <c:v>1.461874109822008</c:v>
                </c:pt>
                <c:pt idx="32">
                  <c:v>1.4013729028318411</c:v>
                </c:pt>
                <c:pt idx="33">
                  <c:v>1.3433756023153398</c:v>
                </c:pt>
                <c:pt idx="34">
                  <c:v>1.2877785814534572</c:v>
                </c:pt>
                <c:pt idx="35">
                  <c:v>1.234482502132711</c:v>
                </c:pt>
                <c:pt idx="36">
                  <c:v>1.8052633706345134</c:v>
                </c:pt>
                <c:pt idx="37">
                  <c:v>1.7305506357111051</c:v>
                </c:pt>
                <c:pt idx="38">
                  <c:v>1.658929966383518</c:v>
                </c:pt>
                <c:pt idx="39">
                  <c:v>1.9900189016069074</c:v>
                </c:pt>
                <c:pt idx="40">
                  <c:v>1.9076598635259039</c:v>
                </c:pt>
                <c:pt idx="41">
                  <c:v>1.8287093413882169</c:v>
                </c:pt>
                <c:pt idx="42">
                  <c:v>1.7530262701546404</c:v>
                </c:pt>
                <c:pt idx="43">
                  <c:v>1.680475422911891</c:v>
                </c:pt>
                <c:pt idx="44">
                  <c:v>1.9957116017544463</c:v>
                </c:pt>
                <c:pt idx="45">
                  <c:v>1.9131169652538214</c:v>
                </c:pt>
                <c:pt idx="46">
                  <c:v>1.8339405951864192</c:v>
                </c:pt>
                <c:pt idx="47">
                  <c:v>1.7580410229786916</c:v>
                </c:pt>
                <c:pt idx="48">
                  <c:v>1.685282634883708</c:v>
                </c:pt>
                <c:pt idx="49">
                  <c:v>1.6155354296729614</c:v>
                </c:pt>
                <c:pt idx="50">
                  <c:v>1.5486747863563539</c:v>
                </c:pt>
                <c:pt idx="51">
                  <c:v>1.4845812415153374</c:v>
                </c:pt>
                <c:pt idx="52">
                  <c:v>1.4231402758513554</c:v>
                </c:pt>
                <c:pt idx="53">
                  <c:v>1.4426626471339639</c:v>
                </c:pt>
                <c:pt idx="54">
                  <c:v>1.3840448915085788</c:v>
                </c:pt>
                <c:pt idx="55">
                  <c:v>1.326764729077192</c:v>
                </c:pt>
                <c:pt idx="56">
                  <c:v>1.271855166781896</c:v>
                </c:pt>
                <c:pt idx="57">
                  <c:v>1.2192180948274898</c:v>
                </c:pt>
                <c:pt idx="58">
                  <c:v>1.1687594637964662</c:v>
                </c:pt>
                <c:pt idx="59">
                  <c:v>1.1203891166059849</c:v>
                </c:pt>
                <c:pt idx="60">
                  <c:v>1.074020627419483</c:v>
                </c:pt>
                <c:pt idx="61">
                  <c:v>1.0295711472250997</c:v>
                </c:pt>
                <c:pt idx="62">
                  <c:v>0.98696125580500105</c:v>
                </c:pt>
                <c:pt idx="63">
                  <c:v>0.94611481983111012</c:v>
                </c:pt>
                <c:pt idx="64">
                  <c:v>0.90695885683369715</c:v>
                </c:pt>
                <c:pt idx="65">
                  <c:v>0.86942340479977231</c:v>
                </c:pt>
                <c:pt idx="66">
                  <c:v>0.83344139716828669</c:v>
                </c:pt>
                <c:pt idx="67">
                  <c:v>0.7989485429987907</c:v>
                </c:pt>
                <c:pt idx="68">
                  <c:v>0.76588321209943755</c:v>
                </c:pt>
                <c:pt idx="69">
                  <c:v>0.73418632490908708</c:v>
                </c:pt>
                <c:pt idx="70">
                  <c:v>0.7038012469367555</c:v>
                </c:pt>
                <c:pt idx="71">
                  <c:v>0.67467368756979829</c:v>
                </c:pt>
                <c:pt idx="72">
                  <c:v>0.64675160307002588</c:v>
                </c:pt>
                <c:pt idx="73">
                  <c:v>0.61998510358442649</c:v>
                </c:pt>
                <c:pt idx="74">
                  <c:v>0.59432636400434835</c:v>
                </c:pt>
                <c:pt idx="75">
                  <c:v>0.56972953851386998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'6states'!$AF$4:$AF$79</c:f>
              <c:numCache>
                <c:formatCode>0.0</c:formatCode>
                <c:ptCount val="76"/>
                <c:pt idx="0">
                  <c:v>58.41828303493655</c:v>
                </c:pt>
                <c:pt idx="1">
                  <c:v>53.670999888886236</c:v>
                </c:pt>
                <c:pt idx="2">
                  <c:v>50.419368888658262</c:v>
                </c:pt>
                <c:pt idx="3">
                  <c:v>47.651861855834504</c:v>
                </c:pt>
                <c:pt idx="4">
                  <c:v>46.107795298984776</c:v>
                </c:pt>
                <c:pt idx="5">
                  <c:v>44.742212450180901</c:v>
                </c:pt>
                <c:pt idx="6">
                  <c:v>42.472593551727563</c:v>
                </c:pt>
                <c:pt idx="7">
                  <c:v>40.300813049411566</c:v>
                </c:pt>
                <c:pt idx="8">
                  <c:v>39.449821470191495</c:v>
                </c:pt>
                <c:pt idx="9">
                  <c:v>38.677259751650851</c:v>
                </c:pt>
                <c:pt idx="10">
                  <c:v>37.956261614082749</c:v>
                </c:pt>
                <c:pt idx="11">
                  <c:v>37.293813865427353</c:v>
                </c:pt>
                <c:pt idx="12">
                  <c:v>36.674070281949191</c:v>
                </c:pt>
                <c:pt idx="13">
                  <c:v>36.103114921557655</c:v>
                </c:pt>
                <c:pt idx="14">
                  <c:v>35.56898192740789</c:v>
                </c:pt>
                <c:pt idx="15">
                  <c:v>35.065497581371481</c:v>
                </c:pt>
                <c:pt idx="16">
                  <c:v>34.597378499414937</c:v>
                </c:pt>
                <c:pt idx="17">
                  <c:v>34.143725998486339</c:v>
                </c:pt>
                <c:pt idx="18">
                  <c:v>33.727442446170322</c:v>
                </c:pt>
                <c:pt idx="19">
                  <c:v>33.34166028862424</c:v>
                </c:pt>
                <c:pt idx="20">
                  <c:v>32.955891211680445</c:v>
                </c:pt>
                <c:pt idx="21">
                  <c:v>32.586054475674324</c:v>
                </c:pt>
                <c:pt idx="22">
                  <c:v>32.240910592921907</c:v>
                </c:pt>
                <c:pt idx="23">
                  <c:v>31.910652762584991</c:v>
                </c:pt>
                <c:pt idx="24">
                  <c:v>31.58905008421533</c:v>
                </c:pt>
                <c:pt idx="25">
                  <c:v>31.27564840423473</c:v>
                </c:pt>
                <c:pt idx="26">
                  <c:v>30.984181865861448</c:v>
                </c:pt>
                <c:pt idx="27">
                  <c:v>30.709947989681982</c:v>
                </c:pt>
                <c:pt idx="28">
                  <c:v>30.440585954495816</c:v>
                </c:pt>
                <c:pt idx="29">
                  <c:v>30.194034295539577</c:v>
                </c:pt>
                <c:pt idx="30">
                  <c:v>29.958094476081893</c:v>
                </c:pt>
                <c:pt idx="31">
                  <c:v>29.742128548691571</c:v>
                </c:pt>
                <c:pt idx="32">
                  <c:v>29.555104217505885</c:v>
                </c:pt>
                <c:pt idx="33">
                  <c:v>29.391105787698837</c:v>
                </c:pt>
                <c:pt idx="34">
                  <c:v>29.28453223095438</c:v>
                </c:pt>
                <c:pt idx="35">
                  <c:v>29.238924736623705</c:v>
                </c:pt>
                <c:pt idx="36">
                  <c:v>27.40696966258643</c:v>
                </c:pt>
                <c:pt idx="37">
                  <c:v>27.438836780810927</c:v>
                </c:pt>
                <c:pt idx="38">
                  <c:v>27.465100292996858</c:v>
                </c:pt>
                <c:pt idx="39">
                  <c:v>25.928682546440193</c:v>
                </c:pt>
                <c:pt idx="40">
                  <c:v>25.943007801015881</c:v>
                </c:pt>
                <c:pt idx="41">
                  <c:v>25.907007344564658</c:v>
                </c:pt>
                <c:pt idx="42">
                  <c:v>25.852457329992877</c:v>
                </c:pt>
                <c:pt idx="43">
                  <c:v>25.781713768248348</c:v>
                </c:pt>
                <c:pt idx="44">
                  <c:v>24.329925829241024</c:v>
                </c:pt>
                <c:pt idx="45">
                  <c:v>24.259268983544409</c:v>
                </c:pt>
                <c:pt idx="46">
                  <c:v>24.152996089171062</c:v>
                </c:pt>
                <c:pt idx="47">
                  <c:v>24.020958862933835</c:v>
                </c:pt>
                <c:pt idx="48">
                  <c:v>23.868576511514306</c:v>
                </c:pt>
                <c:pt idx="49">
                  <c:v>23.710027284739922</c:v>
                </c:pt>
                <c:pt idx="50">
                  <c:v>23.549983123964012</c:v>
                </c:pt>
                <c:pt idx="51">
                  <c:v>23.403445084681298</c:v>
                </c:pt>
                <c:pt idx="52">
                  <c:v>23.267716837071696</c:v>
                </c:pt>
                <c:pt idx="53">
                  <c:v>22.226337216305769</c:v>
                </c:pt>
                <c:pt idx="54">
                  <c:v>21.30538836604704</c:v>
                </c:pt>
                <c:pt idx="55">
                  <c:v>21.246528276950411</c:v>
                </c:pt>
                <c:pt idx="56">
                  <c:v>20.426314113311857</c:v>
                </c:pt>
                <c:pt idx="57">
                  <c:v>19.64095821777596</c:v>
                </c:pt>
                <c:pt idx="58">
                  <c:v>19.554442107563283</c:v>
                </c:pt>
                <c:pt idx="59">
                  <c:v>19.447252241959507</c:v>
                </c:pt>
                <c:pt idx="60">
                  <c:v>19.320060009837935</c:v>
                </c:pt>
                <c:pt idx="61">
                  <c:v>18.561837320548495</c:v>
                </c:pt>
                <c:pt idx="62">
                  <c:v>18.414806853911873</c:v>
                </c:pt>
                <c:pt idx="63">
                  <c:v>18.248001621694911</c:v>
                </c:pt>
                <c:pt idx="64">
                  <c:v>18.067960470472244</c:v>
                </c:pt>
                <c:pt idx="65">
                  <c:v>17.41555176336405</c:v>
                </c:pt>
                <c:pt idx="66">
                  <c:v>17.230853629221382</c:v>
                </c:pt>
                <c:pt idx="67">
                  <c:v>17.040120011306996</c:v>
                </c:pt>
                <c:pt idx="68">
                  <c:v>16.510968347503304</c:v>
                </c:pt>
                <c:pt idx="69">
                  <c:v>16.329895704258448</c:v>
                </c:pt>
                <c:pt idx="70">
                  <c:v>15.895963337640508</c:v>
                </c:pt>
                <c:pt idx="71">
                  <c:v>15.502131576151761</c:v>
                </c:pt>
                <c:pt idx="72">
                  <c:v>15.151665418482729</c:v>
                </c:pt>
                <c:pt idx="73">
                  <c:v>14.828370284241069</c:v>
                </c:pt>
                <c:pt idx="74">
                  <c:v>14.522997734161592</c:v>
                </c:pt>
                <c:pt idx="75">
                  <c:v>14.235423365211552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'[1]6states'!$K$4:$K$80</c:f>
              <c:numCache>
                <c:formatCode>General</c:formatCode>
                <c:ptCount val="77"/>
                <c:pt idx="0">
                  <c:v>4.3661700735228628</c:v>
                </c:pt>
                <c:pt idx="1">
                  <c:v>5.2558260515640729</c:v>
                </c:pt>
                <c:pt idx="2">
                  <c:v>6.3153868958549664</c:v>
                </c:pt>
                <c:pt idx="3">
                  <c:v>7.5714122602396712</c:v>
                </c:pt>
                <c:pt idx="4">
                  <c:v>9.0503208868173761</c:v>
                </c:pt>
                <c:pt idx="5">
                  <c:v>10.771536410966055</c:v>
                </c:pt>
                <c:pt idx="6">
                  <c:v>12.742278521170114</c:v>
                </c:pt>
                <c:pt idx="7">
                  <c:v>14.95882150753137</c:v>
                </c:pt>
                <c:pt idx="8">
                  <c:v>17.411234067674933</c:v>
                </c:pt>
                <c:pt idx="9">
                  <c:v>20.087368198446619</c:v>
                </c:pt>
                <c:pt idx="10">
                  <c:v>22.973298094707484</c:v>
                </c:pt>
                <c:pt idx="11">
                  <c:v>26.051007231309743</c:v>
                </c:pt>
                <c:pt idx="12">
                  <c:v>29.294566149573303</c:v>
                </c:pt>
                <c:pt idx="13">
                  <c:v>32.666401257209102</c:v>
                </c:pt>
                <c:pt idx="14">
                  <c:v>36.114251728594375</c:v>
                </c:pt>
                <c:pt idx="15">
                  <c:v>39.571282164675836</c:v>
                </c:pt>
                <c:pt idx="16">
                  <c:v>42.965299267298462</c:v>
                </c:pt>
                <c:pt idx="17">
                  <c:v>46.239864898950749</c:v>
                </c:pt>
                <c:pt idx="18">
                  <c:v>49.388607931813119</c:v>
                </c:pt>
                <c:pt idx="19">
                  <c:v>52.50220220393085</c:v>
                </c:pt>
                <c:pt idx="20">
                  <c:v>55.696000873440191</c:v>
                </c:pt>
                <c:pt idx="21">
                  <c:v>59.462673174103841</c:v>
                </c:pt>
                <c:pt idx="22">
                  <c:v>63.248719507968296</c:v>
                </c:pt>
                <c:pt idx="23">
                  <c:v>66.663906869348523</c:v>
                </c:pt>
                <c:pt idx="24">
                  <c:v>70.097364631079358</c:v>
                </c:pt>
                <c:pt idx="25">
                  <c:v>73.52015179885106</c:v>
                </c:pt>
                <c:pt idx="26">
                  <c:v>76.963752658857629</c:v>
                </c:pt>
                <c:pt idx="27">
                  <c:v>80.395077613752491</c:v>
                </c:pt>
                <c:pt idx="28">
                  <c:v>83.850599210081313</c:v>
                </c:pt>
                <c:pt idx="29">
                  <c:v>87.249700022196208</c:v>
                </c:pt>
                <c:pt idx="30">
                  <c:v>90.677257754836262</c:v>
                </c:pt>
                <c:pt idx="31">
                  <c:v>94.071991957785116</c:v>
                </c:pt>
                <c:pt idx="32">
                  <c:v>97.499698299321935</c:v>
                </c:pt>
                <c:pt idx="33">
                  <c:v>100.91534029578166</c:v>
                </c:pt>
                <c:pt idx="34">
                  <c:v>104.36854713187476</c:v>
                </c:pt>
                <c:pt idx="35">
                  <c:v>107.8483132253872</c:v>
                </c:pt>
                <c:pt idx="36">
                  <c:v>111.37002789445258</c:v>
                </c:pt>
                <c:pt idx="37">
                  <c:v>114.93477422562239</c:v>
                </c:pt>
                <c:pt idx="38">
                  <c:v>118.54583249105583</c:v>
                </c:pt>
                <c:pt idx="39">
                  <c:v>122.28770169721211</c:v>
                </c:pt>
                <c:pt idx="40">
                  <c:v>126.07943316887079</c:v>
                </c:pt>
                <c:pt idx="41">
                  <c:v>129.92334901276601</c:v>
                </c:pt>
                <c:pt idx="42">
                  <c:v>133.86208302882886</c:v>
                </c:pt>
                <c:pt idx="43">
                  <c:v>137.85726453573622</c:v>
                </c:pt>
                <c:pt idx="44">
                  <c:v>141.91132291520935</c:v>
                </c:pt>
                <c:pt idx="45">
                  <c:v>146.01480765442997</c:v>
                </c:pt>
                <c:pt idx="46">
                  <c:v>150.18224761257994</c:v>
                </c:pt>
                <c:pt idx="47">
                  <c:v>154.41614243592667</c:v>
                </c:pt>
                <c:pt idx="48">
                  <c:v>158.637958072034</c:v>
                </c:pt>
                <c:pt idx="49">
                  <c:v>162.93230720972139</c:v>
                </c:pt>
                <c:pt idx="50">
                  <c:v>167.30170541274114</c:v>
                </c:pt>
                <c:pt idx="51">
                  <c:v>171.6524854196737</c:v>
                </c:pt>
                <c:pt idx="52">
                  <c:v>176.08466380651561</c:v>
                </c:pt>
                <c:pt idx="53">
                  <c:v>180.60076511919999</c:v>
                </c:pt>
                <c:pt idx="54">
                  <c:v>185.20335005491836</c:v>
                </c:pt>
                <c:pt idx="55">
                  <c:v>189.8950168626956</c:v>
                </c:pt>
                <c:pt idx="56">
                  <c:v>194.32733415847059</c:v>
                </c:pt>
                <c:pt idx="57">
                  <c:v>198.8587421180855</c:v>
                </c:pt>
                <c:pt idx="58">
                  <c:v>203.49161321574942</c:v>
                </c:pt>
                <c:pt idx="59">
                  <c:v>208.22837084662754</c:v>
                </c:pt>
                <c:pt idx="60">
                  <c:v>213.07149062267658</c:v>
                </c:pt>
                <c:pt idx="61">
                  <c:v>217.82402025450082</c:v>
                </c:pt>
                <c:pt idx="62">
                  <c:v>222.69078399969817</c:v>
                </c:pt>
                <c:pt idx="63">
                  <c:v>227.67421491109533</c:v>
                </c:pt>
                <c:pt idx="64">
                  <c:v>232.77680897741277</c:v>
                </c:pt>
                <c:pt idx="65">
                  <c:v>238.00112629759337</c:v>
                </c:pt>
                <c:pt idx="66">
                  <c:v>243.08027379957747</c:v>
                </c:pt>
                <c:pt idx="67">
                  <c:v>248.29025879772541</c:v>
                </c:pt>
                <c:pt idx="68">
                  <c:v>253.63355387621382</c:v>
                </c:pt>
                <c:pt idx="69">
                  <c:v>259.11270866022295</c:v>
                </c:pt>
                <c:pt idx="70">
                  <c:v>264.73035077217565</c:v>
                </c:pt>
                <c:pt idx="71">
                  <c:v>270.39105490368655</c:v>
                </c:pt>
                <c:pt idx="72">
                  <c:v>276.19713191533475</c:v>
                </c:pt>
                <c:pt idx="73">
                  <c:v>282.15134412807737</c:v>
                </c:pt>
                <c:pt idx="74">
                  <c:v>288.25653921415972</c:v>
                </c:pt>
                <c:pt idx="75">
                  <c:v>294.51565127927279</c:v>
                </c:pt>
                <c:pt idx="76">
                  <c:v>300.93170200796453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dirty capital (USD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>
                    <a:alpha val="95000"/>
                  </a:schemeClr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</c:formatCode>
                <c:ptCount val="76"/>
                <c:pt idx="0">
                  <c:v>0</c:v>
                </c:pt>
                <c:pt idx="1">
                  <c:v>3.0828830273350101E-2</c:v>
                </c:pt>
                <c:pt idx="2">
                  <c:v>4.221960891153298E-2</c:v>
                </c:pt>
                <c:pt idx="3">
                  <c:v>4.81742088482702E-2</c:v>
                </c:pt>
                <c:pt idx="4">
                  <c:v>4.5144051111714004E-2</c:v>
                </c:pt>
                <c:pt idx="5">
                  <c:v>4.2304490296787192E-2</c:v>
                </c:pt>
                <c:pt idx="6">
                  <c:v>4.4580710655065567E-2</c:v>
                </c:pt>
                <c:pt idx="7">
                  <c:v>4.6557822839910223E-2</c:v>
                </c:pt>
                <c:pt idx="8">
                  <c:v>4.362933578327987E-2</c:v>
                </c:pt>
                <c:pt idx="9">
                  <c:v>4.0885050562511571E-2</c:v>
                </c:pt>
                <c:pt idx="10">
                  <c:v>3.8313380882129593E-2</c:v>
                </c:pt>
                <c:pt idx="11">
                  <c:v>3.5903469224643644E-2</c:v>
                </c:pt>
                <c:pt idx="12">
                  <c:v>3.3645141010413562E-2</c:v>
                </c:pt>
                <c:pt idx="13">
                  <c:v>3.1528861640858552E-2</c:v>
                </c:pt>
                <c:pt idx="14">
                  <c:v>2.9545696243648549E-2</c:v>
                </c:pt>
                <c:pt idx="15">
                  <c:v>2.7687271949923056E-2</c:v>
                </c:pt>
                <c:pt idx="16">
                  <c:v>2.5945742544272898E-2</c:v>
                </c:pt>
                <c:pt idx="17">
                  <c:v>2.4313755338238135E-2</c:v>
                </c:pt>
                <c:pt idx="18">
                  <c:v>2.2784420127462957E-2</c:v>
                </c:pt>
                <c:pt idx="19">
                  <c:v>2.1351280101445536E-2</c:v>
                </c:pt>
                <c:pt idx="20">
                  <c:v>2.0008284583064612E-2</c:v>
                </c:pt>
                <c:pt idx="21">
                  <c:v>1.8749763482789849E-2</c:v>
                </c:pt>
                <c:pt idx="22">
                  <c:v>1.7570403359722368E-2</c:v>
                </c:pt>
                <c:pt idx="23">
                  <c:v>1.6465224988395831E-2</c:v>
                </c:pt>
                <c:pt idx="24">
                  <c:v>1.5429562336625733E-2</c:v>
                </c:pt>
                <c:pt idx="25">
                  <c:v>1.4459042865651976E-2</c:v>
                </c:pt>
                <c:pt idx="26">
                  <c:v>1.3549569069402467E-2</c:v>
                </c:pt>
                <c:pt idx="27">
                  <c:v>1.2697301174937052E-2</c:v>
                </c:pt>
                <c:pt idx="28">
                  <c:v>1.1898640931033513E-2</c:v>
                </c:pt>
                <c:pt idx="29">
                  <c:v>1.1150216416471506E-2</c:v>
                </c:pt>
                <c:pt idx="30">
                  <c:v>1.0448867803875449E-2</c:v>
                </c:pt>
                <c:pt idx="31">
                  <c:v>9.7916340190116833E-3</c:v>
                </c:pt>
                <c:pt idx="32">
                  <c:v>9.1757402392158485E-3</c:v>
                </c:pt>
                <c:pt idx="33">
                  <c:v>8.5985861781691722E-3</c:v>
                </c:pt>
                <c:pt idx="34">
                  <c:v>8.0577351075623322E-3</c:v>
                </c:pt>
                <c:pt idx="35">
                  <c:v>7.5509035692966622E-3</c:v>
                </c:pt>
                <c:pt idx="36">
                  <c:v>1.0794356388650903E-2</c:v>
                </c:pt>
                <c:pt idx="37">
                  <c:v>1.0115391371804762E-2</c:v>
                </c:pt>
                <c:pt idx="38">
                  <c:v>9.4791332545182422E-3</c:v>
                </c:pt>
                <c:pt idx="39">
                  <c:v>1.1115780816597266E-2</c:v>
                </c:pt>
                <c:pt idx="40">
                  <c:v>1.0416598203233299E-2</c:v>
                </c:pt>
                <c:pt idx="41">
                  <c:v>9.7613941762499257E-3</c:v>
                </c:pt>
                <c:pt idx="42">
                  <c:v>9.1474024825638055E-3</c:v>
                </c:pt>
                <c:pt idx="43">
                  <c:v>8.5720308664105418E-3</c:v>
                </c:pt>
                <c:pt idx="44">
                  <c:v>9.951568572061649E-3</c:v>
                </c:pt>
                <c:pt idx="45">
                  <c:v>9.3256149088789715E-3</c:v>
                </c:pt>
                <c:pt idx="46">
                  <c:v>8.7390337311104849E-3</c:v>
                </c:pt>
                <c:pt idx="47">
                  <c:v>8.189348509423636E-3</c:v>
                </c:pt>
                <c:pt idx="48">
                  <c:v>7.6742384881808897E-3</c:v>
                </c:pt>
                <c:pt idx="49">
                  <c:v>7.1915288872743122E-3</c:v>
                </c:pt>
                <c:pt idx="50">
                  <c:v>6.7391817202647579E-3</c:v>
                </c:pt>
                <c:pt idx="51">
                  <c:v>6.315287190060105E-3</c:v>
                </c:pt>
                <c:pt idx="52">
                  <c:v>5.9180556258053244E-3</c:v>
                </c:pt>
                <c:pt idx="53">
                  <c:v>5.8645989400198896E-3</c:v>
                </c:pt>
                <c:pt idx="54">
                  <c:v>5.500040706961213E-3</c:v>
                </c:pt>
                <c:pt idx="55">
                  <c:v>5.1540881464933533E-3</c:v>
                </c:pt>
                <c:pt idx="56">
                  <c:v>4.8298960020789214E-3</c:v>
                </c:pt>
                <c:pt idx="57">
                  <c:v>4.5260955435481578E-3</c:v>
                </c:pt>
                <c:pt idx="58">
                  <c:v>4.2414041338589793E-3</c:v>
                </c:pt>
                <c:pt idx="59">
                  <c:v>3.9746198138392499E-3</c:v>
                </c:pt>
                <c:pt idx="60">
                  <c:v>3.7246162275487611E-3</c:v>
                </c:pt>
                <c:pt idx="61">
                  <c:v>3.4903378668359442E-3</c:v>
                </c:pt>
                <c:pt idx="62">
                  <c:v>3.2707956150119636E-3</c:v>
                </c:pt>
                <c:pt idx="63">
                  <c:v>3.0650625708277114E-3</c:v>
                </c:pt>
                <c:pt idx="64">
                  <c:v>2.8722701351226484E-3</c:v>
                </c:pt>
                <c:pt idx="65">
                  <c:v>2.6916043436234342E-3</c:v>
                </c:pt>
                <c:pt idx="66">
                  <c:v>2.5223024304095202E-3</c:v>
                </c:pt>
                <c:pt idx="67">
                  <c:v>2.3636496075367616E-3</c:v>
                </c:pt>
                <c:pt idx="68">
                  <c:v>2.2149760472226993E-3</c:v>
                </c:pt>
                <c:pt idx="69">
                  <c:v>2.0756540538523914E-3</c:v>
                </c:pt>
                <c:pt idx="70">
                  <c:v>1.9450954138650761E-3</c:v>
                </c:pt>
                <c:pt idx="71">
                  <c:v>1.822748912332963E-3</c:v>
                </c:pt>
                <c:pt idx="72">
                  <c:v>1.7080980057472197E-3</c:v>
                </c:pt>
                <c:pt idx="73">
                  <c:v>1.6006586411857196E-3</c:v>
                </c:pt>
                <c:pt idx="74">
                  <c:v>1.4999772126551379E-3</c:v>
                </c:pt>
                <c:pt idx="75">
                  <c:v>1.4056286459791297E-3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0.79083499999999995</c:v>
                </c:pt>
                <c:pt idx="1">
                  <c:v>0.71026264822664986</c:v>
                </c:pt>
                <c:pt idx="2">
                  <c:v>0.65225721559081706</c:v>
                </c:pt>
                <c:pt idx="3">
                  <c:v>0.60262002339288212</c:v>
                </c:pt>
                <c:pt idx="4">
                  <c:v>0.57000706317486083</c:v>
                </c:pt>
                <c:pt idx="5">
                  <c:v>0.54071140914862581</c:v>
                </c:pt>
                <c:pt idx="6">
                  <c:v>0.50176348871523102</c:v>
                </c:pt>
                <c:pt idx="7">
                  <c:v>0.46542132638999473</c:v>
                </c:pt>
                <c:pt idx="8">
                  <c:v>0.44536871910273718</c:v>
                </c:pt>
                <c:pt idx="9">
                  <c:v>0.42684732351880345</c:v>
                </c:pt>
                <c:pt idx="10">
                  <c:v>0.40948923932651404</c:v>
                </c:pt>
                <c:pt idx="11">
                  <c:v>0.39331277995813319</c:v>
                </c:pt>
                <c:pt idx="12">
                  <c:v>0.37809642338608385</c:v>
                </c:pt>
                <c:pt idx="13">
                  <c:v>0.3638566585965633</c:v>
                </c:pt>
                <c:pt idx="14">
                  <c:v>0.35042839122347391</c:v>
                </c:pt>
                <c:pt idx="15">
                  <c:v>0.33771476842349124</c:v>
                </c:pt>
                <c:pt idx="16">
                  <c:v>0.32572825806412337</c:v>
                </c:pt>
                <c:pt idx="17">
                  <c:v>0.31424281274041038</c:v>
                </c:pt>
                <c:pt idx="18">
                  <c:v>0.3034450432007505</c:v>
                </c:pt>
                <c:pt idx="19">
                  <c:v>0.29324192174281233</c:v>
                </c:pt>
                <c:pt idx="20">
                  <c:v>0.28334404672045066</c:v>
                </c:pt>
                <c:pt idx="21">
                  <c:v>0.27387665046652637</c:v>
                </c:pt>
                <c:pt idx="22">
                  <c:v>0.26489436801238786</c:v>
                </c:pt>
                <c:pt idx="23">
                  <c:v>0.25629687481878144</c:v>
                </c:pt>
                <c:pt idx="24">
                  <c:v>0.24801981873157411</c:v>
                </c:pt>
                <c:pt idx="25">
                  <c:v>0.24004813628180463</c:v>
                </c:pt>
                <c:pt idx="26">
                  <c:v>0.23247392403311612</c:v>
                </c:pt>
                <c:pt idx="27">
                  <c:v>0.22524517207365893</c:v>
                </c:pt>
                <c:pt idx="28">
                  <c:v>0.21825872557778159</c:v>
                </c:pt>
                <c:pt idx="29">
                  <c:v>0.21163229811606127</c:v>
                </c:pt>
                <c:pt idx="30">
                  <c:v>0.20526607921075785</c:v>
                </c:pt>
                <c:pt idx="31">
                  <c:v>0.19921280207270736</c:v>
                </c:pt>
                <c:pt idx="32">
                  <c:v>0.19351734181157379</c:v>
                </c:pt>
                <c:pt idx="33">
                  <c:v>0.18812456884853565</c:v>
                </c:pt>
                <c:pt idx="34">
                  <c:v>0.18323569506768511</c:v>
                </c:pt>
                <c:pt idx="35">
                  <c:v>0.17884441518996419</c:v>
                </c:pt>
                <c:pt idx="36">
                  <c:v>0.16387669682065245</c:v>
                </c:pt>
                <c:pt idx="37">
                  <c:v>0.16038512083809864</c:v>
                </c:pt>
                <c:pt idx="38">
                  <c:v>0.15693570602837467</c:v>
                </c:pt>
                <c:pt idx="39">
                  <c:v>0.14483156507540171</c:v>
                </c:pt>
                <c:pt idx="40">
                  <c:v>0.14165936685749217</c:v>
                </c:pt>
                <c:pt idx="41">
                  <c:v>0.13828797441660345</c:v>
                </c:pt>
                <c:pt idx="42">
                  <c:v>0.13489976527270794</c:v>
                </c:pt>
                <c:pt idx="43">
                  <c:v>0.13151138255115905</c:v>
                </c:pt>
                <c:pt idx="44">
                  <c:v>0.12132059814154282</c:v>
                </c:pt>
                <c:pt idx="45">
                  <c:v>0.11825340772169239</c:v>
                </c:pt>
                <c:pt idx="46">
                  <c:v>0.1150930668554125</c:v>
                </c:pt>
                <c:pt idx="47">
                  <c:v>0.11189500192992823</c:v>
                </c:pt>
                <c:pt idx="48">
                  <c:v>0.10868986882748792</c:v>
                </c:pt>
                <c:pt idx="49">
                  <c:v>0.10554478905534527</c:v>
                </c:pt>
                <c:pt idx="50">
                  <c:v>0.1024796278597402</c:v>
                </c:pt>
                <c:pt idx="51">
                  <c:v>9.9556341420360045E-2</c:v>
                </c:pt>
                <c:pt idx="52">
                  <c:v>9.6757603494077443E-2</c:v>
                </c:pt>
                <c:pt idx="53">
                  <c:v>9.0352761221222253E-2</c:v>
                </c:pt>
                <c:pt idx="54">
                  <c:v>8.4665247500138791E-2</c:v>
                </c:pt>
                <c:pt idx="55">
                  <c:v>8.2536471724366123E-2</c:v>
                </c:pt>
                <c:pt idx="56">
                  <c:v>7.7569345511815935E-2</c:v>
                </c:pt>
                <c:pt idx="57">
                  <c:v>7.2913003701006895E-2</c:v>
                </c:pt>
                <c:pt idx="58">
                  <c:v>7.0962669530749825E-2</c:v>
                </c:pt>
                <c:pt idx="59">
                  <c:v>6.8989811610964666E-2</c:v>
                </c:pt>
                <c:pt idx="60">
                  <c:v>6.7000397564759909E-2</c:v>
                </c:pt>
                <c:pt idx="61">
                  <c:v>6.2926281347892479E-2</c:v>
                </c:pt>
                <c:pt idx="62">
                  <c:v>6.1026782110044017E-2</c:v>
                </c:pt>
                <c:pt idx="63">
                  <c:v>5.9116785395079925E-2</c:v>
                </c:pt>
                <c:pt idx="64">
                  <c:v>5.7219864904444945E-2</c:v>
                </c:pt>
                <c:pt idx="65">
                  <c:v>5.3915933840848113E-2</c:v>
                </c:pt>
                <c:pt idx="66">
                  <c:v>5.214694654558915E-2</c:v>
                </c:pt>
                <c:pt idx="67">
                  <c:v>5.0412349243330511E-2</c:v>
                </c:pt>
                <c:pt idx="68">
                  <c:v>4.7750621541791632E-2</c:v>
                </c:pt>
                <c:pt idx="69">
                  <c:v>4.6167046521505252E-2</c:v>
                </c:pt>
                <c:pt idx="70">
                  <c:v>4.3931671791696013E-2</c:v>
                </c:pt>
                <c:pt idx="71">
                  <c:v>4.188171851055008E-2</c:v>
                </c:pt>
                <c:pt idx="72">
                  <c:v>4.0016181424535703E-2</c:v>
                </c:pt>
                <c:pt idx="73">
                  <c:v>3.8283434380838921E-2</c:v>
                </c:pt>
                <c:pt idx="74">
                  <c:v>3.6653540849022823E-2</c:v>
                </c:pt>
                <c:pt idx="75">
                  <c:v>3.5121434851310321E-2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0.15254000000000001</c:v>
                </c:pt>
                <c:pt idx="1">
                  <c:v>0.17147737198680083</c:v>
                </c:pt>
                <c:pt idx="2">
                  <c:v>0.19202957277574795</c:v>
                </c:pt>
                <c:pt idx="3">
                  <c:v>0.21402888148389521</c:v>
                </c:pt>
                <c:pt idx="4">
                  <c:v>0.23717863864994534</c:v>
                </c:pt>
                <c:pt idx="5">
                  <c:v>0.26149277860320441</c:v>
                </c:pt>
                <c:pt idx="6">
                  <c:v>0.28678392047509282</c:v>
                </c:pt>
                <c:pt idx="7">
                  <c:v>0.31294543801642422</c:v>
                </c:pt>
                <c:pt idx="8">
                  <c:v>0.3389061788905291</c:v>
                </c:pt>
                <c:pt idx="9">
                  <c:v>0.36500492651772704</c:v>
                </c:pt>
                <c:pt idx="10">
                  <c:v>0.39068588748198163</c:v>
                </c:pt>
                <c:pt idx="11">
                  <c:v>0.41611536175163533</c:v>
                </c:pt>
                <c:pt idx="12">
                  <c:v>0.44081444080556315</c:v>
                </c:pt>
                <c:pt idx="13">
                  <c:v>0.46526902150218119</c:v>
                </c:pt>
                <c:pt idx="14">
                  <c:v>0.48900098249559498</c:v>
                </c:pt>
                <c:pt idx="15">
                  <c:v>0.51200124122134094</c:v>
                </c:pt>
                <c:pt idx="16">
                  <c:v>0.53435614615208338</c:v>
                </c:pt>
                <c:pt idx="17">
                  <c:v>0.55565086073775027</c:v>
                </c:pt>
                <c:pt idx="18">
                  <c:v>0.57698690447427714</c:v>
                </c:pt>
                <c:pt idx="19">
                  <c:v>0.59811807938910311</c:v>
                </c:pt>
                <c:pt idx="20">
                  <c:v>0.6173687860860575</c:v>
                </c:pt>
                <c:pt idx="21">
                  <c:v>0.63614477139215386</c:v>
                </c:pt>
                <c:pt idx="22">
                  <c:v>0.65537246722717901</c:v>
                </c:pt>
                <c:pt idx="23">
                  <c:v>0.67418366008552277</c:v>
                </c:pt>
                <c:pt idx="24">
                  <c:v>0.69210368200229233</c:v>
                </c:pt>
                <c:pt idx="25">
                  <c:v>0.70917852767978706</c:v>
                </c:pt>
                <c:pt idx="26">
                  <c:v>0.72682106857738515</c:v>
                </c:pt>
                <c:pt idx="27">
                  <c:v>0.74426405504554671</c:v>
                </c:pt>
                <c:pt idx="28">
                  <c:v>0.75999317496008711</c:v>
                </c:pt>
                <c:pt idx="29">
                  <c:v>0.77586811455163585</c:v>
                </c:pt>
                <c:pt idx="30">
                  <c:v>0.7905221762751633</c:v>
                </c:pt>
                <c:pt idx="31">
                  <c:v>0.80513172230025665</c:v>
                </c:pt>
                <c:pt idx="32">
                  <c:v>0.82022070783928935</c:v>
                </c:pt>
                <c:pt idx="33">
                  <c:v>0.83476626965841827</c:v>
                </c:pt>
                <c:pt idx="34">
                  <c:v>0.85107949322974141</c:v>
                </c:pt>
                <c:pt idx="35">
                  <c:v>0.8672896811527534</c:v>
                </c:pt>
                <c:pt idx="36">
                  <c:v>0.88372705406834318</c:v>
                </c:pt>
                <c:pt idx="37">
                  <c:v>0.89783045655363269</c:v>
                </c:pt>
                <c:pt idx="38">
                  <c:v>0.91221201742478986</c:v>
                </c:pt>
                <c:pt idx="39">
                  <c:v>0.92727095239498758</c:v>
                </c:pt>
                <c:pt idx="40">
                  <c:v>0.9412394643451889</c:v>
                </c:pt>
                <c:pt idx="41">
                  <c:v>0.95370663107127107</c:v>
                </c:pt>
                <c:pt idx="42">
                  <c:v>0.96772535100503421</c:v>
                </c:pt>
                <c:pt idx="43">
                  <c:v>0.97945204656070106</c:v>
                </c:pt>
                <c:pt idx="44">
                  <c:v>0.99328480268414943</c:v>
                </c:pt>
                <c:pt idx="45">
                  <c:v>1.0051354713073126</c:v>
                </c:pt>
                <c:pt idx="46">
                  <c:v>1.0174129610201605</c:v>
                </c:pt>
                <c:pt idx="47">
                  <c:v>1.0281223893048508</c:v>
                </c:pt>
                <c:pt idx="48">
                  <c:v>1.0377333039635437</c:v>
                </c:pt>
                <c:pt idx="49">
                  <c:v>1.047258446373472</c:v>
                </c:pt>
                <c:pt idx="50">
                  <c:v>1.0578492533937964</c:v>
                </c:pt>
                <c:pt idx="51">
                  <c:v>1.06845756096392</c:v>
                </c:pt>
                <c:pt idx="52">
                  <c:v>1.0790906889529872</c:v>
                </c:pt>
                <c:pt idx="53">
                  <c:v>1.09092808418805</c:v>
                </c:pt>
                <c:pt idx="54">
                  <c:v>1.1007850663241128</c:v>
                </c:pt>
                <c:pt idx="55">
                  <c:v>1.1122292332233297</c:v>
                </c:pt>
                <c:pt idx="56">
                  <c:v>1.123460779683638</c:v>
                </c:pt>
                <c:pt idx="57">
                  <c:v>1.1331422691650017</c:v>
                </c:pt>
                <c:pt idx="58">
                  <c:v>1.1417197272934174</c:v>
                </c:pt>
                <c:pt idx="59">
                  <c:v>1.1513627280758023</c:v>
                </c:pt>
                <c:pt idx="60">
                  <c:v>1.1587447868171703</c:v>
                </c:pt>
                <c:pt idx="61">
                  <c:v>1.1646858610702002</c:v>
                </c:pt>
                <c:pt idx="62">
                  <c:v>1.1711487717398543</c:v>
                </c:pt>
                <c:pt idx="63">
                  <c:v>1.1806288590130538</c:v>
                </c:pt>
                <c:pt idx="64">
                  <c:v>1.1885183315933943</c:v>
                </c:pt>
                <c:pt idx="65">
                  <c:v>1.1959342673750579</c:v>
                </c:pt>
                <c:pt idx="66">
                  <c:v>1.2014437328562033</c:v>
                </c:pt>
                <c:pt idx="67">
                  <c:v>1.2094917819586342</c:v>
                </c:pt>
                <c:pt idx="68">
                  <c:v>1.2163191539400819</c:v>
                </c:pt>
                <c:pt idx="69">
                  <c:v>1.2223786067407796</c:v>
                </c:pt>
                <c:pt idx="70">
                  <c:v>1.2281194372728288</c:v>
                </c:pt>
                <c:pt idx="71">
                  <c:v>1.2337833403378669</c:v>
                </c:pt>
                <c:pt idx="72">
                  <c:v>1.2388656623499055</c:v>
                </c:pt>
                <c:pt idx="73">
                  <c:v>1.2442047079937808</c:v>
                </c:pt>
                <c:pt idx="74">
                  <c:v>1.2495311475926802</c:v>
                </c:pt>
                <c:pt idx="75">
                  <c:v>1.2549416034406291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'6states'!$BE$4:$BE$29</c:f>
              <c:numCache>
                <c:formatCode>0.00</c:formatCode>
                <c:ptCount val="26"/>
                <c:pt idx="0">
                  <c:v>0.19491316313358734</c:v>
                </c:pt>
                <c:pt idx="1">
                  <c:v>9.3837906974681098E-2</c:v>
                </c:pt>
                <c:pt idx="2">
                  <c:v>6.6003204958595088E-2</c:v>
                </c:pt>
                <c:pt idx="3">
                  <c:v>0</c:v>
                </c:pt>
                <c:pt idx="4">
                  <c:v>0</c:v>
                </c:pt>
                <c:pt idx="5">
                  <c:v>4.5654416703728225E-2</c:v>
                </c:pt>
                <c:pt idx="6">
                  <c:v>4.7644348309306805E-2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03-40DB-ABD0-4466CDAB4A0C}"/>
            </c:ext>
          </c:extLst>
        </c:ser>
        <c:ser>
          <c:idx val="1"/>
          <c:order val="1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'6states'!$BF$4:$BF$29</c:f>
              <c:numCache>
                <c:formatCode>0.00</c:formatCode>
                <c:ptCount val="26"/>
                <c:pt idx="0">
                  <c:v>0.24909548690804309</c:v>
                </c:pt>
                <c:pt idx="1">
                  <c:v>0.24068112137083483</c:v>
                </c:pt>
                <c:pt idx="2">
                  <c:v>0.23067136699542276</c:v>
                </c:pt>
                <c:pt idx="3">
                  <c:v>0.21904063961412049</c:v>
                </c:pt>
                <c:pt idx="4">
                  <c:v>0.20916334121515007</c:v>
                </c:pt>
                <c:pt idx="5">
                  <c:v>0.19936453735045301</c:v>
                </c:pt>
                <c:pt idx="6">
                  <c:v>0.19036116990522123</c:v>
                </c:pt>
                <c:pt idx="7">
                  <c:v>0.17728669844499989</c:v>
                </c:pt>
                <c:pt idx="8">
                  <c:v>0.16820001349277583</c:v>
                </c:pt>
                <c:pt idx="9">
                  <c:v>0.15832449242116264</c:v>
                </c:pt>
                <c:pt idx="10">
                  <c:v>0.15069971161279599</c:v>
                </c:pt>
                <c:pt idx="11">
                  <c:v>0.14258752955670115</c:v>
                </c:pt>
                <c:pt idx="12">
                  <c:v>0.137199650617365</c:v>
                </c:pt>
                <c:pt idx="13">
                  <c:v>0.13109210585924741</c:v>
                </c:pt>
                <c:pt idx="14">
                  <c:v>0.125747677916177</c:v>
                </c:pt>
                <c:pt idx="15">
                  <c:v>0.1212676642340119</c:v>
                </c:pt>
                <c:pt idx="16">
                  <c:v>0.11626984001765238</c:v>
                </c:pt>
                <c:pt idx="17">
                  <c:v>0.11438139506066722</c:v>
                </c:pt>
                <c:pt idx="18">
                  <c:v>0.1120867597680347</c:v>
                </c:pt>
                <c:pt idx="19">
                  <c:v>0.10640815807320657</c:v>
                </c:pt>
                <c:pt idx="20">
                  <c:v>0.10416280675454252</c:v>
                </c:pt>
                <c:pt idx="21">
                  <c:v>0.10392594886989731</c:v>
                </c:pt>
                <c:pt idx="22">
                  <c:v>0.10200886486249282</c:v>
                </c:pt>
                <c:pt idx="23">
                  <c:v>9.9350934937126087E-2</c:v>
                </c:pt>
                <c:pt idx="24">
                  <c:v>9.6975107528497306E-2</c:v>
                </c:pt>
                <c:pt idx="25">
                  <c:v>9.7231372152889906E-2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3-40DB-ABD0-4466CDAB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9011343"/>
        <c:axId val="2069010383"/>
      </c:scatterChart>
      <c:valAx>
        <c:axId val="2069011343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0383"/>
        <c:crosses val="autoZero"/>
        <c:crossBetween val="midCat"/>
      </c:valAx>
      <c:valAx>
        <c:axId val="206901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Adjustment costs for clean capital investment and dirty capital disinvestment (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share of (dis)investment)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100</c:v>
                </c:pt>
                <c:pt idx="1">
                  <c:v>95.701321166607059</c:v>
                </c:pt>
                <c:pt idx="2">
                  <c:v>93.420691637177057</c:v>
                </c:pt>
                <c:pt idx="3">
                  <c:v>91.748507965160272</c:v>
                </c:pt>
                <c:pt idx="4">
                  <c:v>91.857388437541033</c:v>
                </c:pt>
                <c:pt idx="5">
                  <c:v>92.225123747704899</c:v>
                </c:pt>
                <c:pt idx="6">
                  <c:v>91.135305822221852</c:v>
                </c:pt>
                <c:pt idx="7">
                  <c:v>90.145665914643828</c:v>
                </c:pt>
                <c:pt idx="8">
                  <c:v>91.224806464367461</c:v>
                </c:pt>
                <c:pt idx="9">
                  <c:v>92.42533603643129</c:v>
                </c:pt>
                <c:pt idx="10">
                  <c:v>93.678177631210445</c:v>
                </c:pt>
                <c:pt idx="11">
                  <c:v>95.020318103991912</c:v>
                </c:pt>
                <c:pt idx="12">
                  <c:v>96.402425259731856</c:v>
                </c:pt>
                <c:pt idx="13">
                  <c:v>97.878921928973284</c:v>
                </c:pt>
                <c:pt idx="14">
                  <c:v>99.403781580101764</c:v>
                </c:pt>
                <c:pt idx="15">
                  <c:v>100.97230285217114</c:v>
                </c:pt>
                <c:pt idx="16">
                  <c:v>102.60493067641407</c:v>
                </c:pt>
                <c:pt idx="17">
                  <c:v>104.23910951919942</c:v>
                </c:pt>
                <c:pt idx="18">
                  <c:v>105.99960378564006</c:v>
                </c:pt>
                <c:pt idx="19">
                  <c:v>107.8614820098275</c:v>
                </c:pt>
                <c:pt idx="20">
                  <c:v>109.64856440427302</c:v>
                </c:pt>
                <c:pt idx="21">
                  <c:v>111.4946350113386</c:v>
                </c:pt>
                <c:pt idx="22">
                  <c:v>113.4893261766458</c:v>
                </c:pt>
                <c:pt idx="23">
                  <c:v>115.55288296260953</c:v>
                </c:pt>
                <c:pt idx="24">
                  <c:v>117.63879008863178</c:v>
                </c:pt>
                <c:pt idx="25">
                  <c:v>119.75025250458893</c:v>
                </c:pt>
                <c:pt idx="26">
                  <c:v>122.02854285253966</c:v>
                </c:pt>
                <c:pt idx="27">
                  <c:v>124.40779046169344</c:v>
                </c:pt>
                <c:pt idx="28">
                  <c:v>126.74001918788933</c:v>
                </c:pt>
                <c:pt idx="29">
                  <c:v>129.21508979142692</c:v>
                </c:pt>
                <c:pt idx="30">
                  <c:v>131.69459611093268</c:v>
                </c:pt>
                <c:pt idx="31">
                  <c:v>134.29897527510195</c:v>
                </c:pt>
                <c:pt idx="32">
                  <c:v>137.09723715165745</c:v>
                </c:pt>
                <c:pt idx="33">
                  <c:v>139.98990805884955</c:v>
                </c:pt>
                <c:pt idx="34">
                  <c:v>143.26553827380872</c:v>
                </c:pt>
                <c:pt idx="35">
                  <c:v>146.76750312412815</c:v>
                </c:pt>
                <c:pt idx="36">
                  <c:v>146.69004402761999</c:v>
                </c:pt>
                <c:pt idx="37">
                  <c:v>150.3634507819246</c:v>
                </c:pt>
                <c:pt idx="38">
                  <c:v>154.16834889979322</c:v>
                </c:pt>
                <c:pt idx="39">
                  <c:v>154.84253489080581</c:v>
                </c:pt>
                <c:pt idx="40">
                  <c:v>158.81126325695345</c:v>
                </c:pt>
                <c:pt idx="41">
                  <c:v>162.63511948176236</c:v>
                </c:pt>
                <c:pt idx="42">
                  <c:v>166.71103666554066</c:v>
                </c:pt>
                <c:pt idx="43">
                  <c:v>170.62547291083652</c:v>
                </c:pt>
                <c:pt idx="44">
                  <c:v>171.88692288361966</c:v>
                </c:pt>
                <c:pt idx="45">
                  <c:v>176.06302238018449</c:v>
                </c:pt>
                <c:pt idx="46">
                  <c:v>180.34409886131101</c:v>
                </c:pt>
                <c:pt idx="47">
                  <c:v>184.51344977048626</c:v>
                </c:pt>
                <c:pt idx="48">
                  <c:v>188.63234313645606</c:v>
                </c:pt>
                <c:pt idx="49">
                  <c:v>192.85660568054848</c:v>
                </c:pt>
                <c:pt idx="50">
                  <c:v>197.35109904575441</c:v>
                </c:pt>
                <c:pt idx="51">
                  <c:v>202.0221226662897</c:v>
                </c:pt>
                <c:pt idx="52">
                  <c:v>206.86928227060406</c:v>
                </c:pt>
                <c:pt idx="53">
                  <c:v>209.97112530633802</c:v>
                </c:pt>
                <c:pt idx="54">
                  <c:v>213.20293077576036</c:v>
                </c:pt>
                <c:pt idx="55">
                  <c:v>218.80715909311053</c:v>
                </c:pt>
                <c:pt idx="56">
                  <c:v>222.77555661032054</c:v>
                </c:pt>
                <c:pt idx="57">
                  <c:v>226.7435024320088</c:v>
                </c:pt>
                <c:pt idx="58">
                  <c:v>232.34900033378963</c:v>
                </c:pt>
                <c:pt idx="59">
                  <c:v>238.2437191265943</c:v>
                </c:pt>
                <c:pt idx="60">
                  <c:v>243.89755047162805</c:v>
                </c:pt>
                <c:pt idx="61">
                  <c:v>247.961304764083</c:v>
                </c:pt>
                <c:pt idx="62">
                  <c:v>253.73573287010288</c:v>
                </c:pt>
                <c:pt idx="63">
                  <c:v>260.16271250544463</c:v>
                </c:pt>
                <c:pt idx="64">
                  <c:v>266.46709660382942</c:v>
                </c:pt>
                <c:pt idx="65">
                  <c:v>271.71796902707212</c:v>
                </c:pt>
                <c:pt idx="66">
                  <c:v>277.93708278499696</c:v>
                </c:pt>
                <c:pt idx="67">
                  <c:v>284.8110958861248</c:v>
                </c:pt>
                <c:pt idx="68">
                  <c:v>290.80946840934388</c:v>
                </c:pt>
                <c:pt idx="69">
                  <c:v>297.71236037074641</c:v>
                </c:pt>
                <c:pt idx="70">
                  <c:v>304.11409212830893</c:v>
                </c:pt>
                <c:pt idx="71">
                  <c:v>310.79518480235618</c:v>
                </c:pt>
                <c:pt idx="72">
                  <c:v>317.65975395669119</c:v>
                </c:pt>
                <c:pt idx="73">
                  <c:v>324.85143252981396</c:v>
                </c:pt>
                <c:pt idx="74">
                  <c:v>332.29549950714829</c:v>
                </c:pt>
                <c:pt idx="75">
                  <c:v>340.02018595501136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(2025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'6states'!$AJ$4:$AJ$79</c:f>
              <c:numCache>
                <c:formatCode>0.0</c:formatCode>
                <c:ptCount val="76"/>
                <c:pt idx="0">
                  <c:v>110.98</c:v>
                </c:pt>
                <c:pt idx="1">
                  <c:v>112.77224482413563</c:v>
                </c:pt>
                <c:pt idx="2">
                  <c:v>114.66916844364209</c:v>
                </c:pt>
                <c:pt idx="3">
                  <c:v>116.60614004754096</c:v>
                </c:pt>
                <c:pt idx="4">
                  <c:v>118.72246850270454</c:v>
                </c:pt>
                <c:pt idx="5">
                  <c:v>120.8915594438654</c:v>
                </c:pt>
                <c:pt idx="6">
                  <c:v>122.96676417774266</c:v>
                </c:pt>
                <c:pt idx="7">
                  <c:v>125.04800433618915</c:v>
                </c:pt>
                <c:pt idx="8">
                  <c:v>127.42091370550396</c:v>
                </c:pt>
                <c:pt idx="9">
                  <c:v>129.85669680205578</c:v>
                </c:pt>
                <c:pt idx="10">
                  <c:v>132.37341692792998</c:v>
                </c:pt>
                <c:pt idx="11">
                  <c:v>134.95970869352158</c:v>
                </c:pt>
                <c:pt idx="12">
                  <c:v>137.62560225276849</c:v>
                </c:pt>
                <c:pt idx="13">
                  <c:v>140.36053629714175</c:v>
                </c:pt>
                <c:pt idx="14">
                  <c:v>143.1738156864082</c:v>
                </c:pt>
                <c:pt idx="15">
                  <c:v>146.06791690125561</c:v>
                </c:pt>
                <c:pt idx="16">
                  <c:v>149.03621030636754</c:v>
                </c:pt>
                <c:pt idx="17">
                  <c:v>152.09499636380383</c:v>
                </c:pt>
                <c:pt idx="18">
                  <c:v>155.21607303271793</c:v>
                </c:pt>
                <c:pt idx="19">
                  <c:v>158.40828510242409</c:v>
                </c:pt>
                <c:pt idx="20">
                  <c:v>161.7086649191977</c:v>
                </c:pt>
                <c:pt idx="21">
                  <c:v>165.09105249371868</c:v>
                </c:pt>
                <c:pt idx="22">
                  <c:v>168.53957225189797</c:v>
                </c:pt>
                <c:pt idx="23">
                  <c:v>172.07100381590837</c:v>
                </c:pt>
                <c:pt idx="24">
                  <c:v>175.69816430631832</c:v>
                </c:pt>
                <c:pt idx="25">
                  <c:v>179.42235166283848</c:v>
                </c:pt>
                <c:pt idx="26">
                  <c:v>183.22137772232313</c:v>
                </c:pt>
                <c:pt idx="27">
                  <c:v>187.11281308971022</c:v>
                </c:pt>
                <c:pt idx="28">
                  <c:v>191.12863545556468</c:v>
                </c:pt>
                <c:pt idx="29">
                  <c:v>195.237039790328</c:v>
                </c:pt>
                <c:pt idx="30">
                  <c:v>199.46752573525151</c:v>
                </c:pt>
                <c:pt idx="31">
                  <c:v>203.80209064863075</c:v>
                </c:pt>
                <c:pt idx="32">
                  <c:v>208.23120246703377</c:v>
                </c:pt>
                <c:pt idx="33">
                  <c:v>212.78519861587077</c:v>
                </c:pt>
                <c:pt idx="34">
                  <c:v>217.41826017446377</c:v>
                </c:pt>
                <c:pt idx="35">
                  <c:v>222.18067256306503</c:v>
                </c:pt>
                <c:pt idx="36">
                  <c:v>226.61378766483992</c:v>
                </c:pt>
                <c:pt idx="37">
                  <c:v>231.66064028638817</c:v>
                </c:pt>
                <c:pt idx="38">
                  <c:v>236.80762993387617</c:v>
                </c:pt>
                <c:pt idx="39">
                  <c:v>241.64767363388538</c:v>
                </c:pt>
                <c:pt idx="40">
                  <c:v>247.01795390726627</c:v>
                </c:pt>
                <c:pt idx="41">
                  <c:v>252.52167542915805</c:v>
                </c:pt>
                <c:pt idx="42">
                  <c:v>258.12266876211714</c:v>
                </c:pt>
                <c:pt idx="43">
                  <c:v>263.88868352186199</c:v>
                </c:pt>
                <c:pt idx="44">
                  <c:v>269.34948571780507</c:v>
                </c:pt>
                <c:pt idx="45">
                  <c:v>275.35450472826062</c:v>
                </c:pt>
                <c:pt idx="46">
                  <c:v>281.47845432818013</c:v>
                </c:pt>
                <c:pt idx="47">
                  <c:v>287.75174793229934</c:v>
                </c:pt>
                <c:pt idx="48">
                  <c:v>294.19566718452432</c:v>
                </c:pt>
                <c:pt idx="49">
                  <c:v>300.77391010583182</c:v>
                </c:pt>
                <c:pt idx="50">
                  <c:v>307.50064363769422</c:v>
                </c:pt>
                <c:pt idx="51">
                  <c:v>314.36318839007669</c:v>
                </c:pt>
                <c:pt idx="52">
                  <c:v>321.44538758267697</c:v>
                </c:pt>
                <c:pt idx="53">
                  <c:v>328.37381345884359</c:v>
                </c:pt>
                <c:pt idx="54">
                  <c:v>335.56730426629537</c:v>
                </c:pt>
                <c:pt idx="55">
                  <c:v>343.12704729150494</c:v>
                </c:pt>
                <c:pt idx="56">
                  <c:v>350.65207699753705</c:v>
                </c:pt>
                <c:pt idx="57">
                  <c:v>358.39876398820934</c:v>
                </c:pt>
                <c:pt idx="58">
                  <c:v>366.55279211154442</c:v>
                </c:pt>
                <c:pt idx="59">
                  <c:v>374.82870138324483</c:v>
                </c:pt>
                <c:pt idx="60">
                  <c:v>383.34773399636663</c:v>
                </c:pt>
                <c:pt idx="61">
                  <c:v>391.88484504144418</c:v>
                </c:pt>
                <c:pt idx="62">
                  <c:v>400.80377160639705</c:v>
                </c:pt>
                <c:pt idx="63">
                  <c:v>409.86234187738876</c:v>
                </c:pt>
                <c:pt idx="64">
                  <c:v>419.15164682019514</c:v>
                </c:pt>
                <c:pt idx="65">
                  <c:v>428.47505444723316</c:v>
                </c:pt>
                <c:pt idx="66">
                  <c:v>438.26964847969731</c:v>
                </c:pt>
                <c:pt idx="67">
                  <c:v>448.2185759230166</c:v>
                </c:pt>
                <c:pt idx="68">
                  <c:v>458.27754056328757</c:v>
                </c:pt>
                <c:pt idx="69">
                  <c:v>468.67247196521237</c:v>
                </c:pt>
                <c:pt idx="70">
                  <c:v>479.28780124249869</c:v>
                </c:pt>
                <c:pt idx="71">
                  <c:v>490.20255057540214</c:v>
                </c:pt>
                <c:pt idx="72">
                  <c:v>501.19349796058845</c:v>
                </c:pt>
                <c:pt idx="73">
                  <c:v>512.46886925785293</c:v>
                </c:pt>
                <c:pt idx="74">
                  <c:v>524.10306094981706</c:v>
                </c:pt>
                <c:pt idx="75">
                  <c:v>536.01828694114272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'6states'!$AK$4:$AK$79</c:f>
              <c:numCache>
                <c:formatCode>0.0</c:formatCode>
                <c:ptCount val="76"/>
                <c:pt idx="0">
                  <c:v>89.121299276692213</c:v>
                </c:pt>
                <c:pt idx="1">
                  <c:v>90.98763693134174</c:v>
                </c:pt>
                <c:pt idx="2">
                  <c:v>92.606462532731285</c:v>
                </c:pt>
                <c:pt idx="3">
                  <c:v>93.949371928066142</c:v>
                </c:pt>
                <c:pt idx="4">
                  <c:v>95.625585963904726</c:v>
                </c:pt>
                <c:pt idx="5">
                  <c:v>97.235146259165433</c:v>
                </c:pt>
                <c:pt idx="6">
                  <c:v>99.137961530295073</c:v>
                </c:pt>
                <c:pt idx="7">
                  <c:v>100.29974778269451</c:v>
                </c:pt>
                <c:pt idx="8">
                  <c:v>102.13885425717123</c:v>
                </c:pt>
                <c:pt idx="9">
                  <c:v>103.72934348136627</c:v>
                </c:pt>
                <c:pt idx="10">
                  <c:v>105.6019847355752</c:v>
                </c:pt>
                <c:pt idx="11">
                  <c:v>107.3754128186177</c:v>
                </c:pt>
                <c:pt idx="12">
                  <c:v>109.4128136853803</c:v>
                </c:pt>
                <c:pt idx="13">
                  <c:v>111.36992314493874</c:v>
                </c:pt>
                <c:pt idx="14">
                  <c:v>113.36705489850786</c:v>
                </c:pt>
                <c:pt idx="15">
                  <c:v>115.56214070907544</c:v>
                </c:pt>
                <c:pt idx="16">
                  <c:v>117.55839628255515</c:v>
                </c:pt>
                <c:pt idx="17">
                  <c:v>120.11033365618469</c:v>
                </c:pt>
                <c:pt idx="18">
                  <c:v>122.59722998043588</c:v>
                </c:pt>
                <c:pt idx="19">
                  <c:v>124.57010301700022</c:v>
                </c:pt>
                <c:pt idx="20">
                  <c:v>127.05480785451539</c:v>
                </c:pt>
                <c:pt idx="21">
                  <c:v>129.87703861805943</c:v>
                </c:pt>
                <c:pt idx="22">
                  <c:v>132.52048881758992</c:v>
                </c:pt>
                <c:pt idx="23">
                  <c:v>135.06174189175434</c:v>
                </c:pt>
                <c:pt idx="24">
                  <c:v>137.6832585116596</c:v>
                </c:pt>
                <c:pt idx="25">
                  <c:v>140.74970815374991</c:v>
                </c:pt>
                <c:pt idx="26">
                  <c:v>143.65058019147375</c:v>
                </c:pt>
                <c:pt idx="27">
                  <c:v>146.18322389122872</c:v>
                </c:pt>
                <c:pt idx="28">
                  <c:v>149.31750055333043</c:v>
                </c:pt>
                <c:pt idx="29">
                  <c:v>152.11830952841694</c:v>
                </c:pt>
                <c:pt idx="30">
                  <c:v>155.31016126875505</c:v>
                </c:pt>
                <c:pt idx="31">
                  <c:v>158.77098273385261</c:v>
                </c:pt>
                <c:pt idx="32">
                  <c:v>161.90825923641637</c:v>
                </c:pt>
                <c:pt idx="33">
                  <c:v>165.88015565230751</c:v>
                </c:pt>
                <c:pt idx="34">
                  <c:v>169.27372900202315</c:v>
                </c:pt>
                <c:pt idx="35">
                  <c:v>172.78538598704668</c:v>
                </c:pt>
                <c:pt idx="36">
                  <c:v>175.76199970032053</c:v>
                </c:pt>
                <c:pt idx="37">
                  <c:v>179.77905577326487</c:v>
                </c:pt>
                <c:pt idx="38">
                  <c:v>183.85549431611761</c:v>
                </c:pt>
                <c:pt idx="39">
                  <c:v>187.61836272387961</c:v>
                </c:pt>
                <c:pt idx="40">
                  <c:v>191.38455884877945</c:v>
                </c:pt>
                <c:pt idx="41">
                  <c:v>195.89862290492496</c:v>
                </c:pt>
                <c:pt idx="42">
                  <c:v>199.62745792695424</c:v>
                </c:pt>
                <c:pt idx="43">
                  <c:v>204.76282071457788</c:v>
                </c:pt>
                <c:pt idx="44">
                  <c:v>208.59391486409561</c:v>
                </c:pt>
                <c:pt idx="45">
                  <c:v>213.30088913180359</c:v>
                </c:pt>
                <c:pt idx="46">
                  <c:v>217.76908751836882</c:v>
                </c:pt>
                <c:pt idx="47">
                  <c:v>222.12892058467099</c:v>
                </c:pt>
                <c:pt idx="48">
                  <c:v>227.19855576883054</c:v>
                </c:pt>
                <c:pt idx="49">
                  <c:v>232.23643695383331</c:v>
                </c:pt>
                <c:pt idx="50">
                  <c:v>237.65889867096479</c:v>
                </c:pt>
                <c:pt idx="51">
                  <c:v>242.09881780419391</c:v>
                </c:pt>
                <c:pt idx="52">
                  <c:v>248.28969332229261</c:v>
                </c:pt>
                <c:pt idx="53">
                  <c:v>252.59591681410905</c:v>
                </c:pt>
                <c:pt idx="54">
                  <c:v>258.80973665161531</c:v>
                </c:pt>
                <c:pt idx="55">
                  <c:v>264.33957524032184</c:v>
                </c:pt>
                <c:pt idx="56">
                  <c:v>269.55003280146536</c:v>
                </c:pt>
                <c:pt idx="57">
                  <c:v>275.2728386439365</c:v>
                </c:pt>
                <c:pt idx="58">
                  <c:v>282.25423089883151</c:v>
                </c:pt>
                <c:pt idx="59">
                  <c:v>287.76746681382355</c:v>
                </c:pt>
                <c:pt idx="60">
                  <c:v>293.98521260100847</c:v>
                </c:pt>
                <c:pt idx="61">
                  <c:v>300.57116312405265</c:v>
                </c:pt>
                <c:pt idx="62">
                  <c:v>308.1548958277171</c:v>
                </c:pt>
                <c:pt idx="63">
                  <c:v>314.69077888339893</c:v>
                </c:pt>
                <c:pt idx="64">
                  <c:v>322.17354851554876</c:v>
                </c:pt>
                <c:pt idx="65">
                  <c:v>327.84955644547352</c:v>
                </c:pt>
                <c:pt idx="66">
                  <c:v>336.19919272819652</c:v>
                </c:pt>
                <c:pt idx="67">
                  <c:v>343.91295569796398</c:v>
                </c:pt>
                <c:pt idx="68">
                  <c:v>351.69009561438941</c:v>
                </c:pt>
                <c:pt idx="69">
                  <c:v>358.77012856974011</c:v>
                </c:pt>
                <c:pt idx="70">
                  <c:v>366.26852322734157</c:v>
                </c:pt>
                <c:pt idx="71">
                  <c:v>377.08768470779313</c:v>
                </c:pt>
                <c:pt idx="72">
                  <c:v>385.22039428389945</c:v>
                </c:pt>
                <c:pt idx="73">
                  <c:v>392.60784822755693</c:v>
                </c:pt>
                <c:pt idx="74">
                  <c:v>401.37259329221695</c:v>
                </c:pt>
                <c:pt idx="75">
                  <c:v>411.59285631612863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 USD trillion)</a:t>
                </a:r>
              </a:p>
            </c:rich>
          </c:tx>
          <c:layout>
            <c:manualLayout>
              <c:xMode val="edge"/>
              <c:yMode val="edge"/>
              <c:x val="9.5836673066828412E-3"/>
              <c:y val="0.1149650022089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'6states'!$AN$4:$AN$79</c:f>
              <c:numCache>
                <c:formatCode>0.0</c:formatCode>
                <c:ptCount val="76"/>
                <c:pt idx="3" formatCode="0.000">
                  <c:v>1.7108787185153674E-2</c:v>
                </c:pt>
                <c:pt idx="4" formatCode="0.000">
                  <c:v>1.7308771331723705E-2</c:v>
                </c:pt>
                <c:pt idx="5" formatCode="0.000">
                  <c:v>1.7329302395924628E-2</c:v>
                </c:pt>
                <c:pt idx="6" formatCode="0.000">
                  <c:v>1.7738791175974988E-2</c:v>
                </c:pt>
                <c:pt idx="7" formatCode="0.000">
                  <c:v>1.7928587660323458E-2</c:v>
                </c:pt>
                <c:pt idx="8" formatCode="0.000">
                  <c:v>1.8146580806146062E-2</c:v>
                </c:pt>
                <c:pt idx="9" formatCode="0.000">
                  <c:v>1.861243416959759E-2</c:v>
                </c:pt>
                <c:pt idx="10" formatCode="0.000">
                  <c:v>1.9167854561163367E-2</c:v>
                </c:pt>
                <c:pt idx="11" formatCode="0.000">
                  <c:v>1.9343696819369427E-2</c:v>
                </c:pt>
                <c:pt idx="12" formatCode="0.000">
                  <c:v>1.9525575261340401E-2</c:v>
                </c:pt>
                <c:pt idx="13" formatCode="0.000">
                  <c:v>1.9688970588921072E-2</c:v>
                </c:pt>
                <c:pt idx="14" formatCode="0.000">
                  <c:v>1.984260376813296E-2</c:v>
                </c:pt>
                <c:pt idx="15" formatCode="0.000">
                  <c:v>1.999366612650668E-2</c:v>
                </c:pt>
                <c:pt idx="16" formatCode="0.000">
                  <c:v>2.0120758833090412E-2</c:v>
                </c:pt>
                <c:pt idx="17" formatCode="0.000">
                  <c:v>2.0223279299343134E-2</c:v>
                </c:pt>
                <c:pt idx="18" formatCode="0.000">
                  <c:v>2.0344930747619828E-2</c:v>
                </c:pt>
                <c:pt idx="19" formatCode="0.000">
                  <c:v>2.0461571276221592E-2</c:v>
                </c:pt>
                <c:pt idx="20" formatCode="0.000">
                  <c:v>2.0533054134269868E-2</c:v>
                </c:pt>
                <c:pt idx="21" formatCode="0.000">
                  <c:v>2.0617807754180005E-2</c:v>
                </c:pt>
                <c:pt idx="22" formatCode="0.000">
                  <c:v>2.0718352859964283E-2</c:v>
                </c:pt>
                <c:pt idx="23" formatCode="0.000">
                  <c:v>2.0789236307117064E-2</c:v>
                </c:pt>
                <c:pt idx="24" formatCode="0.000">
                  <c:v>2.083959621287974E-2</c:v>
                </c:pt>
                <c:pt idx="25" formatCode="0.000">
                  <c:v>2.0908228226153368E-2</c:v>
                </c:pt>
                <c:pt idx="26" formatCode="0.000">
                  <c:v>2.1007896181143515E-2</c:v>
                </c:pt>
                <c:pt idx="27" formatCode="0.000">
                  <c:v>2.1089372350109593E-2</c:v>
                </c:pt>
                <c:pt idx="28" formatCode="0.000">
                  <c:v>2.1181782347627732E-2</c:v>
                </c:pt>
                <c:pt idx="29" formatCode="0.000">
                  <c:v>2.1290848602911618E-2</c:v>
                </c:pt>
                <c:pt idx="30" formatCode="0.000">
                  <c:v>2.138745983982222E-2</c:v>
                </c:pt>
                <c:pt idx="31" formatCode="0.000">
                  <c:v>2.1467302850658322E-2</c:v>
                </c:pt>
                <c:pt idx="32" formatCode="0.000">
                  <c:v>2.1521711120053588E-2</c:v>
                </c:pt>
                <c:pt idx="33" formatCode="0.000">
                  <c:v>2.1567889289451258E-2</c:v>
                </c:pt>
                <c:pt idx="34" formatCode="0.000">
                  <c:v>2.121956270020444E-2</c:v>
                </c:pt>
                <c:pt idx="35" formatCode="0.000">
                  <c:v>2.1324906139421708E-2</c:v>
                </c:pt>
                <c:pt idx="36" formatCode="0.000">
                  <c:v>2.1392984764690936E-2</c:v>
                </c:pt>
                <c:pt idx="37" formatCode="0.000">
                  <c:v>2.113156132712497E-2</c:v>
                </c:pt>
                <c:pt idx="38" formatCode="0.000">
                  <c:v>2.1194026122414299E-2</c:v>
                </c:pt>
                <c:pt idx="39" formatCode="0.000">
                  <c:v>2.1649979148612351E-2</c:v>
                </c:pt>
                <c:pt idx="40" formatCode="0.000">
                  <c:v>2.1632277767681174E-2</c:v>
                </c:pt>
                <c:pt idx="41" formatCode="0.000">
                  <c:v>2.1655847480793078E-2</c:v>
                </c:pt>
                <c:pt idx="42" formatCode="0.000">
                  <c:v>2.1705793708199826E-2</c:v>
                </c:pt>
                <c:pt idx="43" formatCode="0.000">
                  <c:v>2.1719670742573527E-2</c:v>
                </c:pt>
                <c:pt idx="44" formatCode="0.000">
                  <c:v>2.1711763507393476E-2</c:v>
                </c:pt>
                <c:pt idx="45" formatCode="0.000">
                  <c:v>2.1732637964288946E-2</c:v>
                </c:pt>
                <c:pt idx="46" formatCode="0.000">
                  <c:v>2.1743543942136158E-2</c:v>
                </c:pt>
                <c:pt idx="47" formatCode="0.000">
                  <c:v>2.2069822702840369E-2</c:v>
                </c:pt>
                <c:pt idx="48" formatCode="0.000">
                  <c:v>2.2083560958443549E-2</c:v>
                </c:pt>
                <c:pt idx="49" formatCode="0.000">
                  <c:v>2.2098612514978022E-2</c:v>
                </c:pt>
                <c:pt idx="50" formatCode="0.000">
                  <c:v>2.214590792653013E-2</c:v>
                </c:pt>
                <c:pt idx="51" formatCode="0.000">
                  <c:v>2.198151080336732E-2</c:v>
                </c:pt>
                <c:pt idx="52" formatCode="0.000">
                  <c:v>2.1892738368082299E-2</c:v>
                </c:pt>
                <c:pt idx="53" formatCode="0.000">
                  <c:v>2.1924719695275742E-2</c:v>
                </c:pt>
                <c:pt idx="54" formatCode="0.000">
                  <c:v>2.1849105963387495E-2</c:v>
                </c:pt>
                <c:pt idx="55" formatCode="0.000">
                  <c:v>2.1763714140532464E-2</c:v>
                </c:pt>
                <c:pt idx="56" formatCode="0.000">
                  <c:v>2.199798405742719E-2</c:v>
                </c:pt>
                <c:pt idx="57" formatCode="0.000">
                  <c:v>2.2129316032390989E-2</c:v>
                </c:pt>
                <c:pt idx="58" formatCode="0.000">
                  <c:v>2.2168344015827124E-2</c:v>
                </c:pt>
                <c:pt idx="59" formatCode="0.000">
                  <c:v>2.2234707148141197E-2</c:v>
                </c:pt>
                <c:pt idx="60" formatCode="0.000">
                  <c:v>2.2365145504152827E-2</c:v>
                </c:pt>
                <c:pt idx="61" formatCode="0.000">
                  <c:v>2.2335759377740062E-2</c:v>
                </c:pt>
                <c:pt idx="62" formatCode="0.000">
                  <c:v>2.2352730946443522E-2</c:v>
                </c:pt>
                <c:pt idx="63" formatCode="0.000">
                  <c:v>2.2258004284030797E-2</c:v>
                </c:pt>
                <c:pt idx="64" formatCode="0.000">
                  <c:v>2.2373264552895657E-2</c:v>
                </c:pt>
                <c:pt idx="65" formatCode="0.000">
                  <c:v>2.2361809239474263E-2</c:v>
                </c:pt>
                <c:pt idx="66" formatCode="0.000">
                  <c:v>2.2330726508034894E-2</c:v>
                </c:pt>
                <c:pt idx="67" formatCode="0.000">
                  <c:v>2.2334278087344651E-2</c:v>
                </c:pt>
                <c:pt idx="68" formatCode="0.000">
                  <c:v>2.2413746859296424E-2</c:v>
                </c:pt>
                <c:pt idx="69" formatCode="0.000">
                  <c:v>2.2396863492761376E-2</c:v>
                </c:pt>
                <c:pt idx="70" formatCode="0.000">
                  <c:v>2.2342248774930695E-2</c:v>
                </c:pt>
                <c:pt idx="71" formatCode="0.000">
                  <c:v>2.235299638266568E-2</c:v>
                </c:pt>
                <c:pt idx="72" formatCode="0.000">
                  <c:v>2.2356835143796872E-2</c:v>
                </c:pt>
                <c:pt idx="73" formatCode="0.000">
                  <c:v>2.2373404653815144E-2</c:v>
                </c:pt>
                <c:pt idx="74" formatCode="0.000">
                  <c:v>2.233862595280307E-2</c:v>
                </c:pt>
                <c:pt idx="75" formatCode="0.000">
                  <c:v>2.238797308116016E-2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8-4ABB-9037-2155EE5E7234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'6states'!$AO$4:$AO$79</c:f>
              <c:numCache>
                <c:formatCode>0.0</c:formatCode>
                <c:ptCount val="76"/>
                <c:pt idx="3" formatCode="0.000">
                  <c:v>1.7426775621561853E-2</c:v>
                </c:pt>
                <c:pt idx="4" formatCode="0.000">
                  <c:v>1.7157758292975167E-2</c:v>
                </c:pt>
                <c:pt idx="5" formatCode="0.000">
                  <c:v>1.5960850269660654E-2</c:v>
                </c:pt>
                <c:pt idx="6" formatCode="0.000">
                  <c:v>1.6715432623056616E-2</c:v>
                </c:pt>
                <c:pt idx="7" formatCode="0.000">
                  <c:v>1.6268924091631654E-2</c:v>
                </c:pt>
                <c:pt idx="8" formatCode="0.000">
                  <c:v>1.6508986560398675E-2</c:v>
                </c:pt>
                <c:pt idx="9" formatCode="0.000">
                  <c:v>1.5963758817174066E-2</c:v>
                </c:pt>
                <c:pt idx="10" formatCode="0.000">
                  <c:v>1.7392965943306925E-2</c:v>
                </c:pt>
                <c:pt idx="11" formatCode="0.000">
                  <c:v>1.7304819507394598E-2</c:v>
                </c:pt>
                <c:pt idx="12" formatCode="0.000">
                  <c:v>1.776915751876551E-2</c:v>
                </c:pt>
                <c:pt idx="13" formatCode="0.000">
                  <c:v>1.8026246828192961E-2</c:v>
                </c:pt>
                <c:pt idx="14" formatCode="0.000">
                  <c:v>1.8120794964760201E-2</c:v>
                </c:pt>
                <c:pt idx="15" formatCode="0.000">
                  <c:v>1.8656551486444427E-2</c:v>
                </c:pt>
                <c:pt idx="16" formatCode="0.000">
                  <c:v>1.9209425593836826E-2</c:v>
                </c:pt>
                <c:pt idx="17" formatCode="0.000">
                  <c:v>1.8847561194291096E-2</c:v>
                </c:pt>
                <c:pt idx="18" formatCode="0.000">
                  <c:v>1.8962030238572503E-2</c:v>
                </c:pt>
                <c:pt idx="19" formatCode="0.000">
                  <c:v>1.9930589260418685E-2</c:v>
                </c:pt>
                <c:pt idx="20" formatCode="0.000">
                  <c:v>1.9665299714631601E-2</c:v>
                </c:pt>
                <c:pt idx="21" formatCode="0.000">
                  <c:v>1.93655183894057E-2</c:v>
                </c:pt>
                <c:pt idx="22" formatCode="0.000">
                  <c:v>2.001743700574643E-2</c:v>
                </c:pt>
                <c:pt idx="23" formatCode="0.000">
                  <c:v>2.0472928447165372E-2</c:v>
                </c:pt>
                <c:pt idx="24" formatCode="0.000">
                  <c:v>2.0159135654960282E-2</c:v>
                </c:pt>
                <c:pt idx="25" formatCode="0.000">
                  <c:v>1.9624705401634301E-2</c:v>
                </c:pt>
                <c:pt idx="26" formatCode="0.000">
                  <c:v>2.0068578762463752E-2</c:v>
                </c:pt>
                <c:pt idx="27" formatCode="0.000">
                  <c:v>1.9940550268151114E-2</c:v>
                </c:pt>
                <c:pt idx="28" formatCode="0.000">
                  <c:v>1.9688192887714173E-2</c:v>
                </c:pt>
                <c:pt idx="29" formatCode="0.000">
                  <c:v>2.0015795879699993E-2</c:v>
                </c:pt>
                <c:pt idx="30" formatCode="0.000">
                  <c:v>2.0433816149596318E-2</c:v>
                </c:pt>
                <c:pt idx="31" formatCode="0.000">
                  <c:v>2.1038131734981747E-2</c:v>
                </c:pt>
                <c:pt idx="32" formatCode="0.000">
                  <c:v>2.1371706523082068E-2</c:v>
                </c:pt>
                <c:pt idx="33" formatCode="0.000">
                  <c:v>2.1325224602221658E-2</c:v>
                </c:pt>
                <c:pt idx="34" formatCode="0.000">
                  <c:v>2.0333600344008929E-2</c:v>
                </c:pt>
                <c:pt idx="35" formatCode="0.000">
                  <c:v>2.0939751038897291E-2</c:v>
                </c:pt>
                <c:pt idx="36" formatCode="0.000">
                  <c:v>2.0576903671289594E-2</c:v>
                </c:pt>
                <c:pt idx="37" formatCode="0.000">
                  <c:v>2.0578562248408261E-2</c:v>
                </c:pt>
                <c:pt idx="38" formatCode="0.000">
                  <c:v>2.0446904006773358E-2</c:v>
                </c:pt>
                <c:pt idx="39" formatCode="0.000">
                  <c:v>2.1693297976802306E-2</c:v>
                </c:pt>
                <c:pt idx="40" formatCode="0.000">
                  <c:v>2.0944858034476786E-2</c:v>
                </c:pt>
                <c:pt idx="41" formatCode="0.000">
                  <c:v>2.1540449025691012E-2</c:v>
                </c:pt>
                <c:pt idx="42" formatCode="0.000">
                  <c:v>2.1195891344541095E-2</c:v>
                </c:pt>
                <c:pt idx="43" formatCode="0.000">
                  <c:v>2.1683798586412985E-2</c:v>
                </c:pt>
                <c:pt idx="44" formatCode="0.000">
                  <c:v>2.1167594899154984E-2</c:v>
                </c:pt>
                <c:pt idx="45" formatCode="0.000">
                  <c:v>2.1361003498319951E-2</c:v>
                </c:pt>
                <c:pt idx="46" formatCode="0.000">
                  <c:v>2.0794398594010312E-2</c:v>
                </c:pt>
                <c:pt idx="47" formatCode="0.000">
                  <c:v>2.1473321336814344E-2</c:v>
                </c:pt>
                <c:pt idx="48" formatCode="0.000">
                  <c:v>2.1626530574575753E-2</c:v>
                </c:pt>
                <c:pt idx="49" formatCode="0.000">
                  <c:v>2.1182142200699871E-2</c:v>
                </c:pt>
                <c:pt idx="50" formatCode="0.000">
                  <c:v>2.2267649201732454E-2</c:v>
                </c:pt>
                <c:pt idx="51" formatCode="0.000">
                  <c:v>2.1193342995765186E-2</c:v>
                </c:pt>
                <c:pt idx="52" formatCode="0.000">
                  <c:v>2.1667441341660522E-2</c:v>
                </c:pt>
                <c:pt idx="53" formatCode="0.000">
                  <c:v>2.1279619932300164E-2</c:v>
                </c:pt>
                <c:pt idx="54" formatCode="0.000">
                  <c:v>2.1481608548827146E-2</c:v>
                </c:pt>
                <c:pt idx="55" formatCode="0.000">
                  <c:v>2.0633312732620014E-2</c:v>
                </c:pt>
                <c:pt idx="56" formatCode="0.000">
                  <c:v>2.2203429532301654E-2</c:v>
                </c:pt>
                <c:pt idx="57" formatCode="0.000">
                  <c:v>2.1211912578099935E-2</c:v>
                </c:pt>
                <c:pt idx="58" formatCode="0.000">
                  <c:v>2.1258984467720586E-2</c:v>
                </c:pt>
                <c:pt idx="59" formatCode="0.000">
                  <c:v>2.1786103614418371E-2</c:v>
                </c:pt>
                <c:pt idx="60" formatCode="0.000">
                  <c:v>2.2567963749029651E-2</c:v>
                </c:pt>
                <c:pt idx="61" formatCode="0.000">
                  <c:v>2.1756461906637981E-2</c:v>
                </c:pt>
                <c:pt idx="62" formatCode="0.000">
                  <c:v>2.2587524757227938E-2</c:v>
                </c:pt>
                <c:pt idx="63" formatCode="0.000">
                  <c:v>2.1805072998272834E-2</c:v>
                </c:pt>
                <c:pt idx="64" formatCode="0.000">
                  <c:v>2.2403855629351453E-2</c:v>
                </c:pt>
                <c:pt idx="65" formatCode="0.000">
                  <c:v>2.1957204900741267E-2</c:v>
                </c:pt>
                <c:pt idx="66" formatCode="0.000">
                  <c:v>2.2231975054797459E-2</c:v>
                </c:pt>
                <c:pt idx="67" formatCode="0.000">
                  <c:v>2.1518300422840041E-2</c:v>
                </c:pt>
                <c:pt idx="68" formatCode="0.000">
                  <c:v>2.2162380125505442E-2</c:v>
                </c:pt>
                <c:pt idx="69" formatCode="0.000">
                  <c:v>2.2954785205956084E-2</c:v>
                </c:pt>
                <c:pt idx="70" formatCode="0.000">
                  <c:v>2.2685406718397517E-2</c:v>
                </c:pt>
                <c:pt idx="71" formatCode="0.000">
                  <c:v>2.2012178882130761E-2</c:v>
                </c:pt>
                <c:pt idx="72" formatCode="0.000">
                  <c:v>2.2441656644540231E-2</c:v>
                </c:pt>
                <c:pt idx="73" formatCode="0.000">
                  <c:v>2.3333582700647604E-2</c:v>
                </c:pt>
                <c:pt idx="74" formatCode="0.000">
                  <c:v>2.1754905263360592E-2</c:v>
                </c:pt>
                <c:pt idx="75" formatCode="0.000">
                  <c:v>2.1427217651723573E-2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78-4ABB-9037-2155EE5E7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50F99BB-E123-46DA-9658-0B5E9B3D5FC2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78C67A-22F0-49EF-8961-F43747B239EB}">
  <sheetPr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1160" cy="60426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7700AA-0679-7573-E0A3-5DF2EDBFE2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78471" cy="604221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70612-CDF8-F350-65D2-D2974441A9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TZS\Dropbox\Frank\Stranded%20assets\Old%20Excel%20versions\excell%20version%20of%20model12%20181225.xlsx" TargetMode="External"/><Relationship Id="rId1" Type="http://schemas.openxmlformats.org/officeDocument/2006/relationships/externalLinkPath" Target="Old%20Excel%20versions/excell%20version%20of%20model12%2018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g_psi"/>
      <sheetName val="6states"/>
      <sheetName val="6states,ExoDamages"/>
      <sheetName val="Graphs"/>
      <sheetName val="Emissions"/>
      <sheetName val="Temperature"/>
      <sheetName val="SCC"/>
      <sheetName val="Energy capital"/>
      <sheetName val="Energy capital per AL"/>
      <sheetName val="Final energy"/>
      <sheetName val="Growth"/>
      <sheetName val="Optimal (default)"/>
      <sheetName val="Optimal (chi=chi_s=0)"/>
      <sheetName val="Optimal (2xchi, 3xchi_s)"/>
      <sheetName val="Optimal (0.5xgamma)"/>
      <sheetName val="Optimal (2xgamma)"/>
      <sheetName val="Optimal (omega=1)"/>
      <sheetName val="Optimal (omega=0)"/>
      <sheetName val="Optimal (sigma_f=1.01)"/>
      <sheetName val="Optimal (no TC)"/>
      <sheetName val="Emissions (optimal)"/>
      <sheetName val="Temperature (optimal)"/>
      <sheetName val="SCC (optimal)"/>
      <sheetName val="Energy capital (optimal)"/>
      <sheetName val="Energy capital per AL (optimal)"/>
      <sheetName val="Final energy (optimal)"/>
      <sheetName val="Growth (optimal)"/>
    </sheetNames>
    <sheetDataSet>
      <sheetData sheetId="0" refreshError="1"/>
      <sheetData sheetId="1" refreshError="1"/>
      <sheetData sheetId="2">
        <row r="4">
          <cell r="K4">
            <v>4.3661700735228628</v>
          </cell>
        </row>
        <row r="5">
          <cell r="K5">
            <v>5.2558260515640729</v>
          </cell>
        </row>
        <row r="6">
          <cell r="K6">
            <v>6.3153868958549664</v>
          </cell>
        </row>
        <row r="7">
          <cell r="K7">
            <v>7.5714122602396712</v>
          </cell>
        </row>
        <row r="8">
          <cell r="K8">
            <v>9.0503208868173761</v>
          </cell>
        </row>
        <row r="9">
          <cell r="K9">
            <v>10.771536410966055</v>
          </cell>
        </row>
        <row r="10">
          <cell r="K10">
            <v>12.742278521170114</v>
          </cell>
        </row>
        <row r="11">
          <cell r="K11">
            <v>14.95882150753137</v>
          </cell>
        </row>
        <row r="12">
          <cell r="K12">
            <v>17.411234067674933</v>
          </cell>
        </row>
        <row r="13">
          <cell r="K13">
            <v>20.087368198446619</v>
          </cell>
        </row>
        <row r="14">
          <cell r="K14">
            <v>22.973298094707484</v>
          </cell>
        </row>
        <row r="15">
          <cell r="K15">
            <v>26.051007231309743</v>
          </cell>
        </row>
        <row r="16">
          <cell r="K16">
            <v>29.294566149573303</v>
          </cell>
        </row>
        <row r="17">
          <cell r="K17">
            <v>32.666401257209102</v>
          </cell>
        </row>
        <row r="18">
          <cell r="K18">
            <v>36.114251728594375</v>
          </cell>
        </row>
        <row r="19">
          <cell r="K19">
            <v>39.571282164675836</v>
          </cell>
        </row>
        <row r="20">
          <cell r="K20">
            <v>42.965299267298462</v>
          </cell>
        </row>
        <row r="21">
          <cell r="K21">
            <v>46.239864898950749</v>
          </cell>
        </row>
        <row r="22">
          <cell r="K22">
            <v>49.388607931813119</v>
          </cell>
        </row>
        <row r="23">
          <cell r="K23">
            <v>52.50220220393085</v>
          </cell>
        </row>
        <row r="24">
          <cell r="K24">
            <v>55.696000873440191</v>
          </cell>
        </row>
        <row r="25">
          <cell r="K25">
            <v>59.462673174103841</v>
          </cell>
        </row>
        <row r="26">
          <cell r="K26">
            <v>63.248719507968296</v>
          </cell>
        </row>
        <row r="27">
          <cell r="K27">
            <v>66.663906869348523</v>
          </cell>
        </row>
        <row r="28">
          <cell r="K28">
            <v>70.097364631079358</v>
          </cell>
        </row>
        <row r="29">
          <cell r="K29">
            <v>73.52015179885106</v>
          </cell>
        </row>
        <row r="30">
          <cell r="K30">
            <v>76.963752658857629</v>
          </cell>
        </row>
        <row r="31">
          <cell r="K31">
            <v>80.395077613752491</v>
          </cell>
        </row>
        <row r="32">
          <cell r="K32">
            <v>83.850599210081313</v>
          </cell>
        </row>
        <row r="33">
          <cell r="K33">
            <v>87.249700022196208</v>
          </cell>
        </row>
        <row r="34">
          <cell r="K34">
            <v>90.677257754836262</v>
          </cell>
        </row>
        <row r="35">
          <cell r="K35">
            <v>94.071991957785116</v>
          </cell>
        </row>
        <row r="36">
          <cell r="K36">
            <v>97.499698299321935</v>
          </cell>
        </row>
        <row r="37">
          <cell r="K37">
            <v>100.91534029578166</v>
          </cell>
        </row>
        <row r="38">
          <cell r="K38">
            <v>104.36854713187476</v>
          </cell>
        </row>
        <row r="39">
          <cell r="K39">
            <v>107.8483132253872</v>
          </cell>
        </row>
        <row r="40">
          <cell r="K40">
            <v>111.37002789445258</v>
          </cell>
        </row>
        <row r="41">
          <cell r="K41">
            <v>114.93477422562239</v>
          </cell>
        </row>
        <row r="42">
          <cell r="K42">
            <v>118.54583249105583</v>
          </cell>
        </row>
        <row r="43">
          <cell r="K43">
            <v>122.28770169721211</v>
          </cell>
        </row>
        <row r="44">
          <cell r="K44">
            <v>126.07943316887079</v>
          </cell>
        </row>
        <row r="45">
          <cell r="K45">
            <v>129.92334901276601</v>
          </cell>
        </row>
        <row r="46">
          <cell r="K46">
            <v>133.86208302882886</v>
          </cell>
        </row>
        <row r="47">
          <cell r="K47">
            <v>137.85726453573622</v>
          </cell>
        </row>
        <row r="48">
          <cell r="K48">
            <v>141.91132291520935</v>
          </cell>
        </row>
        <row r="49">
          <cell r="K49">
            <v>146.01480765442997</v>
          </cell>
        </row>
        <row r="50">
          <cell r="K50">
            <v>150.18224761257994</v>
          </cell>
        </row>
        <row r="51">
          <cell r="K51">
            <v>154.41614243592667</v>
          </cell>
        </row>
        <row r="52">
          <cell r="K52">
            <v>158.637958072034</v>
          </cell>
        </row>
        <row r="53">
          <cell r="K53">
            <v>162.93230720972139</v>
          </cell>
        </row>
        <row r="54">
          <cell r="K54">
            <v>167.30170541274114</v>
          </cell>
        </row>
        <row r="55">
          <cell r="K55">
            <v>171.6524854196737</v>
          </cell>
        </row>
        <row r="56">
          <cell r="K56">
            <v>176.08466380651561</v>
          </cell>
        </row>
        <row r="57">
          <cell r="K57">
            <v>180.60076511919999</v>
          </cell>
        </row>
        <row r="58">
          <cell r="K58">
            <v>185.20335005491836</v>
          </cell>
        </row>
        <row r="59">
          <cell r="K59">
            <v>189.8950168626956</v>
          </cell>
        </row>
        <row r="60">
          <cell r="K60">
            <v>194.32733415847059</v>
          </cell>
        </row>
        <row r="61">
          <cell r="K61">
            <v>198.8587421180855</v>
          </cell>
        </row>
        <row r="62">
          <cell r="K62">
            <v>203.49161321574942</v>
          </cell>
        </row>
        <row r="63">
          <cell r="K63">
            <v>208.22837084662754</v>
          </cell>
        </row>
        <row r="64">
          <cell r="K64">
            <v>213.07149062267658</v>
          </cell>
        </row>
        <row r="65">
          <cell r="K65">
            <v>217.82402025450082</v>
          </cell>
        </row>
        <row r="66">
          <cell r="K66">
            <v>222.69078399969817</v>
          </cell>
        </row>
        <row r="67">
          <cell r="K67">
            <v>227.67421491109533</v>
          </cell>
        </row>
        <row r="68">
          <cell r="K68">
            <v>232.77680897741277</v>
          </cell>
        </row>
        <row r="69">
          <cell r="K69">
            <v>238.00112629759337</v>
          </cell>
        </row>
        <row r="70">
          <cell r="K70">
            <v>243.08027379957747</v>
          </cell>
        </row>
        <row r="71">
          <cell r="K71">
            <v>248.29025879772541</v>
          </cell>
        </row>
        <row r="72">
          <cell r="K72">
            <v>253.63355387621382</v>
          </cell>
        </row>
        <row r="73">
          <cell r="K73">
            <v>259.11270866022295</v>
          </cell>
        </row>
        <row r="74">
          <cell r="K74">
            <v>264.73035077217565</v>
          </cell>
        </row>
        <row r="75">
          <cell r="K75">
            <v>270.39105490368655</v>
          </cell>
        </row>
        <row r="76">
          <cell r="K76">
            <v>276.19713191533475</v>
          </cell>
        </row>
        <row r="77">
          <cell r="K77">
            <v>282.15134412807737</v>
          </cell>
        </row>
        <row r="78">
          <cell r="K78">
            <v>288.25653921415972</v>
          </cell>
        </row>
        <row r="79">
          <cell r="K79">
            <v>294.51565127927279</v>
          </cell>
        </row>
        <row r="80">
          <cell r="K80">
            <v>300.93170200796453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zoomScale="90" zoomScaleNormal="90" workbookViewId="0">
      <selection activeCell="B37" sqref="B37"/>
    </sheetView>
  </sheetViews>
  <sheetFormatPr defaultRowHeight="14.4" x14ac:dyDescent="0.3"/>
  <cols>
    <col min="2" max="2" width="18.6640625" customWidth="1"/>
    <col min="3" max="3" width="45" customWidth="1"/>
    <col min="4" max="4" width="15" customWidth="1"/>
    <col min="8" max="9" width="12.33203125" bestFit="1" customWidth="1"/>
    <col min="18" max="19" width="8.6640625" bestFit="1" customWidth="1"/>
    <col min="20" max="20" width="9.88671875" bestFit="1" customWidth="1"/>
  </cols>
  <sheetData>
    <row r="2" spans="1:20" x14ac:dyDescent="0.3">
      <c r="A2" s="1" t="s">
        <v>0</v>
      </c>
    </row>
    <row r="3" spans="1:20" x14ac:dyDescent="0.3">
      <c r="A3" s="66" t="s">
        <v>85</v>
      </c>
      <c r="B3">
        <v>0.04</v>
      </c>
      <c r="C3" t="s">
        <v>7</v>
      </c>
      <c r="M3" t="s">
        <v>19</v>
      </c>
      <c r="Q3" t="s">
        <v>34</v>
      </c>
    </row>
    <row r="4" spans="1:20" x14ac:dyDescent="0.3">
      <c r="A4" t="s">
        <v>86</v>
      </c>
      <c r="B4" s="19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3">
      <c r="A5" s="66" t="s">
        <v>87</v>
      </c>
      <c r="B5">
        <v>1</v>
      </c>
      <c r="C5" t="s">
        <v>9</v>
      </c>
      <c r="L5">
        <v>-2.5</v>
      </c>
      <c r="M5" t="e">
        <f>_xlfn.XLOOKUP($L5,'6states'!$L$4:$L$154,'6states'!BA$4:BA$154,,-1)</f>
        <v>#N/A</v>
      </c>
      <c r="N5" s="8">
        <v>830.64850000000001</v>
      </c>
      <c r="O5" s="8">
        <v>534.30409999999995</v>
      </c>
      <c r="P5" s="8">
        <v>1319.8</v>
      </c>
      <c r="Q5" s="9" t="e">
        <f>_xlfn.XLOOKUP($L5,'6states'!$L$4:$L$104,'6states'!AR$4:AR$104,,-1)</f>
        <v>#N/A</v>
      </c>
      <c r="R5" s="9">
        <v>2.8247399999999999E-2</v>
      </c>
      <c r="S5" s="9">
        <v>2.03494E-2</v>
      </c>
      <c r="T5" s="9">
        <v>3.9677799999999999E-2</v>
      </c>
    </row>
    <row r="6" spans="1:20" x14ac:dyDescent="0.3">
      <c r="A6" t="s">
        <v>88</v>
      </c>
      <c r="B6">
        <v>5</v>
      </c>
      <c r="C6" t="s">
        <v>40</v>
      </c>
      <c r="L6">
        <v>2.5</v>
      </c>
      <c r="M6">
        <f>_xlfn.XLOOKUP($L6,'6states'!$L$4:$L$154,'6states'!BA$4:BA$154,,-1)</f>
        <v>2697.8226970927067</v>
      </c>
      <c r="N6" s="8">
        <v>606.61189999999999</v>
      </c>
      <c r="O6" s="8">
        <v>387.11829999999998</v>
      </c>
      <c r="P6" s="8">
        <v>1117.905</v>
      </c>
      <c r="Q6" s="9" t="e">
        <f>_xlfn.XLOOKUP($L6,'6states'!$L$4:$L$104,'6states'!AR$4:AR$104,,-1)</f>
        <v>#N/A</v>
      </c>
      <c r="R6" s="9">
        <v>2.6695099999999999E-2</v>
      </c>
      <c r="S6" s="9">
        <v>1.8069600000000002E-2</v>
      </c>
      <c r="T6" s="9">
        <v>4.0859699999999999E-2</v>
      </c>
    </row>
    <row r="7" spans="1:20" x14ac:dyDescent="0.3">
      <c r="A7" s="66" t="s">
        <v>89</v>
      </c>
      <c r="B7">
        <v>0.3</v>
      </c>
      <c r="C7" t="s">
        <v>41</v>
      </c>
      <c r="L7">
        <v>7.5</v>
      </c>
      <c r="M7">
        <f>_xlfn.XLOOKUP($L7,'6states'!$L$4:$L$154,'6states'!BA$4:BA$154,,-1)</f>
        <v>800.81447176293091</v>
      </c>
      <c r="N7" s="8">
        <v>417.0838</v>
      </c>
      <c r="O7" s="8">
        <v>242.37639999999999</v>
      </c>
      <c r="P7" s="8">
        <v>684.37270000000001</v>
      </c>
      <c r="Q7" s="9">
        <f>_xlfn.XLOOKUP($L7,'6states'!$L$4:$L$104,'6states'!AX$4:AX$104,,-1)</f>
        <v>9.3792410012546346E-2</v>
      </c>
      <c r="R7" s="9">
        <v>1.9692500000000002E-2</v>
      </c>
      <c r="S7" s="9">
        <v>1.23111E-2</v>
      </c>
      <c r="T7" s="9">
        <v>2.83897E-2</v>
      </c>
    </row>
    <row r="8" spans="1:20" x14ac:dyDescent="0.3">
      <c r="A8" t="s">
        <v>90</v>
      </c>
      <c r="B8">
        <v>0.2</v>
      </c>
      <c r="C8" t="s">
        <v>135</v>
      </c>
      <c r="L8">
        <v>12.5</v>
      </c>
      <c r="M8">
        <f>_xlfn.XLOOKUP($L8,'6states'!$L$4:$L$154,'6states'!BA$4:BA$154,,-1)</f>
        <v>512.53666943498797</v>
      </c>
      <c r="N8" s="8">
        <v>369.45100000000002</v>
      </c>
      <c r="O8" s="8">
        <v>259.53149999999999</v>
      </c>
      <c r="P8" s="8">
        <v>657.7192</v>
      </c>
      <c r="Q8" s="9">
        <f>_xlfn.XLOOKUP($L8,'6states'!$L$4:$L$104,'6states'!AX$4:AX$104,,-1)</f>
        <v>8.8051367676562631E-2</v>
      </c>
      <c r="R8" s="9">
        <v>2.0146399999999998E-2</v>
      </c>
      <c r="S8" s="9">
        <v>1.4205300000000001E-2</v>
      </c>
      <c r="T8" s="9">
        <v>3.0372400000000001E-2</v>
      </c>
    </row>
    <row r="9" spans="1:20" x14ac:dyDescent="0.3">
      <c r="A9" t="s">
        <v>91</v>
      </c>
      <c r="B9" s="10">
        <f>1-1/B8</f>
        <v>-4</v>
      </c>
      <c r="C9" t="s">
        <v>136</v>
      </c>
      <c r="L9">
        <v>17.5</v>
      </c>
      <c r="M9">
        <f>_xlfn.XLOOKUP($L9,'6states'!$L$4:$L$154,'6states'!BA$4:BA$154,,-1)</f>
        <v>371.79687257814709</v>
      </c>
      <c r="N9" s="8">
        <v>279.10210000000001</v>
      </c>
      <c r="O9" s="8">
        <v>194.92009999999999</v>
      </c>
      <c r="P9" s="8">
        <v>471.17509999999999</v>
      </c>
      <c r="Q9" s="9">
        <f>_xlfn.XLOOKUP($L9,'6states'!$L$4:$L$104,'6states'!AX$4:AX$104,,-1)</f>
        <v>7.7163712296539955E-2</v>
      </c>
      <c r="R9" s="9">
        <v>1.9457499999999999E-2</v>
      </c>
      <c r="S9" s="9">
        <v>1.37847E-2</v>
      </c>
      <c r="T9" s="9">
        <v>2.8879800000000001E-2</v>
      </c>
    </row>
    <row r="10" spans="1:20" x14ac:dyDescent="0.3">
      <c r="A10" t="s">
        <v>92</v>
      </c>
      <c r="B10" s="49">
        <f>1-B11</f>
        <v>0.9999439673301258</v>
      </c>
      <c r="C10" t="s">
        <v>137</v>
      </c>
      <c r="L10">
        <v>22.5</v>
      </c>
      <c r="M10">
        <f>_xlfn.XLOOKUP($L10,'6states'!$L$4:$L$154,'6states'!BA$4:BA$154,,-1)</f>
        <v>273.82432856310817</v>
      </c>
      <c r="N10" s="8">
        <v>201.3134</v>
      </c>
      <c r="O10" s="8">
        <v>145.1962</v>
      </c>
      <c r="P10" s="8">
        <v>330</v>
      </c>
      <c r="Q10" s="9">
        <f>_xlfn.XLOOKUP($L10,'6states'!$L$4:$L$104,'6states'!AX$4:AX$104,,-1)</f>
        <v>6.055355846630428E-2</v>
      </c>
      <c r="R10" s="9">
        <v>1.8330699999999998E-2</v>
      </c>
      <c r="S10" s="9">
        <v>1.23982E-2</v>
      </c>
      <c r="T10" s="9">
        <v>2.8500000000000001E-2</v>
      </c>
    </row>
    <row r="11" spans="1:20" x14ac:dyDescent="0.3">
      <c r="A11" t="s">
        <v>93</v>
      </c>
      <c r="B11" s="34">
        <f>1/(1+(B18*B16^B13+B19*B14^B13)^(B9/B13-1)*B18*B16^(B13-1))</f>
        <v>5.6032669874171739E-5</v>
      </c>
      <c r="C11" t="s">
        <v>138</v>
      </c>
      <c r="D11" s="6"/>
      <c r="L11">
        <v>27.5</v>
      </c>
      <c r="M11">
        <f>_xlfn.XLOOKUP($L11,'6states'!$L$4:$L$154,'6states'!BA$4:BA$154,,-1)</f>
        <v>225.90954017947431</v>
      </c>
      <c r="N11" s="8">
        <v>158.28030000000001</v>
      </c>
      <c r="O11" s="8">
        <v>107.6669</v>
      </c>
      <c r="P11" s="8">
        <v>245.52</v>
      </c>
      <c r="Q11" s="9">
        <f>_xlfn.XLOOKUP($L11,'6states'!$L$4:$L$104,'6states'!AX$4:AX$104,,-1)</f>
        <v>4.1890425332954839E-2</v>
      </c>
      <c r="R11" s="9">
        <v>1.6000899999999998E-2</v>
      </c>
      <c r="S11" s="9">
        <v>1.1003199999999999E-2</v>
      </c>
      <c r="T11" s="9">
        <v>2.3718599999999999E-2</v>
      </c>
    </row>
    <row r="12" spans="1:20" x14ac:dyDescent="0.3">
      <c r="A12" t="s">
        <v>94</v>
      </c>
      <c r="B12" s="36">
        <v>2</v>
      </c>
      <c r="C12" t="s">
        <v>139</v>
      </c>
      <c r="L12">
        <v>32.5</v>
      </c>
      <c r="M12">
        <f>_xlfn.XLOOKUP($L12,'6states'!$L$4:$L$154,'6states'!BA$4:BA$154,,-1)</f>
        <v>210.00042081194971</v>
      </c>
      <c r="N12" s="8">
        <v>112.6412</v>
      </c>
      <c r="O12" s="8">
        <v>81.444730000000007</v>
      </c>
      <c r="P12" s="8">
        <v>177.91800000000001</v>
      </c>
      <c r="Q12" s="9">
        <f>_xlfn.XLOOKUP($L12,'6states'!$L$4:$L$104,'6states'!AX$4:AX$104,,-1)</f>
        <v>3.02004529015234E-2</v>
      </c>
      <c r="R12" s="9">
        <v>1.2162600000000001E-2</v>
      </c>
      <c r="S12" s="9">
        <v>8.7869999999999997E-3</v>
      </c>
      <c r="T12" s="9">
        <v>1.73682E-2</v>
      </c>
    </row>
    <row r="13" spans="1:20" x14ac:dyDescent="0.3">
      <c r="A13" s="67" t="s">
        <v>95</v>
      </c>
      <c r="B13" s="18">
        <f>1-1/B12</f>
        <v>0.5</v>
      </c>
      <c r="C13" t="s">
        <v>136</v>
      </c>
      <c r="L13">
        <v>37.5</v>
      </c>
      <c r="M13">
        <f>_xlfn.XLOOKUP($L13,'6states'!$L$4:$L$154,'6states'!BA$4:BA$154,,-1)</f>
        <v>195.10859586846564</v>
      </c>
      <c r="N13" s="8">
        <v>89.531630000000007</v>
      </c>
      <c r="O13" s="8">
        <v>58.81897</v>
      </c>
      <c r="P13" s="8">
        <v>159.26089999999999</v>
      </c>
      <c r="Q13" s="9">
        <f>_xlfn.XLOOKUP($L13,'6states'!$L$4:$L$104,'6states'!AX$4:AX$104,,-1)</f>
        <v>1.6986406778977559E-2</v>
      </c>
      <c r="R13" s="9">
        <v>8.2251000000000008E-3</v>
      </c>
      <c r="S13" s="9">
        <v>5.6994000000000003E-3</v>
      </c>
      <c r="T13" s="9">
        <v>1.38741E-2</v>
      </c>
    </row>
    <row r="14" spans="1:20" x14ac:dyDescent="0.3">
      <c r="A14" t="s">
        <v>96</v>
      </c>
      <c r="B14">
        <v>0.18410000000000001</v>
      </c>
      <c r="C14" t="s">
        <v>140</v>
      </c>
      <c r="L14">
        <v>42.5</v>
      </c>
      <c r="M14">
        <f>_xlfn.XLOOKUP($L14,'6states'!$L$4:$L$154,'6states'!BA$4:BA$154,,-1)</f>
        <v>185.70002707394553</v>
      </c>
      <c r="N14" s="8">
        <v>74.867599999999996</v>
      </c>
      <c r="O14" s="8">
        <v>47.317929999999997</v>
      </c>
      <c r="P14" s="8">
        <v>131.6824</v>
      </c>
      <c r="Q14" s="9">
        <f>_xlfn.XLOOKUP($L14,'6states'!$L$4:$L$104,'6states'!AX$4:AX$104,,-1)</f>
        <v>6.1319594336600725E-3</v>
      </c>
      <c r="R14" s="9">
        <v>6.1939999999999999E-3</v>
      </c>
      <c r="S14" s="9">
        <v>3.8782000000000001E-3</v>
      </c>
      <c r="T14" s="9">
        <v>9.2855999999999998E-3</v>
      </c>
    </row>
    <row r="15" spans="1:20" x14ac:dyDescent="0.3">
      <c r="A15" t="s">
        <v>97</v>
      </c>
      <c r="B15" s="35">
        <v>0.16</v>
      </c>
      <c r="C15" t="s">
        <v>38</v>
      </c>
      <c r="L15">
        <v>47.5</v>
      </c>
      <c r="M15">
        <f>_xlfn.XLOOKUP($L15,'6states'!$L$4:$L$154,'6states'!BA$4:BA$154,,-1)</f>
        <v>185.70002707394553</v>
      </c>
      <c r="N15" s="8">
        <v>32.49194</v>
      </c>
      <c r="O15" s="8">
        <v>10.02872</v>
      </c>
      <c r="P15" s="8">
        <v>64.102000000000004</v>
      </c>
      <c r="Q15" s="9">
        <f>_xlfn.XLOOKUP($L15,'6states'!$L$4:$L$104,'6states'!AX$4:AX$104,,-1)</f>
        <v>6.1319594336600725E-3</v>
      </c>
      <c r="R15" s="9">
        <v>2.7149000000000001E-3</v>
      </c>
      <c r="S15" s="9">
        <v>7.5310000000000004E-4</v>
      </c>
      <c r="T15" s="9">
        <v>5.1000999999999998E-3</v>
      </c>
    </row>
    <row r="16" spans="1:20" x14ac:dyDescent="0.3">
      <c r="A16" t="s">
        <v>98</v>
      </c>
      <c r="B16" s="19">
        <f>B14*B15/(1-B15)</f>
        <v>3.506666666666667E-2</v>
      </c>
      <c r="C16" t="s">
        <v>141</v>
      </c>
      <c r="L16">
        <v>52.5</v>
      </c>
      <c r="M16">
        <f>_xlfn.XLOOKUP($L16,'6states'!$L$4:$L$154,'6states'!BA$4:BA$154,,-1)</f>
        <v>185.70002707394553</v>
      </c>
      <c r="N16" s="8">
        <v>1.7695000000000001</v>
      </c>
      <c r="O16" s="8">
        <v>0</v>
      </c>
      <c r="P16" s="8">
        <v>12.83052</v>
      </c>
      <c r="Q16" s="9">
        <f>_xlfn.XLOOKUP($L16,'6states'!$L$4:$L$104,'6states'!AX$4:AX$104,,-1)</f>
        <v>6.1319594336600725E-3</v>
      </c>
      <c r="R16" s="11">
        <v>0</v>
      </c>
      <c r="S16" s="11">
        <v>0</v>
      </c>
      <c r="T16" s="11">
        <v>5.0129999999999999E-4</v>
      </c>
    </row>
    <row r="17" spans="1:20" x14ac:dyDescent="0.3">
      <c r="A17" t="s">
        <v>99</v>
      </c>
      <c r="B17" s="19">
        <f>B16/B14</f>
        <v>0.19047619047619047</v>
      </c>
      <c r="C17" t="s">
        <v>78</v>
      </c>
      <c r="L17">
        <v>57.5</v>
      </c>
      <c r="M17">
        <f>_xlfn.XLOOKUP($L17,'6states'!$L$4:$L$154,'6states'!BA$4:BA$154,,-1)</f>
        <v>181.14203948711921</v>
      </c>
      <c r="N17" s="12">
        <v>2.2415600000000002</v>
      </c>
      <c r="O17" s="12">
        <v>0</v>
      </c>
      <c r="P17" s="12">
        <v>11.00962</v>
      </c>
      <c r="Q17" s="9">
        <f>_xlfn.XLOOKUP($L17,'6states'!$L$4:$L$104,'6states'!AX$4:AX$104,,-1)</f>
        <v>0</v>
      </c>
      <c r="R17" s="11">
        <v>0</v>
      </c>
      <c r="S17" s="11">
        <v>0</v>
      </c>
      <c r="T17" s="11">
        <v>1.0000000000000001E-5</v>
      </c>
    </row>
    <row r="18" spans="1:20" x14ac:dyDescent="0.3">
      <c r="A18" t="s">
        <v>100</v>
      </c>
      <c r="B18" s="19">
        <f>1-B19</f>
        <v>0.30383243470068699</v>
      </c>
      <c r="C18" t="s">
        <v>12</v>
      </c>
      <c r="D18" s="7">
        <f>B18^(1/B13)</f>
        <v>9.2314148376147223E-2</v>
      </c>
      <c r="R18" s="1"/>
      <c r="S18" s="1"/>
      <c r="T18" s="1"/>
    </row>
    <row r="19" spans="1:20" x14ac:dyDescent="0.3">
      <c r="A19" t="s">
        <v>101</v>
      </c>
      <c r="B19" s="19">
        <f>1/((B17)^(1-B13)+1)</f>
        <v>0.69616756529931301</v>
      </c>
      <c r="C19" t="s">
        <v>16</v>
      </c>
      <c r="D19" s="7">
        <f>B18^(1/0.77)</f>
        <v>0.21286108799892262</v>
      </c>
      <c r="L19" t="s">
        <v>30</v>
      </c>
      <c r="M19">
        <f>SUMXMY2(M6:M16,N6:N16)/11/1000</f>
        <v>422.68377291843763</v>
      </c>
      <c r="Q19">
        <f>SUMXMY2(Q7:Q16,R7:R16)/10*10000</f>
        <v>16.336331240140538</v>
      </c>
      <c r="R19" s="1"/>
      <c r="S19" s="1"/>
      <c r="T19" s="1"/>
    </row>
    <row r="20" spans="1:20" x14ac:dyDescent="0.3">
      <c r="A20" s="66" t="s">
        <v>102</v>
      </c>
      <c r="B20">
        <v>0.01</v>
      </c>
      <c r="C20" t="s">
        <v>28</v>
      </c>
      <c r="E20" s="6"/>
      <c r="L20" t="s">
        <v>35</v>
      </c>
      <c r="M20">
        <f>M19+Q19</f>
        <v>439.02010415857819</v>
      </c>
    </row>
    <row r="21" spans="1:20" x14ac:dyDescent="0.3">
      <c r="A21" t="s">
        <v>47</v>
      </c>
      <c r="B21">
        <v>300</v>
      </c>
      <c r="C21" t="s">
        <v>48</v>
      </c>
    </row>
    <row r="22" spans="1:20" x14ac:dyDescent="0.3">
      <c r="A22" t="s">
        <v>60</v>
      </c>
      <c r="B22">
        <v>4.0000000000000001E-3</v>
      </c>
      <c r="C22" t="s">
        <v>61</v>
      </c>
    </row>
    <row r="24" spans="1:20" x14ac:dyDescent="0.3">
      <c r="A24" s="1" t="s">
        <v>8</v>
      </c>
    </row>
    <row r="25" spans="1:20" x14ac:dyDescent="0.3">
      <c r="A25" t="s">
        <v>103</v>
      </c>
      <c r="B25" s="19">
        <f>B27*B14-B20</f>
        <v>0.79083499999999995</v>
      </c>
      <c r="C25" t="s">
        <v>142</v>
      </c>
      <c r="D25" t="s">
        <v>109</v>
      </c>
      <c r="E25" s="50">
        <f>B25*B$28*B$29</f>
        <v>58.41828303493655</v>
      </c>
      <c r="F25" t="s">
        <v>115</v>
      </c>
      <c r="G25" s="50">
        <f>B14*G27</f>
        <v>1.0792327449608088</v>
      </c>
      <c r="H25" s="1"/>
      <c r="I25" s="1"/>
      <c r="J25" s="1"/>
    </row>
    <row r="26" spans="1:20" s="1" customFormat="1" x14ac:dyDescent="0.3">
      <c r="A26" t="s">
        <v>104</v>
      </c>
      <c r="B26" s="19">
        <f>B27*B16</f>
        <v>0.15254000000000001</v>
      </c>
      <c r="C26" t="s">
        <v>143</v>
      </c>
      <c r="D26" t="s">
        <v>110</v>
      </c>
      <c r="E26" s="50">
        <f>B26*B$28*B$29</f>
        <v>11.26799508639504</v>
      </c>
      <c r="F26" t="s">
        <v>116</v>
      </c>
      <c r="G26" s="50">
        <f>B16*G27</f>
        <v>0.20556814189729691</v>
      </c>
    </row>
    <row r="27" spans="1:20" s="1" customFormat="1" x14ac:dyDescent="0.3">
      <c r="A27" t="s">
        <v>105</v>
      </c>
      <c r="B27" s="65">
        <v>4.3499999999999996</v>
      </c>
      <c r="C27" t="s">
        <v>144</v>
      </c>
      <c r="D27" t="s">
        <v>111</v>
      </c>
      <c r="E27" s="50">
        <f>B27*B$28*B$29</f>
        <v>321.33065835727297</v>
      </c>
      <c r="F27" t="s">
        <v>117</v>
      </c>
      <c r="G27" s="50">
        <f>(B7*(B10+B11*(B18*B16^B13+B19*B14^B13)^(B9/B13))^(B7/B9)*EXP(-B46/2*B47^2) / (B56+B5*(B56)^2)) ^ (1/(1-B7))</f>
        <v>5.8622093696947788</v>
      </c>
    </row>
    <row r="28" spans="1:20" s="1" customFormat="1" x14ac:dyDescent="0.3">
      <c r="A28" t="s">
        <v>106</v>
      </c>
      <c r="B28" s="2">
        <v>8.16</v>
      </c>
      <c r="C28" t="s">
        <v>145</v>
      </c>
      <c r="D28" t="s">
        <v>112</v>
      </c>
      <c r="E28" s="52">
        <f>(B25+B26+B27)*B28*B29</f>
        <v>391.01693647860458</v>
      </c>
      <c r="F28" s="2" t="s">
        <v>17</v>
      </c>
      <c r="G28"/>
      <c r="H28"/>
      <c r="I28"/>
      <c r="J28"/>
    </row>
    <row r="29" spans="1:20" x14ac:dyDescent="0.3">
      <c r="A29" t="s">
        <v>107</v>
      </c>
      <c r="B29" s="18">
        <f>B30*EXP(B46/2*B47^2)/B28/(Parameters!$B$10*B27^Parameters!$B$9+B11*E30^Parameters!$B$9)^(Parameters!$B$7/Parameters!$B$9)</f>
        <v>9.0525878509486422</v>
      </c>
      <c r="C29" t="s">
        <v>146</v>
      </c>
      <c r="D29" t="s">
        <v>26</v>
      </c>
      <c r="E29" s="10">
        <f>((Parameters!B3+Parameters!B50+Parameters!B52*Parameters!B53)/Parameters!B7)^(1/(Parameters!B7-1))</f>
        <v>6.8509746420694579</v>
      </c>
      <c r="F29" s="2" t="s">
        <v>27</v>
      </c>
    </row>
    <row r="30" spans="1:20" x14ac:dyDescent="0.3">
      <c r="A30" t="s">
        <v>108</v>
      </c>
      <c r="B30" s="2">
        <v>110.98</v>
      </c>
      <c r="C30" t="s">
        <v>147</v>
      </c>
      <c r="D30" t="s">
        <v>113</v>
      </c>
      <c r="E30" s="10">
        <f>(B18*B26^B13+B19*(B25+B20)^B13)^(1/B13)</f>
        <v>0.55006250755068387</v>
      </c>
      <c r="F30" s="2"/>
    </row>
    <row r="31" spans="1:20" x14ac:dyDescent="0.3">
      <c r="A31" t="s">
        <v>68</v>
      </c>
      <c r="B31">
        <v>53.2</v>
      </c>
      <c r="C31" t="s">
        <v>148</v>
      </c>
      <c r="D31" t="s">
        <v>114</v>
      </c>
      <c r="E31" s="10">
        <f>B26/(B26+B25)</f>
        <v>0.16169603816085865</v>
      </c>
      <c r="F31" s="2" t="s">
        <v>149</v>
      </c>
    </row>
    <row r="32" spans="1:20" x14ac:dyDescent="0.3">
      <c r="C32" s="2"/>
      <c r="D32" t="s">
        <v>74</v>
      </c>
      <c r="E32" s="34">
        <f>B7*B11*E30^(B9-1)/(B10*B27^B9+B11*E30^B9)    * E30</f>
        <v>5.3930280246069738E-2</v>
      </c>
      <c r="F32" s="2" t="s">
        <v>77</v>
      </c>
    </row>
    <row r="33" spans="1:10" x14ac:dyDescent="0.3">
      <c r="C33" s="2"/>
      <c r="D33" t="s">
        <v>75</v>
      </c>
      <c r="E33" s="51">
        <f>B7*B10*B27^(B9-1)/(B10*B27^B9+B11*E30^B9)    * B27</f>
        <v>0.24606971975393027</v>
      </c>
      <c r="F33" s="2" t="s">
        <v>76</v>
      </c>
    </row>
    <row r="34" spans="1:10" x14ac:dyDescent="0.3">
      <c r="A34" s="1" t="s">
        <v>2</v>
      </c>
      <c r="B34" s="2"/>
      <c r="C34" s="2"/>
      <c r="D34" s="2"/>
      <c r="E34" s="2"/>
      <c r="F34" s="2"/>
      <c r="G34" s="2"/>
      <c r="H34" s="2"/>
      <c r="I34" s="2"/>
      <c r="J34" s="2"/>
    </row>
    <row r="35" spans="1:10" s="2" customFormat="1" x14ac:dyDescent="0.3">
      <c r="A35" t="s">
        <v>118</v>
      </c>
      <c r="B35" s="20">
        <f>Parameters!B29*Parameters!B28*Parameters!B41/(Parameters!B3+B42)</f>
        <v>1345.4133921740947</v>
      </c>
      <c r="C35" t="s">
        <v>150</v>
      </c>
      <c r="D35"/>
      <c r="E35"/>
      <c r="F35"/>
      <c r="G35"/>
      <c r="H35"/>
      <c r="I35"/>
      <c r="J35"/>
    </row>
    <row r="36" spans="1:10" x14ac:dyDescent="0.3">
      <c r="A36" s="106" t="s">
        <v>46</v>
      </c>
      <c r="B36" s="10">
        <f>6.1198+0.7666</f>
        <v>6.8864000000000001</v>
      </c>
      <c r="C36" s="106" t="s">
        <v>151</v>
      </c>
    </row>
    <row r="37" spans="1:10" x14ac:dyDescent="0.3">
      <c r="A37" t="s">
        <v>119</v>
      </c>
      <c r="B37" s="35">
        <f>B36-B39</f>
        <v>6.1194186123629359</v>
      </c>
    </row>
    <row r="38" spans="1:10" x14ac:dyDescent="0.3">
      <c r="A38" t="s">
        <v>120</v>
      </c>
      <c r="B38" s="35">
        <v>0.72899999999999998</v>
      </c>
      <c r="C38" t="s">
        <v>152</v>
      </c>
    </row>
    <row r="39" spans="1:10" x14ac:dyDescent="0.3">
      <c r="A39" t="s">
        <v>121</v>
      </c>
      <c r="B39" s="18">
        <f>(B31-B36/B38*(1-EXP(-B38*E25)))/(E25-(1-EXP(-B38*E25))/B38)</f>
        <v>0.76698138763706381</v>
      </c>
    </row>
    <row r="40" spans="1:10" x14ac:dyDescent="0.3">
      <c r="A40" t="s">
        <v>122</v>
      </c>
      <c r="B40" s="18">
        <f>B37*EXP(-B38*E25)+B39</f>
        <v>0.76698138763706381</v>
      </c>
      <c r="C40" t="s">
        <v>153</v>
      </c>
    </row>
    <row r="41" spans="1:10" x14ac:dyDescent="0.3">
      <c r="A41" s="66" t="s">
        <v>123</v>
      </c>
      <c r="B41" s="18">
        <f>B31/B28/B29/B25</f>
        <v>0.91067380340815918</v>
      </c>
      <c r="C41" t="s">
        <v>39</v>
      </c>
      <c r="D41" s="2"/>
      <c r="E41" s="2"/>
      <c r="F41" s="2"/>
      <c r="G41" s="2"/>
      <c r="H41" s="2"/>
      <c r="I41" s="2"/>
      <c r="J41" s="2"/>
    </row>
    <row r="42" spans="1:10" x14ac:dyDescent="0.3">
      <c r="A42" t="s">
        <v>124</v>
      </c>
      <c r="B42" s="2">
        <v>0.01</v>
      </c>
      <c r="C42" t="s">
        <v>18</v>
      </c>
      <c r="D42" s="2"/>
      <c r="E42" s="2"/>
      <c r="F42" s="2"/>
      <c r="G42" s="2"/>
      <c r="H42" s="2"/>
      <c r="I42" s="2"/>
      <c r="J42" s="2"/>
    </row>
    <row r="43" spans="1:10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3">
      <c r="A44" s="1" t="s">
        <v>1</v>
      </c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3">
      <c r="A45" s="66" t="s">
        <v>125</v>
      </c>
      <c r="B45">
        <v>5.9999999999999995E-4</v>
      </c>
      <c r="C45" t="s">
        <v>3</v>
      </c>
    </row>
    <row r="46" spans="1:10" s="2" customFormat="1" x14ac:dyDescent="0.3">
      <c r="A46" s="66" t="s">
        <v>126</v>
      </c>
      <c r="B46">
        <v>2.01E-2</v>
      </c>
      <c r="C46" t="s">
        <v>81</v>
      </c>
      <c r="D46"/>
      <c r="E46"/>
      <c r="F46"/>
      <c r="G46"/>
      <c r="H46"/>
      <c r="I46"/>
      <c r="J46"/>
    </row>
    <row r="47" spans="1:10" s="2" customFormat="1" x14ac:dyDescent="0.3">
      <c r="A47" t="s">
        <v>127</v>
      </c>
      <c r="B47">
        <v>1.38</v>
      </c>
      <c r="C47" t="s">
        <v>154</v>
      </c>
      <c r="D47"/>
      <c r="E47"/>
      <c r="F47"/>
      <c r="G47"/>
      <c r="H47"/>
      <c r="I47"/>
      <c r="J47"/>
    </row>
    <row r="48" spans="1:10" s="2" customFormat="1" x14ac:dyDescent="0.3"/>
    <row r="49" spans="1:11" s="2" customFormat="1" x14ac:dyDescent="0.3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s="2" customFormat="1" x14ac:dyDescent="0.3">
      <c r="A50" s="66" t="s">
        <v>128</v>
      </c>
      <c r="B50">
        <f>0.011</f>
        <v>1.0999999999999999E-2</v>
      </c>
      <c r="C50" t="s">
        <v>155</v>
      </c>
      <c r="D50"/>
      <c r="E50"/>
      <c r="F50"/>
      <c r="G50"/>
      <c r="H50"/>
      <c r="I50"/>
      <c r="J50"/>
    </row>
    <row r="51" spans="1:11" s="2" customFormat="1" x14ac:dyDescent="0.3">
      <c r="A51" t="s">
        <v>10</v>
      </c>
      <c r="B51">
        <v>2.8999999999999998E-3</v>
      </c>
      <c r="C51" t="s">
        <v>11</v>
      </c>
      <c r="D51"/>
      <c r="E51"/>
      <c r="F51"/>
      <c r="G51"/>
      <c r="H51"/>
      <c r="I51"/>
      <c r="J51"/>
    </row>
    <row r="52" spans="1:11" x14ac:dyDescent="0.3">
      <c r="A52" s="66" t="s">
        <v>129</v>
      </c>
      <c r="B52">
        <v>1.35</v>
      </c>
      <c r="C52" t="s">
        <v>156</v>
      </c>
      <c r="K52" s="2"/>
    </row>
    <row r="53" spans="1:11" x14ac:dyDescent="0.3">
      <c r="A53" t="s">
        <v>5</v>
      </c>
      <c r="B53">
        <v>0.02</v>
      </c>
      <c r="C53" t="s">
        <v>157</v>
      </c>
    </row>
    <row r="54" spans="1:11" x14ac:dyDescent="0.3">
      <c r="A54" t="s">
        <v>43</v>
      </c>
      <c r="B54" s="10">
        <f>B50-B51+B52*B53</f>
        <v>3.5100000000000006E-2</v>
      </c>
    </row>
    <row r="55" spans="1:11" s="1" customFormat="1" x14ac:dyDescent="0.3">
      <c r="A55" t="s">
        <v>13</v>
      </c>
      <c r="B55" s="10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3">
      <c r="A56" t="s">
        <v>130</v>
      </c>
      <c r="B56" s="10">
        <f>B54+B3+B51</f>
        <v>7.8E-2</v>
      </c>
      <c r="K56" s="1"/>
    </row>
    <row r="57" spans="1:11" x14ac:dyDescent="0.3">
      <c r="A57" s="66" t="s">
        <v>131</v>
      </c>
      <c r="B57" s="19">
        <f>EXP(-B55)</f>
        <v>0.98501343333449787</v>
      </c>
      <c r="C57" t="s">
        <v>37</v>
      </c>
    </row>
    <row r="59" spans="1:11" x14ac:dyDescent="0.3">
      <c r="A59" s="1" t="s">
        <v>22</v>
      </c>
    </row>
    <row r="60" spans="1:11" x14ac:dyDescent="0.3">
      <c r="A60" t="s">
        <v>132</v>
      </c>
      <c r="B60">
        <v>2.7E-2</v>
      </c>
      <c r="C60" t="s">
        <v>158</v>
      </c>
    </row>
    <row r="61" spans="1:11" x14ac:dyDescent="0.3">
      <c r="A61" s="66" t="s">
        <v>133</v>
      </c>
      <c r="B61">
        <v>0.5</v>
      </c>
      <c r="C61" t="s">
        <v>23</v>
      </c>
    </row>
    <row r="62" spans="1:11" x14ac:dyDescent="0.3">
      <c r="A62" t="s">
        <v>134</v>
      </c>
      <c r="B62">
        <v>50</v>
      </c>
      <c r="C62" t="s">
        <v>159</v>
      </c>
    </row>
    <row r="63" spans="1:11" x14ac:dyDescent="0.3">
      <c r="A63" s="68" t="s">
        <v>128</v>
      </c>
      <c r="B63">
        <v>0.1</v>
      </c>
      <c r="C63" t="s">
        <v>160</v>
      </c>
    </row>
    <row r="65" spans="1:2" x14ac:dyDescent="0.3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CH305"/>
  <sheetViews>
    <sheetView zoomScaleNormal="100" workbookViewId="0">
      <pane xSplit="1" topLeftCell="B1" activePane="topRight" state="frozen"/>
      <selection pane="topRight" activeCell="C4" sqref="C4:E204"/>
    </sheetView>
  </sheetViews>
  <sheetFormatPr defaultRowHeight="14.4" x14ac:dyDescent="0.3"/>
  <cols>
    <col min="3" max="3" width="11.109375" bestFit="1" customWidth="1"/>
    <col min="4" max="5" width="8.6640625" bestFit="1" customWidth="1"/>
    <col min="6" max="8" width="8.6640625" customWidth="1"/>
    <col min="9" max="9" width="8.6640625" style="7" customWidth="1"/>
    <col min="10" max="15" width="8.6640625" customWidth="1"/>
    <col min="16" max="18" width="8.5546875" customWidth="1"/>
    <col min="19" max="23" width="8.6640625" customWidth="1"/>
    <col min="24" max="24" width="10" style="7" customWidth="1"/>
    <col min="25" max="26" width="8.88671875" customWidth="1"/>
    <col min="27" max="27" width="12.33203125" customWidth="1"/>
    <col min="29" max="30" width="8.6640625" customWidth="1"/>
    <col min="31" max="31" width="8.6640625" style="23" customWidth="1"/>
    <col min="32" max="41" width="8.6640625" customWidth="1"/>
    <col min="42" max="42" width="9.33203125" customWidth="1"/>
    <col min="43" max="43" width="8.6640625" customWidth="1"/>
    <col min="44" max="46" width="12.88671875" customWidth="1"/>
    <col min="47" max="48" width="12.88671875" style="7" customWidth="1"/>
    <col min="49" max="49" width="9.109375" customWidth="1"/>
    <col min="50" max="50" width="8.33203125" customWidth="1"/>
    <col min="51" max="51" width="12.44140625" bestFit="1" customWidth="1"/>
    <col min="53" max="53" width="8.6640625" style="7"/>
    <col min="55" max="57" width="8.6640625" style="7"/>
    <col min="58" max="59" width="9.109375" style="7"/>
    <col min="79" max="79" width="8.6640625" style="7"/>
  </cols>
  <sheetData>
    <row r="1" spans="1:86" x14ac:dyDescent="0.3">
      <c r="A1" s="1" t="s">
        <v>199</v>
      </c>
      <c r="B1" s="1"/>
      <c r="G1" s="1"/>
      <c r="H1" s="1"/>
      <c r="AF1" s="5"/>
      <c r="AG1" s="5"/>
      <c r="AU1" s="2"/>
      <c r="AV1"/>
      <c r="BA1"/>
      <c r="BC1"/>
      <c r="BD1"/>
      <c r="BE1"/>
      <c r="BF1"/>
      <c r="BG1"/>
      <c r="BH1" t="s">
        <v>73</v>
      </c>
      <c r="BI1">
        <f>-W204*X204^(-Parameters!B$52)*Parameters!B$46*Parameters!B$45*N204/Parameters!B45/Parameters!B55</f>
        <v>-2.5226159993295529</v>
      </c>
      <c r="CA1"/>
    </row>
    <row r="2" spans="1:86" s="2" customFormat="1" x14ac:dyDescent="0.3">
      <c r="C2" s="14"/>
      <c r="D2" s="14"/>
      <c r="E2" s="14"/>
      <c r="I2" s="15"/>
      <c r="P2" s="33"/>
      <c r="Q2" s="33"/>
      <c r="R2" s="33"/>
      <c r="T2" s="7"/>
      <c r="U2" s="7"/>
      <c r="X2" s="15"/>
      <c r="AE2" s="87"/>
      <c r="BH2" s="2" t="s">
        <v>71</v>
      </c>
      <c r="BM2"/>
    </row>
    <row r="3" spans="1:86" ht="15" thickBot="1" x14ac:dyDescent="0.35">
      <c r="A3" t="s">
        <v>6</v>
      </c>
      <c r="B3" t="s">
        <v>200</v>
      </c>
      <c r="C3" t="s">
        <v>161</v>
      </c>
      <c r="D3" t="s">
        <v>162</v>
      </c>
      <c r="E3" t="s">
        <v>163</v>
      </c>
      <c r="F3" t="s">
        <v>164</v>
      </c>
      <c r="G3" t="s">
        <v>165</v>
      </c>
      <c r="H3" t="s">
        <v>166</v>
      </c>
      <c r="I3" s="7" t="s">
        <v>167</v>
      </c>
      <c r="J3" t="s">
        <v>168</v>
      </c>
      <c r="K3" t="s">
        <v>169</v>
      </c>
      <c r="L3" t="s">
        <v>170</v>
      </c>
      <c r="M3" t="s">
        <v>171</v>
      </c>
      <c r="N3" t="s">
        <v>172</v>
      </c>
      <c r="O3" s="67" t="s">
        <v>173</v>
      </c>
      <c r="P3" t="s">
        <v>174</v>
      </c>
      <c r="Q3" t="s">
        <v>175</v>
      </c>
      <c r="R3" t="s">
        <v>176</v>
      </c>
      <c r="S3" t="s">
        <v>177</v>
      </c>
      <c r="T3" s="67" t="s">
        <v>178</v>
      </c>
      <c r="U3" s="67" t="s">
        <v>179</v>
      </c>
      <c r="V3" t="s">
        <v>180</v>
      </c>
      <c r="W3" t="s">
        <v>181</v>
      </c>
      <c r="X3" s="7" t="s">
        <v>182</v>
      </c>
      <c r="Y3" s="67" t="s">
        <v>183</v>
      </c>
      <c r="Z3" t="s">
        <v>184</v>
      </c>
      <c r="AA3" t="s">
        <v>185</v>
      </c>
      <c r="AC3" t="s">
        <v>209</v>
      </c>
      <c r="AD3" t="s">
        <v>208</v>
      </c>
      <c r="AE3" s="23" t="s">
        <v>186</v>
      </c>
      <c r="AF3" t="s">
        <v>187</v>
      </c>
      <c r="AG3" t="s">
        <v>201</v>
      </c>
      <c r="AH3" t="s">
        <v>188</v>
      </c>
      <c r="AI3" t="s">
        <v>202</v>
      </c>
      <c r="AJ3" t="s">
        <v>189</v>
      </c>
      <c r="AK3" t="s">
        <v>203</v>
      </c>
      <c r="AL3" t="s">
        <v>204</v>
      </c>
      <c r="AM3" t="s">
        <v>205</v>
      </c>
      <c r="AN3" t="s">
        <v>206</v>
      </c>
      <c r="AO3" t="s">
        <v>207</v>
      </c>
      <c r="AQ3" t="s">
        <v>42</v>
      </c>
      <c r="AR3" t="s">
        <v>44</v>
      </c>
      <c r="AS3" t="s">
        <v>45</v>
      </c>
      <c r="AT3" t="s">
        <v>59</v>
      </c>
      <c r="AU3" t="s">
        <v>66</v>
      </c>
      <c r="AV3" t="s">
        <v>195</v>
      </c>
      <c r="AW3" t="s">
        <v>194</v>
      </c>
      <c r="AX3" t="s">
        <v>190</v>
      </c>
      <c r="AY3" t="s">
        <v>191</v>
      </c>
      <c r="BA3" t="s">
        <v>192</v>
      </c>
      <c r="BB3" t="s">
        <v>193</v>
      </c>
      <c r="BC3" t="s">
        <v>211</v>
      </c>
      <c r="BD3" t="s">
        <v>210</v>
      </c>
      <c r="BE3" t="s">
        <v>212</v>
      </c>
      <c r="BF3" t="s">
        <v>213</v>
      </c>
      <c r="BG3"/>
      <c r="BH3" t="s">
        <v>52</v>
      </c>
      <c r="BI3" t="s">
        <v>70</v>
      </c>
      <c r="BJ3" t="s">
        <v>72</v>
      </c>
      <c r="BK3" t="s">
        <v>58</v>
      </c>
      <c r="BL3" t="s">
        <v>49</v>
      </c>
      <c r="BM3" t="s">
        <v>50</v>
      </c>
      <c r="BN3" t="s">
        <v>67</v>
      </c>
      <c r="BO3" t="s">
        <v>65</v>
      </c>
      <c r="BP3" t="s">
        <v>62</v>
      </c>
      <c r="BU3" t="s">
        <v>69</v>
      </c>
      <c r="BV3" t="s">
        <v>51</v>
      </c>
      <c r="BW3" t="s">
        <v>53</v>
      </c>
      <c r="BX3" t="s">
        <v>54</v>
      </c>
      <c r="BY3" t="s">
        <v>55</v>
      </c>
      <c r="BZ3" t="s">
        <v>56</v>
      </c>
      <c r="CA3" t="s">
        <v>57</v>
      </c>
      <c r="CB3" t="s">
        <v>63</v>
      </c>
      <c r="CC3" t="s">
        <v>64</v>
      </c>
      <c r="CD3" t="s">
        <v>83</v>
      </c>
      <c r="CE3" t="s">
        <v>80</v>
      </c>
      <c r="CF3" t="s">
        <v>79</v>
      </c>
      <c r="CG3" t="s">
        <v>82</v>
      </c>
      <c r="CH3" t="s">
        <v>84</v>
      </c>
    </row>
    <row r="4" spans="1:86" x14ac:dyDescent="0.3">
      <c r="A4">
        <v>0</v>
      </c>
      <c r="B4">
        <v>2025</v>
      </c>
      <c r="C4" s="71">
        <v>-3.0828830273350101E-2</v>
      </c>
      <c r="D4" s="72">
        <v>3.7997025572952897E-2</v>
      </c>
      <c r="E4" s="73">
        <v>0.25190493195139901</v>
      </c>
      <c r="F4" s="7">
        <f>Parameters!B25</f>
        <v>0.79083499999999995</v>
      </c>
      <c r="G4" s="9">
        <f>Parameters!B26</f>
        <v>0.15254000000000001</v>
      </c>
      <c r="H4" s="88">
        <f>Parameters!B27</f>
        <v>4.3499999999999996</v>
      </c>
      <c r="I4" s="7">
        <v>0</v>
      </c>
      <c r="J4" s="23">
        <f>Parameters!B28</f>
        <v>8.16</v>
      </c>
      <c r="K4" s="23">
        <f>Parameters!B29</f>
        <v>9.0525878509486422</v>
      </c>
      <c r="L4" s="23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53.20000000000001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7">
        <f>MAX((Parameters!$B$62 + Parameters!$B$31*'6states'!A4 - '6states'!M4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0.55006250755068387</v>
      </c>
      <c r="W4" s="7">
        <f>(Parameters!$B$10*H4^Parameters!$B$9+Parameters!$B$11*V4^Parameters!$B$9)^(Parameters!$B$7/Parameters!$B$9)*O4</f>
        <v>1.5023869881199998</v>
      </c>
      <c r="X4" s="7">
        <f>W4 - D4 - E4 - LN(1+EXP(Parameters!$B$21*C4))/Parameters!$B$21 - IF(C4&gt;0, 0,Parameters!$B$6*C4^2/F4)</f>
        <v>1.2064757649815345</v>
      </c>
      <c r="Y4" s="7">
        <f>EXP(-Parameters!$B$55*A4)</f>
        <v>1</v>
      </c>
      <c r="Z4" s="7">
        <f>IF(X4&gt;0,X4^(1-Parameters!$B$52)/(1-Parameters!$B$52)*Y4*Parameters!$B$65,-10+X4*1000)</f>
        <v>-2.6754722127662345</v>
      </c>
      <c r="AA4" s="28">
        <f>SUM(Z4:Z204)*Parameters!$B$65</f>
        <v>-185.78321195595143</v>
      </c>
      <c r="AC4" s="23">
        <f>C4*$J4*$K4</f>
        <v>-2.2772984662345328</v>
      </c>
      <c r="AD4" s="23">
        <f>D4*$J4*$K4</f>
        <v>2.8068067225230098</v>
      </c>
      <c r="AE4" s="23">
        <f>I4*J4*K4</f>
        <v>0</v>
      </c>
      <c r="AF4" s="23">
        <f>F4*J4*K4</f>
        <v>58.41828303493655</v>
      </c>
      <c r="AG4" s="23">
        <f>G4*J4*K4</f>
        <v>11.26799508639504</v>
      </c>
      <c r="AH4" s="23">
        <f>V4*J4*K4</f>
        <v>40.632631652623843</v>
      </c>
      <c r="AI4" s="23">
        <f>AH4/AH$4*100</f>
        <v>100</v>
      </c>
      <c r="AJ4" s="23">
        <f>W4*J4*K4</f>
        <v>110.98</v>
      </c>
      <c r="AK4" s="23">
        <f>X4*J4*K4</f>
        <v>89.121299276692213</v>
      </c>
      <c r="AL4" s="23"/>
      <c r="AM4" s="23"/>
      <c r="AN4" s="23"/>
      <c r="AO4" s="23"/>
      <c r="AP4" s="23"/>
      <c r="AQ4" s="8">
        <f t="shared" ref="AQ4:AQ67" si="1">W4*K4*J4</f>
        <v>110.98</v>
      </c>
      <c r="AR4" s="32">
        <f>Parameters!$B$7*W4*(W4/O4)^(-Parameters!$B$9/Parameters!$B$7)*Parameters!$B$11*(V4)^(Parameters!$B$9-T4)*((1-2*Parameters!$B$5*C4/F4)*Parameters!$B$19*(F4+Parameters!$B$20)^(T4-1)-(1-2*Parameters!$B$5*D4/G4)*(Parameters!$B$18)*(G4)^(T4-1))</f>
        <v>4.8965590970025924E-2</v>
      </c>
      <c r="AS4" s="32"/>
      <c r="AT4" s="32"/>
      <c r="AU4" s="30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0.91067380340815907</v>
      </c>
      <c r="AV4" s="30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67.270669608704736</v>
      </c>
      <c r="AW4" s="8"/>
      <c r="AX4" s="13">
        <f>1-W4/'6states,ExoDamages'!T4</f>
        <v>0</v>
      </c>
      <c r="AY4" s="21"/>
      <c r="AZ4" s="7">
        <f>1000*EXP(-(Parameters!$B$54)*'6states'!A4)*AQ4*Parameters!B$46*Parameters!B$45*N4</f>
        <v>1.8470179439999996</v>
      </c>
      <c r="BA4" s="7">
        <f>SUM(AZ4:AZ$204)*EXP(Parameters!$B$54*A4)</f>
        <v>181.14203948711921</v>
      </c>
      <c r="BB4" s="13">
        <f t="shared" ref="BB4:BB13" si="2">((C4&gt;0)*C4+D4+E4)/W4</f>
        <v>0.19296090808608402</v>
      </c>
      <c r="BC4" s="30">
        <f>IF(C4&lt;0,Parameters!$B$6*AC4^2/AF4,0)</f>
        <v>0.4438754474530397</v>
      </c>
      <c r="BD4" s="30">
        <f>Parameters!$B$5*AD4^2/AG4</f>
        <v>0.69916288720363773</v>
      </c>
      <c r="BE4" s="30">
        <f>ABS(BC4/AC4)</f>
        <v>0.19491316313358734</v>
      </c>
      <c r="BF4" s="30">
        <f>BD4/AD4</f>
        <v>0.24909548690804309</v>
      </c>
      <c r="BG4" s="30"/>
      <c r="BH4" s="5">
        <f t="shared" ref="BH4:BH35" si="3">SUM(AY4:AY202)/Y4</f>
        <v>-1.8407283258442123E-3</v>
      </c>
      <c r="BI4" s="2">
        <f>BH4/Parameters!$B$45</f>
        <v>-3.0678805430736875</v>
      </c>
      <c r="BJ4" s="2"/>
      <c r="BK4">
        <f>-2*Parameters!B$6 * C4/F4*X4^-Parameters!B$52</f>
        <v>0.30256664651028981</v>
      </c>
      <c r="BL4">
        <f>X4^-Parameters!B$52</f>
        <v>0.77615755048549551</v>
      </c>
      <c r="BM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-5.9757261965918396</v>
      </c>
      <c r="BN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-441.42161676176067</v>
      </c>
      <c r="BO4" s="7">
        <f t="shared" ref="BO4:BO35" si="4">I4/(F4+I4)</f>
        <v>0</v>
      </c>
      <c r="BP4" s="7">
        <f t="shared" ref="BP4:BP25" si="5">BM4-AU4</f>
        <v>-6.8863999999999983</v>
      </c>
      <c r="BU4">
        <f>EXP(-Parameters!$B$56*A4)*BH4*BN4</f>
        <v>0.81253727361332118</v>
      </c>
      <c r="BV4">
        <f>-EXP((Parameters!$B$56)*F4)*SUM(BU4:BU12)</f>
        <v>-1.175679255091193</v>
      </c>
      <c r="BW4">
        <f>$X4^-Parameters!$B$52/(1-2*Parameters!$B$5*'6states'!$D4/'6states'!$G4)</f>
        <v>1.5467189906644534</v>
      </c>
      <c r="BY4">
        <f>$X4^-Parameters!$B$52/(1-2*Parameters!$B$5*'6states'!$E4/'6states'!$H4)</f>
        <v>0.87782590697346097</v>
      </c>
      <c r="CA4" s="7">
        <f>($X4^-Parameters!$B$52*(1/(1+EXP(-C4)) + IF(C4&lt;0,2*Parameters!$B$6*C4/F4,0)) + BS4*(1/(1+EXP((C4-Parameters!$B$22)*Parameters!$B$21))))/(1-IF(C4&gt;0,2*Parameters!$B$5*C4/F4,0))</f>
        <v>7.9530595123453826E-2</v>
      </c>
      <c r="CE4">
        <f>(Parameters!$B$18*'6states'!T4^+Parameters!$B$19*Parameters!$B$25^'6states'!T4)^((1-'6states'!T4)/'6states'!T4)*Parameters!$B$18*Parameters!$B$26^('6states'!T4-1)</f>
        <v>0.12973346516345516</v>
      </c>
    </row>
    <row r="5" spans="1:86" x14ac:dyDescent="0.3">
      <c r="A5">
        <f>A4+Parameters!$B$65</f>
        <v>1</v>
      </c>
      <c r="B5">
        <v>2026</v>
      </c>
      <c r="C5" s="74">
        <v>-1.33299120623766E-2</v>
      </c>
      <c r="D5" s="69">
        <v>4.1271366179507003E-2</v>
      </c>
      <c r="E5" s="75">
        <v>0.245706862491362</v>
      </c>
      <c r="F5" s="7">
        <f>MAX((1-Parameters!$B$4)^Parameters!B$65*F4 + C4*Parameters!B$65 - IF(C4&gt;0,Parameters!$B$5,0)*C4^2/F4*Parameters!B$65, 0.0001)</f>
        <v>0.71026264822664986</v>
      </c>
      <c r="G5" s="7">
        <f>(1-Parameters!$B$4)^Parameters!B$65*G4+D4*Parameters!B$65-Parameters!$B$5*D4^2/G4*Parameters!B$65</f>
        <v>0.17147737198680083</v>
      </c>
      <c r="H5" s="7">
        <f>(1-Parameters!$B$4)^Parameters!B$65*H4+E4*Parameters!B$65-Parameters!$B$5*E4^2/H4*Parameters!B$65</f>
        <v>4.3137023239648613</v>
      </c>
      <c r="I5" s="7">
        <f>I4 *(1-Parameters!$B$4)-C4*(C4&lt;0)*Parameters!B$65</f>
        <v>3.0828830273350101E-2</v>
      </c>
      <c r="J5" s="23">
        <f>J4*(1+Parameters!$B$51)^Parameters!B$65</f>
        <v>8.1836639999999985</v>
      </c>
      <c r="K5" s="23">
        <f>K4*(1+Parameters!$B$53)^Parameters!B$65</f>
        <v>9.233639607967616</v>
      </c>
      <c r="L5" s="23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42.109923460013533</v>
      </c>
      <c r="M5" s="8">
        <f>M4+L5*Parameters!B$65</f>
        <v>2342.1099234600133</v>
      </c>
      <c r="N5" s="7">
        <f>M5*Parameters!$B$45</f>
        <v>1.405265954076008</v>
      </c>
      <c r="O5" s="9">
        <f>EXP(-Parameters!$B$46/2*N5^2)</f>
        <v>0.98034918198039067</v>
      </c>
      <c r="P5" s="7">
        <f>MAX((Parameters!$B$62 + Parameters!$B$31*'6states'!A5 - '6states'!M5 + Parameters!$B$47/Parameters!$B$45)/Parameters!B$62,1)</f>
        <v>1.2218015307997303</v>
      </c>
      <c r="Q5" s="7">
        <f>Parameters!B$61*EXP(-Parameters!B$60*A5)</f>
        <v>0.48668062076216839</v>
      </c>
      <c r="R5" s="7">
        <f>(1-Parameters!B$61)*P5^-Parameters!B$63</f>
        <v>0.49008333839904483</v>
      </c>
      <c r="S5" s="7">
        <f>Parameters!B$61*EXP(-Parameters!B$60*A5)+(1-Parameters!B$61)*P5^-Parameters!B$63</f>
        <v>0.97676395916121317</v>
      </c>
      <c r="T5" s="7">
        <f>1-S5/Parameters!$B$12</f>
        <v>0.51161802041939342</v>
      </c>
      <c r="U5" s="7">
        <f t="shared" si="0"/>
        <v>2.0475775966564953</v>
      </c>
      <c r="V5" s="7">
        <f>(Parameters!$B$19*(F5+Parameters!$B$20)^T5+Parameters!$B$18*G5^T5)^(1/T5)</f>
        <v>0.5146028350803965</v>
      </c>
      <c r="W5" s="7">
        <f>(Parameters!$B$10*H5^Parameters!$B$9+Parameters!$B$11*V5^Parameters!$B$9)^(Parameters!$B$7/Parameters!$B$9)*O5</f>
        <v>1.4923872001840739</v>
      </c>
      <c r="X5" s="7">
        <f>W5 - D5 - E5 - LN(1+EXP(Parameters!$B$21*C5))/Parameters!$B$21 - IF(C5&gt;0, 0,Parameters!$B$6*C5^2/F5)</f>
        <v>1.2040975591386693</v>
      </c>
      <c r="Y5" s="7">
        <f>EXP(-Parameters!$B$55*A5)</f>
        <v>0.98501343333449787</v>
      </c>
      <c r="Z5" s="7">
        <f>IF(X5&gt;0,X5^(1-Parameters!$B$52)/(1-Parameters!$B$52)*Y5*Parameters!$B$65,-10+X5*1000)</f>
        <v>-2.637196692335011</v>
      </c>
      <c r="AB5" s="9"/>
      <c r="AC5" s="23">
        <f t="shared" ref="AC5:AC68" si="6">C5*$J5*$K5</f>
        <v>-1.0072748589622851</v>
      </c>
      <c r="AD5" s="23">
        <f t="shared" ref="AD5:AD68" si="7">D5*$J5*$K5</f>
        <v>3.1186709524497722</v>
      </c>
      <c r="AE5" s="23">
        <f t="shared" ref="AE5:AE68" si="8">I5*J5*K5</f>
        <v>2.3295806844223446</v>
      </c>
      <c r="AF5" s="23">
        <f t="shared" ref="AF5:AF68" si="9">F5*J5*K5</f>
        <v>53.670999888886236</v>
      </c>
      <c r="AG5" s="23">
        <f t="shared" ref="AG5:AG68" si="10">G5*J5*K5</f>
        <v>12.957688308442814</v>
      </c>
      <c r="AH5" s="23">
        <f t="shared" ref="AH5:AH68" si="11">V5*J5*K5</f>
        <v>38.885965316321979</v>
      </c>
      <c r="AI5" s="23">
        <f t="shared" ref="AI5:AI68" si="12">AH5/AH$4*100</f>
        <v>95.701321166607059</v>
      </c>
      <c r="AJ5" s="23">
        <f t="shared" ref="AJ5:AJ68" si="13">W5*J5*K5</f>
        <v>112.77224482413563</v>
      </c>
      <c r="AK5" s="23">
        <f t="shared" ref="AK5:AK68" si="14">X5*J5*K5</f>
        <v>90.98763693134174</v>
      </c>
      <c r="AL5" s="9">
        <f>LN(AJ5)-LN(AJ4)</f>
        <v>1.6020247365710283E-2</v>
      </c>
      <c r="AM5" s="9">
        <f>LN(AK5)-LN(AK4)</f>
        <v>2.0725284359786933E-2</v>
      </c>
      <c r="AN5" s="23"/>
      <c r="AO5" s="23"/>
      <c r="AP5" s="23"/>
      <c r="AQ5" s="8">
        <f t="shared" si="1"/>
        <v>112.77224482413563</v>
      </c>
      <c r="AR5" s="32">
        <f>Parameters!$B$7*W5*(W5/O5)^(-Parameters!$B$9/Parameters!$B$7)*Parameters!$B$11*(V5)^(Parameters!$B$9-T5)*((1-2*Parameters!$B$5*C5/F5)*Parameters!$B$19*(F5+Parameters!$B$20)^(T5-1)-(1-2*Parameters!$B$5*D5/G5)*(Parameters!$B$18)*(G5)^(T5-1))</f>
        <v>6.4748573739260268E-2</v>
      </c>
      <c r="AS5" s="32">
        <f>((C6-C4)/2-(F6-F4)/F5/2*C5)/(F5/2/Parameters!$B$5-C5)-((D6-D4)/D5-(G6-G4)/G5)/(G5/2/Parameters!$B$5/D5-1)</f>
        <v>9.8712376449657732E-2</v>
      </c>
      <c r="AT5" s="32">
        <f>+Parameters!$B$5*C5^2/F5^2-Parameters!$B$5*D5^2/G5^2</f>
        <v>-5.7575180072906983E-2</v>
      </c>
      <c r="AU5" s="30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0.82640461885381022</v>
      </c>
      <c r="AV5" s="30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62.447268369551459</v>
      </c>
      <c r="AW5" s="8">
        <f>1000*(AR5+AS5+AT5)/AU5</f>
        <v>128.12824093707303</v>
      </c>
      <c r="AX5" s="13">
        <f>1-W5/'6states,ExoDamages'!T5</f>
        <v>6.1319594336600725E-3</v>
      </c>
      <c r="AY5" s="21">
        <f>-Y5*W5*X5^(-Parameters!B$52)*Parameters!B$46*Parameters!B$45*N5</f>
        <v>-1.9388144087168278E-5</v>
      </c>
      <c r="AZ5" s="7">
        <f>1000*EXP(-(Parameters!$B$54)*'6states'!A5)*AQ5*Parameters!B$46*Parameters!B$45*N5</f>
        <v>1.8452886970365587</v>
      </c>
      <c r="BA5" s="7">
        <f>SUM(AZ5:AZ$204)*EXP(Parameters!$B$54*A5)</f>
        <v>185.70002707394553</v>
      </c>
      <c r="BB5" s="13">
        <f t="shared" si="2"/>
        <v>0.1922947534228869</v>
      </c>
      <c r="BC5" s="30">
        <f>IF(C5&lt;0,Parameters!$B$6*AC5^2/AF5,0)</f>
        <v>9.4520564513237926E-2</v>
      </c>
      <c r="BD5" s="30">
        <f>Parameters!$B$5*AD5^2/AG5</f>
        <v>0.75060522202226065</v>
      </c>
      <c r="BE5" s="30">
        <f t="shared" ref="BE5:BE68" si="15">ABS(BC5/AC5)</f>
        <v>9.3837906974681098E-2</v>
      </c>
      <c r="BF5" s="30">
        <f t="shared" ref="BF5:BF68" si="16">BD5/AD5</f>
        <v>0.24068112137083483</v>
      </c>
      <c r="BG5" s="30"/>
      <c r="BH5" s="5">
        <f t="shared" si="3"/>
        <v>-1.8719657397971256E-3</v>
      </c>
      <c r="BI5" s="2">
        <f>BH5/Parameters!$B$45</f>
        <v>-3.1199428996618765</v>
      </c>
      <c r="BJ5" s="2">
        <f>1-BI4/BI5</f>
        <v>1.6686958147160702E-2</v>
      </c>
      <c r="BK5">
        <f>-2*Parameters!B$6 * C5/F5*X5^-Parameters!B$52</f>
        <v>0.14605453468429536</v>
      </c>
      <c r="BL5">
        <f>X5^-Parameters!B$52</f>
        <v>0.7782277940390504</v>
      </c>
      <c r="BM5">
        <f>-EXP(-Parameters!B$42*'6states'!A5)*(-Parameters!B$37/Parameters!B$38/Parameters!E$25*(EXP(-Parameters!B$38*Parameters!E$25*'6states'!AE5/('6states'!F5+'6states'!AE5))-EXP(-Parameters!B$38*Parameters!E$25))+Parameters!B$37*'6states'!F5/('6states'!F5+'6states'!AE5)*EXP(-Parameters!B$38*Parameters!E$25*'6states'!I5/('6states'!F5+'6states'!AE5)))</f>
        <v>-0.91910188399078752</v>
      </c>
      <c r="BN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-72.790265695038343</v>
      </c>
      <c r="BO5" s="7">
        <f t="shared" si="4"/>
        <v>4.1599223803988325E-2</v>
      </c>
      <c r="BP5" s="7">
        <f t="shared" si="5"/>
        <v>-1.7455065028445977</v>
      </c>
      <c r="BU5">
        <f>EXP(-Parameters!$B$56*A5)*BH5*BN5</f>
        <v>0.12603647003334462</v>
      </c>
      <c r="BV5">
        <f>-EXP((Parameters!$B$56)*F5)*SUM(BU5:BU13)</f>
        <v>-0.32052869327626143</v>
      </c>
      <c r="BW5">
        <f>X5^-Parameters!B$52/(1-2*Parameters!B$5*'6states'!D5/'6states'!G5)</f>
        <v>1.5005228276340474</v>
      </c>
      <c r="BX5">
        <f t="shared" ref="BX5:BX36" si="17">BW5/BW4</f>
        <v>0.97013280155656423</v>
      </c>
      <c r="BY5">
        <f>$X5^-Parameters!$B$52/(1-2*Parameters!$B$5*'6states'!$E5/'6states'!$H5)</f>
        <v>0.87828089292217981</v>
      </c>
      <c r="BZ5">
        <f t="shared" ref="BZ5:BZ36" si="18">BY5/BY4</f>
        <v>1.0005183100032757</v>
      </c>
      <c r="CA5" s="7">
        <f>($X5^-Parameters!$B$52*(1/(1+EXP(-C5)) + IF(C5&lt;0,2*Parameters!$B$6*C5/F5,0)) + BS5*(1/(1+EXP((C5-Parameters!$B$22)*Parameters!$B$21))))/(1-IF(C5&gt;0,2*Parameters!$B$5*C5/F5,0))</f>
        <v>0.24046597372121412</v>
      </c>
      <c r="CB5">
        <f t="shared" ref="CB5:CB36" si="19">CA5/CA4</f>
        <v>3.023565627139384</v>
      </c>
      <c r="CC5" s="7">
        <f t="shared" ref="CC5:CC36" si="20">CA5-CA4</f>
        <v>0.1609353785977603</v>
      </c>
      <c r="CD5">
        <f>(1/$T5-1/Parameters!$B$13) * LN(Parameters!$B$18) / LN(P5)</f>
        <v>0.27007942389895273</v>
      </c>
      <c r="CE5">
        <f>(Parameters!$B$18*'6states'!T5^+Parameters!$B$19*Parameters!$B$25^'6states'!T5)^((1-'6states'!T5)/'6states'!T5)*Parameters!$B$18*Parameters!$B$26^('6states'!T5-1)</f>
        <v>0.13944180351660085</v>
      </c>
      <c r="CF5">
        <f t="shared" ref="CF5:CF36" si="21">(LN(CE5)-LN(CE$4))/ LN(P5)</f>
        <v>0.36023831617891944</v>
      </c>
      <c r="CG5">
        <f t="shared" ref="CG5:CG36" si="22">1-2^-CD5</f>
        <v>0.17072610900302221</v>
      </c>
      <c r="CH5">
        <f t="shared" ref="CH5:CH36" si="23">1-2^-CE5</f>
        <v>9.2129646405132326E-2</v>
      </c>
    </row>
    <row r="6" spans="1:86" x14ac:dyDescent="0.3">
      <c r="A6">
        <f>A5+Parameters!$B$65</f>
        <v>2</v>
      </c>
      <c r="B6">
        <v>2027</v>
      </c>
      <c r="C6" s="74">
        <v>-8.6102133372726493E-3</v>
      </c>
      <c r="D6" s="69">
        <v>4.4295724055728798E-2</v>
      </c>
      <c r="E6" s="75">
        <v>0.24031050458525</v>
      </c>
      <c r="F6" s="7">
        <f>MAX((1-Parameters!$B$4)^Parameters!B$65*F5 + C5*Parameters!B$65 - IF(C5&gt;0,Parameters!$B$5,0)*C5^2/F5*Parameters!B$65, 0.0001)</f>
        <v>0.65225721559081706</v>
      </c>
      <c r="G6" s="7">
        <f>(1-Parameters!$B$4)^Parameters!B$65*G5+D5*Parameters!B$65-Parameters!$B$5*D5^2/G5*Parameters!B$65</f>
        <v>0.19202957277574795</v>
      </c>
      <c r="H6" s="7">
        <f>(1-Parameters!$B$4)^Parameters!B$65*H5+E5*Parameters!B$65-Parameters!$B$5*E5^2/H5*Parameters!B$65</f>
        <v>4.2740819397730965</v>
      </c>
      <c r="I6" s="7">
        <f>I5 *(1-Parameters!$B$4)-C5*(C5&lt;0)*Parameters!B$65</f>
        <v>4.221960891153298E-2</v>
      </c>
      <c r="J6" s="23">
        <f>J5*(1+Parameters!$B$51)^Parameters!B$65</f>
        <v>8.2073966255999977</v>
      </c>
      <c r="K6" s="23">
        <f>K5*(1+Parameters!$B$53)^Parameters!B$65</f>
        <v>9.4183124001269682</v>
      </c>
      <c r="L6" s="23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38.472784138638275</v>
      </c>
      <c r="M6" s="8">
        <f>M5+L6*Parameters!B$65</f>
        <v>2380.5827075986517</v>
      </c>
      <c r="N6" s="7">
        <f>M6*Parameters!$B$45</f>
        <v>1.4283496245591909</v>
      </c>
      <c r="O6" s="9">
        <f>EXP(-Parameters!$B$46/2*N6^2)</f>
        <v>0.97970493867942077</v>
      </c>
      <c r="P6" s="7">
        <f>MAX((Parameters!$B$62 + Parameters!$B$31*'6states'!A6 - '6states'!M6 + Parameters!$B$47/Parameters!$B$45)/Parameters!B$62,1)</f>
        <v>1.5163458480269674</v>
      </c>
      <c r="Q6" s="7">
        <f>Parameters!B$61*EXP(-Parameters!B$60*A6)</f>
        <v>0.47371605325089916</v>
      </c>
      <c r="R6" s="7">
        <f>(1-Parameters!B$61)*P6^-Parameters!B$63</f>
        <v>0.47961215127758361</v>
      </c>
      <c r="S6" s="7">
        <f>Parameters!B$61*EXP(-Parameters!B$60*A6)+(1-Parameters!B$61)*P6^-Parameters!B$63</f>
        <v>0.95332820452848277</v>
      </c>
      <c r="T6" s="7">
        <f>1-S6/Parameters!$B$12</f>
        <v>0.52333589773575862</v>
      </c>
      <c r="U6" s="7">
        <f t="shared" si="0"/>
        <v>2.0979133843933657</v>
      </c>
      <c r="V6" s="7">
        <f>(Parameters!$B$19*(F6+Parameters!$B$20)^T6+Parameters!$B$18*G6^T6)^(1/T6)</f>
        <v>0.49106560484608086</v>
      </c>
      <c r="W6" s="7">
        <f>(Parameters!$B$10*H6^Parameters!$B$9+Parameters!$B$11*V6^Parameters!$B$9)^(Parameters!$B$7/Parameters!$B$9)*O6</f>
        <v>1.4834337313569408</v>
      </c>
      <c r="X6" s="7">
        <f>W6 - D6 - E6 - LN(1+EXP(Parameters!$B$21*C6))/Parameters!$B$21 - IF(C6&gt;0, 0,Parameters!$B$6*C6^2/F6)</f>
        <v>1.1980164513900176</v>
      </c>
      <c r="Y6" s="7">
        <f>EXP(-Parameters!$B$55*A6)</f>
        <v>0.9702514638494153</v>
      </c>
      <c r="Z6" s="7">
        <f>IF(X6&gt;0,X6^(1-Parameters!$B$52)/(1-Parameters!$B$52)*Y6*Parameters!$B$65,-10+X6*1000)</f>
        <v>-2.6022815860236346</v>
      </c>
      <c r="AB6" s="9"/>
      <c r="AC6" s="23">
        <f t="shared" si="6"/>
        <v>-0.66556798772822479</v>
      </c>
      <c r="AD6" s="23">
        <f t="shared" si="7"/>
        <v>3.4240517359904032</v>
      </c>
      <c r="AE6" s="23">
        <f t="shared" si="8"/>
        <v>3.2635683978095869</v>
      </c>
      <c r="AF6" s="23">
        <f t="shared" si="9"/>
        <v>50.419368888658262</v>
      </c>
      <c r="AG6" s="23">
        <f t="shared" si="10"/>
        <v>14.843852449438804</v>
      </c>
      <c r="AH6" s="23">
        <f t="shared" si="11"/>
        <v>37.95928552026772</v>
      </c>
      <c r="AI6" s="23">
        <f t="shared" si="12"/>
        <v>93.420691637177057</v>
      </c>
      <c r="AJ6" s="23">
        <f t="shared" si="13"/>
        <v>114.66916844364209</v>
      </c>
      <c r="AK6" s="23">
        <f t="shared" si="14"/>
        <v>92.606462532731285</v>
      </c>
      <c r="AL6" s="9">
        <f t="shared" ref="AL6:AL69" si="24">LN(AJ6)-LN(AJ5)</f>
        <v>1.6680934026278571E-2</v>
      </c>
      <c r="AM6" s="9">
        <f t="shared" ref="AM6:AM69" si="25">LN(AK6)-LN(AK5)</f>
        <v>1.7635289597270898E-2</v>
      </c>
      <c r="AN6" s="9"/>
      <c r="AO6" s="9"/>
      <c r="AP6" s="23"/>
      <c r="AQ6" s="8">
        <f t="shared" si="1"/>
        <v>114.66916844364209</v>
      </c>
      <c r="AR6" s="32">
        <f>Parameters!$B$7*W6*(W6/O6)^(-Parameters!$B$9/Parameters!$B$7)*Parameters!$B$11*(V6)^(Parameters!$B$9-T6)*((1-2*Parameters!$B$5*C6/F6)*Parameters!$B$19*(F6+Parameters!$B$20)^(T6-1)-(1-2*Parameters!$B$5*D6/G6)*(Parameters!$B$18)*(G6)^(T6-1))</f>
        <v>8.0171435460529114E-2</v>
      </c>
      <c r="AS6" s="32">
        <f>((C7-C5)/2-(F7-F5)/F6/2*C6)/(F6/2/Parameters!$B$5-C6)-((D7-D5)/D6-(G7-G5)/G6)/(G6/2/Parameters!$B$5/D6-1)</f>
        <v>0.10708282485690207</v>
      </c>
      <c r="AT6" s="32">
        <f>+Parameters!$B$5*C6^2/F6^2-Parameters!$B$5*D6^2/G6^2</f>
        <v>-5.3035022628944758E-2</v>
      </c>
      <c r="AU6" s="30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0.7897546160372676</v>
      </c>
      <c r="AV6" s="30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61.047893937724432</v>
      </c>
      <c r="AW6" s="8">
        <f t="shared" ref="AW6:AW13" si="26">1000*(AR6+AS6+AT6)/AU6</f>
        <v>169.95055801250649</v>
      </c>
      <c r="AX6" s="13">
        <f>1-W6/'6states,ExoDamages'!T6</f>
        <v>1.1600138314336372E-2</v>
      </c>
      <c r="AY6" s="21">
        <f>-Y6*W6*X6^(-Parameters!B$52)*Parameters!B$46*Parameters!B$45*N6</f>
        <v>-1.9427169703905803E-5</v>
      </c>
      <c r="AZ6" s="7">
        <f>1000*EXP(-(Parameters!$B$54)*'6states'!A6)*AQ6*Parameters!B$46*Parameters!B$45*N6</f>
        <v>1.8413698304009494</v>
      </c>
      <c r="BA6" s="7">
        <f>SUM(AZ6:AZ$204)*EXP(Parameters!$B$54*A6)</f>
        <v>190.35435730342601</v>
      </c>
      <c r="BB6" s="13">
        <f t="shared" si="2"/>
        <v>0.19185638200409602</v>
      </c>
      <c r="BC6" s="30">
        <f>IF(C6&lt;0,Parameters!$B$6*AC6^2/AF6,0)</f>
        <v>4.3929620307905724E-2</v>
      </c>
      <c r="BD6" s="30">
        <f>Parameters!$B$5*AD6^2/AG6</f>
        <v>0.78983069460395672</v>
      </c>
      <c r="BE6" s="30">
        <f t="shared" si="15"/>
        <v>6.6003204958595088E-2</v>
      </c>
      <c r="BF6" s="30">
        <f t="shared" si="16"/>
        <v>0.23067136699542276</v>
      </c>
      <c r="BG6" s="30"/>
      <c r="BH6" s="5">
        <f t="shared" si="3"/>
        <v>-1.881613861342639E-3</v>
      </c>
      <c r="BI6" s="2">
        <f>BH6/Parameters!$B$45</f>
        <v>-3.1360231022377318</v>
      </c>
      <c r="BJ6" s="2">
        <f t="shared" ref="BJ6:BJ55" si="27">1-BI5/BI6</f>
        <v>5.1275778435373454E-3</v>
      </c>
      <c r="BK6">
        <f>-2*Parameters!B$6 * C6/F6*X6^-Parameters!B$52</f>
        <v>0.10343565393063653</v>
      </c>
      <c r="BL6">
        <f>X6^-Parameters!B$52</f>
        <v>0.78356538894985051</v>
      </c>
      <c r="BM6">
        <f>-EXP(-Parameters!B$42*'6states'!A6)*(-Parameters!B$37/Parameters!B$38/Parameters!E$25*(EXP(-Parameters!B$38*Parameters!E$25*'6states'!AE6/('6states'!F6+'6states'!AE6))-EXP(-Parameters!B$38*Parameters!E$25))+Parameters!B$37*'6states'!F6/('6states'!F6+'6states'!AE6)*EXP(-Parameters!B$38*Parameters!E$25*'6states'!I6/('6states'!F6+'6states'!AE6)))</f>
        <v>-0.63125921371614202</v>
      </c>
      <c r="BN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-31.884359272159532</v>
      </c>
      <c r="BO6" s="7">
        <f t="shared" si="4"/>
        <v>6.0793402201415166E-2</v>
      </c>
      <c r="BP6" s="7">
        <f t="shared" si="5"/>
        <v>-1.4210138297534096</v>
      </c>
      <c r="BU6">
        <f>EXP(-Parameters!$B$56*A6)*BH6*BN6</f>
        <v>5.1328462869779823E-2</v>
      </c>
      <c r="BV6">
        <f>-EXP((Parameters!$B$56)*F6)*SUM(BU6:BU14)</f>
        <v>-0.19766671902777927</v>
      </c>
      <c r="BW6">
        <f>X6^-Parameters!B$52/(1-2*Parameters!B$5*'6states'!D6/'6states'!G6)</f>
        <v>1.4546641034942132</v>
      </c>
      <c r="BX6">
        <f t="shared" si="17"/>
        <v>0.96943816961975704</v>
      </c>
      <c r="BY6">
        <f>$X6^-Parameters!$B$52/(1-2*Parameters!$B$5*'6states'!$E6/'6states'!$H6)</f>
        <v>0.88284095679610464</v>
      </c>
      <c r="BZ6">
        <f t="shared" si="18"/>
        <v>1.0051920335631495</v>
      </c>
      <c r="CA6" s="7">
        <f>($X6^-Parameters!$B$52 * (1/(1+EXP(-C6)) + IF(C6&lt;0,2*Parameters!$B$6*C6/F6,0)) + BS6 * (1/(1+EXP((C6-Parameters!$B$22)*Parameters!$B$21)))) / (1-IF(C6&gt;0,2*Parameters!$B$5*C6/F6,0))</f>
        <v>0.2866603846737637</v>
      </c>
      <c r="CB6">
        <f t="shared" si="19"/>
        <v>1.1921037319238579</v>
      </c>
      <c r="CC6" s="7">
        <f t="shared" si="20"/>
        <v>4.6194410952549586E-2</v>
      </c>
      <c r="CD6">
        <f>(1/$T6-1/Parameters!$B$13) * LN(Parameters!$B$18) / LN(P6)</f>
        <v>0.25519813316101297</v>
      </c>
      <c r="CE6">
        <f>(Parameters!$B$18*'6states'!T6^+Parameters!$B$19*Parameters!$B$25^'6states'!T6)^((1-'6states'!T6)/'6states'!T6)*Parameters!$B$18*Parameters!$B$26^('6states'!T6-1)</f>
        <v>0.14919840463712175</v>
      </c>
      <c r="CF6">
        <f t="shared" si="21"/>
        <v>0.33580057099672889</v>
      </c>
      <c r="CG6">
        <f t="shared" si="22"/>
        <v>0.16212794276323828</v>
      </c>
      <c r="CH6">
        <f t="shared" si="23"/>
        <v>9.8248642251834051E-2</v>
      </c>
    </row>
    <row r="7" spans="1:86" x14ac:dyDescent="0.3">
      <c r="A7">
        <f>A6+Parameters!$B$65</f>
        <v>3</v>
      </c>
      <c r="B7">
        <v>2028</v>
      </c>
      <c r="C7" s="74">
        <v>5.3391434444462699E-3</v>
      </c>
      <c r="D7" s="69">
        <v>4.6881023096127197E-2</v>
      </c>
      <c r="E7" s="75">
        <v>0.23369222740746901</v>
      </c>
      <c r="F7" s="7">
        <f>MAX((1-Parameters!$B$4)^Parameters!B$65*F6 + C6*Parameters!B$65 - IF(C6&gt;0,Parameters!$B$5,0)*C6^2/F6*Parameters!B$65, 0.0001)</f>
        <v>0.60262002339288212</v>
      </c>
      <c r="G7" s="7">
        <f>(1-Parameters!$B$4)^Parameters!B$65*G6+D6*Parameters!B$65-Parameters!$B$5*D6^2/G6*Parameters!B$65</f>
        <v>0.21402888148389521</v>
      </c>
      <c r="H7" s="7">
        <f>(1-Parameters!$B$4)^Parameters!B$65*H6+E6*Parameters!B$65-Parameters!$B$5*E6^2/H6*Parameters!B$65</f>
        <v>4.2320412183094023</v>
      </c>
      <c r="I7" s="7">
        <f>I6 *(1-Parameters!$B$4)-C6*(C6&lt;0)*Parameters!B$65</f>
        <v>4.81742088482702E-2</v>
      </c>
      <c r="J7" s="23">
        <f>J6*(1+Parameters!$B$51)^Parameters!B$65</f>
        <v>8.2311980758142376</v>
      </c>
      <c r="K7" s="23">
        <f>K6*(1+Parameters!$B$53)^Parameters!B$65</f>
        <v>9.6066786481295079</v>
      </c>
      <c r="L7" s="23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35.774690235182867</v>
      </c>
      <c r="M7" s="8">
        <f>M6+L7*Parameters!B$65</f>
        <v>2416.3573978338345</v>
      </c>
      <c r="N7" s="7">
        <f>M7*Parameters!$B$45</f>
        <v>1.4498144387003007</v>
      </c>
      <c r="O7" s="9">
        <f>EXP(-Parameters!$B$46/2*N7^2)</f>
        <v>0.97909684677450015</v>
      </c>
      <c r="P7" s="7">
        <f>MAX((Parameters!$B$62 + Parameters!$B$31*'6states'!A7 - '6states'!M7 + Parameters!$B$47/Parameters!$B$45)/Parameters!B$62,1)</f>
        <v>1.864852043323308</v>
      </c>
      <c r="Q7" s="7">
        <f>Parameters!B$61*EXP(-Parameters!B$60*A7)</f>
        <v>0.46109684572230403</v>
      </c>
      <c r="R7" s="7">
        <f>(1-Parameters!B$61)*P7^-Parameters!B$63</f>
        <v>0.46979194513024275</v>
      </c>
      <c r="S7" s="7">
        <f>Parameters!B$61*EXP(-Parameters!B$60*A7)+(1-Parameters!B$61)*P7^-Parameters!B$63</f>
        <v>0.93088879085254672</v>
      </c>
      <c r="T7" s="7">
        <f>1-S7/Parameters!$B$12</f>
        <v>0.53455560457372664</v>
      </c>
      <c r="U7" s="7">
        <f t="shared" si="0"/>
        <v>2.1484843513566392</v>
      </c>
      <c r="V7" s="7">
        <f>(Parameters!$B$19*(F7+Parameters!$B$20)^T7+Parameters!$B$18*G7^T7)^(1/T7)</f>
        <v>0.47145217696261732</v>
      </c>
      <c r="W7" s="7">
        <f>(Parameters!$B$10*H7^Parameters!$B$9+Parameters!$B$11*V7^Parameters!$B$9)^(Parameters!$B$7/Parameters!$B$9)*O7</f>
        <v>1.4746369209202064</v>
      </c>
      <c r="X7" s="7">
        <f>W7 - D7 - E7 - LN(1+EXP(Parameters!$B$21*C7))/Parameters!$B$21 - IF(C7&gt;0, 0,Parameters!$B$6*C7^2/F7)</f>
        <v>1.1881124997869472</v>
      </c>
      <c r="Y7" s="7">
        <f>EXP(-Parameters!$B$55*A7)</f>
        <v>0.95571072560413495</v>
      </c>
      <c r="Z7" s="7">
        <f>IF(X7&gt;0,X7^(1-Parameters!$B$52)/(1-Parameters!$B$52)*Y7*Parameters!$B$65,-10+X7*1000)</f>
        <v>-2.5707406675130375</v>
      </c>
      <c r="AB7" s="9"/>
      <c r="AC7" s="23">
        <f t="shared" si="6"/>
        <v>0.42218996376986823</v>
      </c>
      <c r="AD7" s="23">
        <f t="shared" si="7"/>
        <v>3.7070922795746362</v>
      </c>
      <c r="AE7" s="23">
        <f t="shared" si="8"/>
        <v>3.8093502637486476</v>
      </c>
      <c r="AF7" s="23">
        <f t="shared" si="9"/>
        <v>47.651861855834504</v>
      </c>
      <c r="AG7" s="23">
        <f t="shared" si="10"/>
        <v>16.924221396108713</v>
      </c>
      <c r="AH7" s="23">
        <f t="shared" si="11"/>
        <v>37.27983328826182</v>
      </c>
      <c r="AI7" s="23">
        <f t="shared" si="12"/>
        <v>91.748507965160272</v>
      </c>
      <c r="AJ7" s="23">
        <f t="shared" si="13"/>
        <v>116.60614004754096</v>
      </c>
      <c r="AK7" s="23">
        <f t="shared" si="14"/>
        <v>93.949371928066142</v>
      </c>
      <c r="AL7" s="9">
        <f t="shared" si="24"/>
        <v>1.6750745310027959E-2</v>
      </c>
      <c r="AM7" s="9">
        <f t="shared" si="25"/>
        <v>1.4397111677610042E-2</v>
      </c>
      <c r="AN7" s="9">
        <f>AVERAGE(AL5:AL9)</f>
        <v>1.7108787185153674E-2</v>
      </c>
      <c r="AO7" s="9">
        <f>AVERAGE(AM5:AM9)</f>
        <v>1.7426775621561853E-2</v>
      </c>
      <c r="AP7" s="23"/>
      <c r="AQ7" s="8">
        <f t="shared" si="1"/>
        <v>116.60614004754095</v>
      </c>
      <c r="AR7" s="32">
        <f>Parameters!$B$7*W7*(W7/O7)^(-Parameters!$B$9/Parameters!$B$7)*Parameters!$B$11*(V7)^(Parameters!$B$9-T7)*((1-2*Parameters!$B$5*C7/F7)*Parameters!$B$19*(F7+Parameters!$B$20)^(T7-1)-(1-2*Parameters!$B$5*D7/G7)*(Parameters!$B$18)*(G7)^(T7-1))</f>
        <v>8.9813654435930701E-2</v>
      </c>
      <c r="AS7" s="32">
        <f>((C8-C6)/2-(F8-F6)/F7/2*C7)/(F7/2/Parameters!$B$5-C7)-((D8-D6)/D7-(G8-G6)/G7)/(G7/2/Parameters!$B$5/D7-1)</f>
        <v>0.10308528220038318</v>
      </c>
      <c r="AT7" s="32">
        <f>+Parameters!$B$5*C7^2/F7^2-Parameters!$B$5*D7^2/G7^2</f>
        <v>-4.7900304259801248E-2</v>
      </c>
      <c r="AU7" s="30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0.7690662243498243</v>
      </c>
      <c r="AV7" s="30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60.813507779534085</v>
      </c>
      <c r="AW7" s="8">
        <f t="shared" si="26"/>
        <v>188.53855205914914</v>
      </c>
      <c r="AX7" s="13">
        <f>1-W7/'6states,ExoDamages'!T7</f>
        <v>1.6986406778977559E-2</v>
      </c>
      <c r="AY7" s="21">
        <f>-Y7*W7*X7^(-Parameters!B$52)*Parameters!B$46*Parameters!B$45*N7</f>
        <v>-1.9526013213774922E-5</v>
      </c>
      <c r="AZ7" s="7">
        <f>1000*EXP(-(Parameters!$B$54)*'6states'!A7)*AQ7*Parameters!B$46*Parameters!B$45*N7</f>
        <v>1.8350586059606315</v>
      </c>
      <c r="BA7" s="7">
        <f>SUM(AZ7:AZ$204)*EXP(Parameters!$B$54*A7)</f>
        <v>195.10859586846564</v>
      </c>
      <c r="BB7" s="13">
        <f t="shared" si="2"/>
        <v>0.19388663737622056</v>
      </c>
      <c r="BC7" s="30">
        <f>IF(C7&lt;0,Parameters!$B$6*AC7^2/AF7,0)</f>
        <v>0</v>
      </c>
      <c r="BD7" s="30">
        <f>Parameters!$B$5*AD7^2/AG7</f>
        <v>0.8120038640265963</v>
      </c>
      <c r="BE7" s="30">
        <f t="shared" si="15"/>
        <v>0</v>
      </c>
      <c r="BF7" s="30">
        <f t="shared" si="16"/>
        <v>0.21904063961412049</v>
      </c>
      <c r="BG7" s="30"/>
      <c r="BH7" s="5">
        <f t="shared" si="3"/>
        <v>-1.889914369770599E-3</v>
      </c>
      <c r="BI7" s="2">
        <f>BH7/Parameters!$B$45</f>
        <v>-3.1498572829509985</v>
      </c>
      <c r="BJ7" s="2">
        <f t="shared" si="27"/>
        <v>4.3920023894878923E-3</v>
      </c>
      <c r="BM7">
        <f>-EXP(-Parameters!B$42*'6states'!A7)*(-Parameters!B$37/Parameters!B$38/Parameters!E$25*(EXP(-Parameters!B$38*Parameters!E$25*'6states'!AE7/('6states'!F7+'6states'!AE7))-EXP(-Parameters!B$38*Parameters!E$25))+Parameters!B$37*'6states'!F7/('6states'!F7+'6states'!AE7)*EXP(-Parameters!B$38*Parameters!E$25*'6states'!I7/('6states'!F7+'6states'!AE7)))</f>
        <v>-0.50949845766131863</v>
      </c>
      <c r="BN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-18.116483205193749</v>
      </c>
      <c r="BO7" s="7">
        <f t="shared" si="4"/>
        <v>7.4023718191803534E-2</v>
      </c>
      <c r="BP7" s="7">
        <f t="shared" si="5"/>
        <v>-1.2785646820111429</v>
      </c>
      <c r="BU7">
        <f>EXP(-Parameters!$B$56*A7)*BH7*BN7</f>
        <v>2.7095122204334049E-2</v>
      </c>
      <c r="BV7">
        <f>-EXP((Parameters!$B$56)*F7)*SUM(BU7:BU15)</f>
        <v>-0.15450272157350101</v>
      </c>
      <c r="BW7">
        <f>X7^-Parameters!B$52/(1-2*Parameters!B$5*'6states'!D7/'6states'!G7)</f>
        <v>1.4101612811245072</v>
      </c>
      <c r="BX7">
        <f t="shared" si="17"/>
        <v>0.96940680514298327</v>
      </c>
      <c r="BY7">
        <f>$X7^-Parameters!$B$52/(1-2*Parameters!$B$5*'6states'!$E7/'6states'!$H7)</f>
        <v>0.89077247726903652</v>
      </c>
      <c r="BZ7">
        <f t="shared" si="18"/>
        <v>1.0089840875775813</v>
      </c>
      <c r="CA7" s="7">
        <f>($X7^-Parameters!$B$52*(1/(1+EXP(-C7)) + IF(C7&lt;0,2*Parameters!$B$6*C7/F7,0)) + BS7*(1/(1+EXP((C7-Parameters!$B$22)*Parameters!$B$21))))/(1-IF(C7&gt;0,2*Parameters!$B$5*C7/F7,0))</f>
        <v>0.40442195115070734</v>
      </c>
      <c r="CB7">
        <f t="shared" si="19"/>
        <v>1.4108051644839701</v>
      </c>
      <c r="CC7" s="7">
        <f t="shared" si="20"/>
        <v>0.11776156647694364</v>
      </c>
      <c r="CD7">
        <f>(1/$T7-1/Parameters!$B$13) * LN(Parameters!$B$18) / LN(P7)</f>
        <v>0.24714644155391474</v>
      </c>
      <c r="CE7">
        <f>(Parameters!$B$18*'6states'!T7^+Parameters!$B$19*Parameters!$B$25^'6states'!T7)^((1-'6states'!T7)/'6states'!T7)*Parameters!$B$18*Parameters!$B$26^('6states'!T7-1)</f>
        <v>0.15846406571861937</v>
      </c>
      <c r="CF7">
        <f t="shared" si="21"/>
        <v>0.32100713125432256</v>
      </c>
      <c r="CG7">
        <f t="shared" si="22"/>
        <v>0.15743869948600508</v>
      </c>
      <c r="CH7">
        <f t="shared" si="23"/>
        <v>0.10402155245246902</v>
      </c>
    </row>
    <row r="8" spans="1:86" x14ac:dyDescent="0.3">
      <c r="A8">
        <f>A7+Parameters!$B$65</f>
        <v>4</v>
      </c>
      <c r="B8">
        <v>2029</v>
      </c>
      <c r="C8" s="74">
        <v>6.6350235671554098E-3</v>
      </c>
      <c r="D8" s="69">
        <v>4.9609076524883298E-2</v>
      </c>
      <c r="E8" s="75">
        <v>0.22886395054351799</v>
      </c>
      <c r="F8" s="7">
        <f>MAX((1-Parameters!$B$4)^Parameters!B$65*F7 + C7*Parameters!B$65 - IF(C7&gt;0,Parameters!$B$5,0)*C7^2/F7*Parameters!B$65, 0.0001)</f>
        <v>0.57000706317486083</v>
      </c>
      <c r="G8" s="7">
        <f>(1-Parameters!$B$4)^Parameters!B$65*G7+D7*Parameters!B$65-Parameters!$B$5*D7^2/G7*Parameters!B$65</f>
        <v>0.23717863864994534</v>
      </c>
      <c r="H8" s="7">
        <f>(1-Parameters!$B$4)^Parameters!B$65*H7+E7*Parameters!B$65-Parameters!$B$5*E7^2/H7*Parameters!B$65</f>
        <v>4.1866336284037136</v>
      </c>
      <c r="I8" s="7">
        <f>I7 *(1-Parameters!$B$4)-C7*(C7&lt;0)*Parameters!B$65</f>
        <v>4.5144051111714004E-2</v>
      </c>
      <c r="J8" s="23">
        <f>J7*(1+Parameters!$B$51)^Parameters!B$65</f>
        <v>8.2550685502340979</v>
      </c>
      <c r="K8" s="23">
        <f>K7*(1+Parameters!$B$53)^Parameters!B$65</f>
        <v>9.7988122210920974</v>
      </c>
      <c r="L8" s="23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34.278921540493194</v>
      </c>
      <c r="M8" s="8">
        <f>M7+L8*Parameters!B$65</f>
        <v>2450.6363193743277</v>
      </c>
      <c r="N8" s="7">
        <f>M8*Parameters!$B$45</f>
        <v>1.4703817916245965</v>
      </c>
      <c r="O8" s="9">
        <f>EXP(-Parameters!$B$46/2*N8^2)</f>
        <v>0.9785060323575272</v>
      </c>
      <c r="P8" s="7">
        <f>MAX((Parameters!$B$62 + Parameters!$B$31*'6states'!A8 - '6states'!M8 + Parameters!$B$47/Parameters!$B$45)/Parameters!B$62,1)</f>
        <v>2.2432736125134487</v>
      </c>
      <c r="Q8" s="7">
        <f>Parameters!B$61*EXP(-Parameters!B$60*A8)</f>
        <v>0.44881379821521744</v>
      </c>
      <c r="R8" s="7">
        <f>(1-Parameters!B$61)*P8^-Parameters!B$63</f>
        <v>0.46119201517994635</v>
      </c>
      <c r="S8" s="7">
        <f>Parameters!B$61*EXP(-Parameters!B$60*A8)+(1-Parameters!B$61)*P8^-Parameters!B$63</f>
        <v>0.91000581339516384</v>
      </c>
      <c r="T8" s="7">
        <f>1-S8/Parameters!$B$12</f>
        <v>0.54499709330241808</v>
      </c>
      <c r="U8" s="7">
        <f t="shared" si="0"/>
        <v>2.1977881575702787</v>
      </c>
      <c r="V8" s="7">
        <f>(Parameters!$B$19*(F8+Parameters!$B$20)^T8+Parameters!$B$18*G8^T8)^(1/T8)</f>
        <v>0.46141841815570073</v>
      </c>
      <c r="W8" s="7">
        <f>(Parameters!$B$10*H8^Parameters!$B$9+Parameters!$B$11*V8^Parameters!$B$9)^(Parameters!$B$7/Parameters!$B$9)*O8</f>
        <v>1.4677050846885016</v>
      </c>
      <c r="X8" s="7">
        <f>W8 - D8 - E8 - LN(1+EXP(Parameters!$B$21*C8))/Parameters!$B$21 - IF(C8&gt;0, 0,Parameters!$B$6*C8^2/F8)</f>
        <v>1.1821701529255444</v>
      </c>
      <c r="Y8" s="7">
        <f>EXP(-Parameters!$B$55*A8)</f>
        <v>0.94138790310193321</v>
      </c>
      <c r="Z8" s="7">
        <f>IF(X8&gt;0,X8^(1-Parameters!$B$52)/(1-Parameters!$B$52)*Y8*Parameters!$B$65,-10+X8*1000)</f>
        <v>-2.5366618205800004</v>
      </c>
      <c r="AB8" s="9"/>
      <c r="AC8" s="23">
        <f t="shared" si="6"/>
        <v>0.53670617120843023</v>
      </c>
      <c r="AD8" s="23">
        <f t="shared" si="7"/>
        <v>4.0128715820479153</v>
      </c>
      <c r="AE8" s="23">
        <f t="shared" si="8"/>
        <v>3.6516962720289596</v>
      </c>
      <c r="AF8" s="23">
        <f t="shared" si="9"/>
        <v>46.107795298984776</v>
      </c>
      <c r="AG8" s="23">
        <f t="shared" si="10"/>
        <v>19.185348439811861</v>
      </c>
      <c r="AH8" s="23">
        <f t="shared" si="11"/>
        <v>37.324074289545933</v>
      </c>
      <c r="AI8" s="23">
        <f t="shared" si="12"/>
        <v>91.857388437541033</v>
      </c>
      <c r="AJ8" s="23">
        <f t="shared" si="13"/>
        <v>118.72246850270454</v>
      </c>
      <c r="AK8" s="23">
        <f t="shared" si="14"/>
        <v>95.625585963904726</v>
      </c>
      <c r="AL8" s="9">
        <f t="shared" si="24"/>
        <v>1.7986640247209529E-2</v>
      </c>
      <c r="AM8" s="9">
        <f t="shared" si="25"/>
        <v>1.768437919016641E-2</v>
      </c>
      <c r="AN8" s="9">
        <f t="shared" ref="AN8:AO8" si="28">AVERAGE(AL6:AL10)</f>
        <v>1.7308771331723705E-2</v>
      </c>
      <c r="AO8" s="9">
        <f t="shared" si="28"/>
        <v>1.7157758292975167E-2</v>
      </c>
      <c r="AP8" s="23"/>
      <c r="AQ8" s="8">
        <f t="shared" si="1"/>
        <v>118.72246850270456</v>
      </c>
      <c r="AR8" s="32">
        <f>Parameters!$B$7*W8*(W8/O8)^(-Parameters!$B$9/Parameters!$B$7)*Parameters!$B$11*(V8)^(Parameters!$B$9-T8)*((1-2*Parameters!$B$5*C8/F8)*Parameters!$B$19*(F8+Parameters!$B$20)^(T8-1)-(1-2*Parameters!$B$5*D8/G8)*(Parameters!$B$18)*(G8)^(T8-1))</f>
        <v>9.810959239231648E-2</v>
      </c>
      <c r="AS8" s="32">
        <f>((C9-C7)/2-(F9-F7)/F8/2*C8)/(F8/2/Parameters!$B$5-C8)-((D9-D7)/D8-(G9-G7)/G8)/(G8/2/Parameters!$B$5/D8-1)</f>
        <v>5.0628775354149225E-2</v>
      </c>
      <c r="AT8" s="32">
        <f>+Parameters!$B$5*C8^2/F8^2-Parameters!$B$5*D8^2/G8^2</f>
        <v>-4.3613807935190242E-2</v>
      </c>
      <c r="AU8" s="30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0.76192311805069735</v>
      </c>
      <c r="AV8" s="30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61.631859375519291</v>
      </c>
      <c r="AW8" s="8">
        <f t="shared" si="26"/>
        <v>137.97266065403809</v>
      </c>
      <c r="AX8" s="13">
        <f>1-W8/'6states,ExoDamages'!T8</f>
        <v>2.1133298136372325E-2</v>
      </c>
      <c r="AY8" s="21">
        <f>-Y8*W8*X8^(-Parameters!B$52)*Parameters!B$46*Parameters!B$45*N8</f>
        <v>-1.9546403021689554E-5</v>
      </c>
      <c r="AZ8" s="7">
        <f>1000*EXP(-(Parameters!$B$54)*'6states'!A8)*AQ8*Parameters!B$46*Parameters!B$45*N8</f>
        <v>1.8295125649559103</v>
      </c>
      <c r="BA8" s="7">
        <f>SUM(AZ8:AZ$204)*EXP(Parameters!$B$54*A8)</f>
        <v>199.96684974802713</v>
      </c>
      <c r="BB8" s="13">
        <f t="shared" si="2"/>
        <v>0.19425431826180983</v>
      </c>
      <c r="BC8" s="30">
        <f>IF(C8&lt;0,Parameters!$B$6*AC8^2/AF8,0)</f>
        <v>0</v>
      </c>
      <c r="BD8" s="30">
        <f>Parameters!$B$5*AD8^2/AG8</f>
        <v>0.83934562796846712</v>
      </c>
      <c r="BE8" s="30">
        <f t="shared" si="15"/>
        <v>0</v>
      </c>
      <c r="BF8" s="30">
        <f t="shared" si="16"/>
        <v>0.20916334121515007</v>
      </c>
      <c r="BG8" s="30"/>
      <c r="BH8" s="5">
        <f t="shared" si="3"/>
        <v>-1.8979268955572122E-3</v>
      </c>
      <c r="BI8" s="2">
        <f>BH8/Parameters!$B$45</f>
        <v>-3.1632114925953538</v>
      </c>
      <c r="BJ8" s="2">
        <f t="shared" si="27"/>
        <v>4.2217251915073195E-3</v>
      </c>
      <c r="BM8">
        <f>-EXP(-Parameters!B$42*'6states'!A8)*(-Parameters!B$37/Parameters!B$38/Parameters!E$25*(EXP(-Parameters!B$38*Parameters!E$25*'6states'!AE8/('6states'!F8+'6states'!AE8))-EXP(-Parameters!B$38*Parameters!E$25))+Parameters!B$37*'6states'!F8/('6states'!F8+'6states'!AE8)*EXP(-Parameters!B$38*Parameters!E$25*'6states'!I8/('6states'!F8+'6states'!AE8)))</f>
        <v>-0.50344841141128571</v>
      </c>
      <c r="BN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-18.865688815676066</v>
      </c>
      <c r="BO8" s="7">
        <f t="shared" si="4"/>
        <v>7.3386928940330512E-2</v>
      </c>
      <c r="BP8" s="7">
        <f t="shared" si="5"/>
        <v>-1.2653715294619832</v>
      </c>
      <c r="BU8">
        <f>EXP(-Parameters!$B$56*A8)*BH8*BN8</f>
        <v>2.6209109692464271E-2</v>
      </c>
      <c r="BV8">
        <f>-EXP((Parameters!$B$56)*F8)*SUM(BU8:BU16)</f>
        <v>-0.13741076598315757</v>
      </c>
      <c r="BW8">
        <f>X8^-Parameters!B$52/(1-2*Parameters!B$5*'6states'!D8/'6states'!G8)</f>
        <v>1.3715222921673942</v>
      </c>
      <c r="BX8">
        <f t="shared" si="17"/>
        <v>0.97259959589423628</v>
      </c>
      <c r="BY8">
        <f>$X8^-Parameters!$B$52/(1-2*Parameters!$B$5*'6states'!$E8/'6states'!$H8)</f>
        <v>0.89570617217874537</v>
      </c>
      <c r="BZ8">
        <f t="shared" si="18"/>
        <v>1.0055386701268934</v>
      </c>
      <c r="CA8" s="7">
        <f>($X8^-Parameters!$B$52*(1/(1+EXP(-C8)) + IF(C8&lt;0,2*Parameters!$B$6*C8/F8,0)) + BS8*(1/(1+EXP((C8-Parameters!$B$22)*Parameters!$B$21))))/(1-IF(C8&gt;0,2*Parameters!$B$5*C8/F8,0))</f>
        <v>0.40975149285233003</v>
      </c>
      <c r="CB8">
        <f t="shared" si="19"/>
        <v>1.0131781711810115</v>
      </c>
      <c r="CC8" s="7">
        <f t="shared" si="20"/>
        <v>5.3295417016226976E-3</v>
      </c>
      <c r="CD8">
        <f>(1/$T8-1/Parameters!$B$13) * LN(Parameters!$B$18) / LN(P8)</f>
        <v>0.24347627334401134</v>
      </c>
      <c r="CE8">
        <f>(Parameters!$B$18*'6states'!T8^+Parameters!$B$19*Parameters!$B$25^'6states'!T8)^((1-'6states'!T8)/'6states'!T8)*Parameters!$B$18*Parameters!$B$26^('6states'!T8-1)</f>
        <v>0.16698626122215526</v>
      </c>
      <c r="CF8">
        <f t="shared" si="21"/>
        <v>0.31243735920353871</v>
      </c>
      <c r="CG8">
        <f t="shared" si="22"/>
        <v>0.15529252281171013</v>
      </c>
      <c r="CH8">
        <f t="shared" si="23"/>
        <v>0.1092986172887791</v>
      </c>
    </row>
    <row r="9" spans="1:86" x14ac:dyDescent="0.3">
      <c r="A9">
        <f>A8+Parameters!$B$65</f>
        <v>5</v>
      </c>
      <c r="B9">
        <v>2030</v>
      </c>
      <c r="C9" s="74">
        <v>-4.9371727979462899E-3</v>
      </c>
      <c r="D9" s="69">
        <v>5.2132386826712299E-2</v>
      </c>
      <c r="E9" s="75">
        <v>0.23284797196631801</v>
      </c>
      <c r="F9" s="7">
        <f>MAX((1-Parameters!$B$4)^Parameters!B$65*F8 + C8*Parameters!B$65 - IF(C8&gt;0,Parameters!$B$5,0)*C8^2/F8*Parameters!B$65, 0.0001)</f>
        <v>0.54071140914862581</v>
      </c>
      <c r="G9" s="7">
        <f>(1-Parameters!$B$4)^Parameters!B$65*G8+D8*Parameters!B$65-Parameters!$B$5*D8^2/G8*Parameters!B$65</f>
        <v>0.26149277860320441</v>
      </c>
      <c r="H9" s="7">
        <f>(1-Parameters!$B$4)^Parameters!B$65*H8+E8*Parameters!B$65-Parameters!$B$5*E8^2/H8*Parameters!B$65</f>
        <v>4.1396473871287593</v>
      </c>
      <c r="I9" s="7">
        <f>I8 *(1-Parameters!$B$4)-C8*(C8&lt;0)*Parameters!B$65</f>
        <v>4.2304490296787192E-2</v>
      </c>
      <c r="J9" s="23">
        <f>J8*(1+Parameters!$B$51)^Parameters!B$65</f>
        <v>8.2790082490297756</v>
      </c>
      <c r="K9" s="23">
        <f>K8*(1+Parameters!$B$53)^Parameters!B$65</f>
        <v>9.9947884655139401</v>
      </c>
      <c r="L9" s="23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32.94280204260194</v>
      </c>
      <c r="M9" s="8">
        <f>M8+L9*Parameters!B$65</f>
        <v>2483.5791214169299</v>
      </c>
      <c r="N9" s="7">
        <f>M9*Parameters!$B$45</f>
        <v>1.4901474728501578</v>
      </c>
      <c r="O9" s="9">
        <f>EXP(-Parameters!$B$46/2*N9^2)</f>
        <v>0.97793074740096342</v>
      </c>
      <c r="P9" s="7">
        <f>MAX((Parameters!$B$62 + Parameters!$B$31*'6states'!A9 - '6states'!M9 + Parameters!$B$47/Parameters!$B$45)/Parameters!B$62,1)</f>
        <v>2.6484175716614029</v>
      </c>
      <c r="Q9" s="7">
        <f>Parameters!B$61*EXP(-Parameters!B$60*A9)</f>
        <v>0.43685795584401721</v>
      </c>
      <c r="R9" s="7">
        <f>(1-Parameters!B$61)*P9^-Parameters!B$63</f>
        <v>0.45359823736909116</v>
      </c>
      <c r="S9" s="7">
        <f>Parameters!B$61*EXP(-Parameters!B$60*A9)+(1-Parameters!B$61)*P9^-Parameters!B$63</f>
        <v>0.89045619321310832</v>
      </c>
      <c r="T9" s="7">
        <f>1-S9/Parameters!$B$12</f>
        <v>0.55477190339344584</v>
      </c>
      <c r="U9" s="7">
        <f t="shared" si="0"/>
        <v>2.2460397437219579</v>
      </c>
      <c r="V9" s="7">
        <f>(Parameters!$B$19*(F9+Parameters!$B$20)^T9+Parameters!$B$18*G9^T9)^(1/T9)</f>
        <v>0.45286866880675536</v>
      </c>
      <c r="W9" s="7">
        <f>(Parameters!$B$10*H9^Parameters!$B$9+Parameters!$B$11*V9^Parameters!$B$9)^(Parameters!$B$7/Parameters!$B$9)*O9</f>
        <v>1.460979282905422</v>
      </c>
      <c r="X9" s="7">
        <f>W9 - D9 - E9 - LN(1+EXP(Parameters!$B$21*C9))/Parameters!$B$21 - IF(C9&gt;0, 0,Parameters!$B$6*C9^2/F9)</f>
        <v>1.1750905928290434</v>
      </c>
      <c r="Y9" s="7">
        <f>EXP(-Parameters!$B$55*A9)</f>
        <v>0.92727973053399881</v>
      </c>
      <c r="Z9" s="7">
        <f>IF(X9&gt;0,X9^(1-Parameters!$B$52)/(1-Parameters!$B$52)*Y9*Parameters!$B$65,-10+X9*1000)</f>
        <v>-2.503904438026713</v>
      </c>
      <c r="AB9" s="9"/>
      <c r="AC9" s="23">
        <f t="shared" si="6"/>
        <v>-0.40853592228945917</v>
      </c>
      <c r="AD9" s="23">
        <f t="shared" si="7"/>
        <v>4.3137952842689735</v>
      </c>
      <c r="AE9" s="23">
        <f t="shared" si="8"/>
        <v>3.5005669575860461</v>
      </c>
      <c r="AF9" s="23">
        <f t="shared" si="9"/>
        <v>44.742212450180901</v>
      </c>
      <c r="AG9" s="23">
        <f t="shared" si="10"/>
        <v>21.637726255627733</v>
      </c>
      <c r="AH9" s="23">
        <f t="shared" si="11"/>
        <v>37.473494823581447</v>
      </c>
      <c r="AI9" s="23">
        <f t="shared" si="12"/>
        <v>92.225123747704899</v>
      </c>
      <c r="AJ9" s="23">
        <f t="shared" si="13"/>
        <v>120.8915594438654</v>
      </c>
      <c r="AK9" s="23">
        <f t="shared" si="14"/>
        <v>97.235146259165433</v>
      </c>
      <c r="AL9" s="9">
        <f t="shared" si="24"/>
        <v>1.8105368976542024E-2</v>
      </c>
      <c r="AM9" s="9">
        <f t="shared" si="25"/>
        <v>1.6691813282974977E-2</v>
      </c>
      <c r="AN9" s="9">
        <f t="shared" ref="AN9:AO9" si="29">AVERAGE(AL7:AL11)</f>
        <v>1.7329302395924628E-2</v>
      </c>
      <c r="AO9" s="9">
        <f t="shared" si="29"/>
        <v>1.5960850269660654E-2</v>
      </c>
      <c r="AP9" s="23"/>
      <c r="AQ9" s="8">
        <f t="shared" si="1"/>
        <v>120.89155944386542</v>
      </c>
      <c r="AR9" s="32">
        <f>Parameters!$B$7*W9*(W9/O9)^(-Parameters!$B$9/Parameters!$B$7)*Parameters!$B$11*(V9)^(Parameters!$B$9-T9)*((1-2*Parameters!$B$5*C9/F9)*Parameters!$B$19*(F9+Parameters!$B$20)^(T9-1)-(1-2*Parameters!$B$5*D9/G9)*(Parameters!$B$18)*(G9)^(T9-1))</f>
        <v>0.11334537834545158</v>
      </c>
      <c r="AS9" s="32">
        <f>((C10-C8)/2-(F10-F8)/F9/2*C9)/(F9/2/Parameters!$B$5-C9)-((D10-D8)/D9-(G10-G8)/G9)/(G9/2/Parameters!$B$5/D9-1)</f>
        <v>4.0540798551697725E-2</v>
      </c>
      <c r="AT9" s="32">
        <f>+Parameters!$B$5*C9^2/F9^2-Parameters!$B$5*D9^2/G9^2</f>
        <v>-3.9662845722377889E-2</v>
      </c>
      <c r="AU9" s="30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0.75500938135165629</v>
      </c>
      <c r="AV9" s="30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62.474713073846196</v>
      </c>
      <c r="AW9" s="8">
        <f t="shared" si="26"/>
        <v>151.28730052371401</v>
      </c>
      <c r="AX9" s="13">
        <f>1-W9/'6states,ExoDamages'!T9</f>
        <v>2.5143929525146547E-2</v>
      </c>
      <c r="AY9" s="21">
        <f>-Y9*W9*X9^(-Parameters!B$52)*Parameters!B$46*Parameters!B$45*N9</f>
        <v>-1.9581008714992267E-5</v>
      </c>
      <c r="AZ9" s="7">
        <f>1000*EXP(-(Parameters!$B$54)*'6states'!A9)*AQ9*Parameters!B$46*Parameters!B$45*N9</f>
        <v>1.8228622731243953</v>
      </c>
      <c r="BA9" s="7">
        <f>SUM(AZ9:AZ$204)*EXP(Parameters!$B$54*A9)</f>
        <v>204.92983080850348</v>
      </c>
      <c r="BB9" s="13">
        <f t="shared" si="2"/>
        <v>0.19506119089265606</v>
      </c>
      <c r="BC9" s="30">
        <f>IF(C9&lt;0,Parameters!$B$6*AC9^2/AF9,0)</f>
        <v>1.8651469234644901E-2</v>
      </c>
      <c r="BD9" s="30">
        <f>Parameters!$B$5*AD9^2/AG9</f>
        <v>0.86001780107284986</v>
      </c>
      <c r="BE9" s="30">
        <f t="shared" si="15"/>
        <v>4.5654416703728225E-2</v>
      </c>
      <c r="BF9" s="30">
        <f t="shared" si="16"/>
        <v>0.19936453735045301</v>
      </c>
      <c r="BG9" s="30"/>
      <c r="BH9" s="5">
        <f t="shared" si="3"/>
        <v>-1.9057237630008606E-3</v>
      </c>
      <c r="BI9" s="2">
        <f>BH9/Parameters!$B$45</f>
        <v>-3.1762062716681014</v>
      </c>
      <c r="BJ9" s="2">
        <f t="shared" si="27"/>
        <v>4.0912894066930106E-3</v>
      </c>
      <c r="BM9">
        <f>-EXP(-Parameters!B$42*'6states'!A9)*(-Parameters!B$37/Parameters!B$38/Parameters!E$25*(EXP(-Parameters!B$38*Parameters!E$25*'6states'!AE9/('6states'!F9+'6states'!AE9))-EXP(-Parameters!B$38*Parameters!E$25))+Parameters!B$37*'6states'!F9/('6states'!F9+'6states'!AE9)*EXP(-Parameters!B$38*Parameters!E$25*'6states'!I9/('6states'!F9+'6states'!AE9)))</f>
        <v>-0.49869149761876269</v>
      </c>
      <c r="BN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-19.808490631481583</v>
      </c>
      <c r="BO9" s="7">
        <f t="shared" si="4"/>
        <v>7.2561469313322052E-2</v>
      </c>
      <c r="BP9" s="7">
        <f t="shared" si="5"/>
        <v>-1.2537008789704189</v>
      </c>
      <c r="BU9">
        <f>EXP(-Parameters!$B$56*A9)*BH9*BN9</f>
        <v>2.5558566138398856E-2</v>
      </c>
      <c r="BV9">
        <f>-EXP((Parameters!$B$56)*F9)*SUM(BU9:BU17)</f>
        <v>-0.12164137480047946</v>
      </c>
      <c r="BW9">
        <f>X9^-Parameters!B$52/(1-2*Parameters!B$5*'6states'!D9/'6states'!G9)</f>
        <v>1.337622219334633</v>
      </c>
      <c r="BX9">
        <f t="shared" si="17"/>
        <v>0.97528288601187119</v>
      </c>
      <c r="BY9">
        <f>$X9^-Parameters!$B$52/(1-2*Parameters!$B$5*'6states'!$E9/'6states'!$H9)</f>
        <v>0.90621994366403957</v>
      </c>
      <c r="BZ9">
        <f t="shared" si="18"/>
        <v>1.0117379692268058</v>
      </c>
      <c r="CA9" s="7">
        <f>($X9^-Parameters!$B$52*(1/(1+EXP(-C9)) + IF(C9&lt;0,2*Parameters!$B$6*C9/F9,0)) + BS9*(1/(1+EXP((C9-Parameters!$B$22)*Parameters!$B$21))))/(1-IF(C9&gt;0,2*Parameters!$B$5*C9/F9,0))</f>
        <v>0.32770670636525656</v>
      </c>
      <c r="CB9">
        <f t="shared" si="19"/>
        <v>0.79976940189784373</v>
      </c>
      <c r="CC9" s="7">
        <f t="shared" si="20"/>
        <v>-8.2044786487073473E-2</v>
      </c>
      <c r="CD9">
        <f>(1/$T9-1/Parameters!$B$13) * LN(Parameters!$B$18) / LN(P9)</f>
        <v>0.24151531591188977</v>
      </c>
      <c r="CE9">
        <f>(Parameters!$B$18*'6states'!T9^+Parameters!$B$19*Parameters!$B$25^'6states'!T9)^((1-'6states'!T9)/'6states'!T9)*Parameters!$B$18*Parameters!$B$26^('6states'!T9-1)</f>
        <v>0.17485060421514331</v>
      </c>
      <c r="CF9">
        <f t="shared" si="21"/>
        <v>0.30642852966289652</v>
      </c>
      <c r="CG9">
        <f t="shared" si="22"/>
        <v>0.15414358862347011</v>
      </c>
      <c r="CH9">
        <f t="shared" si="23"/>
        <v>0.11414075202784979</v>
      </c>
    </row>
    <row r="10" spans="1:86" x14ac:dyDescent="0.3">
      <c r="A10">
        <f>A9+Parameters!$B$65</f>
        <v>6</v>
      </c>
      <c r="B10">
        <v>2031</v>
      </c>
      <c r="C10" s="74">
        <v>-4.7812388850482796E-3</v>
      </c>
      <c r="D10" s="69">
        <v>5.4592522611644601E-2</v>
      </c>
      <c r="E10" s="75">
        <v>0.22597644441425499</v>
      </c>
      <c r="F10" s="7">
        <f>MAX((1-Parameters!$B$4)^Parameters!B$65*F9 + C9*Parameters!B$65 - IF(C9&gt;0,Parameters!$B$5,0)*C9^2/F9*Parameters!B$65, 0.0001)</f>
        <v>0.50176348871523102</v>
      </c>
      <c r="G10" s="7">
        <f>(1-Parameters!$B$4)^Parameters!B$65*G9+D9*Parameters!B$65-Parameters!$B$5*D9^2/G9*Parameters!B$65</f>
        <v>0.28678392047509282</v>
      </c>
      <c r="H10" s="7">
        <f>(1-Parameters!$B$4)^Parameters!B$65*H9+E9*Parameters!B$65-Parameters!$B$5*E9^2/H9*Parameters!B$65</f>
        <v>4.0990142446468045</v>
      </c>
      <c r="I10" s="7">
        <f>I9 *(1-Parameters!$B$4)-C9*(C9&lt;0)*Parameters!B$65</f>
        <v>4.4580710655065567E-2</v>
      </c>
      <c r="J10" s="23">
        <f>J9*(1+Parameters!$B$51)^Parameters!B$65</f>
        <v>8.3030173729519614</v>
      </c>
      <c r="K10" s="23">
        <f>K9*(1+Parameters!$B$53)^Parameters!B$65</f>
        <v>10.194684234824219</v>
      </c>
      <c r="L10" s="23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30.87239156254909</v>
      </c>
      <c r="M10" s="8">
        <f>M9+L10*Parameters!B$65</f>
        <v>2514.451512979479</v>
      </c>
      <c r="N10" s="7">
        <f>M10*Parameters!$B$45</f>
        <v>1.5086709077876872</v>
      </c>
      <c r="O10" s="9">
        <f>EXP(-Parameters!$B$46/2*N10^2)</f>
        <v>0.97738495858521579</v>
      </c>
      <c r="P10" s="7">
        <f>MAX((Parameters!$B$62 + Parameters!$B$31*'6states'!A10 - '6states'!M10 + Parameters!$B$47/Parameters!$B$45)/Parameters!B$62,1)</f>
        <v>3.0949697404104155</v>
      </c>
      <c r="Q10" s="7">
        <f>Parameters!B$61*EXP(-Parameters!B$60*A10)</f>
        <v>0.42522060227011649</v>
      </c>
      <c r="R10" s="7">
        <f>(1-Parameters!B$61)*P10^-Parameters!B$63</f>
        <v>0.44658523837221464</v>
      </c>
      <c r="S10" s="7">
        <f>Parameters!B$61*EXP(-Parameters!B$60*A10)+(1-Parameters!B$61)*P10^-Parameters!B$63</f>
        <v>0.87180584064233113</v>
      </c>
      <c r="T10" s="7">
        <f>1-S10/Parameters!$B$12</f>
        <v>0.56409707967883449</v>
      </c>
      <c r="U10" s="7">
        <f t="shared" si="0"/>
        <v>2.2940887830327399</v>
      </c>
      <c r="V10" s="7">
        <f>(Parameters!$B$19*(F10+Parameters!$B$20)^T10+Parameters!$B$18*G10^T10)^(1/T10)</f>
        <v>0.43747363135837997</v>
      </c>
      <c r="W10" s="7">
        <f>(Parameters!$B$10*H10^Parameters!$B$9+Parameters!$B$11*V10^Parameters!$B$9)^(Parameters!$B$7/Parameters!$B$9)*O10</f>
        <v>1.4527069677226623</v>
      </c>
      <c r="X10" s="7">
        <f>W10 - D10 - E10 - LN(1+EXP(Parameters!$B$21*C10))/Parameters!$B$21 - IF(C10&gt;0, 0,Parameters!$B$6*C10^2/F10)</f>
        <v>1.1711978309253472</v>
      </c>
      <c r="Y10" s="7">
        <f>EXP(-Parameters!$B$55*A10)</f>
        <v>0.91338299103478215</v>
      </c>
      <c r="Z10" s="7">
        <f>IF(X10&gt;0,X10^(1-Parameters!$B$52)/(1-Parameters!$B$52)*Y10*Parameters!$B$65,-10+X10*1000)</f>
        <v>-2.4692455786096539</v>
      </c>
      <c r="AB10" s="9"/>
      <c r="AC10" s="23">
        <f t="shared" si="6"/>
        <v>-0.40471580815562525</v>
      </c>
      <c r="AD10" s="23">
        <f t="shared" si="7"/>
        <v>4.6210736253147671</v>
      </c>
      <c r="AE10" s="23">
        <f t="shared" si="8"/>
        <v>3.7736073797397736</v>
      </c>
      <c r="AF10" s="23">
        <f t="shared" si="9"/>
        <v>42.472593551727563</v>
      </c>
      <c r="AG10" s="23">
        <f t="shared" si="10"/>
        <v>24.275295364151994</v>
      </c>
      <c r="AH10" s="23">
        <f t="shared" si="11"/>
        <v>37.030673120235654</v>
      </c>
      <c r="AI10" s="23">
        <f t="shared" si="12"/>
        <v>91.135305822221852</v>
      </c>
      <c r="AJ10" s="23">
        <f t="shared" si="13"/>
        <v>122.96676417774266</v>
      </c>
      <c r="AK10" s="23">
        <f t="shared" si="14"/>
        <v>99.137961530295073</v>
      </c>
      <c r="AL10" s="9">
        <f t="shared" si="24"/>
        <v>1.702016809856044E-2</v>
      </c>
      <c r="AM10" s="9">
        <f t="shared" si="25"/>
        <v>1.9380197716853509E-2</v>
      </c>
      <c r="AN10" s="9">
        <f t="shared" ref="AN10:AO10" si="30">AVERAGE(AL8:AL12)</f>
        <v>1.7738791175974988E-2</v>
      </c>
      <c r="AO10" s="9">
        <f t="shared" si="30"/>
        <v>1.6715432623056616E-2</v>
      </c>
      <c r="AP10" s="23"/>
      <c r="AQ10" s="8">
        <f t="shared" si="1"/>
        <v>122.96676417774268</v>
      </c>
      <c r="AR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0.13111886624082292</v>
      </c>
      <c r="AS10" s="32">
        <f>((C11-C9)/2-(F11-F9)/F10/2*C10)/(F10/2/Parameters!$B$5-C10)-((D11-D9)/D10-(G11-G9)/G10)/(G10/2/Parameters!$B$5/D10-1)</f>
        <v>9.9250636764744951E-2</v>
      </c>
      <c r="AT10" s="32">
        <f>+Parameters!$B$5*C10^2/F10^2-Parameters!$B$5*D10^2/G10^2</f>
        <v>-3.6146575650651769E-2</v>
      </c>
      <c r="AU10" s="30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0.74106538504957875</v>
      </c>
      <c r="AV10" s="30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62.728695097080745</v>
      </c>
      <c r="AW10" s="8">
        <f t="shared" si="26"/>
        <v>262.08608750754456</v>
      </c>
      <c r="AX10" s="13">
        <f>1-W10/'6states,ExoDamages'!T10</f>
        <v>3.02004529015234E-2</v>
      </c>
      <c r="AY10" s="21">
        <f>-Y10*W10*X10^(-Parameters!B$52)*Parameters!B$46*Parameters!B$45*N10</f>
        <v>-1.9503920269056512E-5</v>
      </c>
      <c r="AZ10" s="7">
        <f>1000*EXP(-(Parameters!$B$54)*'6states'!A10)*AQ10*Parameters!B$46*Parameters!B$45*N10</f>
        <v>1.812454657623082</v>
      </c>
      <c r="BA10" s="7">
        <f>SUM(AZ10:AZ$204)*EXP(Parameters!$B$54*A10)</f>
        <v>210.00042081194971</v>
      </c>
      <c r="BB10" s="13">
        <f t="shared" si="2"/>
        <v>0.19313528003912164</v>
      </c>
      <c r="BC10" s="30">
        <f>IF(C10&lt;0,Parameters!$B$6*AC10^2/AF10,0)</f>
        <v>1.9282420930049202E-2</v>
      </c>
      <c r="BD10" s="30">
        <f>Parameters!$B$5*AD10^2/AG10</f>
        <v>0.87967298153308104</v>
      </c>
      <c r="BE10" s="30">
        <f t="shared" si="15"/>
        <v>4.7644348309306805E-2</v>
      </c>
      <c r="BF10" s="30">
        <f t="shared" si="16"/>
        <v>0.19036116990522123</v>
      </c>
      <c r="BG10" s="30"/>
      <c r="BH10" s="5">
        <f t="shared" si="3"/>
        <v>-1.9132806564887475E-3</v>
      </c>
      <c r="BI10" s="2">
        <f>BH10/Parameters!$B$45</f>
        <v>-3.1888010941479128</v>
      </c>
      <c r="BJ10" s="2">
        <f t="shared" si="27"/>
        <v>3.9497046406956615E-3</v>
      </c>
      <c r="BM10">
        <f>-EXP(-Parameters!B$42*'6states'!A10)*(-Parameters!B$37/Parameters!B$38/Parameters!E$25*(EXP(-Parameters!B$38*Parameters!E$25*'6states'!AE10/('6states'!F10+'6states'!AE10))-EXP(-Parameters!B$38*Parameters!E$25))+Parameters!B$37*'6states'!F10/('6states'!F10+'6states'!AE10)*EXP(-Parameters!B$38*Parameters!E$25*'6states'!I10/('6states'!F10+'6states'!AE10)))</f>
        <v>-0.43383187780674159</v>
      </c>
      <c r="BN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-13.516548369506182</v>
      </c>
      <c r="BO10" s="7">
        <f t="shared" si="4"/>
        <v>8.1598213555572188E-2</v>
      </c>
      <c r="BP10" s="7">
        <f t="shared" si="5"/>
        <v>-1.1748972628563203</v>
      </c>
      <c r="BU10">
        <f>EXP(-Parameters!$B$56*A10)*BH10*BN10</f>
        <v>1.6195511399475289E-2</v>
      </c>
      <c r="BV10">
        <f>-EXP((Parameters!$B$56)*F10)*SUM(BU10:BU18)</f>
        <v>-0.10683265042998828</v>
      </c>
      <c r="BW10">
        <f>X10^-Parameters!B$52/(1-2*Parameters!B$5*'6states'!D10/'6states'!G10)</f>
        <v>1.3045590329433723</v>
      </c>
      <c r="BX10">
        <f t="shared" si="17"/>
        <v>0.9752821193358262</v>
      </c>
      <c r="BY10">
        <f>$X10^-Parameters!$B$52/(1-2*Parameters!$B$5*'6states'!$E10/'6states'!$H10)</f>
        <v>0.90799928743420777</v>
      </c>
      <c r="BZ10">
        <f t="shared" si="18"/>
        <v>1.0019634789353387</v>
      </c>
      <c r="CA10" s="7">
        <f>($X10^-Parameters!$B$52*(1/(1+EXP(-C10)) + IF(C10&lt;0,2*Parameters!$B$6*C10/F10,0)) + BS10*(1/(1+EXP((C10-Parameters!$B$22)*Parameters!$B$21))))/(1-IF(C10&gt;0,2*Parameters!$B$5*C10/F10,0))</f>
        <v>0.32599422399536337</v>
      </c>
      <c r="CB10">
        <f t="shared" si="19"/>
        <v>0.99477434444693824</v>
      </c>
      <c r="CC10" s="7">
        <f t="shared" si="20"/>
        <v>-1.7124823698931868E-3</v>
      </c>
      <c r="CD10">
        <f>(1/$T10-1/Parameters!$B$13) * LN(Parameters!$B$18) / LN(P10)</f>
        <v>0.23962641211108585</v>
      </c>
      <c r="CE10">
        <f>(Parameters!$B$18*'6states'!T10^+Parameters!$B$19*Parameters!$B$25^'6states'!T10)^((1-'6states'!T10)/'6states'!T10)*Parameters!$B$18*Parameters!$B$26^('6states'!T10-1)</f>
        <v>0.18223074621716925</v>
      </c>
      <c r="CF10">
        <f t="shared" si="21"/>
        <v>0.300759621586635</v>
      </c>
      <c r="CG10">
        <f t="shared" si="22"/>
        <v>0.1530353933682056</v>
      </c>
      <c r="CH10">
        <f t="shared" si="23"/>
        <v>0.11866081571593379</v>
      </c>
    </row>
    <row r="11" spans="1:86" x14ac:dyDescent="0.3">
      <c r="A11">
        <f>A10+Parameters!$B$65</f>
        <v>7</v>
      </c>
      <c r="B11">
        <v>2032</v>
      </c>
      <c r="C11" s="74">
        <v>9.4127593752766393E-3</v>
      </c>
      <c r="D11" s="69">
        <v>5.5481063499356199E-2</v>
      </c>
      <c r="E11" s="75">
        <v>0.22072368030303799</v>
      </c>
      <c r="F11" s="7">
        <f>MAX((1-Parameters!$B$4)^Parameters!B$65*F10 + C10*Parameters!B$65 - IF(C10&gt;0,Parameters!$B$5,0)*C10^2/F10*Parameters!B$65, 0.0001)</f>
        <v>0.46542132638999473</v>
      </c>
      <c r="G11" s="7">
        <f>(1-Parameters!$B$4)^Parameters!B$65*G10+D10*Parameters!B$65-Parameters!$B$5*D10^2/G10*Parameters!B$65</f>
        <v>0.31294543801642422</v>
      </c>
      <c r="H11" s="7">
        <f>(1-Parameters!$B$4)^Parameters!B$65*H10+E10*Parameters!B$65-Parameters!$B$5*E10^2/H10*Parameters!B$65</f>
        <v>4.0547047335775632</v>
      </c>
      <c r="I11" s="7">
        <f>I10 *(1-Parameters!$B$4)-C10*(C10&lt;0)*Parameters!B$65</f>
        <v>4.6557822839910223E-2</v>
      </c>
      <c r="J11" s="23">
        <f>J10*(1+Parameters!$B$51)^Parameters!B$65</f>
        <v>8.3270961233335221</v>
      </c>
      <c r="K11" s="23">
        <f>K10*(1+Parameters!$B$53)^Parameters!B$65</f>
        <v>10.398577919520704</v>
      </c>
      <c r="L11" s="23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28.943820272640679</v>
      </c>
      <c r="M11" s="8">
        <f>M10+L11*Parameters!B$65</f>
        <v>2543.3953332521196</v>
      </c>
      <c r="N11" s="7">
        <f>M11*Parameters!$B$45</f>
        <v>1.5260371999512716</v>
      </c>
      <c r="O11" s="9">
        <f>EXP(-Parameters!$B$46/2*N11^2)</f>
        <v>0.97686742238389623</v>
      </c>
      <c r="P11" s="7">
        <f>MAX((Parameters!$B$62 + Parameters!$B$31*'6states'!A11 - '6states'!M11 + Parameters!$B$47/Parameters!$B$45)/Parameters!B$62,1)</f>
        <v>3.5800933349576098</v>
      </c>
      <c r="Q11" s="7">
        <f>Parameters!B$61*EXP(-Parameters!B$60*A11)</f>
        <v>0.41389325334736682</v>
      </c>
      <c r="R11" s="7">
        <f>(1-Parameters!B$61)*P11^-Parameters!B$63</f>
        <v>0.44012959220809472</v>
      </c>
      <c r="S11" s="7">
        <f>Parameters!B$61*EXP(-Parameters!B$60*A11)+(1-Parameters!B$61)*P11^-Parameters!B$63</f>
        <v>0.85402284555546149</v>
      </c>
      <c r="T11" s="7">
        <f>1-S11/Parameters!$B$12</f>
        <v>0.57298857722226926</v>
      </c>
      <c r="U11" s="7">
        <f t="shared" si="0"/>
        <v>2.3418577271187497</v>
      </c>
      <c r="V11" s="7">
        <f>(Parameters!$B$19*(F11+Parameters!$B$20)^T11+Parameters!$B$18*G11^T11)^(1/T11)</f>
        <v>0.42301159716341002</v>
      </c>
      <c r="W11" s="7">
        <f>(Parameters!$B$10*H11^Parameters!$B$9+Parameters!$B$11*V11^Parameters!$B$9)^(Parameters!$B$7/Parameters!$B$9)*O11</f>
        <v>1.4441397985994415</v>
      </c>
      <c r="X11" s="7">
        <f>W11 - D11 - E11 - LN(1+EXP(Parameters!$B$21*C11))/Parameters!$B$21 - IF(C11&gt;0, 0,Parameters!$B$6*C11^2/F11)</f>
        <v>1.1583300215896069</v>
      </c>
      <c r="Y11" s="7">
        <f>EXP(-Parameters!$B$55*A11)</f>
        <v>0.89969451594850369</v>
      </c>
      <c r="Z11" s="7">
        <f>IF(X11&gt;0,X11^(1-Parameters!$B$52)/(1-Parameters!$B$52)*Y11*Parameters!$B$65,-10+X11*1000)</f>
        <v>-2.4416629854023686</v>
      </c>
      <c r="AB11" s="9"/>
      <c r="AC11" s="23">
        <f t="shared" si="6"/>
        <v>0.81505043785693332</v>
      </c>
      <c r="AD11" s="23">
        <f t="shared" si="7"/>
        <v>4.8041029516479687</v>
      </c>
      <c r="AE11" s="23">
        <f t="shared" si="8"/>
        <v>4.0314399187771768</v>
      </c>
      <c r="AF11" s="23">
        <f t="shared" si="9"/>
        <v>40.300813049411566</v>
      </c>
      <c r="AG11" s="23">
        <f t="shared" si="10"/>
        <v>27.097932297150642</v>
      </c>
      <c r="AH11" s="23">
        <f t="shared" si="11"/>
        <v>36.628556381902108</v>
      </c>
      <c r="AI11" s="23">
        <f t="shared" si="12"/>
        <v>90.145665914643828</v>
      </c>
      <c r="AJ11" s="23">
        <f t="shared" si="13"/>
        <v>125.04800433618915</v>
      </c>
      <c r="AK11" s="23">
        <f t="shared" si="14"/>
        <v>100.29974778269451</v>
      </c>
      <c r="AL11" s="9">
        <f t="shared" si="24"/>
        <v>1.678358934728319E-2</v>
      </c>
      <c r="AM11" s="9">
        <f t="shared" si="25"/>
        <v>1.165074948069833E-2</v>
      </c>
      <c r="AN11" s="9">
        <f t="shared" ref="AN11:AO11" si="31">AVERAGE(AL9:AL13)</f>
        <v>1.7928587660323458E-2</v>
      </c>
      <c r="AO11" s="9">
        <f t="shared" si="31"/>
        <v>1.6268924091631654E-2</v>
      </c>
      <c r="AP11" s="23"/>
      <c r="AQ11" s="8">
        <f t="shared" si="1"/>
        <v>125.04800433618915</v>
      </c>
      <c r="AR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0.13566143951317708</v>
      </c>
      <c r="AS11" s="32">
        <f>((C12-C10)/2-(F12-F10)/F11/2*C11)/(F11/2/Parameters!$B$5-C11)-((D12-D10)/D11-(G12-G10)/G11)/(G11/2/Parameters!$B$5/D11-1)</f>
        <v>0.10260826812230958</v>
      </c>
      <c r="AT11" s="32">
        <f>+Parameters!$B$5*C11^2/F11^2-Parameters!$B$5*D11^2/G11^2</f>
        <v>-3.1021556449938443E-2</v>
      </c>
      <c r="AU11" s="30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0.72870877219712837</v>
      </c>
      <c r="AV11" s="30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63.098861892663876</v>
      </c>
      <c r="AW11" s="8">
        <f t="shared" si="26"/>
        <v>284.40463336357914</v>
      </c>
      <c r="AX11" s="13">
        <f>1-W11/'6states,ExoDamages'!T11</f>
        <v>3.5464019515660694E-2</v>
      </c>
      <c r="AY11" s="21">
        <f>-Y11*W11*X11^(-Parameters!B$52)*Parameters!B$46*Parameters!B$45*N11</f>
        <v>-1.9608443284004277E-5</v>
      </c>
      <c r="AZ11" s="7">
        <f>1000*EXP(-(Parameters!$B$54)*'6states'!A11)*AQ11*Parameters!B$46*Parameters!B$45*N11</f>
        <v>1.8000436607440831</v>
      </c>
      <c r="BA11" s="7">
        <f>SUM(AZ11:AZ$204)*EXP(Parameters!$B$54*A11)</f>
        <v>215.18507158522527</v>
      </c>
      <c r="BB11" s="13">
        <f t="shared" si="2"/>
        <v>0.19777690737051146</v>
      </c>
      <c r="BC11" s="30">
        <f>IF(C11&lt;0,Parameters!$B$6*AC11^2/AF11,0)</f>
        <v>0</v>
      </c>
      <c r="BD11" s="30">
        <f>Parameters!$B$5*AD11^2/AG11</f>
        <v>0.85170355128754727</v>
      </c>
      <c r="BE11" s="30">
        <f t="shared" si="15"/>
        <v>0</v>
      </c>
      <c r="BF11" s="30">
        <f t="shared" si="16"/>
        <v>0.17728669844499989</v>
      </c>
      <c r="BG11" s="30"/>
      <c r="BH11" s="5">
        <f t="shared" si="3"/>
        <v>-1.9207120392657115E-3</v>
      </c>
      <c r="BI11" s="2">
        <f>BH11/Parameters!$B$45</f>
        <v>-3.2011867321095195</v>
      </c>
      <c r="BJ11" s="2">
        <f t="shared" si="27"/>
        <v>3.869077001154797E-3</v>
      </c>
      <c r="BM11">
        <f>-EXP(-Parameters!B$42*'6states'!A11)*(-Parameters!B$37/Parameters!B$38/Parameters!E$25*(EXP(-Parameters!B$38*Parameters!E$25*'6states'!AE11/('6states'!F11+'6states'!AE11))-EXP(-Parameters!B$38*Parameters!E$25))+Parameters!B$37*'6states'!F11/('6states'!F11+'6states'!AE11)*EXP(-Parameters!B$38*Parameters!E$25*'6states'!I11/('6states'!F11+'6states'!AE11)))</f>
        <v>-0.37997703840890251</v>
      </c>
      <c r="BN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-9.1012787388932441</v>
      </c>
      <c r="BO11" s="7">
        <f t="shared" si="4"/>
        <v>9.0936951065175839E-2</v>
      </c>
      <c r="BP11" s="7">
        <f t="shared" si="5"/>
        <v>-1.1086858106060309</v>
      </c>
      <c r="BU11">
        <f>EXP(-Parameters!$B$56*A11)*BH11*BN11</f>
        <v>1.0126045789218517E-2</v>
      </c>
      <c r="BV11">
        <f>-EXP((Parameters!$B$56)*F11)*SUM(BU11:BU19)</f>
        <v>-0.10213810927395109</v>
      </c>
      <c r="BW11">
        <f>X11^-Parameters!B$52/(1-2*Parameters!B$5*'6states'!D11/'6states'!G11)</f>
        <v>1.2705141783907832</v>
      </c>
      <c r="BX11">
        <f t="shared" si="17"/>
        <v>0.97390317057881515</v>
      </c>
      <c r="BY11">
        <f>$X11^-Parameters!$B$52/(1-2*Parameters!$B$5*'6states'!$E11/'6states'!$H11)</f>
        <v>0.92020950448746464</v>
      </c>
      <c r="BZ11">
        <f t="shared" si="18"/>
        <v>1.0134473861623394</v>
      </c>
      <c r="CA11" s="7">
        <f>($X11^-Parameters!$B$52*(1/(1+EXP(-C11)) + IF(C11&lt;0,2*Parameters!$B$6*C11/F11,0)) + BS11*(1/(1+EXP((C11-Parameters!$B$22)*Parameters!$B$21))))/(1-IF(C11&gt;0,2*Parameters!$B$5*C11/F11,0))</f>
        <v>0.42930620437665168</v>
      </c>
      <c r="CB11">
        <f t="shared" si="19"/>
        <v>1.316913530292358</v>
      </c>
      <c r="CC11" s="7">
        <f t="shared" si="20"/>
        <v>0.1033119803812883</v>
      </c>
      <c r="CD11">
        <f>(1/$T11-1/Parameters!$B$13) * LN(Parameters!$B$18) / LN(P11)</f>
        <v>0.2379631818192558</v>
      </c>
      <c r="CE11">
        <f>(Parameters!$B$18*'6states'!T11^+Parameters!$B$19*Parameters!$B$25^'6states'!T11)^((1-'6states'!T11)/'6states'!T11)*Parameters!$B$18*Parameters!$B$26^('6states'!T11-1)</f>
        <v>0.18914057735979614</v>
      </c>
      <c r="CF11">
        <f t="shared" si="21"/>
        <v>0.2956027489470367</v>
      </c>
      <c r="CG11">
        <f t="shared" si="22"/>
        <v>0.15205839581865088</v>
      </c>
      <c r="CH11">
        <f t="shared" si="23"/>
        <v>0.12287192349334897</v>
      </c>
    </row>
    <row r="12" spans="1:86" x14ac:dyDescent="0.3">
      <c r="A12">
        <f>A11+Parameters!$B$65</f>
        <v>8</v>
      </c>
      <c r="B12">
        <v>2033</v>
      </c>
      <c r="C12" s="74">
        <v>9.7037221675163304E-3</v>
      </c>
      <c r="D12" s="69">
        <v>5.7004023862172098E-2</v>
      </c>
      <c r="E12" s="75">
        <v>0.21853741807195401</v>
      </c>
      <c r="F12" s="7">
        <f>MAX((1-Parameters!$B$4)^Parameters!B$65*F11 + C11*Parameters!B$65 - IF(C11&gt;0,Parameters!$B$5,0)*C11^2/F11*Parameters!B$65, 0.0001)</f>
        <v>0.44536871910273718</v>
      </c>
      <c r="G12" s="7">
        <f>(1-Parameters!$B$4)^Parameters!B$65*G11+D11*Parameters!B$65-Parameters!$B$5*D11^2/G11*Parameters!B$65</f>
        <v>0.3389061788905291</v>
      </c>
      <c r="H12" s="7">
        <f>(1-Parameters!$B$4)^Parameters!B$65*H11+E11*Parameters!B$65-Parameters!$B$5*E11^2/H11*Parameters!B$65</f>
        <v>4.0083720753386025</v>
      </c>
      <c r="I12" s="7">
        <f>I11 *(1-Parameters!$B$4)-C11*(C11&lt;0)*Parameters!B$65</f>
        <v>4.362933578327987E-2</v>
      </c>
      <c r="J12" s="23">
        <f>J11*(1+Parameters!$B$51)^Parameters!B$65</f>
        <v>8.3512447020911882</v>
      </c>
      <c r="K12" s="23">
        <f>K11*(1+Parameters!$B$53)^Parameters!B$65</f>
        <v>10.606549477911118</v>
      </c>
      <c r="L12" s="23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28.059558713597156</v>
      </c>
      <c r="M12" s="8">
        <f>M11+L12*Parameters!B$65</f>
        <v>2571.4548919657168</v>
      </c>
      <c r="N12" s="7">
        <f>M12*Parameters!$B$45</f>
        <v>1.5428729351794299</v>
      </c>
      <c r="O12" s="9">
        <f>EXP(-Parameters!$B$46/2*N12^2)</f>
        <v>0.97636030885549907</v>
      </c>
      <c r="P12" s="7">
        <f>MAX((Parameters!$B$62 + Parameters!$B$31*'6states'!A12 - '6states'!M12 + Parameters!$B$47/Parameters!$B$45)/Parameters!B$62,1)</f>
        <v>4.0829021606856619</v>
      </c>
      <c r="Q12" s="7">
        <f>Parameters!B$61*EXP(-Parameters!B$60*A12)</f>
        <v>0.40286765093673982</v>
      </c>
      <c r="R12" s="7">
        <f>(1-Parameters!B$61)*P12^-Parameters!B$63</f>
        <v>0.4343832867197911</v>
      </c>
      <c r="S12" s="7">
        <f>Parameters!B$61*EXP(-Parameters!B$60*A12)+(1-Parameters!B$61)*P12^-Parameters!B$63</f>
        <v>0.83725093765653091</v>
      </c>
      <c r="T12" s="7">
        <f>1-S12/Parameters!$B$12</f>
        <v>0.58137453117173454</v>
      </c>
      <c r="U12" s="7">
        <f t="shared" si="0"/>
        <v>2.3887700927490254</v>
      </c>
      <c r="V12" s="7">
        <f>(Parameters!$B$19*(F12+Parameters!$B$20)^T12+Parameters!$B$18*G12^T12)^(1/T12)</f>
        <v>0.41846830546590374</v>
      </c>
      <c r="W12" s="7">
        <f>(Parameters!$B$10*H12^Parameters!$B$9+Parameters!$B$11*V12^Parameters!$B$9)^(Parameters!$B$7/Parameters!$B$9)*O12</f>
        <v>1.4385182748368277</v>
      </c>
      <c r="X12" s="7">
        <f>W12 - D12 - E12 - LN(1+EXP(Parameters!$B$21*C12))/Parameters!$B$21 - IF(C12&gt;0, 0,Parameters!$B$6*C12^2/F12)</f>
        <v>1.1530964905762524</v>
      </c>
      <c r="Y12" s="7">
        <f>EXP(-Parameters!$B$55*A12)</f>
        <v>0.88621118410665478</v>
      </c>
      <c r="Z12" s="7">
        <f>IF(X12&gt;0,X12^(1-Parameters!$B$52)/(1-Parameters!$B$52)*Y12*Parameters!$B$65,-10+X12*1000)</f>
        <v>-2.4088857615530563</v>
      </c>
      <c r="AB12" s="9"/>
      <c r="AC12" s="23">
        <f t="shared" si="6"/>
        <v>0.85953523605359594</v>
      </c>
      <c r="AD12" s="23">
        <f t="shared" si="7"/>
        <v>5.049296162909175</v>
      </c>
      <c r="AE12" s="23">
        <f t="shared" si="8"/>
        <v>3.86459451166886</v>
      </c>
      <c r="AF12" s="23">
        <f t="shared" si="9"/>
        <v>39.449821470191495</v>
      </c>
      <c r="AG12" s="23">
        <f t="shared" si="10"/>
        <v>30.019594279794998</v>
      </c>
      <c r="AH12" s="23">
        <f t="shared" si="11"/>
        <v>37.067039586485414</v>
      </c>
      <c r="AI12" s="23">
        <f t="shared" si="12"/>
        <v>91.224806464367461</v>
      </c>
      <c r="AJ12" s="23">
        <f t="shared" si="13"/>
        <v>127.42091370550396</v>
      </c>
      <c r="AK12" s="23">
        <f t="shared" si="14"/>
        <v>102.13885425717123</v>
      </c>
      <c r="AL12" s="9">
        <f t="shared" si="24"/>
        <v>1.8798189210279759E-2</v>
      </c>
      <c r="AM12" s="9">
        <f t="shared" si="25"/>
        <v>1.8170023444589845E-2</v>
      </c>
      <c r="AN12" s="9">
        <f t="shared" ref="AN12:AO12" si="32">AVERAGE(AL10:AL14)</f>
        <v>1.8146580806146062E-2</v>
      </c>
      <c r="AO12" s="9">
        <f t="shared" si="32"/>
        <v>1.6508986560398675E-2</v>
      </c>
      <c r="AP12" s="23"/>
      <c r="AQ12" s="8">
        <f t="shared" si="1"/>
        <v>127.42091370550398</v>
      </c>
      <c r="AR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0.13964248837685272</v>
      </c>
      <c r="AS12" s="32">
        <f>((C13-C11)/2-(F13-F11)/F12/2*C12)/(F12/2/Parameters!$B$5-C12)-((D13-D11)/D12-(G13-G11)/G12)/(G12/2/Parameters!$B$5/D12-1)</f>
        <v>6.0018311527610203E-2</v>
      </c>
      <c r="AT12" s="32">
        <f>+Parameters!$B$5*C12^2/F12^2-Parameters!$B$5*D12^2/G12^2</f>
        <v>-2.7816524804917211E-2</v>
      </c>
      <c r="AU12" s="30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0.72225995109151975</v>
      </c>
      <c r="AV12" s="30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63.97626259660359</v>
      </c>
      <c r="AW12" s="8">
        <f t="shared" si="26"/>
        <v>237.9257978236852</v>
      </c>
      <c r="AX12" s="13">
        <f>1-W12/'6states,ExoDamages'!T12</f>
        <v>3.8746961508393962E-2</v>
      </c>
      <c r="AY12" s="21">
        <f>-Y12*W12*X12^(-Parameters!B$52)*Parameters!B$46*Parameters!B$45*N12</f>
        <v>-1.9570929418295503E-5</v>
      </c>
      <c r="AZ12" s="7">
        <f>1000*EXP(-(Parameters!$B$54)*'6states'!A12)*AQ12*Parameters!B$46*Parameters!B$45*N12</f>
        <v>1.790475130355325</v>
      </c>
      <c r="BA12" s="7">
        <f>SUM(AZ12:AZ$204)*EXP(Parameters!$B$54*A12)</f>
        <v>220.48858973099215</v>
      </c>
      <c r="BB12" s="13">
        <f t="shared" si="2"/>
        <v>0.19829095611176581</v>
      </c>
      <c r="BC12" s="30">
        <f>IF(C12&lt;0,Parameters!$B$6*AC12^2/AF12,0)</f>
        <v>0</v>
      </c>
      <c r="BD12" s="30">
        <f>Parameters!$B$5*AD12^2/AG12</f>
        <v>0.8492916827303445</v>
      </c>
      <c r="BE12" s="30">
        <f t="shared" si="15"/>
        <v>0</v>
      </c>
      <c r="BF12" s="30">
        <f t="shared" si="16"/>
        <v>0.16820001349277583</v>
      </c>
      <c r="BG12" s="30"/>
      <c r="BH12" s="5">
        <f t="shared" si="3"/>
        <v>-1.9278087162506558E-3</v>
      </c>
      <c r="BI12" s="2">
        <f>BH12/Parameters!$B$45</f>
        <v>-3.2130145270844266</v>
      </c>
      <c r="BJ12" s="2">
        <f t="shared" si="27"/>
        <v>3.68121428496615E-3</v>
      </c>
      <c r="BM12">
        <f>-EXP(-Parameters!B$42*'6states'!A12)*(-Parameters!B$37/Parameters!B$38/Parameters!E$25*(EXP(-Parameters!B$38*Parameters!E$25*'6states'!AE12/('6states'!F12+'6states'!AE12))-EXP(-Parameters!B$38*Parameters!E$25))+Parameters!B$37*'6states'!F12/('6states'!F12+'6states'!AE12)*EXP(-Parameters!B$38*Parameters!E$25*'6states'!I12/('6states'!F12+'6states'!AE12)))</f>
        <v>-0.37930359883219922</v>
      </c>
      <c r="BN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-9.9352283102751038</v>
      </c>
      <c r="BO12" s="7">
        <f t="shared" si="4"/>
        <v>8.9221900470441845E-2</v>
      </c>
      <c r="BP12" s="7">
        <f t="shared" si="5"/>
        <v>-1.1015635499237191</v>
      </c>
      <c r="BU12">
        <f>EXP(-Parameters!$B$56*A12)*BH12*BN12</f>
        <v>1.0262236863275282E-2</v>
      </c>
      <c r="BV12">
        <f>-EXP((Parameters!$B$56)*F12)*SUM(BU12:BU20)</f>
        <v>-0.10418541786016701</v>
      </c>
      <c r="BW12">
        <f>X12^-Parameters!B$52/(1-2*Parameters!B$5*'6states'!D12/'6states'!G12)</f>
        <v>1.2432973623670955</v>
      </c>
      <c r="BX12">
        <f t="shared" si="17"/>
        <v>0.97857810917296484</v>
      </c>
      <c r="BY12">
        <f>$X12^-Parameters!$B$52/(1-2*Parameters!$B$5*'6states'!$E12/'6states'!$H12)</f>
        <v>0.92602647197062893</v>
      </c>
      <c r="BZ12">
        <f t="shared" si="18"/>
        <v>1.0063213512301248</v>
      </c>
      <c r="CA12" s="7">
        <f>($X12^-Parameters!$B$52*(1/(1+EXP(-C12)) + IF(C12&lt;0,2*Parameters!$B$6*C12/F12,0)) + BS12*(1/(1+EXP((C12-Parameters!$B$22)*Parameters!$B$21))))/(1-IF(C12&gt;0,2*Parameters!$B$5*C12/F12,0))</f>
        <v>0.43341405791946586</v>
      </c>
      <c r="CB12">
        <f t="shared" si="19"/>
        <v>1.0095685864796171</v>
      </c>
      <c r="CC12" s="7">
        <f t="shared" si="20"/>
        <v>4.1078535428141771E-3</v>
      </c>
      <c r="CD12">
        <f>(1/$T12-1/Parameters!$B$13) * LN(Parameters!$B$18) / LN(P12)</f>
        <v>0.23705062745607822</v>
      </c>
      <c r="CE12">
        <f>(Parameters!$B$18*'6states'!T12^+Parameters!$B$19*Parameters!$B$25^'6states'!T12)^((1-'6states'!T12)/'6states'!T12)*Parameters!$B$18*Parameters!$B$26^('6states'!T12-1)</f>
        <v>0.19553163830906828</v>
      </c>
      <c r="CF12">
        <f t="shared" si="21"/>
        <v>0.291610587152213</v>
      </c>
      <c r="CG12">
        <f t="shared" si="22"/>
        <v>0.15152187384719951</v>
      </c>
      <c r="CH12">
        <f t="shared" si="23"/>
        <v>0.12674895952986609</v>
      </c>
    </row>
    <row r="13" spans="1:86" x14ac:dyDescent="0.3">
      <c r="A13">
        <f>A12+Parameters!$B$65</f>
        <v>9</v>
      </c>
      <c r="B13">
        <v>2034</v>
      </c>
      <c r="C13" s="74">
        <v>9.7115686648866495E-3</v>
      </c>
      <c r="D13" s="69">
        <v>5.7789219722142897E-2</v>
      </c>
      <c r="E13" s="75">
        <v>0.22066790214506199</v>
      </c>
      <c r="F13" s="7">
        <f>MAX((1-Parameters!$B$4)^Parameters!B$65*F12 + C12*Parameters!B$65 - IF(C12&gt;0,Parameters!$B$5,0)*C12^2/F12*Parameters!B$65, 0.0001)</f>
        <v>0.42684732351880345</v>
      </c>
      <c r="G13" s="7">
        <f>(1-Parameters!$B$4)^Parameters!B$65*G12+D12*Parameters!B$65-Parameters!$B$5*D12^2/G12*Parameters!B$65</f>
        <v>0.36500492651772704</v>
      </c>
      <c r="H13" s="7">
        <f>(1-Parameters!$B$4)^Parameters!B$65*H12+E12*Parameters!B$65-Parameters!$B$5*E12^2/H12*Parameters!B$65</f>
        <v>3.9628681768162042</v>
      </c>
      <c r="I13" s="7">
        <f>I12 *(1-Parameters!$B$4)-C12*(C12&lt;0)*Parameters!B$65</f>
        <v>4.0885050562511571E-2</v>
      </c>
      <c r="J13" s="23">
        <f>J12*(1+Parameters!$B$51)^Parameters!B$65</f>
        <v>8.3754633117272519</v>
      </c>
      <c r="K13" s="23">
        <f>K12*(1+Parameters!$B$53)^Parameters!B$65</f>
        <v>10.81868046746934</v>
      </c>
      <c r="L13" s="64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27.246064162567361</v>
      </c>
      <c r="M13" s="8">
        <f>M12+L13*Parameters!B$65</f>
        <v>2598.7009561282844</v>
      </c>
      <c r="N13" s="7">
        <f>M13*Parameters!$B$45</f>
        <v>1.5592205736769704</v>
      </c>
      <c r="O13" s="9">
        <f>EXP(-Parameters!$B$46/2*N13^2)</f>
        <v>0.97586282908784605</v>
      </c>
      <c r="P13" s="7">
        <f>MAX((Parameters!$B$62 + Parameters!$B$31*'6states'!A13 - '6states'!M13 + Parameters!$B$47/Parameters!$B$45)/Parameters!B$62,1)</f>
        <v>4.6019808774343076</v>
      </c>
      <c r="Q13" s="7">
        <f>Parameters!B$61*EXP(-Parameters!B$60*A13)</f>
        <v>0.39213575688577823</v>
      </c>
      <c r="R13" s="7">
        <f>(1-Parameters!B$61)*P13^-Parameters!B$63</f>
        <v>0.42921562489514331</v>
      </c>
      <c r="S13" s="7">
        <f>Parameters!B$61*EXP(-Parameters!B$60*A13)+(1-Parameters!B$61)*P13^-Parameters!B$63</f>
        <v>0.82135138178092149</v>
      </c>
      <c r="T13" s="7">
        <f>1-S13/Parameters!$B$12</f>
        <v>0.58932430910953926</v>
      </c>
      <c r="U13" s="7">
        <f t="shared" si="0"/>
        <v>2.43501142673363</v>
      </c>
      <c r="V13" s="7">
        <f>(Parameters!$B$19*(F13+Parameters!$B$20)^T13+Parameters!$B$18*G13^T13)^(1/T13)</f>
        <v>0.41446022160353307</v>
      </c>
      <c r="W13" s="7">
        <f>(Parameters!$B$10*H13^Parameters!$B$9+Parameters!$B$11*V13^Parameters!$B$9)^(Parameters!$B$7/Parameters!$B$9)*O13</f>
        <v>1.433115578168239</v>
      </c>
      <c r="X13" s="7">
        <f>W13 - D13 - E13 - LN(1+EXP(Parameters!$B$21*C13))/Parameters!$B$21 - IF(C13&gt;0, 0,Parameters!$B$6*C13^2/F13)</f>
        <v>1.144770671957803</v>
      </c>
      <c r="Y13" s="7">
        <f>EXP(-Parameters!$B$55*A13)</f>
        <v>0.87292992111632683</v>
      </c>
      <c r="Z13" s="7">
        <f>IF(X13&gt;0,X13^(1-Parameters!$B$52)/(1-Parameters!$B$52)*Y13*Parameters!$B$65,-10+X13*1000)</f>
        <v>-2.3788105856648061</v>
      </c>
      <c r="AB13" s="9"/>
      <c r="AC13" s="23">
        <f t="shared" si="6"/>
        <v>0.87997942859601264</v>
      </c>
      <c r="AD13" s="23">
        <f t="shared" si="7"/>
        <v>5.2363656485246377</v>
      </c>
      <c r="AE13" s="23">
        <f t="shared" si="8"/>
        <v>3.7046541782895317</v>
      </c>
      <c r="AF13" s="23">
        <f t="shared" si="9"/>
        <v>38.677259751650851</v>
      </c>
      <c r="AG13" s="23">
        <f t="shared" si="10"/>
        <v>33.073629786825784</v>
      </c>
      <c r="AH13" s="23">
        <f t="shared" si="11"/>
        <v>37.554846345382934</v>
      </c>
      <c r="AI13" s="23">
        <f t="shared" si="12"/>
        <v>92.42533603643129</v>
      </c>
      <c r="AJ13" s="23">
        <f t="shared" si="13"/>
        <v>129.85669680205578</v>
      </c>
      <c r="AK13" s="23">
        <f t="shared" si="14"/>
        <v>103.72934348136627</v>
      </c>
      <c r="AL13" s="9">
        <f t="shared" si="24"/>
        <v>1.8935622668951879E-2</v>
      </c>
      <c r="AM13" s="9">
        <f t="shared" si="25"/>
        <v>1.5451836533041607E-2</v>
      </c>
      <c r="AN13" s="9">
        <f t="shared" ref="AN13:AO13" si="33">AVERAGE(AL11:AL15)</f>
        <v>1.861243416959759E-2</v>
      </c>
      <c r="AO13" s="9">
        <f t="shared" si="33"/>
        <v>1.5963758817174066E-2</v>
      </c>
      <c r="AP13" s="23"/>
      <c r="AQ13" s="8">
        <f t="shared" si="1"/>
        <v>129.85669680205578</v>
      </c>
      <c r="AR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0.14278555890306308</v>
      </c>
      <c r="AS13" s="32">
        <f>((C14-C12)/2-(F14-F12)/F13/2*C13)/(F13/2/Parameters!$B$5-C13)-((D14-D12)/D13-(G14-G12)/G13)/(G13/2/Parameters!$B$5/D13-1)</f>
        <v>5.3000987039465763E-2</v>
      </c>
      <c r="AT13" s="32">
        <f>+Parameters!$B$5*C13^2/F13^2-Parameters!$B$5*D13^2/G13^2</f>
        <v>-2.45489979675017E-2</v>
      </c>
      <c r="AU13" s="30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0.71595927469811371</v>
      </c>
      <c r="AV13" s="30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64.874116137880932</v>
      </c>
      <c r="AW13" s="8">
        <f t="shared" si="26"/>
        <v>239.17219041157045</v>
      </c>
      <c r="AX13" s="13">
        <f>1-W13/'6states,ExoDamages'!T13</f>
        <v>4.1890425332954839E-2</v>
      </c>
      <c r="AY13" s="21">
        <f>-Y13*W13*X13^(-Parameters!B$52)*Parameters!B$46*Parameters!B$45*N13</f>
        <v>-1.9599522616199404E-5</v>
      </c>
      <c r="AZ13" s="7">
        <f>1000*EXP(-(Parameters!$B$54)*'6states'!A13)*AQ13*Parameters!B$46*Parameters!B$45*N13</f>
        <v>1.7804328103169171</v>
      </c>
      <c r="BA13" s="7">
        <f>SUM(AZ13:AZ$204)*EXP(Parameters!$B$54*A13)</f>
        <v>225.90954017947431</v>
      </c>
      <c r="BB13" s="13">
        <f t="shared" si="2"/>
        <v>0.20107847191251613</v>
      </c>
      <c r="BC13" s="30">
        <f>IF(C13&lt;0,Parameters!$B$6*AC13^2/AF13,0)</f>
        <v>0</v>
      </c>
      <c r="BD13" s="30">
        <f>Parameters!$B$5*AD13^2/AG13</f>
        <v>0.82904493343427543</v>
      </c>
      <c r="BE13" s="30">
        <f t="shared" si="15"/>
        <v>0</v>
      </c>
      <c r="BF13" s="30">
        <f t="shared" si="16"/>
        <v>0.15832449242116264</v>
      </c>
      <c r="BG13" s="30"/>
      <c r="BH13" s="5">
        <f t="shared" si="3"/>
        <v>-1.9347197007310148E-3</v>
      </c>
      <c r="BI13" s="2">
        <f>BH13/Parameters!$B$45</f>
        <v>-3.2245328345516917</v>
      </c>
      <c r="BJ13" s="2">
        <f t="shared" si="27"/>
        <v>3.5720856503129728E-3</v>
      </c>
      <c r="BM13">
        <f>-EXP(-Parameters!B$42*'6states'!A13)*(-Parameters!B$37/Parameters!B$38/Parameters!E$25*(EXP(-Parameters!B$38*Parameters!E$25*'6states'!AE13/('6states'!F13+'6states'!AE13))-EXP(-Parameters!B$38*Parameters!E$25))+Parameters!B$37*'6states'!F13/('6states'!F13+'6states'!AE13)*EXP(-Parameters!B$38*Parameters!E$25*'6states'!I13/('6states'!F13+'6states'!AE13)))</f>
        <v>-0.37910579760068946</v>
      </c>
      <c r="BN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-10.890989992890308</v>
      </c>
      <c r="BO13" s="7">
        <f t="shared" si="4"/>
        <v>8.7411205270567241E-2</v>
      </c>
      <c r="BP13" s="7">
        <f t="shared" si="5"/>
        <v>-1.0950650722988031</v>
      </c>
      <c r="BU13">
        <f>EXP(-Parameters!$B$56*A13)*BH13*BN13</f>
        <v>1.0442649144477067E-2</v>
      </c>
      <c r="BV13">
        <f>-EXP((Parameters!$B$56)*F13)*SUM(BU13:BU21)</f>
        <v>-0.10639325772038774</v>
      </c>
      <c r="BW13">
        <f>X13^-Parameters!B$52/(1-2*Parameters!B$5*'6states'!D13/'6states'!G13)</f>
        <v>1.2192315386236741</v>
      </c>
      <c r="BX13">
        <f t="shared" si="17"/>
        <v>0.98064354958688005</v>
      </c>
      <c r="BY13">
        <f>$X13^-Parameters!$B$52/(1-2*Parameters!$B$5*'6states'!$E13/'6states'!$H13)</f>
        <v>0.93757921949315914</v>
      </c>
      <c r="BZ13">
        <f t="shared" si="18"/>
        <v>1.0124756126009502</v>
      </c>
      <c r="CA13" s="7">
        <f>($X13^-Parameters!$B$52*(1/(1+EXP(-C13)) + IF(C13&lt;0,2*Parameters!$B$6*C13/F13,0)) + BS13*(1/(1+EXP((C13-Parameters!$B$22)*Parameters!$B$21))))/(1-IF(C13&gt;0,2*Parameters!$B$5*C13/F13,0))</f>
        <v>0.43856049940648179</v>
      </c>
      <c r="CB13">
        <f t="shared" si="19"/>
        <v>1.0118741914180647</v>
      </c>
      <c r="CC13" s="7">
        <f t="shared" si="20"/>
        <v>5.1464414870159292E-3</v>
      </c>
      <c r="CD13">
        <f>(1/$T13-1/Parameters!$B$13) * LN(Parameters!$B$18) / LN(P13)</f>
        <v>0.23657328649806764</v>
      </c>
      <c r="CE13">
        <f>(Parameters!$B$18*'6states'!T13^+Parameters!$B$19*Parameters!$B$25^'6states'!T13)^((1-'6states'!T13)/'6states'!T13)*Parameters!$B$18*Parameters!$B$26^('6states'!T13-1)</f>
        <v>0.20146797812506745</v>
      </c>
      <c r="CF13">
        <f t="shared" si="21"/>
        <v>0.28834075930635522</v>
      </c>
      <c r="CG13">
        <f t="shared" si="22"/>
        <v>0.15124109352954029</v>
      </c>
      <c r="CH13">
        <f t="shared" si="23"/>
        <v>0.13033479306498619</v>
      </c>
    </row>
    <row r="14" spans="1:86" x14ac:dyDescent="0.3">
      <c r="A14">
        <f>A13+Parameters!$B$65</f>
        <v>10</v>
      </c>
      <c r="B14">
        <v>2035</v>
      </c>
      <c r="C14" s="74">
        <v>9.8157020350772804E-3</v>
      </c>
      <c r="D14" s="69">
        <v>5.8876250574723898E-2</v>
      </c>
      <c r="E14" s="75">
        <v>0.21995937879154401</v>
      </c>
      <c r="F14" s="7">
        <f>MAX((1-Parameters!$B$4)^Parameters!B$65*F13 + C13*Parameters!B$65 - IF(C13&gt;0,Parameters!$B$5,0)*C13^2/F13*Parameters!B$65, 0.0001)</f>
        <v>0.40948923932651404</v>
      </c>
      <c r="G14" s="7">
        <f>(1-Parameters!$B$4)^Parameters!B$65*G13+D13*Parameters!B$65-Parameters!$B$5*D13^2/G13*Parameters!B$65</f>
        <v>0.39068588748198163</v>
      </c>
      <c r="H14" s="7">
        <f>(1-Parameters!$B$4)^Parameters!B$65*H13+E13*Parameters!B$65-Parameters!$B$5*E13^2/H13*Parameters!B$65</f>
        <v>3.9219840242015311</v>
      </c>
      <c r="I14" s="7">
        <f>I13 *(1-Parameters!$B$4)-C13*(C13&lt;0)*Parameters!B$65</f>
        <v>3.8313380882129593E-2</v>
      </c>
      <c r="J14" s="23">
        <f>J13*(1+Parameters!$B$51)^Parameters!B$65</f>
        <v>8.3997521553312602</v>
      </c>
      <c r="K14" s="23">
        <f>K13*(1+Parameters!$B$53)^Parameters!B$65</f>
        <v>11.035054076818728</v>
      </c>
      <c r="L14" s="64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26.482554159801943</v>
      </c>
      <c r="M14" s="8">
        <f>M13+L14*Parameters!B$65</f>
        <v>2625.1835102880864</v>
      </c>
      <c r="N14" s="7">
        <f>M14*Parameters!$B$45</f>
        <v>1.5751101061728516</v>
      </c>
      <c r="O14" s="9">
        <f>EXP(-Parameters!$B$46/2*N14^2)</f>
        <v>0.9753745118124546</v>
      </c>
      <c r="P14" s="7">
        <f>MAX((Parameters!$B$62 + Parameters!$B$31*'6states'!A14 - '6states'!M14 + Parameters!$B$47/Parameters!$B$45)/Parameters!B$62,1)</f>
        <v>5.1363297942382724</v>
      </c>
      <c r="Q14" s="7">
        <f>Parameters!B$61*EXP(-Parameters!B$60*A14)</f>
        <v>0.38168974716842657</v>
      </c>
      <c r="R14" s="7">
        <f>(1-Parameters!B$61)*P14^-Parameters!B$63</f>
        <v>0.42452641109365719</v>
      </c>
      <c r="S14" s="7">
        <f>Parameters!B$61*EXP(-Parameters!B$60*A14)+(1-Parameters!B$61)*P14^-Parameters!B$63</f>
        <v>0.8062161582620837</v>
      </c>
      <c r="T14" s="7">
        <f>1-S14/Parameters!$B$12</f>
        <v>0.59689192086895815</v>
      </c>
      <c r="U14" s="7">
        <f t="shared" si="0"/>
        <v>2.4807242815764088</v>
      </c>
      <c r="V14" s="7">
        <f>(Parameters!$B$19*(F14+Parameters!$B$20)^T14+Parameters!$B$18*G14^T14)^(1/T14)</f>
        <v>0.4106505862359266</v>
      </c>
      <c r="W14" s="7">
        <f>(Parameters!$B$10*H14^Parameters!$B$9+Parameters!$B$11*V14^Parameters!$B$9)^(Parameters!$B$7/Parameters!$B$9)*O14</f>
        <v>1.4281040202536153</v>
      </c>
      <c r="X14" s="7">
        <f>W14 - D14 - E14 - LN(1+EXP(Parameters!$B$21*C14))/Parameters!$B$21 - IF(C14&gt;0, 0,Parameters!$B$6*C14^2/F14)</f>
        <v>1.1392817564703637</v>
      </c>
      <c r="Y14" s="7">
        <f>EXP(-Parameters!$B$55*A14)</f>
        <v>0.85984769865920552</v>
      </c>
      <c r="Z14" s="7">
        <f>IF(X14&gt;0,X14^(1-Parameters!$B$52)/(1-Parameters!$B$52)*Y14*Parameters!$B$65,-10+X14*1000)</f>
        <v>-2.3471053794902428</v>
      </c>
      <c r="AB14" s="9"/>
      <c r="AC14" s="23">
        <f t="shared" si="6"/>
        <v>0.90983429743364774</v>
      </c>
      <c r="AD14" s="23">
        <f t="shared" si="7"/>
        <v>5.4573408897043363</v>
      </c>
      <c r="AE14" s="23">
        <f t="shared" si="8"/>
        <v>3.5513331448559682</v>
      </c>
      <c r="AF14" s="23">
        <f t="shared" si="9"/>
        <v>37.956261614082749</v>
      </c>
      <c r="AG14" s="23">
        <f t="shared" si="10"/>
        <v>36.213346603650372</v>
      </c>
      <c r="AH14" s="23">
        <f t="shared" si="11"/>
        <v>38.063908855780404</v>
      </c>
      <c r="AI14" s="23">
        <f t="shared" si="12"/>
        <v>93.678177631210445</v>
      </c>
      <c r="AJ14" s="23">
        <f t="shared" si="13"/>
        <v>132.37341692792998</v>
      </c>
      <c r="AK14" s="23">
        <f t="shared" si="14"/>
        <v>105.6019847355752</v>
      </c>
      <c r="AL14" s="9">
        <f t="shared" si="24"/>
        <v>1.9195334705655043E-2</v>
      </c>
      <c r="AM14" s="9">
        <f t="shared" si="25"/>
        <v>1.7892125626810085E-2</v>
      </c>
      <c r="AN14" s="9">
        <f t="shared" ref="AN14:AO14" si="34">AVERAGE(AL12:AL16)</f>
        <v>1.9167854561163367E-2</v>
      </c>
      <c r="AO14" s="9">
        <f t="shared" si="34"/>
        <v>1.7392965943306925E-2</v>
      </c>
      <c r="AP14" s="23"/>
      <c r="AQ14" s="8">
        <f t="shared" si="1"/>
        <v>132.37341692792998</v>
      </c>
      <c r="AR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0.14615487630484383</v>
      </c>
      <c r="AS14" s="32">
        <f>((C15-C13)/2-(F15-F13)/F14/2*C14)/(F14/2/Parameters!$B$5-C14)-((D15-D13)/D14-(G15-G13)/G14)/(G14/2/Parameters!$B$5/D14-1)</f>
        <v>4.7329770174555599E-2</v>
      </c>
      <c r="AT14" s="32">
        <f>+Parameters!$B$5*C14^2/F14^2-Parameters!$B$5*D14^2/G14^2</f>
        <v>-2.2135813500714079E-2</v>
      </c>
      <c r="AU14" s="30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0.7097854445131474</v>
      </c>
      <c r="AV14" s="30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65.791233161873819</v>
      </c>
      <c r="AW14" s="8">
        <f>1000*(AR14+AS14+AT14)/(EXP(-Parameters!$B$42*A14)*((C14&lt;0)*Parameters!$B$37*EXP(-Parameters!$B$38*AF14)+(C14&gt;=0)*Parameters!$B$41))</f>
        <v>207.94465191107511</v>
      </c>
      <c r="AX14" s="13">
        <f>1-W14/'6states,ExoDamages'!T14</f>
        <v>4.4795322873353971E-2</v>
      </c>
      <c r="AY14" s="21">
        <f>-Y14*W14*X14^(-Parameters!B$52)*Parameters!B$46*Parameters!B$45*N14</f>
        <v>-1.9560842567868021E-5</v>
      </c>
      <c r="AZ14" s="7">
        <f>1000*EXP(-(Parameters!$B$54)*'6states'!A14)*AQ14*Parameters!B$46*Parameters!B$45*N14</f>
        <v>1.7701971696892986</v>
      </c>
      <c r="BA14" s="7">
        <f>SUM(AZ14:AZ$204)*EXP(Parameters!$B$54*A14)</f>
        <v>231.45068678107299</v>
      </c>
      <c r="BB14" s="13">
        <f t="shared" ref="BB14:BB45" si="35">(C14+D14+E14)/W14</f>
        <v>0.2021220634545122</v>
      </c>
      <c r="BC14" s="30">
        <f>IF(C14&lt;0,Parameters!$B$6*AC14^2/AF14,0)</f>
        <v>0</v>
      </c>
      <c r="BD14" s="30">
        <f>Parameters!$B$5*AD14^2/AG14</f>
        <v>0.82241969825116301</v>
      </c>
      <c r="BE14" s="30">
        <f t="shared" si="15"/>
        <v>0</v>
      </c>
      <c r="BF14" s="30">
        <f t="shared" si="16"/>
        <v>0.15069971161279599</v>
      </c>
      <c r="BG14" s="30"/>
      <c r="BH14" s="5">
        <f t="shared" si="3"/>
        <v>-1.9413614710234097E-3</v>
      </c>
      <c r="BI14" s="2">
        <f>BH14/Parameters!$B$45</f>
        <v>-3.2356024517056832</v>
      </c>
      <c r="BJ14" s="2">
        <f t="shared" si="27"/>
        <v>3.4211919786857337E-3</v>
      </c>
      <c r="BM14">
        <f>-EXP(-Parameters!B$42*'6states'!A14)*(-Parameters!B$37/Parameters!B$38/Parameters!E$25*(EXP(-Parameters!B$38*Parameters!E$25*'6states'!AE14/('6states'!F14+'6states'!AE14))-EXP(-Parameters!B$38*Parameters!E$25))+Parameters!B$37*'6states'!F14/('6states'!F14+'6states'!AE14)*EXP(-Parameters!B$38*Parameters!E$25*'6states'!I14/('6states'!F14+'6states'!AE14)))</f>
        <v>-0.37916784330503611</v>
      </c>
      <c r="BN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-11.960517486485479</v>
      </c>
      <c r="BO14" s="7">
        <f t="shared" si="4"/>
        <v>8.5558634883106152E-2</v>
      </c>
      <c r="BP14" s="7">
        <f t="shared" si="5"/>
        <v>-1.0889532878181836</v>
      </c>
      <c r="BU14">
        <f>EXP(-Parameters!$B$56*A14)*BH14*BN14</f>
        <v>1.0644044478127614E-2</v>
      </c>
      <c r="BV14">
        <f>-EXP((Parameters!$B$56)*F14)*SUM(BU14:BU22)</f>
        <v>-0.10872616234040748</v>
      </c>
      <c r="BW14">
        <f>X14^-Parameters!B$52/(1-2*Parameters!B$5*'6states'!D14/'6states'!G14)</f>
        <v>1.2003807358511007</v>
      </c>
      <c r="BX14">
        <f t="shared" si="17"/>
        <v>0.98453878350796842</v>
      </c>
      <c r="BY14">
        <f>$X14^-Parameters!$B$52/(1-2*Parameters!$B$5*'6states'!$E14/'6states'!$H14)</f>
        <v>0.94453242203464549</v>
      </c>
      <c r="BZ14">
        <f t="shared" si="18"/>
        <v>1.0074161227093377</v>
      </c>
      <c r="CA14" s="7">
        <f>($X14^-Parameters!$B$52*(1/(1+EXP(-C14)) + IF(C14&lt;0,2*Parameters!$B$6*C14/F14,0)) + BS14*(1/(1+EXP((C14-Parameters!$B$22)*Parameters!$B$21))))/(1-IF(C14&gt;0,2*Parameters!$B$5*C14/F14,0))</f>
        <v>0.44256840895682259</v>
      </c>
      <c r="CB14">
        <f t="shared" si="19"/>
        <v>1.0091387837157355</v>
      </c>
      <c r="CC14" s="7">
        <f t="shared" si="20"/>
        <v>4.0079095503408046E-3</v>
      </c>
      <c r="CD14">
        <f>(1/$T14-1/Parameters!$B$13) * LN(Parameters!$B$18) / LN(P14)</f>
        <v>0.23635353370046408</v>
      </c>
      <c r="CE14">
        <f>(Parameters!$B$18*'6states'!T14^+Parameters!$B$19*Parameters!$B$25^'6states'!T14)^((1-'6states'!T14)/'6states'!T14)*Parameters!$B$18*Parameters!$B$26^('6states'!T14-1)</f>
        <v>0.2070009787115385</v>
      </c>
      <c r="CF14">
        <f t="shared" si="21"/>
        <v>0.28554077566663244</v>
      </c>
      <c r="CG14">
        <f t="shared" si="22"/>
        <v>0.15111179985009704</v>
      </c>
      <c r="CH14">
        <f t="shared" si="23"/>
        <v>0.13366373131496412</v>
      </c>
    </row>
    <row r="15" spans="1:86" x14ac:dyDescent="0.3">
      <c r="A15">
        <f>A14+Parameters!$B$65</f>
        <v>11</v>
      </c>
      <c r="B15">
        <v>2036</v>
      </c>
      <c r="C15" s="74">
        <v>9.7654824508120099E-3</v>
      </c>
      <c r="D15" s="69">
        <v>5.9332861442758698E-2</v>
      </c>
      <c r="E15" s="75">
        <v>0.22164121735352099</v>
      </c>
      <c r="F15" s="7">
        <f>MAX((1-Parameters!$B$4)^Parameters!B$65*F14 + C14*Parameters!B$65 - IF(C14&gt;0,Parameters!$B$5,0)*C14^2/F14*Parameters!B$65, 0.0001)</f>
        <v>0.39331277995813319</v>
      </c>
      <c r="G15" s="7">
        <f>(1-Parameters!$B$4)^Parameters!B$65*G14+D14*Parameters!B$65-Parameters!$B$5*D14^2/G14*Parameters!B$65</f>
        <v>0.41611536175163533</v>
      </c>
      <c r="H15" s="7">
        <f>(1-Parameters!$B$4)^Parameters!B$65*H14+E14*Parameters!B$65-Parameters!$B$5*E14^2/H14*Parameters!B$65</f>
        <v>3.8829144718692734</v>
      </c>
      <c r="I15" s="7">
        <f>I14 *(1-Parameters!$B$4)-C14*(C14&lt;0)*Parameters!B$65</f>
        <v>3.5903469224643644E-2</v>
      </c>
      <c r="J15" s="23">
        <f>J14*(1+Parameters!$B$51)^Parameters!B$65</f>
        <v>8.42411143658172</v>
      </c>
      <c r="K15" s="23">
        <f>K14*(1+Parameters!$B$53)^Parameters!B$65</f>
        <v>11.255755158355102</v>
      </c>
      <c r="L15" s="23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25.772773188568717</v>
      </c>
      <c r="M15" s="8">
        <f>M14+L15*Parameters!B$65</f>
        <v>2650.9562834766552</v>
      </c>
      <c r="N15" s="7">
        <f>M15*Parameters!$B$45</f>
        <v>1.590573770085993</v>
      </c>
      <c r="O15" s="9">
        <f>EXP(-Parameters!$B$46/2*N15^2)</f>
        <v>0.9748947666730019</v>
      </c>
      <c r="P15" s="7">
        <f>MAX((Parameters!$B$62 + Parameters!$B$31*'6states'!A15 - '6states'!M15 + Parameters!$B$47/Parameters!$B$45)/Parameters!B$62,1)</f>
        <v>5.6848743304668963</v>
      </c>
      <c r="Q15" s="7">
        <f>Parameters!B$61*EXP(-Parameters!B$60*A15)</f>
        <v>0.37152200618096992</v>
      </c>
      <c r="R15" s="7">
        <f>(1-Parameters!B$61)*P15^-Parameters!B$63</f>
        <v>0.42024051253617206</v>
      </c>
      <c r="S15" s="7">
        <f>Parameters!B$61*EXP(-Parameters!B$60*A15)+(1-Parameters!B$61)*P15^-Parameters!B$63</f>
        <v>0.79176251871714198</v>
      </c>
      <c r="T15" s="7">
        <f>1-S15/Parameters!$B$12</f>
        <v>0.60411874064142901</v>
      </c>
      <c r="U15" s="7">
        <f t="shared" si="0"/>
        <v>2.5260099496001809</v>
      </c>
      <c r="V15" s="7">
        <f>(Parameters!$B$19*(F15+Parameters!$B$20)^T15+Parameters!$B$18*G15^T15)^(1/T15)</f>
        <v>0.40718586212208469</v>
      </c>
      <c r="W15" s="7">
        <f>(Parameters!$B$10*H15^Parameters!$B$9+Parameters!$B$11*V15^Parameters!$B$9)^(Parameters!$B$7/Parameters!$B$9)*O15</f>
        <v>1.4233293060379932</v>
      </c>
      <c r="X15" s="7">
        <f>W15 - D15 - E15 - LN(1+EXP(Parameters!$B$21*C15))/Parameters!$B$21 - IF(C15&gt;0, 0,Parameters!$B$6*C15^2/F15)</f>
        <v>1.1324162840313128</v>
      </c>
      <c r="Y15" s="7">
        <f>EXP(-Parameters!$B$55*A15)</f>
        <v>0.84696153380107075</v>
      </c>
      <c r="Z15" s="7">
        <f>IF(X15&gt;0,X15^(1-Parameters!$B$52)/(1-Parameters!$B$52)*Y15*Parameters!$B$65,-10+X15*1000)</f>
        <v>-2.3168264633340732</v>
      </c>
      <c r="AB15" s="9"/>
      <c r="AC15" s="23">
        <f t="shared" si="6"/>
        <v>0.92596046552427669</v>
      </c>
      <c r="AD15" s="23">
        <f t="shared" si="7"/>
        <v>5.6259262437009392</v>
      </c>
      <c r="AE15" s="23">
        <f t="shared" si="8"/>
        <v>3.4043574646353698</v>
      </c>
      <c r="AF15" s="23">
        <f t="shared" si="9"/>
        <v>37.293813865427353</v>
      </c>
      <c r="AG15" s="23">
        <f t="shared" si="10"/>
        <v>39.455948645661479</v>
      </c>
      <c r="AH15" s="23">
        <f t="shared" si="11"/>
        <v>38.609255850346486</v>
      </c>
      <c r="AI15" s="23">
        <f t="shared" si="12"/>
        <v>95.020318103991912</v>
      </c>
      <c r="AJ15" s="23">
        <f t="shared" si="13"/>
        <v>134.95970869352158</v>
      </c>
      <c r="AK15" s="23">
        <f t="shared" si="14"/>
        <v>107.3754128186177</v>
      </c>
      <c r="AL15" s="9">
        <f t="shared" si="24"/>
        <v>1.9349434915818087E-2</v>
      </c>
      <c r="AM15" s="9">
        <f t="shared" si="25"/>
        <v>1.665405900073047E-2</v>
      </c>
      <c r="AN15" s="9">
        <f t="shared" ref="AN15:AO15" si="36">AVERAGE(AL13:AL17)</f>
        <v>1.9343696819369427E-2</v>
      </c>
      <c r="AO15" s="9">
        <f t="shared" si="36"/>
        <v>1.7304819507394598E-2</v>
      </c>
      <c r="AP15" s="23"/>
      <c r="AQ15" s="8">
        <f t="shared" si="1"/>
        <v>134.95970869352155</v>
      </c>
      <c r="AR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0.14901701128737097</v>
      </c>
      <c r="AS15" s="32">
        <f>((C16-C14)/2-(F16-F14)/F15/2*C15)/(F15/2/Parameters!$B$5-C15)-((D16-D14)/D15-(G16-G14)/G15)/(G15/2/Parameters!$B$5/D15-1)</f>
        <v>3.9312824480365625E-2</v>
      </c>
      <c r="AT15" s="32">
        <f>+Parameters!$B$5*C15^2/F15^2-Parameters!$B$5*D15^2/G15^2</f>
        <v>-1.9714734515553924E-2</v>
      </c>
      <c r="AU15" s="30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0.70375064538026444</v>
      </c>
      <c r="AV15" s="30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66.729450233678406</v>
      </c>
      <c r="AW15" s="8">
        <f>1000*(AR15+AS15+AT15)/(EXP(-Parameters!$B$42*A15)*((C15&lt;0)*Parameters!$B$37*EXP(-Parameters!$B$38*AF15)+(C15&gt;=0)*Parameters!$B$41))</f>
        <v>206.68359973857062</v>
      </c>
      <c r="AX15" s="13">
        <f>1-W15/'6states,ExoDamages'!T15</f>
        <v>4.7539243850613366E-2</v>
      </c>
      <c r="AY15" s="21">
        <f>-Y15*W15*X15^(-Parameters!B$52)*Parameters!B$46*Parameters!B$45*N15</f>
        <v>-1.9550684135547591E-5</v>
      </c>
      <c r="AZ15" s="7">
        <f>1000*EXP(-(Parameters!$B$54)*'6states'!A15)*AQ15*Parameters!B$46*Parameters!B$45*N15</f>
        <v>1.7596413412689582</v>
      </c>
      <c r="BA15" s="7">
        <f>SUM(AZ15:AZ$204)*EXP(Parameters!$B$54*A15)</f>
        <v>237.11449318882404</v>
      </c>
      <c r="BB15" s="13">
        <f t="shared" si="35"/>
        <v>0.20426724863580581</v>
      </c>
      <c r="BC15" s="30">
        <f>IF(C15&lt;0,Parameters!$B$6*AC15^2/AF15,0)</f>
        <v>0</v>
      </c>
      <c r="BD15" s="30">
        <f>Parameters!$B$5*AD15^2/AG15</f>
        <v>0.80218692455752838</v>
      </c>
      <c r="BE15" s="30">
        <f t="shared" si="15"/>
        <v>0</v>
      </c>
      <c r="BF15" s="30">
        <f t="shared" si="16"/>
        <v>0.14258752955670115</v>
      </c>
      <c r="BG15" s="30"/>
      <c r="BH15" s="5">
        <f t="shared" si="3"/>
        <v>-1.9478031583719314E-3</v>
      </c>
      <c r="BI15" s="2">
        <f>BH15/Parameters!$B$45</f>
        <v>-3.2463385972865524</v>
      </c>
      <c r="BJ15" s="2">
        <f t="shared" si="27"/>
        <v>3.307155202431189E-3</v>
      </c>
      <c r="BM15">
        <f>-EXP(-Parameters!B$42*'6states'!A15)*(-Parameters!B$37/Parameters!B$38/Parameters!E$25*(EXP(-Parameters!B$38*Parameters!E$25*'6states'!AE15/('6states'!F15+'6states'!AE15))-EXP(-Parameters!B$38*Parameters!E$25))+Parameters!B$37*'6states'!F15/('6states'!F15+'6states'!AE15)*EXP(-Parameters!B$38*Parameters!E$25*'6states'!I15/('6states'!F15+'6states'!AE15)))</f>
        <v>-0.37957961208785718</v>
      </c>
      <c r="BN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-13.167874807839977</v>
      </c>
      <c r="BO15" s="7">
        <f t="shared" si="4"/>
        <v>8.3648904935457277E-2</v>
      </c>
      <c r="BP15" s="7">
        <f t="shared" si="5"/>
        <v>-1.0833302574681216</v>
      </c>
      <c r="BU15">
        <f>EXP(-Parameters!$B$56*A15)*BH15*BN15</f>
        <v>1.0875170865679282E-2</v>
      </c>
      <c r="BV15">
        <f>-EXP((Parameters!$B$56)*F15)*SUM(BU15:BU23)</f>
        <v>-0.11116786529599541</v>
      </c>
      <c r="BW15">
        <f>X15^-Parameters!B$52/(1-2*Parameters!B$5*'6states'!D15/'6states'!G15)</f>
        <v>1.1827475581084839</v>
      </c>
      <c r="BX15">
        <f t="shared" si="17"/>
        <v>0.98531034594610145</v>
      </c>
      <c r="BY15">
        <f>$X15^-Parameters!$B$52/(1-2*Parameters!$B$5*'6states'!$E15/'6states'!$H15)</f>
        <v>0.95441574718857591</v>
      </c>
      <c r="BZ15">
        <f t="shared" si="18"/>
        <v>1.0104637224973605</v>
      </c>
      <c r="CA15" s="7">
        <f>($X15^-Parameters!$B$52*(1/(1+EXP(-C15)) + IF(C15&lt;0,2*Parameters!$B$6*C15/F15,0)) + BS15*(1/(1+EXP((C15-Parameters!$B$22)*Parameters!$B$21))))/(1-IF(C15&gt;0,2*Parameters!$B$5*C15/F15,0))</f>
        <v>0.44698919138290921</v>
      </c>
      <c r="CB15">
        <f t="shared" si="19"/>
        <v>1.0099889245066245</v>
      </c>
      <c r="CC15" s="7">
        <f t="shared" si="20"/>
        <v>4.4207824260866224E-3</v>
      </c>
      <c r="CD15">
        <f>(1/$T15-1/Parameters!$B$13) * LN(Parameters!$B$18) / LN(P15)</f>
        <v>0.23629144997482646</v>
      </c>
      <c r="CE15">
        <f>(Parameters!$B$18*'6states'!T15^+Parameters!$B$19*Parameters!$B$25^'6states'!T15)^((1-'6states'!T15)/'6states'!T15)*Parameters!$B$18*Parameters!$B$26^('6states'!T15-1)</f>
        <v>0.21217161110081684</v>
      </c>
      <c r="CF15">
        <f t="shared" si="21"/>
        <v>0.28306525610582928</v>
      </c>
      <c r="CG15">
        <f t="shared" si="22"/>
        <v>0.15107526872286114</v>
      </c>
      <c r="CH15">
        <f t="shared" si="23"/>
        <v>0.13676313106983773</v>
      </c>
    </row>
    <row r="16" spans="1:86" x14ac:dyDescent="0.3">
      <c r="A16">
        <f>A15+Parameters!$B$65</f>
        <v>12</v>
      </c>
      <c r="B16">
        <v>2037</v>
      </c>
      <c r="C16" s="74">
        <v>9.7963187242959306E-3</v>
      </c>
      <c r="D16" s="69">
        <v>6.0479587265612401E-2</v>
      </c>
      <c r="E16" s="75">
        <v>0.22041585389747201</v>
      </c>
      <c r="F16" s="7">
        <f>MAX((1-Parameters!$B$4)^Parameters!B$65*F15 + C15*Parameters!B$65 - IF(C15&gt;0,Parameters!$B$5,0)*C15^2/F15*Parameters!B$65, 0.0001)</f>
        <v>0.37809642338608385</v>
      </c>
      <c r="G16" s="7">
        <f>(1-Parameters!$B$4)^Parameters!B$65*G15+D15*Parameters!B$65-Parameters!$B$5*D15^2/G15*Parameters!B$65</f>
        <v>0.44081444080556315</v>
      </c>
      <c r="H16" s="7">
        <f>(1-Parameters!$B$4)^Parameters!B$65*H15+E15*Parameters!B$65-Parameters!$B$5*E15^2/H15*Parameters!B$65</f>
        <v>3.8476688337137577</v>
      </c>
      <c r="I16" s="7">
        <f>I15 *(1-Parameters!$B$4)-C15*(C15&lt;0)*Parameters!B$65</f>
        <v>3.3645141010413562E-2</v>
      </c>
      <c r="J16" s="23">
        <f>J15*(1+Parameters!$B$51)^Parameters!B$65</f>
        <v>8.4485413597478054</v>
      </c>
      <c r="K16" s="23">
        <f>K15*(1+Parameters!$B$53)^Parameters!B$65</f>
        <v>11.480870261522204</v>
      </c>
      <c r="L16" s="23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25.10439997616708</v>
      </c>
      <c r="M16" s="8">
        <f>M15+L16*Parameters!B$65</f>
        <v>2676.0606834528221</v>
      </c>
      <c r="N16" s="7">
        <f>M16*Parameters!$B$45</f>
        <v>1.6056364100716931</v>
      </c>
      <c r="O16" s="9">
        <f>EXP(-Parameters!$B$46/2*N16^2)</f>
        <v>0.97442318690237895</v>
      </c>
      <c r="P16" s="7">
        <f>MAX((Parameters!$B$62 + Parameters!$B$31*'6states'!A16 - '6states'!M16 + Parameters!$B$47/Parameters!$B$45)/Parameters!B$62,1)</f>
        <v>6.2467863309435598</v>
      </c>
      <c r="Q16" s="7">
        <f>Parameters!B$61*EXP(-Parameters!B$60*A16)</f>
        <v>0.36162512118992118</v>
      </c>
      <c r="R16" s="7">
        <f>(1-Parameters!B$61)*P16^-Parameters!B$63</f>
        <v>0.41629801416018691</v>
      </c>
      <c r="S16" s="7">
        <f>Parameters!B$61*EXP(-Parameters!B$60*A16)+(1-Parameters!B$61)*P16^-Parameters!B$63</f>
        <v>0.77792313535010815</v>
      </c>
      <c r="T16" s="7">
        <f>1-S16/Parameters!$B$12</f>
        <v>0.61103843232494592</v>
      </c>
      <c r="U16" s="7">
        <f t="shared" si="0"/>
        <v>2.5709480912916804</v>
      </c>
      <c r="V16" s="7">
        <f>(Parameters!$B$19*(F16+Parameters!$B$20)^T16+Parameters!$B$18*G16^T16)^(1/T16)</f>
        <v>0.40383724204780219</v>
      </c>
      <c r="W16" s="7">
        <f>(Parameters!$B$10*H16^Parameters!$B$9+Parameters!$B$11*V16^Parameters!$B$9)^(Parameters!$B$7/Parameters!$B$9)*O16</f>
        <v>1.4188702693232087</v>
      </c>
      <c r="X16" s="7">
        <f>W16 - D16 - E16 - LN(1+EXP(Parameters!$B$21*C16))/Parameters!$B$21 - IF(C16&gt;0, 0,Parameters!$B$6*C16^2/F16)</f>
        <v>1.128006605457472</v>
      </c>
      <c r="Y16" s="7">
        <f>EXP(-Parameters!$B$55*A16)</f>
        <v>0.83426848831164502</v>
      </c>
      <c r="Z16" s="7">
        <f>IF(X16&gt;0,X16^(1-Parameters!$B$52)/(1-Parameters!$B$52)*Y16*Parameters!$B$65,-10+X16*1000)</f>
        <v>-2.2852237056320139</v>
      </c>
      <c r="AB16" s="9"/>
      <c r="AC16" s="23">
        <f t="shared" si="6"/>
        <v>0.95020967979996773</v>
      </c>
      <c r="AD16" s="23">
        <f t="shared" si="7"/>
        <v>5.8663147726670211</v>
      </c>
      <c r="AE16" s="23">
        <f t="shared" si="8"/>
        <v>3.2634645284703656</v>
      </c>
      <c r="AF16" s="23">
        <f t="shared" si="9"/>
        <v>36.674070281949191</v>
      </c>
      <c r="AG16" s="23">
        <f t="shared" si="10"/>
        <v>42.757505185108222</v>
      </c>
      <c r="AH16" s="23">
        <f t="shared" si="11"/>
        <v>39.170842359982849</v>
      </c>
      <c r="AI16" s="23">
        <f t="shared" si="12"/>
        <v>96.402425259731856</v>
      </c>
      <c r="AJ16" s="23">
        <f t="shared" si="13"/>
        <v>137.62560225276849</v>
      </c>
      <c r="AK16" s="23">
        <f t="shared" si="14"/>
        <v>109.4128136853803</v>
      </c>
      <c r="AL16" s="9">
        <f t="shared" si="24"/>
        <v>1.9560691305112066E-2</v>
      </c>
      <c r="AM16" s="9">
        <f t="shared" si="25"/>
        <v>1.8796785111362624E-2</v>
      </c>
      <c r="AN16" s="9">
        <f t="shared" ref="AN16:AO16" si="37">AVERAGE(AL14:AL18)</f>
        <v>1.9525575261340401E-2</v>
      </c>
      <c r="AO16" s="9">
        <f t="shared" si="37"/>
        <v>1.776915751876551E-2</v>
      </c>
      <c r="AP16" s="23"/>
      <c r="AQ16" s="8">
        <f t="shared" si="1"/>
        <v>137.62560225276849</v>
      </c>
      <c r="AR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0.15226986986171726</v>
      </c>
      <c r="AS16" s="32">
        <f>((C17-C15)/2-(F17-F15)/F16/2*C16)/(F16/2/Parameters!$B$5-C16)-((D17-D15)/D16-(G17-G15)/G16)/(G16/2/Parameters!$B$5/D16-1)</f>
        <v>3.3783068425531394E-2</v>
      </c>
      <c r="AT16" s="32">
        <f>+Parameters!$B$5*C16^2/F16^2-Parameters!$B$5*D16^2/G16^2</f>
        <v>-1.8152437904097245E-2</v>
      </c>
      <c r="AU16" s="30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0.69784147420787845</v>
      </c>
      <c r="AV16" s="30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67.688255396760056</v>
      </c>
      <c r="AW16" s="8">
        <f>1000*(AR16+AS16+AT16)/(EXP(-Parameters!$B$42*A16)*((C16&lt;0)*Parameters!$B$37*EXP(-Parameters!$B$38*AF16)+(C16&gt;=0)*Parameters!$B$41))</f>
        <v>207.87606369276273</v>
      </c>
      <c r="AX16" s="13">
        <f>1-W16/'6states,ExoDamages'!T16</f>
        <v>5.0070412479186421E-2</v>
      </c>
      <c r="AY16" s="21">
        <f>-Y16*W16*X16^(-Parameters!B$52)*Parameters!B$46*Parameters!B$45*N16</f>
        <v>-1.9481497020325079E-5</v>
      </c>
      <c r="AZ16" s="7">
        <f>1000*EXP(-(Parameters!$B$54)*'6states'!A16)*AQ16*Parameters!B$46*Parameters!B$45*N16</f>
        <v>1.7489158445592765</v>
      </c>
      <c r="BA16" s="7">
        <f>SUM(AZ16:AZ$204)*EXP(Parameters!$B$54*A16)</f>
        <v>242.90367753059775</v>
      </c>
      <c r="BB16" s="13">
        <f t="shared" si="35"/>
        <v>0.20487550283651956</v>
      </c>
      <c r="BC16" s="30">
        <f>IF(C16&lt;0,Parameters!$B$6*AC16^2/AF16,0)</f>
        <v>0</v>
      </c>
      <c r="BD16" s="30">
        <f>Parameters!$B$5*AD16^2/AG16</f>
        <v>0.80485633722140226</v>
      </c>
      <c r="BE16" s="30">
        <f t="shared" si="15"/>
        <v>0</v>
      </c>
      <c r="BF16" s="30">
        <f t="shared" si="16"/>
        <v>0.137199650617365</v>
      </c>
      <c r="BG16" s="30"/>
      <c r="BH16" s="5">
        <f t="shared" si="3"/>
        <v>-1.9540036442234144E-3</v>
      </c>
      <c r="BI16" s="2">
        <f>BH16/Parameters!$B$45</f>
        <v>-3.2566727403723577</v>
      </c>
      <c r="BJ16" s="2">
        <f t="shared" si="27"/>
        <v>3.1732212321167186E-3</v>
      </c>
      <c r="BM16">
        <f>-EXP(-Parameters!B$42*'6states'!A16)*(-Parameters!B$37/Parameters!B$38/Parameters!E$25*(EXP(-Parameters!B$38*Parameters!E$25*'6states'!AE16/('6states'!F16+'6states'!AE16))-EXP(-Parameters!B$38*Parameters!E$25))+Parameters!B$37*'6states'!F16/('6states'!F16+'6states'!AE16)*EXP(-Parameters!B$38*Parameters!E$25*'6states'!I16/('6states'!F16+'6states'!AE16)))</f>
        <v>-0.38021406051348783</v>
      </c>
      <c r="BN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-14.512862182404032</v>
      </c>
      <c r="BO16" s="7">
        <f t="shared" si="4"/>
        <v>8.1714220568740267E-2</v>
      </c>
      <c r="BP16" s="7">
        <f t="shared" si="5"/>
        <v>-1.0780555347213663</v>
      </c>
      <c r="BU16">
        <f>EXP(-Parameters!$B$56*A16)*BH16*BN16</f>
        <v>1.1121895377567319E-2</v>
      </c>
      <c r="BV16">
        <f>-EXP((Parameters!$B$56)*F16)*SUM(BU16:BU24)</f>
        <v>-0.11365503651052032</v>
      </c>
      <c r="BW16">
        <f>X16^-Parameters!B$52/(1-2*Parameters!B$5*'6states'!D16/'6states'!G16)</f>
        <v>1.1713362663213511</v>
      </c>
      <c r="BX16">
        <f t="shared" si="17"/>
        <v>0.99035187880211539</v>
      </c>
      <c r="BY16">
        <f>$X16^-Parameters!$B$52/(1-2*Parameters!$B$5*'6states'!$E16/'6states'!$H16)</f>
        <v>0.959899126369262</v>
      </c>
      <c r="BZ16">
        <f t="shared" si="18"/>
        <v>1.0057452731651153</v>
      </c>
      <c r="CA16" s="7">
        <f>($X16^-Parameters!$B$52*(1/(1+EXP(-C16)) + IF(C16&lt;0,2*Parameters!$B$6*C16/F16,0)) + BS16*(1/(1+EXP((C16-Parameters!$B$22)*Parameters!$B$21))))/(1-IF(C16&gt;0,2*Parameters!$B$5*C16/F16,0))</f>
        <v>0.45038108533631338</v>
      </c>
      <c r="CB16">
        <f t="shared" si="19"/>
        <v>1.0075883131377523</v>
      </c>
      <c r="CC16" s="7">
        <f t="shared" si="20"/>
        <v>3.3918939534041681E-3</v>
      </c>
      <c r="CD16">
        <f>(1/$T16-1/Parameters!$B$13) * LN(Parameters!$B$18) / LN(P16)</f>
        <v>0.23632347559156372</v>
      </c>
      <c r="CE16">
        <f>(Parameters!$B$18*'6states'!T16^+Parameters!$B$19*Parameters!$B$25^'6states'!T16)^((1-'6states'!T16)/'6states'!T16)*Parameters!$B$18*Parameters!$B$26^('6states'!T16-1)</f>
        <v>0.21701426575757171</v>
      </c>
      <c r="CF16">
        <f t="shared" si="21"/>
        <v>0.28081995572499208</v>
      </c>
      <c r="CG16">
        <f t="shared" si="22"/>
        <v>0.15109411334043854</v>
      </c>
      <c r="CH16">
        <f t="shared" si="23"/>
        <v>0.13965587674529512</v>
      </c>
    </row>
    <row r="17" spans="1:86" x14ac:dyDescent="0.3">
      <c r="A17">
        <f>A16+Parameters!$B$65</f>
        <v>13</v>
      </c>
      <c r="B17">
        <v>2038</v>
      </c>
      <c r="C17" s="74">
        <v>9.7178604502480993E-3</v>
      </c>
      <c r="D17" s="69">
        <v>6.0993095819792398E-2</v>
      </c>
      <c r="E17" s="75">
        <v>0.221288152567787</v>
      </c>
      <c r="F17" s="7">
        <f>MAX((1-Parameters!$B$4)^Parameters!B$65*F16 + C16*Parameters!B$65 - IF(C16&gt;0,Parameters!$B$5,0)*C16^2/F16*Parameters!B$65, 0.0001)</f>
        <v>0.3638566585965633</v>
      </c>
      <c r="G17" s="7">
        <f>(1-Parameters!$B$4)^Parameters!B$65*G16+D16*Parameters!B$65-Parameters!$B$5*D16^2/G16*Parameters!B$65</f>
        <v>0.46526902150218119</v>
      </c>
      <c r="H17" s="7">
        <f>(1-Parameters!$B$4)^Parameters!B$65*H16+E16*Parameters!B$65-Parameters!$B$5*E16^2/H16*Parameters!B$65</f>
        <v>3.8134396729164499</v>
      </c>
      <c r="I17" s="7">
        <f>I16 *(1-Parameters!$B$4)-C16*(C16&lt;0)*Parameters!B$65</f>
        <v>3.1528861640858552E-2</v>
      </c>
      <c r="J17" s="23">
        <f>J16*(1+Parameters!$B$51)^Parameters!B$65</f>
        <v>8.4730421296910734</v>
      </c>
      <c r="K17" s="23">
        <f>K16*(1+Parameters!$B$53)^Parameters!B$65</f>
        <v>11.710487666752648</v>
      </c>
      <c r="L17" s="23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24.480695670203374</v>
      </c>
      <c r="M17" s="8">
        <f>M16+L17*Parameters!B$65</f>
        <v>2700.5413791230253</v>
      </c>
      <c r="N17" s="7">
        <f>M17*Parameters!$B$45</f>
        <v>1.6203248274738151</v>
      </c>
      <c r="O17" s="9">
        <f>EXP(-Parameters!$B$46/2*N17^2)</f>
        <v>0.9739592654903938</v>
      </c>
      <c r="P17" s="7">
        <f>MAX((Parameters!$B$62 + Parameters!$B$31*'6states'!A17 - '6states'!M17 + Parameters!$B$47/Parameters!$B$45)/Parameters!B$62,1)</f>
        <v>6.8211724175394917</v>
      </c>
      <c r="Q17" s="7">
        <f>Parameters!B$61*EXP(-Parameters!B$60*A17)</f>
        <v>0.35199187692781048</v>
      </c>
      <c r="R17" s="7">
        <f>(1-Parameters!B$61)*P17^-Parameters!B$63</f>
        <v>0.41265213992691291</v>
      </c>
      <c r="S17" s="7">
        <f>Parameters!B$61*EXP(-Parameters!B$60*A17)+(1-Parameters!B$61)*P17^-Parameters!B$63</f>
        <v>0.76464401685472339</v>
      </c>
      <c r="T17" s="7">
        <f>1-S17/Parameters!$B$12</f>
        <v>0.61767799157263825</v>
      </c>
      <c r="U17" s="7">
        <f t="shared" si="0"/>
        <v>2.6155962198288996</v>
      </c>
      <c r="V17" s="7">
        <f>(Parameters!$B$19*(F17+Parameters!$B$20)^T17+Parameters!$B$18*G17^T17)^(1/T17)</f>
        <v>0.40082036720868863</v>
      </c>
      <c r="W17" s="7">
        <f>(Parameters!$B$10*H17^Parameters!$B$9+Parameters!$B$11*V17^Parameters!$B$9)^(Parameters!$B$7/Parameters!$B$9)*O17</f>
        <v>1.4145902880364594</v>
      </c>
      <c r="X17" s="7">
        <f>W17 - D17 - E17 - LN(1+EXP(Parameters!$B$21*C17))/Parameters!$B$21 - IF(C17&gt;0, 0,Parameters!$B$6*C17^2/F17)</f>
        <v>1.1224152872049507</v>
      </c>
      <c r="Y17" s="7">
        <f>EXP(-Parameters!$B$55*A17)</f>
        <v>0.82176566799463491</v>
      </c>
      <c r="Z17" s="7">
        <f>IF(X17&gt;0,X17^(1-Parameters!$B$52)/(1-Parameters!$B$52)*Y17*Parameters!$B$65,-10+X17*1000)</f>
        <v>-2.2548943492033349</v>
      </c>
      <c r="AB17" s="9"/>
      <c r="AC17" s="23">
        <f t="shared" si="6"/>
        <v>0.96423969257623721</v>
      </c>
      <c r="AD17" s="23">
        <f t="shared" si="7"/>
        <v>6.051945720320373</v>
      </c>
      <c r="AE17" s="23">
        <f t="shared" si="8"/>
        <v>3.1284025955614556</v>
      </c>
      <c r="AF17" s="23">
        <f t="shared" si="9"/>
        <v>36.103114921557655</v>
      </c>
      <c r="AG17" s="23">
        <f t="shared" si="10"/>
        <v>46.165599985237108</v>
      </c>
      <c r="AH17" s="23">
        <f t="shared" si="11"/>
        <v>39.77078181295898</v>
      </c>
      <c r="AI17" s="23">
        <f t="shared" si="12"/>
        <v>97.878921928973284</v>
      </c>
      <c r="AJ17" s="23">
        <f t="shared" si="13"/>
        <v>140.36053629714175</v>
      </c>
      <c r="AK17" s="23">
        <f t="shared" si="14"/>
        <v>111.36992314493874</v>
      </c>
      <c r="AL17" s="9">
        <f t="shared" si="24"/>
        <v>1.9677400501310061E-2</v>
      </c>
      <c r="AM17" s="9">
        <f t="shared" si="25"/>
        <v>1.7729291265028202E-2</v>
      </c>
      <c r="AN17" s="9">
        <f t="shared" ref="AN17:AO17" si="38">AVERAGE(AL15:AL19)</f>
        <v>1.9688970588921072E-2</v>
      </c>
      <c r="AO17" s="9">
        <f t="shared" si="38"/>
        <v>1.8026246828192961E-2</v>
      </c>
      <c r="AP17" s="23"/>
      <c r="AQ17" s="8">
        <f t="shared" si="1"/>
        <v>140.36053629714175</v>
      </c>
      <c r="AR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0.15491963838810341</v>
      </c>
      <c r="AS17" s="32">
        <f>((C18-C16)/2-(F18-F16)/F17/2*C17)/(F17/2/Parameters!$B$5-C17)-((D18-D16)/D17-(G18-G16)/G17)/(G17/2/Parameters!$B$5/D17-1)</f>
        <v>3.246050992155558E-2</v>
      </c>
      <c r="AT17" s="32">
        <f>+Parameters!$B$5*C17^2/F17^2-Parameters!$B$5*D17^2/G17^2</f>
        <v>-1.6471826358657668E-2</v>
      </c>
      <c r="AU17" s="30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0.69206856595347765</v>
      </c>
      <c r="AV17" s="30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68.669434459683131</v>
      </c>
      <c r="AW17" s="8">
        <f>1000*(AR17+AS17+AT17)/(EXP(-Parameters!$B$42*A17)*((C17&lt;0)*Parameters!$B$37*EXP(-Parameters!$B$38*AF17)+(C17&gt;=0)*Parameters!$B$41))</f>
        <v>213.72663543825288</v>
      </c>
      <c r="AX17" s="13">
        <f>1-W17/'6states,ExoDamages'!T17</f>
        <v>5.2481027516539935E-2</v>
      </c>
      <c r="AY17" s="21">
        <f>-Y17*W17*X17^(-Parameters!B$52)*Parameters!B$46*Parameters!B$45*N17</f>
        <v>-1.943661963946183E-5</v>
      </c>
      <c r="AZ17" s="7">
        <f>1000*EXP(-(Parameters!$B$54)*'6states'!A17)*AQ17*Parameters!B$46*Parameters!B$45*N17</f>
        <v>1.7379042335918464</v>
      </c>
      <c r="BA17" s="7">
        <f>SUM(AZ17:AZ$204)*EXP(Parameters!$B$54*A17)</f>
        <v>248.82081212531804</v>
      </c>
      <c r="BB17" s="13">
        <f t="shared" si="35"/>
        <v>0.20641956282842905</v>
      </c>
      <c r="BC17" s="30">
        <f>IF(C17&lt;0,Parameters!$B$6*AC17^2/AF17,0)</f>
        <v>0</v>
      </c>
      <c r="BD17" s="30">
        <f>Parameters!$B$5*AD17^2/AG17</f>
        <v>0.79336230902265759</v>
      </c>
      <c r="BE17" s="30">
        <f t="shared" si="15"/>
        <v>0</v>
      </c>
      <c r="BF17" s="30">
        <f t="shared" si="16"/>
        <v>0.13109210585924741</v>
      </c>
      <c r="BG17" s="30"/>
      <c r="BH17" s="5">
        <f t="shared" si="3"/>
        <v>-1.9600261146610763E-3</v>
      </c>
      <c r="BI17" s="2">
        <f>BH17/Parameters!$B$45</f>
        <v>-3.2667101911017942</v>
      </c>
      <c r="BJ17" s="2">
        <f t="shared" si="27"/>
        <v>3.0726480594384098E-3</v>
      </c>
      <c r="BM17">
        <f>-EXP(-Parameters!B$42*'6states'!A17)*(-Parameters!B$37/Parameters!B$38/Parameters!E$25*(EXP(-Parameters!B$38*Parameters!E$25*'6states'!AE17/('6states'!F17+'6states'!AE17))-EXP(-Parameters!B$38*Parameters!E$25))+Parameters!B$37*'6states'!F17/('6states'!F17+'6states'!AE17)*EXP(-Parameters!B$38*Parameters!E$25*'6states'!I17/('6states'!F17+'6states'!AE17)))</f>
        <v>-0.38115050994736821</v>
      </c>
      <c r="BN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-16.021361816565673</v>
      </c>
      <c r="BO17" s="7">
        <f t="shared" si="4"/>
        <v>7.9742074575533367E-2</v>
      </c>
      <c r="BP17" s="7">
        <f t="shared" si="5"/>
        <v>-1.073219075900846</v>
      </c>
      <c r="BU17">
        <f>EXP(-Parameters!$B$56*A17)*BH17*BN17</f>
        <v>1.1391651268811758E-2</v>
      </c>
      <c r="BV17">
        <f>-EXP((Parameters!$B$56)*F17)*SUM(BU17:BU25)</f>
        <v>-0.11615883735304783</v>
      </c>
      <c r="BW17">
        <f>X17^-Parameters!B$52/(1-2*Parameters!B$5*'6states'!D17/'6states'!G17)</f>
        <v>1.159697529470179</v>
      </c>
      <c r="BX17">
        <f t="shared" si="17"/>
        <v>0.99006370998165694</v>
      </c>
      <c r="BY17">
        <f>$X17^-Parameters!$B$52/(1-2*Parameters!$B$5*'6states'!$E17/'6states'!$H17)</f>
        <v>0.96798450905384947</v>
      </c>
      <c r="BZ17">
        <f t="shared" si="18"/>
        <v>1.0084231587074881</v>
      </c>
      <c r="CA17" s="7">
        <f>($X17^-Parameters!$B$52*(1/(1+EXP(-C17)) + IF(C17&lt;0,2*Parameters!$B$6*C17/F17,0)) + BS17*(1/(1+EXP((C17-Parameters!$B$22)*Parameters!$B$21))))/(1-IF(C17&gt;0,2*Parameters!$B$5*C17/F17,0))</f>
        <v>0.4541596460192775</v>
      </c>
      <c r="CB17">
        <f t="shared" si="19"/>
        <v>1.0083896966502102</v>
      </c>
      <c r="CC17" s="7">
        <f t="shared" si="20"/>
        <v>3.7785606829641161E-3</v>
      </c>
      <c r="CD17">
        <f>(1/$T17-1/Parameters!$B$13) * LN(Parameters!$B$18) / LN(P17)</f>
        <v>0.23641131217846717</v>
      </c>
      <c r="CE17">
        <f>(Parameters!$B$18*'6states'!T17^+Parameters!$B$19*Parameters!$B$25^'6states'!T17)^((1-'6states'!T17)/'6states'!T17)*Parameters!$B$18*Parameters!$B$26^('6states'!T17-1)</f>
        <v>0.22155767849199001</v>
      </c>
      <c r="CF17">
        <f t="shared" si="21"/>
        <v>0.27874590323056547</v>
      </c>
      <c r="CG17">
        <f t="shared" si="22"/>
        <v>0.15114579628362701</v>
      </c>
      <c r="CH17">
        <f t="shared" si="23"/>
        <v>0.14236105679697664</v>
      </c>
    </row>
    <row r="18" spans="1:86" x14ac:dyDescent="0.3">
      <c r="A18">
        <f>A17+Parameters!$B$65</f>
        <v>14</v>
      </c>
      <c r="B18">
        <v>2039</v>
      </c>
      <c r="C18" s="74">
        <v>9.5908122403939797E-3</v>
      </c>
      <c r="D18" s="69">
        <v>6.1490738047550203E-2</v>
      </c>
      <c r="E18" s="75">
        <v>0.22239444607650399</v>
      </c>
      <c r="F18" s="7">
        <f>MAX((1-Parameters!$B$4)^Parameters!B$65*F17 + C17*Parameters!B$65 - IF(C17&gt;0,Parameters!$B$5,0)*C17^2/F17*Parameters!B$65, 0.0001)</f>
        <v>0.35042839122347391</v>
      </c>
      <c r="G18" s="7">
        <f>(1-Parameters!$B$4)^Parameters!B$65*G17+D17*Parameters!B$65-Parameters!$B$5*D17^2/G17*Parameters!B$65</f>
        <v>0.48900098249559498</v>
      </c>
      <c r="H18" s="7">
        <f>(1-Parameters!$B$4)^Parameters!B$65*H17+E17*Parameters!B$65-Parameters!$B$5*E17^2/H17*Parameters!B$65</f>
        <v>3.7820214523239479</v>
      </c>
      <c r="I18" s="7">
        <f>I17 *(1-Parameters!$B$4)-C17*(C17&lt;0)*Parameters!B$65</f>
        <v>2.9545696243648549E-2</v>
      </c>
      <c r="J18" s="23">
        <f>J17*(1+Parameters!$B$51)^Parameters!B$65</f>
        <v>8.4976139518671765</v>
      </c>
      <c r="K18" s="23">
        <f>K17*(1+Parameters!$B$53)^Parameters!B$65</f>
        <v>11.944697420087701</v>
      </c>
      <c r="L18" s="23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23.892421115348899</v>
      </c>
      <c r="M18" s="8">
        <f>M17+L18*Parameters!B$65</f>
        <v>2724.4338002383743</v>
      </c>
      <c r="N18" s="7">
        <f>M18*Parameters!$B$45</f>
        <v>1.6346602801430243</v>
      </c>
      <c r="O18" s="9">
        <f>EXP(-Parameters!$B$46/2*N18^2)</f>
        <v>0.97350263443429697</v>
      </c>
      <c r="P18" s="7">
        <f>MAX((Parameters!$B$62 + Parameters!$B$31*'6states'!A18 - '6states'!M18 + Parameters!$B$47/Parameters!$B$45)/Parameters!B$62,1)</f>
        <v>7.4073239952325185</v>
      </c>
      <c r="Q18" s="7">
        <f>Parameters!B$61*EXP(-Parameters!B$60*A18)</f>
        <v>0.34261525033293516</v>
      </c>
      <c r="R18" s="7">
        <f>(1-Parameters!B$61)*P18^-Parameters!B$63</f>
        <v>0.40926430688821341</v>
      </c>
      <c r="S18" s="7">
        <f>Parameters!B$61*EXP(-Parameters!B$60*A18)+(1-Parameters!B$61)*P18^-Parameters!B$63</f>
        <v>0.75187955722114852</v>
      </c>
      <c r="T18" s="7">
        <f>1-S18/Parameters!$B$12</f>
        <v>0.62406022138942574</v>
      </c>
      <c r="U18" s="7">
        <f t="shared" si="0"/>
        <v>2.6600005024631157</v>
      </c>
      <c r="V18" s="7">
        <f>(Parameters!$B$19*(F18+Parameters!$B$20)^T18+Parameters!$B$18*G18^T18)^(1/T18)</f>
        <v>0.39792910734192072</v>
      </c>
      <c r="W18" s="7">
        <f>(Parameters!$B$10*H18^Parameters!$B$9+Parameters!$B$11*V18^Parameters!$B$9)^(Parameters!$B$7/Parameters!$B$9)*O18</f>
        <v>1.4105596274503922</v>
      </c>
      <c r="X18" s="7">
        <f>W18 - D18 - E18 - LN(1+EXP(Parameters!$B$21*C18))/Parameters!$B$21 - IF(C18&gt;0, 0,Parameters!$B$6*C18^2/F18)</f>
        <v>1.1169010894634421</v>
      </c>
      <c r="Y18" s="7">
        <f>EXP(-Parameters!$B$55*A18)</f>
        <v>0.80945022202781236</v>
      </c>
      <c r="Z18" s="7">
        <f>IF(X18&gt;0,X18^(1-Parameters!$B$52)/(1-Parameters!$B$52)*Y18*Parameters!$B$65,-10+X18*1000)</f>
        <v>-2.2249330747436735</v>
      </c>
      <c r="AB18" s="9"/>
      <c r="AC18" s="23">
        <f t="shared" si="6"/>
        <v>0.97348113278352555</v>
      </c>
      <c r="AD18" s="23">
        <f t="shared" si="7"/>
        <v>6.2413976866431922</v>
      </c>
      <c r="AE18" s="23">
        <f t="shared" si="8"/>
        <v>2.9989303436685177</v>
      </c>
      <c r="AF18" s="23">
        <f t="shared" si="9"/>
        <v>35.56898192740789</v>
      </c>
      <c r="AG18" s="23">
        <f t="shared" si="10"/>
        <v>49.634297746664458</v>
      </c>
      <c r="AH18" s="23">
        <f t="shared" si="11"/>
        <v>40.390372418221496</v>
      </c>
      <c r="AI18" s="23">
        <f t="shared" si="12"/>
        <v>99.403781580101764</v>
      </c>
      <c r="AJ18" s="23">
        <f t="shared" si="13"/>
        <v>143.1738156864082</v>
      </c>
      <c r="AK18" s="23">
        <f t="shared" si="14"/>
        <v>113.36705489850786</v>
      </c>
      <c r="AL18" s="9">
        <f t="shared" si="24"/>
        <v>1.9845014878806744E-2</v>
      </c>
      <c r="AM18" s="9">
        <f t="shared" si="25"/>
        <v>1.7773526589896171E-2</v>
      </c>
      <c r="AN18" s="9">
        <f t="shared" ref="AN18:AO18" si="39">AVERAGE(AL16:AL20)</f>
        <v>1.984260376813296E-2</v>
      </c>
      <c r="AO18" s="9">
        <f t="shared" si="39"/>
        <v>1.8120794964760201E-2</v>
      </c>
      <c r="AP18" s="23"/>
      <c r="AQ18" s="8">
        <f t="shared" si="1"/>
        <v>143.17381568640823</v>
      </c>
      <c r="AR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0.15767344879862588</v>
      </c>
      <c r="AS18" s="32">
        <f>((C19-C17)/2-(F19-F17)/F18/2*C18)/(F18/2/Parameters!$B$5-C18)-((D19-D17)/D18-(G19-G17)/G18)/(G18/2/Parameters!$B$5/D18-1)</f>
        <v>2.7696619588301843E-2</v>
      </c>
      <c r="AT18" s="32">
        <f>+Parameters!$B$5*C18^2/F18^2-Parameters!$B$5*D18^2/G18^2</f>
        <v>-1.5063426087196144E-2</v>
      </c>
      <c r="AU18" s="30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0.6864204186326911</v>
      </c>
      <c r="AV18" s="30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69.672652320513407</v>
      </c>
      <c r="AW18" s="8">
        <f>1000*(AR18+AS18+AT18)/(EXP(-Parameters!$B$42*A18)*((C18&lt;0)*Parameters!$B$37*EXP(-Parameters!$B$38*AF18)+(C18&gt;=0)*Parameters!$B$41))</f>
        <v>215.11464113229815</v>
      </c>
      <c r="AX18" s="13">
        <f>1-W18/'6states,ExoDamages'!T18</f>
        <v>5.4724869261599918E-2</v>
      </c>
      <c r="AY18" s="21">
        <f>-Y18*W18*X18^(-Parameters!B$52)*Parameters!B$46*Parameters!B$45*N18</f>
        <v>-1.9388157950713281E-5</v>
      </c>
      <c r="AZ18" s="7">
        <f>1000*EXP(-(Parameters!$B$54)*'6states'!A18)*AQ18*Parameters!B$46*Parameters!B$45*N18</f>
        <v>1.726736657136992</v>
      </c>
      <c r="BA18" s="7">
        <f>SUM(AZ18:AZ$204)*EXP(Parameters!$B$54*A18)</f>
        <v>254.86872307510009</v>
      </c>
      <c r="BB18" s="13">
        <f t="shared" si="35"/>
        <v>0.20805642714651523</v>
      </c>
      <c r="BC18" s="30">
        <f>IF(C18&lt;0,Parameters!$B$6*AC18^2/AF18,0)</f>
        <v>0</v>
      </c>
      <c r="BD18" s="30">
        <f>Parameters!$B$5*AD18^2/AG18</f>
        <v>0.78484126604678039</v>
      </c>
      <c r="BE18" s="30">
        <f t="shared" si="15"/>
        <v>0</v>
      </c>
      <c r="BF18" s="30">
        <f t="shared" si="16"/>
        <v>0.125747677916177</v>
      </c>
      <c r="BG18" s="30"/>
      <c r="BH18" s="5">
        <f t="shared" si="3"/>
        <v>-1.9658349660780644E-3</v>
      </c>
      <c r="BI18" s="2">
        <f>BH18/Parameters!$B$45</f>
        <v>-3.2763916101301076</v>
      </c>
      <c r="BJ18" s="2">
        <f t="shared" si="27"/>
        <v>2.9549028871823646E-3</v>
      </c>
      <c r="BM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-0.17434694697224998</v>
      </c>
      <c r="BN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-17.696463988843881</v>
      </c>
      <c r="BO18" s="7">
        <f t="shared" si="4"/>
        <v>7.7757134547247281E-2</v>
      </c>
      <c r="BP18" s="7">
        <f t="shared" si="5"/>
        <v>-0.86076736560494105</v>
      </c>
      <c r="BU18">
        <f>EXP(-Parameters!$B$56*A18)*BH18*BN18</f>
        <v>1.1673040114361596E-2</v>
      </c>
      <c r="BV18">
        <f>-EXP((Parameters!$B$56)*F18)*SUM(BU18:BU26)</f>
        <v>-0.11865087286770101</v>
      </c>
      <c r="BW18">
        <f>X18^-Parameters!B$52/(1-2*Parameters!B$5*'6states'!D18/'6states'!G18)</f>
        <v>1.1507623276994676</v>
      </c>
      <c r="BX18">
        <f t="shared" si="17"/>
        <v>0.99229523083075499</v>
      </c>
      <c r="BY18">
        <f>$X18^-Parameters!$B$52/(1-2*Parameters!$B$5*'6states'!$E18/'6states'!$H18)</f>
        <v>0.97615245546903906</v>
      </c>
      <c r="BZ18">
        <f t="shared" si="18"/>
        <v>1.0084380962079376</v>
      </c>
      <c r="CA18" s="7">
        <f>($X18^-Parameters!$B$52*(1/(1+EXP(-C18)) + IF(C18&lt;0,2*Parameters!$B$6*C18/F18,0)) + BS18*(1/(1+EXP((C18-Parameters!$B$22)*Parameters!$B$21))))/(1-IF(C18&gt;0,2*Parameters!$B$5*C18/F18,0))</f>
        <v>0.45779959232657907</v>
      </c>
      <c r="CB18">
        <f t="shared" si="19"/>
        <v>1.0080146845700753</v>
      </c>
      <c r="CC18" s="7">
        <f t="shared" si="20"/>
        <v>3.6399463073015781E-3</v>
      </c>
      <c r="CD18">
        <f>(1/$T18-1/Parameters!$B$13) * LN(Parameters!$B$18) / LN(P18)</f>
        <v>0.23652859611083243</v>
      </c>
      <c r="CE18">
        <f>(Parameters!$B$18*'6states'!T18^+Parameters!$B$19*Parameters!$B$25^'6states'!T18)^((1-'6states'!T18)/'6states'!T18)*Parameters!$B$18*Parameters!$B$26^('6states'!T18-1)</f>
        <v>0.22582682192215156</v>
      </c>
      <c r="CF18">
        <f t="shared" si="21"/>
        <v>0.2768014319624279</v>
      </c>
      <c r="CG18">
        <f t="shared" si="22"/>
        <v>0.1512148011041623</v>
      </c>
      <c r="CH18">
        <f t="shared" si="23"/>
        <v>0.14489518328502859</v>
      </c>
    </row>
    <row r="19" spans="1:86" x14ac:dyDescent="0.3">
      <c r="A19">
        <f>A18+Parameters!$B$65</f>
        <v>15</v>
      </c>
      <c r="B19">
        <v>2040</v>
      </c>
      <c r="C19" s="74">
        <v>9.5243580796220695E-3</v>
      </c>
      <c r="D19" s="69">
        <v>6.20891946078269E-2</v>
      </c>
      <c r="E19" s="75">
        <v>0.22200055752943301</v>
      </c>
      <c r="F19" s="7">
        <f>MAX((1-Parameters!$B$4)^Parameters!B$65*F18 + C18*Parameters!B$65 - IF(C18&gt;0,Parameters!$B$5,0)*C18^2/F18*Parameters!B$65, 0.0001)</f>
        <v>0.33771476842349124</v>
      </c>
      <c r="G19" s="7">
        <f>(1-Parameters!$B$4)^Parameters!B$65*G18+D18*Parameters!B$65-Parameters!$B$5*D18^2/G18*Parameters!B$65</f>
        <v>0.51200124122134094</v>
      </c>
      <c r="H19" s="7">
        <f>(1-Parameters!$B$4)^Parameters!B$65*H18+E18*Parameters!B$65-Parameters!$B$5*E18^2/H18*Parameters!B$65</f>
        <v>3.7534492744053169</v>
      </c>
      <c r="I19" s="7">
        <f>I18 *(1-Parameters!$B$4)-C18*(C18&lt;0)*Parameters!B$65</f>
        <v>2.7687271949923056E-2</v>
      </c>
      <c r="J19" s="23">
        <f>J18*(1+Parameters!$B$51)^Parameters!B$65</f>
        <v>8.522257032327591</v>
      </c>
      <c r="K19" s="23">
        <f>K18*(1+Parameters!$B$53)^Parameters!B$65</f>
        <v>12.183591368489456</v>
      </c>
      <c r="L19" s="23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23.334576975420301</v>
      </c>
      <c r="M19" s="8">
        <f>M18+L19*Parameters!B$65</f>
        <v>2747.7683772137943</v>
      </c>
      <c r="N19" s="7">
        <f>M19*Parameters!$B$45</f>
        <v>1.6486610263282764</v>
      </c>
      <c r="O19" s="9">
        <f>EXP(-Parameters!$B$46/2*N19^2)</f>
        <v>0.9730529918401094</v>
      </c>
      <c r="P19" s="7">
        <f>MAX((Parameters!$B$62 + Parameters!$B$31*'6states'!A19 - '6states'!M19 + Parameters!$B$47/Parameters!$B$45)/Parameters!B$62,1)</f>
        <v>8.0046324557241135</v>
      </c>
      <c r="Q19" s="7">
        <f>Parameters!B$61*EXP(-Parameters!B$60*A19)</f>
        <v>0.33348840542923719</v>
      </c>
      <c r="R19" s="7">
        <f>(1-Parameters!B$61)*P19^-Parameters!B$63</f>
        <v>0.40610268864442195</v>
      </c>
      <c r="S19" s="7">
        <f>Parameters!B$61*EXP(-Parameters!B$60*A19)+(1-Parameters!B$61)*P19^-Parameters!B$63</f>
        <v>0.73959109407365919</v>
      </c>
      <c r="T19" s="7">
        <f>1-S19/Parameters!$B$12</f>
        <v>0.6302044529631704</v>
      </c>
      <c r="U19" s="7">
        <f t="shared" si="0"/>
        <v>2.7041969759046491</v>
      </c>
      <c r="V19" s="7">
        <f>(Parameters!$B$19*(F19+Parameters!$B$20)^T19+Parameters!$B$18*G19^T19)^(1/T19)</f>
        <v>0.39513660074836437</v>
      </c>
      <c r="W19" s="7">
        <f>(Parameters!$B$10*H19^Parameters!$B$9+Parameters!$B$11*V19^Parameters!$B$9)^(Parameters!$B$7/Parameters!$B$9)*O19</f>
        <v>1.4067757805500369</v>
      </c>
      <c r="X19" s="7">
        <f>W19 - D19 - E19 - LN(1+EXP(Parameters!$B$21*C19))/Parameters!$B$21 - IF(C19&gt;0, 0,Parameters!$B$6*C19^2/F19)</f>
        <v>1.112975553748349</v>
      </c>
      <c r="Y19" s="7">
        <f>EXP(-Parameters!$B$55*A19)</f>
        <v>0.79731934231298707</v>
      </c>
      <c r="Z19" s="7">
        <f>IF(X19&gt;0,X19^(1-Parameters!$B$52)/(1-Parameters!$B$52)*Y19*Parameters!$B$65,-10+X19*1000)</f>
        <v>-2.1942913275318627</v>
      </c>
      <c r="AB19" s="9"/>
      <c r="AC19" s="23">
        <f t="shared" si="6"/>
        <v>0.98893026432975029</v>
      </c>
      <c r="AD19" s="23">
        <f t="shared" si="7"/>
        <v>6.4468264550985905</v>
      </c>
      <c r="AE19" s="23">
        <f t="shared" si="8"/>
        <v>2.8748164379277066</v>
      </c>
      <c r="AF19" s="23">
        <f t="shared" si="9"/>
        <v>35.065497581371481</v>
      </c>
      <c r="AG19" s="23">
        <f t="shared" si="10"/>
        <v>53.161957854305335</v>
      </c>
      <c r="AH19" s="23">
        <f t="shared" si="11"/>
        <v>41.027703889094497</v>
      </c>
      <c r="AI19" s="23">
        <f t="shared" si="12"/>
        <v>100.97230285217114</v>
      </c>
      <c r="AJ19" s="23">
        <f t="shared" si="13"/>
        <v>146.06791690125561</v>
      </c>
      <c r="AK19" s="23">
        <f t="shared" si="14"/>
        <v>115.56214070907544</v>
      </c>
      <c r="AL19" s="9">
        <f t="shared" si="24"/>
        <v>2.0012311343558409E-2</v>
      </c>
      <c r="AM19" s="9">
        <f t="shared" si="25"/>
        <v>1.9177572173947333E-2</v>
      </c>
      <c r="AN19" s="9">
        <f t="shared" ref="AN19:AO19" si="40">AVERAGE(AL17:AL21)</f>
        <v>1.999366612650668E-2</v>
      </c>
      <c r="AO19" s="9">
        <f t="shared" si="40"/>
        <v>1.8656551486444427E-2</v>
      </c>
      <c r="AP19" s="23"/>
      <c r="AQ19" s="8">
        <f t="shared" si="1"/>
        <v>146.06791690125561</v>
      </c>
      <c r="AR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0.16048383279141898</v>
      </c>
      <c r="AS19" s="32">
        <f>((C20-C18)/2-(F20-F18)/F19/2*C19)/(F19/2/Parameters!$B$5-C19)-((D20-D18)/D19-(G20-G18)/G19)/(G19/2/Parameters!$B$5/D19-1)</f>
        <v>2.6238159555201312E-2</v>
      </c>
      <c r="AT19" s="32">
        <f>+Parameters!$B$5*C19^2/F19^2-Parameters!$B$5*D19^2/G19^2</f>
        <v>-1.3910472510377893E-2</v>
      </c>
      <c r="AU19" s="30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0.68089072393271355</v>
      </c>
      <c r="AV19" s="30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70.698039486685545</v>
      </c>
      <c r="AW19" s="8">
        <f>1000*(AR19+AS19+AT19)/(EXP(-Parameters!$B$42*A19)*((C19&lt;0)*Parameters!$B$37*EXP(-Parameters!$B$38*AF19)+(C19&gt;=0)*Parameters!$B$41))</f>
        <v>220.47229263898853</v>
      </c>
      <c r="AX19" s="13">
        <f>1-W19/'6states,ExoDamages'!T19</f>
        <v>5.679702903689321E-2</v>
      </c>
      <c r="AY19" s="21">
        <f>-Y19*W19*X19^(-Parameters!B$52)*Parameters!B$46*Parameters!B$45*N19</f>
        <v>-1.9301020314948302E-5</v>
      </c>
      <c r="AZ19" s="7">
        <f>1000*EXP(-(Parameters!$B$54)*'6states'!A19)*AQ19*Parameters!B$46*Parameters!B$45*N19</f>
        <v>1.7154476541571944</v>
      </c>
      <c r="BA19" s="7">
        <f>SUM(AZ19:AZ$204)*EXP(Parameters!$B$54*A19)</f>
        <v>261.0501097879627</v>
      </c>
      <c r="BB19" s="13">
        <f t="shared" si="35"/>
        <v>0.20871422033018044</v>
      </c>
      <c r="BC19" s="30">
        <f>IF(C19&lt;0,Parameters!$B$6*AC19^2/AF19,0)</f>
        <v>0</v>
      </c>
      <c r="BD19" s="30">
        <f>Parameters!$B$5*AD19^2/AG19</f>
        <v>0.78179158593184106</v>
      </c>
      <c r="BE19" s="30">
        <f t="shared" si="15"/>
        <v>0</v>
      </c>
      <c r="BF19" s="30">
        <f t="shared" si="16"/>
        <v>0.1212676642340119</v>
      </c>
      <c r="BG19" s="30"/>
      <c r="BH19" s="5">
        <f t="shared" si="3"/>
        <v>-1.9714276430963366E-3</v>
      </c>
      <c r="BI19" s="2">
        <f>BH19/Parameters!$B$45</f>
        <v>-3.2857127384938947</v>
      </c>
      <c r="BJ19" s="2">
        <f t="shared" si="27"/>
        <v>2.8368664900570995E-3</v>
      </c>
      <c r="BM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-0.18825377880845098</v>
      </c>
      <c r="BN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-19.546709361593333</v>
      </c>
      <c r="BO19" s="7">
        <f t="shared" si="4"/>
        <v>7.5772078124218128E-2</v>
      </c>
      <c r="BP19" s="7">
        <f t="shared" si="5"/>
        <v>-0.8691445027411645</v>
      </c>
      <c r="BU19">
        <f>EXP(-Parameters!$B$56*A19)*BH19*BN19</f>
        <v>1.1959966235246935E-2</v>
      </c>
      <c r="BV19">
        <f>-EXP((Parameters!$B$56)*F19)*SUM(BU19:BU27)</f>
        <v>-0.12110272955090565</v>
      </c>
      <c r="BW19">
        <f>X19^-Parameters!B$52/(1-2*Parameters!B$5*'6states'!D19/'6states'!G19)</f>
        <v>1.1425679141136955</v>
      </c>
      <c r="BX19">
        <f t="shared" si="17"/>
        <v>0.99287914333956873</v>
      </c>
      <c r="BY19">
        <f>$X19^-Parameters!$B$52/(1-2*Parameters!$B$5*'6states'!$E19/'6states'!$H19)</f>
        <v>0.98156570111115471</v>
      </c>
      <c r="BZ19">
        <f t="shared" si="18"/>
        <v>1.0055454920097646</v>
      </c>
      <c r="CA19" s="7">
        <f>($X19^-Parameters!$B$52*(1/(1+EXP(-C19)) + IF(C19&lt;0,2*Parameters!$B$6*C19/F19,0)) + BS19*(1/(1+EXP((C19-Parameters!$B$22)*Parameters!$B$21))))/(1-IF(C19&gt;0,2*Parameters!$B$5*C19/F19,0))</f>
        <v>0.46077820280336934</v>
      </c>
      <c r="CB19">
        <f t="shared" si="19"/>
        <v>1.0065063633229832</v>
      </c>
      <c r="CC19" s="7">
        <f t="shared" si="20"/>
        <v>2.9786104767902666E-3</v>
      </c>
      <c r="CD19">
        <f>(1/$T19-1/Parameters!$B$13) * LN(Parameters!$B$18) / LN(P19)</f>
        <v>0.23665747444510657</v>
      </c>
      <c r="CE19">
        <f>(Parameters!$B$18*'6states'!T19^+Parameters!$B$19*Parameters!$B$25^'6states'!T19)^((1-'6states'!T19)/'6states'!T19)*Parameters!$B$18*Parameters!$B$26^('6states'!T19-1)</f>
        <v>0.22984350939007175</v>
      </c>
      <c r="CF19">
        <f t="shared" si="21"/>
        <v>0.27495720573184146</v>
      </c>
      <c r="CG19">
        <f t="shared" si="22"/>
        <v>0.15129062110328861</v>
      </c>
      <c r="CH19">
        <f t="shared" si="23"/>
        <v>0.14727261703511796</v>
      </c>
    </row>
    <row r="20" spans="1:86" x14ac:dyDescent="0.3">
      <c r="A20">
        <f>A19+Parameters!$B$65</f>
        <v>16</v>
      </c>
      <c r="B20">
        <v>2041</v>
      </c>
      <c r="C20" s="74">
        <v>9.2664795280012306E-3</v>
      </c>
      <c r="D20" s="69">
        <v>6.2129503625552002E-2</v>
      </c>
      <c r="E20" s="75">
        <v>0.224761476964431</v>
      </c>
      <c r="F20" s="7">
        <f>MAX((1-Parameters!$B$4)^Parameters!B$65*F19 + C19*Parameters!B$65 - IF(C19&gt;0,Parameters!$B$5,0)*C19^2/F19*Parameters!B$65, 0.0001)</f>
        <v>0.32572825806412337</v>
      </c>
      <c r="G20" s="7">
        <f>(1-Parameters!$B$4)^Parameters!B$65*G19+D19*Parameters!B$65-Parameters!$B$5*D19^2/G19*Parameters!B$65</f>
        <v>0.53435614615208338</v>
      </c>
      <c r="H20" s="7">
        <f>(1-Parameters!$B$4)^Parameters!B$65*H19+E19*Parameters!B$65-Parameters!$B$5*E19^2/H19*Parameters!B$65</f>
        <v>3.7262274839799709</v>
      </c>
      <c r="I20" s="7">
        <f>I19 *(1-Parameters!$B$4)-C19*(C19&lt;0)*Parameters!B$65</f>
        <v>2.5945742544272898E-2</v>
      </c>
      <c r="J20" s="23">
        <f>J19*(1+Parameters!$B$51)^Parameters!B$65</f>
        <v>8.5469715777213402</v>
      </c>
      <c r="K20" s="23">
        <f>K19*(1+Parameters!$B$53)^Parameters!B$65</f>
        <v>12.427263195859245</v>
      </c>
      <c r="L20" s="23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22.809676142877549</v>
      </c>
      <c r="M20" s="8">
        <f>M19+L20*Parameters!B$65</f>
        <v>2770.5780533566717</v>
      </c>
      <c r="N20" s="7">
        <f>M20*Parameters!$B$45</f>
        <v>1.6623468320140029</v>
      </c>
      <c r="O20" s="9">
        <f>EXP(-Parameters!$B$46/2*N20^2)</f>
        <v>0.97260996070426087</v>
      </c>
      <c r="P20" s="7">
        <f>MAX((Parameters!$B$62 + Parameters!$B$31*'6states'!A20 - '6states'!M20 + Parameters!$B$47/Parameters!$B$45)/Parameters!B$62,1)</f>
        <v>8.6124389328665671</v>
      </c>
      <c r="Q20" s="7">
        <f>Parameters!B$61*EXP(-Parameters!B$60*A20)</f>
        <v>0.32460468834257372</v>
      </c>
      <c r="R20" s="7">
        <f>(1-Parameters!B$61)*P20^-Parameters!B$63</f>
        <v>0.40314138990130516</v>
      </c>
      <c r="S20" s="7">
        <f>Parameters!B$61*EXP(-Parameters!B$60*A20)+(1-Parameters!B$61)*P20^-Parameters!B$63</f>
        <v>0.72774607824387894</v>
      </c>
      <c r="T20" s="7">
        <f>1-S20/Parameters!$B$12</f>
        <v>0.63612696087806053</v>
      </c>
      <c r="U20" s="7">
        <f t="shared" si="0"/>
        <v>2.748211305825504</v>
      </c>
      <c r="V20" s="7">
        <f>(Parameters!$B$19*(F20+Parameters!$B$20)^T20+Parameters!$B$18*G20^T20)^(1/T20)</f>
        <v>0.3925142483917311</v>
      </c>
      <c r="W20" s="7">
        <f>(Parameters!$B$10*H20^Parameters!$B$9+Parameters!$B$11*V20^Parameters!$B$9)^(Parameters!$B$7/Parameters!$B$9)*O20</f>
        <v>1.403149812995004</v>
      </c>
      <c r="X20" s="7">
        <f>W20 - D20 - E20 - LN(1+EXP(Parameters!$B$21*C20))/Parameters!$B$21 - IF(C20&gt;0, 0,Parameters!$B$6*C20^2/F20)</f>
        <v>1.1067917080068983</v>
      </c>
      <c r="Y20" s="7">
        <f>EXP(-Parameters!$B$55*A20)</f>
        <v>0.7853702628357192</v>
      </c>
      <c r="Z20" s="7">
        <f>IF(X20&gt;0,X20^(1-Parameters!$B$52)/(1-Parameters!$B$52)*Y20*Parameters!$B$65,-10+X20*1000)</f>
        <v>-2.1656254420873173</v>
      </c>
      <c r="AB20" s="9"/>
      <c r="AC20" s="23">
        <f t="shared" si="6"/>
        <v>0.98424343498077937</v>
      </c>
      <c r="AD20" s="23">
        <f t="shared" si="7"/>
        <v>6.5991141379291633</v>
      </c>
      <c r="AE20" s="23">
        <f t="shared" si="8"/>
        <v>2.7558391175133137</v>
      </c>
      <c r="AF20" s="23">
        <f t="shared" si="9"/>
        <v>34.597378499414937</v>
      </c>
      <c r="AG20" s="23">
        <f t="shared" si="10"/>
        <v>56.756886712214182</v>
      </c>
      <c r="AH20" s="23">
        <f t="shared" si="11"/>
        <v>41.691083539177377</v>
      </c>
      <c r="AI20" s="23">
        <f t="shared" si="12"/>
        <v>102.60493067641407</v>
      </c>
      <c r="AJ20" s="23">
        <f t="shared" si="13"/>
        <v>149.03621030636754</v>
      </c>
      <c r="AK20" s="23">
        <f t="shared" si="14"/>
        <v>117.55839628255515</v>
      </c>
      <c r="AL20" s="9">
        <f t="shared" si="24"/>
        <v>2.0117600811877523E-2</v>
      </c>
      <c r="AM20" s="9">
        <f t="shared" si="25"/>
        <v>1.7126799683566674E-2</v>
      </c>
      <c r="AN20" s="9">
        <f t="shared" ref="AN20:AO20" si="41">AVERAGE(AL18:AL22)</f>
        <v>2.0120758833090412E-2</v>
      </c>
      <c r="AO20" s="9">
        <f t="shared" si="41"/>
        <v>1.9209425593836826E-2</v>
      </c>
      <c r="AP20" s="23"/>
      <c r="AQ20" s="8">
        <f t="shared" si="1"/>
        <v>149.03621030636754</v>
      </c>
      <c r="AR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0.16320143248615576</v>
      </c>
      <c r="AS20" s="32">
        <f>((C21-C19)/2-(F21-F19)/F20/2*C20)/(F20/2/Parameters!$B$5-C20)-((D21-D19)/D20-(G21-G19)/G20)/(G20/2/Parameters!$B$5/D20-1)</f>
        <v>1.8844156094978862E-2</v>
      </c>
      <c r="AT20" s="32">
        <f>+Parameters!$B$5*C20^2/F20^2-Parameters!$B$5*D20^2/G20^2</f>
        <v>-1.2709358688983317E-2</v>
      </c>
      <c r="AU20" s="30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0.6754869510758621</v>
      </c>
      <c r="AV20" s="30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71.747160828725868</v>
      </c>
      <c r="AW20" s="8">
        <f>1000*(AR20+AS20+AT20)/(EXP(-Parameters!$B$42*A20)*((C20&lt;0)*Parameters!$B$37*EXP(-Parameters!$B$38*AF20)+(C20&gt;=0)*Parameters!$B$41))</f>
        <v>218.20975401676679</v>
      </c>
      <c r="AX20" s="13">
        <f>1-W20/'6states,ExoDamages'!T20</f>
        <v>5.8776251931399015E-2</v>
      </c>
      <c r="AY20" s="21">
        <f>-Y20*W20*X20^(-Parameters!B$52)*Parameters!B$46*Parameters!B$45*N20</f>
        <v>-1.9264532892739695E-5</v>
      </c>
      <c r="AZ20" s="7">
        <f>1000*EXP(-(Parameters!$B$54)*'6states'!A20)*AQ20*Parameters!B$46*Parameters!B$45*N20</f>
        <v>1.7039661600967557</v>
      </c>
      <c r="BA20" s="7">
        <f>SUM(AZ20:AZ$204)*EXP(Parameters!$B$54*A20)</f>
        <v>267.36767891716096</v>
      </c>
      <c r="BB20" s="13">
        <f t="shared" si="35"/>
        <v>0.21106617224702484</v>
      </c>
      <c r="BC20" s="30">
        <f>IF(C20&lt;0,Parameters!$B$6*AC20^2/AF20,0)</f>
        <v>0</v>
      </c>
      <c r="BD20" s="30">
        <f>Parameters!$B$5*AD20^2/AG20</f>
        <v>0.76727794507525182</v>
      </c>
      <c r="BE20" s="30">
        <f t="shared" si="15"/>
        <v>0</v>
      </c>
      <c r="BF20" s="30">
        <f t="shared" si="16"/>
        <v>0.11626984001765238</v>
      </c>
      <c r="BG20" s="30"/>
      <c r="BH20" s="5">
        <f t="shared" si="3"/>
        <v>-1.9768463933056029E-3</v>
      </c>
      <c r="BI20" s="2">
        <f>BH20/Parameters!$B$45</f>
        <v>-3.2947439888426717</v>
      </c>
      <c r="BJ20" s="2">
        <f t="shared" si="27"/>
        <v>2.7411083772701517E-3</v>
      </c>
      <c r="BM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-0.20335061337524696</v>
      </c>
      <c r="BN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-21.598980023546535</v>
      </c>
      <c r="BO20" s="7">
        <f t="shared" si="4"/>
        <v>7.3777824062588496E-2</v>
      </c>
      <c r="BP20" s="7">
        <f t="shared" si="5"/>
        <v>-0.87883756445110905</v>
      </c>
      <c r="BU20">
        <f>EXP(-Parameters!$B$56*A20)*BH20*BN20</f>
        <v>1.2257634124856111E-2</v>
      </c>
      <c r="BV20">
        <f>-EXP((Parameters!$B$56)*F20)*SUM(BU20:BU28)</f>
        <v>-0.12348514147219808</v>
      </c>
      <c r="BW20">
        <f>X20^-Parameters!B$52/(1-2*Parameters!B$5*'6states'!D20/'6states'!G20)</f>
        <v>1.1362008477005732</v>
      </c>
      <c r="BX20">
        <f t="shared" si="17"/>
        <v>0.9944274066036054</v>
      </c>
      <c r="BY20">
        <f>$X20^-Parameters!$B$52/(1-2*Parameters!$B$5*'6states'!$E20/'6states'!$H20)</f>
        <v>0.99161507975738372</v>
      </c>
      <c r="BZ20">
        <f t="shared" si="18"/>
        <v>1.0102381110452952</v>
      </c>
      <c r="CA20" s="7">
        <f>($X20^-Parameters!$B$52*(1/(1+EXP(-C20)) + IF(C20&lt;0,2*Parameters!$B$6*C20/F20,0)) + BS20*(1/(1+EXP((C20-Parameters!$B$22)*Parameters!$B$21))))/(1-IF(C20&gt;0,2*Parameters!$B$5*C20/F20,0))</f>
        <v>0.46443981566187681</v>
      </c>
      <c r="CB20">
        <f t="shared" si="19"/>
        <v>1.007946584357138</v>
      </c>
      <c r="CC20" s="7">
        <f t="shared" si="20"/>
        <v>3.6616128585074681E-3</v>
      </c>
      <c r="CD20">
        <f>(1/$T20-1/Parameters!$B$13) * LN(Parameters!$B$18) / LN(P20)</f>
        <v>0.23678702967576293</v>
      </c>
      <c r="CE20">
        <f>(Parameters!$B$18*'6states'!T20^+Parameters!$B$19*Parameters!$B$25^'6states'!T20)^((1-'6states'!T20)/'6states'!T20)*Parameters!$B$18*Parameters!$B$26^('6states'!T20-1)</f>
        <v>0.23362679043588636</v>
      </c>
      <c r="CF20">
        <f t="shared" si="21"/>
        <v>0.27319375357367592</v>
      </c>
      <c r="CG20">
        <f t="shared" si="22"/>
        <v>0.15136683249887861</v>
      </c>
      <c r="CH20">
        <f t="shared" si="23"/>
        <v>0.14950585477735256</v>
      </c>
    </row>
    <row r="21" spans="1:86" x14ac:dyDescent="0.3">
      <c r="A21">
        <f>A20+Parameters!$B$65</f>
        <v>17</v>
      </c>
      <c r="B21">
        <v>2042</v>
      </c>
      <c r="C21" s="74">
        <v>9.23978375219618E-3</v>
      </c>
      <c r="D21" s="69">
        <v>6.3556120617844394E-2</v>
      </c>
      <c r="E21" s="75">
        <v>0.22137369394048301</v>
      </c>
      <c r="F21" s="7">
        <f>MAX((1-Parameters!$B$4)^Parameters!B$65*F20 + C20*Parameters!B$65 - IF(C20&gt;0,Parameters!$B$5,0)*C20^2/F20*Parameters!B$65, 0.0001)</f>
        <v>0.31424281274041038</v>
      </c>
      <c r="G21" s="7">
        <f>(1-Parameters!$B$4)^Parameters!B$65*G20+D20*Parameters!B$65-Parameters!$B$5*D20^2/G20*Parameters!B$65</f>
        <v>0.55565086073775027</v>
      </c>
      <c r="H21" s="7">
        <f>(1-Parameters!$B$4)^Parameters!B$65*H20+E20*Parameters!B$65-Parameters!$B$5*E20^2/H20*Parameters!B$65</f>
        <v>3.7030519152588877</v>
      </c>
      <c r="I21" s="7">
        <f>I20 *(1-Parameters!$B$4)-C20*(C20&lt;0)*Parameters!B$65</f>
        <v>2.4313755338238135E-2</v>
      </c>
      <c r="J21" s="23">
        <f>J20*(1+Parameters!$B$51)^Parameters!B$65</f>
        <v>8.5717577952967314</v>
      </c>
      <c r="K21" s="23">
        <f>K20*(1+Parameters!$B$53)^Parameters!B$65</f>
        <v>12.67580845977643</v>
      </c>
      <c r="L21" s="23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22.302982361777044</v>
      </c>
      <c r="M21" s="8">
        <f>M20+L21*Parameters!B$65</f>
        <v>2792.8810357184489</v>
      </c>
      <c r="N21" s="7">
        <f>M21*Parameters!$B$45</f>
        <v>1.6757286214310692</v>
      </c>
      <c r="O21" s="9">
        <f>EXP(-Parameters!$B$46/2*N21^2)</f>
        <v>0.97217342714600752</v>
      </c>
      <c r="P21" s="7">
        <f>MAX((Parameters!$B$62 + Parameters!$B$31*'6states'!A21 - '6states'!M21 + Parameters!$B$47/Parameters!$B$45)/Parameters!B$62,1)</f>
        <v>9.2303792856310238</v>
      </c>
      <c r="Q21" s="7">
        <f>Parameters!B$61*EXP(-Parameters!B$60*A21)</f>
        <v>0.31595762244974795</v>
      </c>
      <c r="R21" s="7">
        <f>(1-Parameters!B$61)*P21^-Parameters!B$63</f>
        <v>0.40035757464016558</v>
      </c>
      <c r="S21" s="7">
        <f>Parameters!B$61*EXP(-Parameters!B$60*A21)+(1-Parameters!B$61)*P21^-Parameters!B$63</f>
        <v>0.71631519708991354</v>
      </c>
      <c r="T21" s="7">
        <f>1-S21/Parameters!$B$12</f>
        <v>0.64184240145504323</v>
      </c>
      <c r="U21" s="7">
        <f t="shared" si="0"/>
        <v>2.7920669673422487</v>
      </c>
      <c r="V21" s="7">
        <f>(Parameters!$B$19*(F21+Parameters!$B$20)^T21+Parameters!$B$18*G21^T21)^(1/T21)</f>
        <v>0.38981638053471968</v>
      </c>
      <c r="W21" s="7">
        <f>(Parameters!$B$10*H21^Parameters!$B$9+Parameters!$B$11*V21^Parameters!$B$9)^(Parameters!$B$7/Parameters!$B$9)*O21</f>
        <v>1.3998108895093362</v>
      </c>
      <c r="X21" s="7">
        <f>W21 - D21 - E21 - LN(1+EXP(Parameters!$B$21*C21))/Parameters!$B$21 - IF(C21&gt;0, 0,Parameters!$B$6*C21^2/F21)</f>
        <v>1.1054390809304737</v>
      </c>
      <c r="Y21" s="7">
        <f>EXP(-Parameters!$B$55*A21)</f>
        <v>0.7736002590346287</v>
      </c>
      <c r="Z21" s="7">
        <f>IF(X21&gt;0,X21^(1-Parameters!$B$52)/(1-Parameters!$B$52)*Y21*Parameters!$B$65,-10+X21*1000)</f>
        <v>-2.1340833484033768</v>
      </c>
      <c r="AB21" s="9"/>
      <c r="AC21" s="23">
        <f t="shared" si="6"/>
        <v>1.0039390940051969</v>
      </c>
      <c r="AD21" s="23">
        <f t="shared" si="7"/>
        <v>6.9056241858904688</v>
      </c>
      <c r="AE21" s="23">
        <f t="shared" si="8"/>
        <v>2.6417857994060712</v>
      </c>
      <c r="AF21" s="23">
        <f t="shared" si="9"/>
        <v>34.143725998486339</v>
      </c>
      <c r="AG21" s="23">
        <f t="shared" si="10"/>
        <v>60.373666383661138</v>
      </c>
      <c r="AH21" s="23">
        <f t="shared" si="11"/>
        <v>42.355093408911458</v>
      </c>
      <c r="AI21" s="23">
        <f t="shared" si="12"/>
        <v>104.23910951919942</v>
      </c>
      <c r="AJ21" s="23">
        <f t="shared" si="13"/>
        <v>152.09499636380383</v>
      </c>
      <c r="AK21" s="23">
        <f t="shared" si="14"/>
        <v>120.11033365618469</v>
      </c>
      <c r="AL21" s="9">
        <f t="shared" si="24"/>
        <v>2.0316003096980673E-2</v>
      </c>
      <c r="AM21" s="9">
        <f t="shared" si="25"/>
        <v>2.1475567719783761E-2</v>
      </c>
      <c r="AN21" s="9">
        <f t="shared" ref="AN21:AO21" si="42">AVERAGE(AL19:AL23)</f>
        <v>2.0223279299343134E-2</v>
      </c>
      <c r="AO21" s="9">
        <f t="shared" si="42"/>
        <v>1.8847561194291096E-2</v>
      </c>
      <c r="AP21" s="23"/>
      <c r="AQ21" s="8">
        <f t="shared" si="1"/>
        <v>152.09499636380383</v>
      </c>
      <c r="AR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0.16658830057016213</v>
      </c>
      <c r="AS21" s="32">
        <f>((C22-C20)/2-(F22-F20)/F21/2*C21)/(F21/2/Parameters!$B$5-C21)-((D22-D20)/D21-(G22-G20)/G21)/(G21/2/Parameters!$B$5/D21-1)</f>
        <v>1.2744090501684738E-2</v>
      </c>
      <c r="AT21" s="32">
        <f>+Parameters!$B$5*C21^2/F21^2-Parameters!$B$5*D21^2/G21^2</f>
        <v>-1.2218547977489676E-2</v>
      </c>
      <c r="AU21" s="30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0.67018020608109485</v>
      </c>
      <c r="AV21" s="30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72.817733288763364</v>
      </c>
      <c r="AW21" s="8">
        <f>1000*(AR21+AS21+AT21)/(EXP(-Parameters!$B$42*A21)*((C21&lt;0)*Parameters!$B$37*EXP(-Parameters!$B$38*AF21)+(C21&gt;=0)*Parameters!$B$41))</f>
        <v>217.51020859634102</v>
      </c>
      <c r="AX21" s="13">
        <f>1-W21/'6states,ExoDamages'!T21</f>
        <v>6.055355846630428E-2</v>
      </c>
      <c r="AY21" s="21">
        <f>-Y21*W21*X21^(-Parameters!B$52)*Parameters!B$46*Parameters!B$45*N21</f>
        <v>-1.911458925963128E-5</v>
      </c>
      <c r="AZ21" s="7">
        <f>1000*EXP(-(Parameters!$B$54)*'6states'!A21)*AQ21*Parameters!B$46*Parameters!B$45*N21</f>
        <v>1.6924755550309238</v>
      </c>
      <c r="BA21" s="7">
        <f>SUM(AZ21:AZ$204)*EXP(Parameters!$B$54*A21)</f>
        <v>273.82432856310817</v>
      </c>
      <c r="BB21" s="13">
        <f t="shared" si="35"/>
        <v>0.21014952842211163</v>
      </c>
      <c r="BC21" s="30">
        <f>IF(C21&lt;0,Parameters!$B$6*AC21^2/AF21,0)</f>
        <v>0</v>
      </c>
      <c r="BD21" s="30">
        <f>Parameters!$B$5*AD21^2/AG21</f>
        <v>0.78987492814683613</v>
      </c>
      <c r="BE21" s="30">
        <f t="shared" si="15"/>
        <v>0</v>
      </c>
      <c r="BF21" s="30">
        <f t="shared" si="16"/>
        <v>0.11438139506066722</v>
      </c>
      <c r="BG21" s="30"/>
      <c r="BH21" s="5">
        <f t="shared" si="3"/>
        <v>-1.9820208443530139E-3</v>
      </c>
      <c r="BI21" s="2">
        <f>BH21/Parameters!$B$45</f>
        <v>-3.30336807392169</v>
      </c>
      <c r="BJ21" s="2">
        <f t="shared" si="27"/>
        <v>2.6106945656769742E-3</v>
      </c>
      <c r="BM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-0.21934668753055062</v>
      </c>
      <c r="BN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-23.83288620798303</v>
      </c>
      <c r="BO21" s="7">
        <f t="shared" si="4"/>
        <v>7.1815931607003752E-2</v>
      </c>
      <c r="BP21" s="7">
        <f t="shared" si="5"/>
        <v>-0.8895268936116455</v>
      </c>
      <c r="BU21">
        <f>EXP(-Parameters!$B$56*A21)*BH21*BN21</f>
        <v>1.2543258538849779E-2</v>
      </c>
      <c r="BV21">
        <f>-EXP((Parameters!$B$56)*F21)*SUM(BU21:BU29)</f>
        <v>-0.12576007226049146</v>
      </c>
      <c r="BW21">
        <f>X21^-Parameters!B$52/(1-2*Parameters!B$5*'6states'!D21/'6states'!G21)</f>
        <v>1.1325047336057672</v>
      </c>
      <c r="BX21">
        <f t="shared" si="17"/>
        <v>0.9967469535845831</v>
      </c>
      <c r="BY21">
        <f>$X21^-Parameters!$B$52/(1-2*Parameters!$B$5*'6states'!$E21/'6states'!$H21)</f>
        <v>0.99204102958858009</v>
      </c>
      <c r="BZ21">
        <f t="shared" si="18"/>
        <v>1.0004295515869934</v>
      </c>
      <c r="CA21" s="7">
        <f>($X21^-Parameters!$B$52*(1/(1+EXP(-C21)) + IF(C21&lt;0,2*Parameters!$B$6*C21/F21,0)) + BS21*(1/(1+EXP((C21-Parameters!$B$22)*Parameters!$B$21))))/(1-IF(C21&gt;0,2*Parameters!$B$5*C21/F21,0))</f>
        <v>0.46614487586241066</v>
      </c>
      <c r="CB21">
        <f t="shared" si="19"/>
        <v>1.0036712188383416</v>
      </c>
      <c r="CC21" s="7">
        <f t="shared" si="20"/>
        <v>1.7050602005338478E-3</v>
      </c>
      <c r="CD21">
        <f>(1/$T21-1/Parameters!$B$13) * LN(Parameters!$B$18) / LN(P21)</f>
        <v>0.2369077842622698</v>
      </c>
      <c r="CE21">
        <f>(Parameters!$B$18*'6states'!T21^+Parameters!$B$19*Parameters!$B$25^'6states'!T21)^((1-'6states'!T21)/'6states'!T21)*Parameters!$B$18*Parameters!$B$26^('6states'!T21-1)</f>
        <v>0.23719397331080577</v>
      </c>
      <c r="CF21">
        <f t="shared" si="21"/>
        <v>0.27149432767509268</v>
      </c>
      <c r="CG21">
        <f t="shared" si="22"/>
        <v>0.15143786071744314</v>
      </c>
      <c r="CH21">
        <f t="shared" si="23"/>
        <v>0.15160617425484424</v>
      </c>
    </row>
    <row r="22" spans="1:86" x14ac:dyDescent="0.3">
      <c r="A22">
        <f>A21+Parameters!$B$65</f>
        <v>18</v>
      </c>
      <c r="B22">
        <v>2043</v>
      </c>
      <c r="C22" s="74">
        <v>9.1600870516079097E-3</v>
      </c>
      <c r="D22" s="69">
        <v>6.4672592551110297E-2</v>
      </c>
      <c r="E22" s="75">
        <v>0.219431365372485</v>
      </c>
      <c r="F22" s="7">
        <f>MAX((1-Parameters!$B$4)^Parameters!B$65*F21 + C21*Parameters!B$65 - IF(C21&gt;0,Parameters!$B$5,0)*C21^2/F21*Parameters!B$65, 0.0001)</f>
        <v>0.3034450432007505</v>
      </c>
      <c r="G22" s="7">
        <f>(1-Parameters!$B$4)^Parameters!B$65*G21+D21*Parameters!B$65-Parameters!$B$5*D21^2/G21*Parameters!B$65</f>
        <v>0.57698690447427714</v>
      </c>
      <c r="H22" s="7">
        <f>(1-Parameters!$B$4)^Parameters!B$65*H21+E21*Parameters!B$65-Parameters!$B$5*E21^2/H21*Parameters!B$65</f>
        <v>3.6782696104267001</v>
      </c>
      <c r="I22" s="7">
        <f>I21 *(1-Parameters!$B$4)-C21*(C21&lt;0)*Parameters!B$65</f>
        <v>2.2784420127462957E-2</v>
      </c>
      <c r="J22" s="23">
        <f>J21*(1+Parameters!$B$51)^Parameters!B$65</f>
        <v>8.5966158929030918</v>
      </c>
      <c r="K22" s="23">
        <f>K21*(1+Parameters!$B$53)^Parameters!B$65</f>
        <v>12.929324628971958</v>
      </c>
      <c r="L22" s="23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21.829341193331654</v>
      </c>
      <c r="M22" s="8">
        <f>M21+L22*Parameters!B$65</f>
        <v>2814.7103769117807</v>
      </c>
      <c r="N22" s="7">
        <f>M22*Parameters!$B$45</f>
        <v>1.6888262261470683</v>
      </c>
      <c r="O22" s="9">
        <f>EXP(-Parameters!$B$46/2*N22^2)</f>
        <v>0.97174296681717764</v>
      </c>
      <c r="P22" s="7">
        <f>MAX((Parameters!$B$62 + Parameters!$B$31*'6states'!A22 - '6states'!M22 + Parameters!$B$47/Parameters!$B$45)/Parameters!B$62,1)</f>
        <v>9.8577924617643831</v>
      </c>
      <c r="Q22" s="7">
        <f>Parameters!B$61*EXP(-Parameters!B$60*A22)</f>
        <v>0.30754090365676434</v>
      </c>
      <c r="R22" s="7">
        <f>(1-Parameters!B$61)*P22^-Parameters!B$63</f>
        <v>0.3977333766547862</v>
      </c>
      <c r="S22" s="7">
        <f>Parameters!B$61*EXP(-Parameters!B$60*A22)+(1-Parameters!B$61)*P22^-Parameters!B$63</f>
        <v>0.70527428031155059</v>
      </c>
      <c r="T22" s="7">
        <f>1-S22/Parameters!$B$12</f>
        <v>0.6473628598442247</v>
      </c>
      <c r="U22" s="7">
        <f t="shared" si="0"/>
        <v>2.8357761736561726</v>
      </c>
      <c r="V22" s="7">
        <f>(Parameters!$B$19*(F22+Parameters!$B$20)^T22+Parameters!$B$18*G22^T22)^(1/T22)</f>
        <v>0.38750367970412614</v>
      </c>
      <c r="W22" s="7">
        <f>(Parameters!$B$10*H22^Parameters!$B$9+Parameters!$B$11*V22^Parameters!$B$9)^(Parameters!$B$7/Parameters!$B$9)*O22</f>
        <v>1.3964755276666994</v>
      </c>
      <c r="X22" s="7">
        <f>W22 - D22 - E22 - LN(1+EXP(Parameters!$B$21*C22))/Parameters!$B$21 - IF(C22&gt;0, 0,Parameters!$B$6*C22^2/F22)</f>
        <v>1.103004528347505</v>
      </c>
      <c r="Y22" s="7">
        <f>EXP(-Parameters!$B$55*A22)</f>
        <v>0.76200664718015654</v>
      </c>
      <c r="Z22" s="7">
        <f>IF(X22&gt;0,X22^(1-Parameters!$B$52)/(1-Parameters!$B$52)*Y22*Parameters!$B$65,-10+X22*1000)</f>
        <v>-2.1037235180876213</v>
      </c>
      <c r="AB22" s="9"/>
      <c r="AC22" s="23">
        <f t="shared" si="6"/>
        <v>1.0181293639739102</v>
      </c>
      <c r="AD22" s="23">
        <f t="shared" si="7"/>
        <v>7.1882576169456476</v>
      </c>
      <c r="AE22" s="23">
        <f t="shared" si="8"/>
        <v>2.5324526985599181</v>
      </c>
      <c r="AF22" s="23">
        <f t="shared" si="9"/>
        <v>33.727442446170322</v>
      </c>
      <c r="AG22" s="23">
        <f t="shared" si="10"/>
        <v>64.131192942162471</v>
      </c>
      <c r="AH22" s="23">
        <f t="shared" si="11"/>
        <v>43.070428559459849</v>
      </c>
      <c r="AI22" s="23">
        <f t="shared" si="12"/>
        <v>105.99960378564006</v>
      </c>
      <c r="AJ22" s="23">
        <f t="shared" si="13"/>
        <v>155.21607303271793</v>
      </c>
      <c r="AK22" s="23">
        <f t="shared" si="14"/>
        <v>122.59722998043588</v>
      </c>
      <c r="AL22" s="9">
        <f t="shared" si="24"/>
        <v>2.0312864034228717E-2</v>
      </c>
      <c r="AM22" s="9">
        <f t="shared" si="25"/>
        <v>2.0493661801990193E-2</v>
      </c>
      <c r="AN22" s="9">
        <f t="shared" ref="AN22:AO22" si="43">AVERAGE(AL20:AL24)</f>
        <v>2.0344930747619828E-2</v>
      </c>
      <c r="AO22" s="9">
        <f t="shared" si="43"/>
        <v>1.8962030238572503E-2</v>
      </c>
      <c r="AP22" s="23"/>
      <c r="AQ22" s="8">
        <f t="shared" si="1"/>
        <v>155.21607303271793</v>
      </c>
      <c r="AR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0.16905395370473808</v>
      </c>
      <c r="AS22" s="32">
        <f>((C23-C21)/2-(F23-F21)/F22/2*C22)/(F22/2/Parameters!$B$5-C22)-((D23-D21)/D22-(G23-G21)/G22)/(G22/2/Parameters!$B$5/D22-1)</f>
        <v>2.1594065878822104E-2</v>
      </c>
      <c r="AT22" s="32">
        <f>+Parameters!$B$5*C22^2/F22^2-Parameters!$B$5*D22^2/G22^2</f>
        <v>-1.1652188431004807E-2</v>
      </c>
      <c r="AU22" s="30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0.66500276454853535</v>
      </c>
      <c r="AV22" s="30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73.914018272549612</v>
      </c>
      <c r="AW22" s="8">
        <f>1000*(AR22+AS22+AT22)/(EXP(-Parameters!$B$42*A22)*((C22&lt;0)*Parameters!$B$37*EXP(-Parameters!$B$38*AF22)+(C22&gt;=0)*Parameters!$B$41))</f>
        <v>235.31687875533669</v>
      </c>
      <c r="AX22" s="13">
        <f>1-W22/'6states,ExoDamages'!T22</f>
        <v>6.2341264421839959E-2</v>
      </c>
      <c r="AY22" s="21">
        <f>-Y22*W22*X22^(-Parameters!B$52)*Parameters!B$46*Parameters!B$45*N22</f>
        <v>-1.8986504335091678E-5</v>
      </c>
      <c r="AZ22" s="7">
        <f>1000*EXP(-(Parameters!$B$54)*'6states'!A22)*AQ22*Parameters!B$46*Parameters!B$45*N22</f>
        <v>1.6806671454040867</v>
      </c>
      <c r="BA22" s="7">
        <f>SUM(AZ22:AZ$204)*EXP(Parameters!$B$54*A22)</f>
        <v>280.42269539742796</v>
      </c>
      <c r="BB22" s="13">
        <f t="shared" si="35"/>
        <v>0.21000299623238175</v>
      </c>
      <c r="BC22" s="30">
        <f>IF(C22&lt;0,Parameters!$B$6*AC22^2/AF22,0)</f>
        <v>0</v>
      </c>
      <c r="BD22" s="30">
        <f>Parameters!$B$5*AD22^2/AG22</f>
        <v>0.80570850466133237</v>
      </c>
      <c r="BE22" s="30">
        <f t="shared" si="15"/>
        <v>0</v>
      </c>
      <c r="BF22" s="30">
        <f t="shared" si="16"/>
        <v>0.1120867597680347</v>
      </c>
      <c r="BG22" s="30"/>
      <c r="BH22" s="5">
        <f t="shared" si="3"/>
        <v>-1.9870919170419084E-3</v>
      </c>
      <c r="BI22" s="2">
        <f>BH22/Parameters!$B$45</f>
        <v>-3.3118198617365144</v>
      </c>
      <c r="BJ22" s="2">
        <f t="shared" si="27"/>
        <v>2.5520071041523762E-3</v>
      </c>
      <c r="BM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-0.23672753092846788</v>
      </c>
      <c r="BN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-26.311895197219545</v>
      </c>
      <c r="BO22" s="7">
        <f t="shared" si="4"/>
        <v>6.9841699443743896E-2</v>
      </c>
      <c r="BP22" s="7">
        <f t="shared" si="5"/>
        <v>-0.90173029547700323</v>
      </c>
      <c r="BU22">
        <f>EXP(-Parameters!$B$56*A22)*BH22*BN22</f>
        <v>1.2841644257555147E-2</v>
      </c>
      <c r="BV22">
        <f>-EXP((Parameters!$B$56)*F22)*SUM(BU22:BU30)</f>
        <v>-0.12793227956352074</v>
      </c>
      <c r="BW22">
        <f>X22^-Parameters!B$52/(1-2*Parameters!B$5*'6states'!D22/'6states'!G22)</f>
        <v>1.1291614749486578</v>
      </c>
      <c r="BX22">
        <f t="shared" si="17"/>
        <v>0.99704790756462025</v>
      </c>
      <c r="BY22">
        <f>$X22^-Parameters!$B$52/(1-2*Parameters!$B$5*'6states'!$E22/'6states'!$H22)</f>
        <v>0.99471509855114681</v>
      </c>
      <c r="BZ22">
        <f t="shared" si="18"/>
        <v>1.0026955225467598</v>
      </c>
      <c r="CA22" s="7">
        <f>($X22^-Parameters!$B$52*(1/(1+EXP(-C22)) + IF(C22&lt;0,2*Parameters!$B$6*C22/F22,0)) + BS22*(1/(1+EXP((C22-Parameters!$B$22)*Parameters!$B$21))))/(1-IF(C22&gt;0,2*Parameters!$B$5*C22/F22,0))</f>
        <v>0.46829566425273511</v>
      </c>
      <c r="CB22">
        <f t="shared" si="19"/>
        <v>1.004613991275449</v>
      </c>
      <c r="CC22" s="7">
        <f t="shared" si="20"/>
        <v>2.150788390324454E-3</v>
      </c>
      <c r="CD22">
        <f>(1/$T22-1/Parameters!$B$13) * LN(Parameters!$B$18) / LN(P22)</f>
        <v>0.23701614009158672</v>
      </c>
      <c r="CE22">
        <f>(Parameters!$B$18*'6states'!T22^+Parameters!$B$19*Parameters!$B$25^'6states'!T22)^((1-'6states'!T22)/'6states'!T22)*Parameters!$B$18*Parameters!$B$26^('6states'!T22-1)</f>
        <v>0.24056010424532204</v>
      </c>
      <c r="CF22">
        <f t="shared" si="21"/>
        <v>0.2698501418672149</v>
      </c>
      <c r="CG22">
        <f t="shared" si="22"/>
        <v>0.15150159088834692</v>
      </c>
      <c r="CH22">
        <f t="shared" si="23"/>
        <v>0.15358335972647963</v>
      </c>
    </row>
    <row r="23" spans="1:86" x14ac:dyDescent="0.3">
      <c r="A23">
        <f>A22+Parameters!$B$65</f>
        <v>19</v>
      </c>
      <c r="B23">
        <v>2044</v>
      </c>
      <c r="C23" s="74">
        <v>8.8118349471722392E-3</v>
      </c>
      <c r="D23" s="69">
        <v>6.3644643138078397E-2</v>
      </c>
      <c r="E23" s="75">
        <v>0.22492340308433501</v>
      </c>
      <c r="F23" s="7">
        <f>MAX((1-Parameters!$B$4)^Parameters!B$65*F22 + C22*Parameters!B$65 - IF(C22&gt;0,Parameters!$B$5,0)*C22^2/F22*Parameters!B$65, 0.0001)</f>
        <v>0.29324192174281233</v>
      </c>
      <c r="G23" s="7">
        <f>(1-Parameters!$B$4)^Parameters!B$65*G22+D22*Parameters!B$65-Parameters!$B$5*D22^2/G22*Parameters!B$65</f>
        <v>0.59811807938910311</v>
      </c>
      <c r="H23" s="7">
        <f>(1-Parameters!$B$4)^Parameters!B$65*H22+E22*Parameters!B$65-Parameters!$B$5*E22^2/H22*Parameters!B$65</f>
        <v>3.6532473891376824</v>
      </c>
      <c r="I23" s="7">
        <f>I22 *(1-Parameters!$B$4)-C22*(C22&lt;0)*Parameters!B$65</f>
        <v>2.1351280101445536E-2</v>
      </c>
      <c r="J23" s="23">
        <f>J22*(1+Parameters!$B$51)^Parameters!B$65</f>
        <v>8.6215460789925107</v>
      </c>
      <c r="K23" s="23">
        <f>K22*(1+Parameters!$B$53)^Parameters!B$65</f>
        <v>13.187911121551398</v>
      </c>
      <c r="L23" s="23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21.383493915893567</v>
      </c>
      <c r="M23" s="8">
        <f>M22+L23*Parameters!B$65</f>
        <v>2836.0938708276744</v>
      </c>
      <c r="N23" s="7">
        <f>M23*Parameters!$B$45</f>
        <v>1.7016563224966046</v>
      </c>
      <c r="O23" s="9">
        <f>EXP(-Parameters!$B$46/2*N23^2)</f>
        <v>0.97131823580702792</v>
      </c>
      <c r="P23" s="7">
        <f>MAX((Parameters!$B$62 + Parameters!$B$31*'6states'!A23 - '6states'!M23 + Parameters!$B$47/Parameters!$B$45)/Parameters!B$62,1)</f>
        <v>10.494122583446515</v>
      </c>
      <c r="Q23" s="7">
        <f>Parameters!B$61*EXP(-Parameters!B$60*A23)</f>
        <v>0.2993483958028646</v>
      </c>
      <c r="R23" s="7">
        <f>(1-Parameters!B$61)*P23^-Parameters!B$63</f>
        <v>0.3952531966700607</v>
      </c>
      <c r="S23" s="7">
        <f>Parameters!B$61*EXP(-Parameters!B$60*A23)+(1-Parameters!B$61)*P23^-Parameters!B$63</f>
        <v>0.6946015924729253</v>
      </c>
      <c r="T23" s="7">
        <f>1-S23/Parameters!$B$12</f>
        <v>0.65269920376353729</v>
      </c>
      <c r="U23" s="7">
        <f t="shared" si="0"/>
        <v>2.8793484231436701</v>
      </c>
      <c r="V23" s="7">
        <f>(Parameters!$B$19*(F23+Parameters!$B$20)^T23+Parameters!$B$18*G23^T23)^(1/T23)</f>
        <v>0.38546075619049086</v>
      </c>
      <c r="W23" s="7">
        <f>(Parameters!$B$10*H23^Parameters!$B$9+Parameters!$B$11*V23^Parameters!$B$9)^(Parameters!$B$7/Parameters!$B$9)*O23</f>
        <v>1.3932104622656412</v>
      </c>
      <c r="X23" s="7">
        <f>W23 - D23 - E23 - LN(1+EXP(Parameters!$B$21*C23))/Parameters!$B$21 - IF(C23&gt;0, 0,Parameters!$B$6*C23^2/F23)</f>
        <v>1.0956016012456511</v>
      </c>
      <c r="Y23" s="7">
        <f>EXP(-Parameters!$B$55*A23)</f>
        <v>0.75058678376263543</v>
      </c>
      <c r="Z23" s="7">
        <f>IF(X23&gt;0,X23^(1-Parameters!$B$52)/(1-Parameters!$B$52)*Y23*Parameters!$B$65,-10+X23*1000)</f>
        <v>-2.0770858081035537</v>
      </c>
      <c r="AB23" s="9"/>
      <c r="AC23" s="23">
        <f t="shared" si="6"/>
        <v>1.0019072497612469</v>
      </c>
      <c r="AD23" s="23">
        <f t="shared" si="7"/>
        <v>7.2364075985071619</v>
      </c>
      <c r="AE23" s="23">
        <f t="shared" si="8"/>
        <v>2.4276444637885701</v>
      </c>
      <c r="AF23" s="23">
        <f t="shared" si="9"/>
        <v>33.34166028862424</v>
      </c>
      <c r="AG23" s="23">
        <f t="shared" si="10"/>
        <v>68.00613533342684</v>
      </c>
      <c r="AH23" s="23">
        <f t="shared" si="11"/>
        <v>43.826958680114338</v>
      </c>
      <c r="AI23" s="23">
        <f t="shared" si="12"/>
        <v>107.8614820098275</v>
      </c>
      <c r="AJ23" s="23">
        <f t="shared" si="13"/>
        <v>158.40828510242409</v>
      </c>
      <c r="AK23" s="23">
        <f t="shared" si="14"/>
        <v>124.57010301700022</v>
      </c>
      <c r="AL23" s="9">
        <f t="shared" si="24"/>
        <v>2.0357617210070345E-2</v>
      </c>
      <c r="AM23" s="9">
        <f t="shared" si="25"/>
        <v>1.5964204592167519E-2</v>
      </c>
      <c r="AN23" s="9">
        <f t="shared" ref="AN23:AO23" si="44">AVERAGE(AL21:AL25)</f>
        <v>2.0461571276221592E-2</v>
      </c>
      <c r="AO23" s="9">
        <f t="shared" si="44"/>
        <v>1.9930589260418685E-2</v>
      </c>
      <c r="AP23" s="23"/>
      <c r="AQ23" s="8">
        <f t="shared" si="1"/>
        <v>158.40828510242406</v>
      </c>
      <c r="AR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0.17078209878595302</v>
      </c>
      <c r="AS23" s="32">
        <f>((C24-C22)/2-(F24-F22)/F23/2*C23)/(F23/2/Parameters!$B$5-C23)-((D24-D22)/D23-(G24-G22)/G23)/(G23/2/Parameters!$B$5/D23-1)</f>
        <v>2.0027422848932747E-2</v>
      </c>
      <c r="AT23" s="32">
        <f>+Parameters!$B$5*C23^2/F23^2-Parameters!$B$5*D23^2/G23^2</f>
        <v>-1.0419710984474383E-2</v>
      </c>
      <c r="AU23" s="30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0.65994507261605728</v>
      </c>
      <c r="AV23" s="30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75.035875803645609</v>
      </c>
      <c r="AW23" s="8">
        <f>1000*(AR23+AS23+AT23)/(EXP(-Parameters!$B$42*A23)*((C23&lt;0)*Parameters!$B$37*EXP(-Parameters!$B$38*AF23)+(C23&gt;=0)*Parameters!$B$41))</f>
        <v>239.53286581222781</v>
      </c>
      <c r="AX23" s="13">
        <f>1-W23/'6states,ExoDamages'!T23</f>
        <v>6.4074813101874795E-2</v>
      </c>
      <c r="AY23" s="21">
        <f>-Y23*W23*X23^(-Parameters!B$52)*Parameters!B$46*Parameters!B$45*N23</f>
        <v>-1.8971676520019779E-5</v>
      </c>
      <c r="AZ23" s="7">
        <f>1000*EXP(-(Parameters!$B$54)*'6states'!A23)*AQ23*Parameters!B$46*Parameters!B$45*N23</f>
        <v>1.6686531088238052</v>
      </c>
      <c r="BA23" s="7">
        <f>SUM(AZ23:AZ$204)*EXP(Parameters!$B$54*A23)</f>
        <v>287.16605621256258</v>
      </c>
      <c r="BB23" s="13">
        <f t="shared" si="35"/>
        <v>0.21344935975142332</v>
      </c>
      <c r="BC23" s="30">
        <f>IF(C23&lt;0,Parameters!$B$6*AC23^2/AF23,0)</f>
        <v>0</v>
      </c>
      <c r="BD23" s="30">
        <f>Parameters!$B$5*AD23^2/AG23</f>
        <v>0.77001280362410318</v>
      </c>
      <c r="BE23" s="30">
        <f t="shared" si="15"/>
        <v>0</v>
      </c>
      <c r="BF23" s="30">
        <f t="shared" si="16"/>
        <v>0.10640815807320657</v>
      </c>
      <c r="BG23" s="30"/>
      <c r="BH23" s="5">
        <f t="shared" si="3"/>
        <v>-1.9920291395400321E-3</v>
      </c>
      <c r="BI23" s="2">
        <f>BH23/Parameters!$B$45</f>
        <v>-3.3200485659000538</v>
      </c>
      <c r="BJ23" s="2">
        <f t="shared" si="27"/>
        <v>2.4784890944233862E-3</v>
      </c>
      <c r="BM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-0.25546183293027591</v>
      </c>
      <c r="BN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-29.046057261010681</v>
      </c>
      <c r="BO23" s="7">
        <f t="shared" si="4"/>
        <v>6.7869489792775864E-2</v>
      </c>
      <c r="BP23" s="7">
        <f t="shared" si="5"/>
        <v>-0.91540690554633319</v>
      </c>
      <c r="BU23">
        <f>EXP(-Parameters!$B$56*A23)*BH23*BN23</f>
        <v>1.3144935336367567E-2</v>
      </c>
      <c r="BV23">
        <f>-EXP((Parameters!$B$56)*F23)*SUM(BU23:BU31)</f>
        <v>-0.1299719598265929</v>
      </c>
      <c r="BW23">
        <f>X23^-Parameters!B$52/(1-2*Parameters!B$5*'6states'!D23/'6states'!G23)</f>
        <v>1.1230338001241547</v>
      </c>
      <c r="BX23">
        <f t="shared" si="17"/>
        <v>0.99457325195691626</v>
      </c>
      <c r="BY23">
        <f>$X23^-Parameters!$B$52/(1-2*Parameters!$B$5*'6states'!$E23/'6states'!$H23)</f>
        <v>1.0081769028018364</v>
      </c>
      <c r="BZ23">
        <f t="shared" si="18"/>
        <v>1.0135333265477697</v>
      </c>
      <c r="CA23" s="7">
        <f>($X23^-Parameters!$B$52*(1/(1+EXP(-C23)) + IF(C23&lt;0,2*Parameters!$B$6*C23/F23,0)) + BS23*(1/(1+EXP((C23-Parameters!$B$22)*Parameters!$B$21))))/(1-IF(C23&gt;0,2*Parameters!$B$5*C23/F23,0))</f>
        <v>0.4723525335768019</v>
      </c>
      <c r="CB23">
        <f t="shared" si="19"/>
        <v>1.0086630512168853</v>
      </c>
      <c r="CC23" s="7">
        <f t="shared" si="20"/>
        <v>4.0568693240667919E-3</v>
      </c>
      <c r="CD23">
        <f>(1/$T23-1/Parameters!$B$13) * LN(Parameters!$B$18) / LN(P23)</f>
        <v>0.23710932218191783</v>
      </c>
      <c r="CE23">
        <f>(Parameters!$B$18*'6states'!T23^+Parameters!$B$19*Parameters!$B$25^'6states'!T23)^((1-'6states'!T23)/'6states'!T23)*Parameters!$B$18*Parameters!$B$26^('6states'!T23-1)</f>
        <v>0.24373890202649137</v>
      </c>
      <c r="CF23">
        <f t="shared" si="21"/>
        <v>0.2682539493503906</v>
      </c>
      <c r="CG23">
        <f t="shared" si="22"/>
        <v>0.15155639270013788</v>
      </c>
      <c r="CH23">
        <f t="shared" si="23"/>
        <v>0.15544627964488578</v>
      </c>
    </row>
    <row r="24" spans="1:86" x14ac:dyDescent="0.3">
      <c r="A24">
        <f>A23+Parameters!$B$65</f>
        <v>20</v>
      </c>
      <c r="B24">
        <v>2045</v>
      </c>
      <c r="C24" s="74">
        <v>8.6170028641788209E-3</v>
      </c>
      <c r="D24" s="69">
        <v>6.4306865561368498E-2</v>
      </c>
      <c r="E24" s="75">
        <v>0.22477646387487701</v>
      </c>
      <c r="F24" s="7">
        <f>MAX((1-Parameters!$B$4)^Parameters!B$65*F23 + C23*Parameters!B$65 - IF(C23&gt;0,Parameters!$B$5,0)*C23^2/F23*Parameters!B$65, 0.0001)</f>
        <v>0.28334404672045066</v>
      </c>
      <c r="G24" s="7">
        <f>(1-Parameters!$B$4)^Parameters!B$65*G23+D23*Parameters!B$65-Parameters!$B$5*D23^2/G23*Parameters!B$65</f>
        <v>0.6173687860860575</v>
      </c>
      <c r="H24" s="7">
        <f>(1-Parameters!$B$4)^Parameters!B$65*H23+E23*Parameters!B$65-Parameters!$B$5*E23^2/H23*Parameters!B$65</f>
        <v>3.6345334308743897</v>
      </c>
      <c r="I24" s="7">
        <f>I23 *(1-Parameters!$B$4)-C23*(C23&lt;0)*Parameters!B$65</f>
        <v>2.0008284583064612E-2</v>
      </c>
      <c r="J24" s="23">
        <f>J23*(1+Parameters!$B$51)^Parameters!B$65</f>
        <v>8.6465485626215877</v>
      </c>
      <c r="K24" s="23">
        <f>K23*(1+Parameters!$B$53)^Parameters!B$65</f>
        <v>13.451669343982426</v>
      </c>
      <c r="L24" s="23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20.944868277375114</v>
      </c>
      <c r="M24" s="8">
        <f>M23+L24*Parameters!B$65</f>
        <v>2857.0387391050494</v>
      </c>
      <c r="N24" s="7">
        <f>M24*Parameters!$B$45</f>
        <v>1.7142232434630296</v>
      </c>
      <c r="O24" s="9">
        <f>EXP(-Parameters!$B$46/2*N24^2)</f>
        <v>0.97089928275306225</v>
      </c>
      <c r="P24" s="7">
        <f>MAX((Parameters!$B$62 + Parameters!$B$31*'6states'!A24 - '6states'!M24 + Parameters!$B$47/Parameters!$B$45)/Parameters!B$62,1)</f>
        <v>11.139225217899011</v>
      </c>
      <c r="Q24" s="7">
        <f>Parameters!B$61*EXP(-Parameters!B$60*A24)</f>
        <v>0.29137412618699482</v>
      </c>
      <c r="R24" s="7">
        <f>(1-Parameters!B$61)*P24^-Parameters!B$63</f>
        <v>0.39290224095309206</v>
      </c>
      <c r="S24" s="7">
        <f>Parameters!B$61*EXP(-Parameters!B$60*A24)+(1-Parameters!B$61)*P24^-Parameters!B$63</f>
        <v>0.68427636714008688</v>
      </c>
      <c r="T24" s="7">
        <f>1-S24/Parameters!$B$12</f>
        <v>0.65786181642995656</v>
      </c>
      <c r="U24" s="7">
        <f t="shared" si="0"/>
        <v>2.9227956656737124</v>
      </c>
      <c r="V24" s="7">
        <f>(Parameters!$B$19*(F24+Parameters!$B$20)^T24+Parameters!$B$18*G24^T24)^(1/T24)</f>
        <v>0.38305305713266402</v>
      </c>
      <c r="W24" s="7">
        <f>(Parameters!$B$10*H24^Parameters!$B$9+Parameters!$B$11*V24^Parameters!$B$9)^(Parameters!$B$7/Parameters!$B$9)*O24</f>
        <v>1.3903185689521669</v>
      </c>
      <c r="X24" s="7">
        <f>W24 - D24 - E24 - LN(1+EXP(Parameters!$B$21*C24))/Parameters!$B$21 - IF(C24&gt;0, 0,Parameters!$B$6*C24^2/F24)</f>
        <v>1.0923759634219283</v>
      </c>
      <c r="Y24" s="7">
        <f>EXP(-Parameters!$B$55*A24)</f>
        <v>0.7393380648895318</v>
      </c>
      <c r="Z24" s="7">
        <f>IF(X24&gt;0,X24^(1-Parameters!$B$52)/(1-Parameters!$B$52)*Y24*Parameters!$B$65,-10+X24*1000)</f>
        <v>-2.0480698992290987</v>
      </c>
      <c r="AB24" s="9"/>
      <c r="AC24" s="23">
        <f t="shared" si="6"/>
        <v>1.0022480170292543</v>
      </c>
      <c r="AD24" s="23">
        <f t="shared" si="7"/>
        <v>7.4795644734174607</v>
      </c>
      <c r="AE24" s="23">
        <f t="shared" si="8"/>
        <v>2.3271738287213082</v>
      </c>
      <c r="AF24" s="23">
        <f t="shared" si="9"/>
        <v>32.955891211680445</v>
      </c>
      <c r="AG24" s="23">
        <f t="shared" si="10"/>
        <v>71.806479745144529</v>
      </c>
      <c r="AH24" s="23">
        <f t="shared" si="11"/>
        <v>44.553097286778282</v>
      </c>
      <c r="AI24" s="23">
        <f t="shared" si="12"/>
        <v>109.64856440427302</v>
      </c>
      <c r="AJ24" s="23">
        <f t="shared" si="13"/>
        <v>161.7086649191977</v>
      </c>
      <c r="AK24" s="23">
        <f t="shared" si="14"/>
        <v>127.05480785451539</v>
      </c>
      <c r="AL24" s="9">
        <f t="shared" si="24"/>
        <v>2.0620568584941878E-2</v>
      </c>
      <c r="AM24" s="9">
        <f t="shared" si="25"/>
        <v>1.9749917395354366E-2</v>
      </c>
      <c r="AN24" s="9">
        <f t="shared" ref="AN24:AO24" si="45">AVERAGE(AL22:AL26)</f>
        <v>2.0533054134269868E-2</v>
      </c>
      <c r="AO24" s="9">
        <f t="shared" si="45"/>
        <v>1.9665299714631601E-2</v>
      </c>
      <c r="AP24" s="23"/>
      <c r="AQ24" s="8">
        <f t="shared" si="1"/>
        <v>161.70866491919767</v>
      </c>
      <c r="AR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0.17413105729762376</v>
      </c>
      <c r="AS24" s="32">
        <f>((C25-C23)/2-(F25-F23)/F24/2*C24)/(F24/2/Parameters!$B$5-C24)-((D25-D23)/D24-(G25-G23)/G24)/(G24/2/Parameters!$B$5/D24-1)</f>
        <v>7.1869063225174284E-3</v>
      </c>
      <c r="AT24" s="32">
        <f>+Parameters!$B$5*C24^2/F24^2-Parameters!$B$5*D24^2/G24^2</f>
        <v>-9.9250126492864028E-3</v>
      </c>
      <c r="AU24" s="30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0.65495844235949086</v>
      </c>
      <c r="AV24" s="30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76.17855192089749</v>
      </c>
      <c r="AW24" s="8">
        <f>1000*(AR24+AS24+AT24)/(EXP(-Parameters!$B$42*A24)*((C24&lt;0)*Parameters!$B$37*EXP(-Parameters!$B$38*AF24)+(C24&gt;=0)*Parameters!$B$41))</f>
        <v>229.87355325426856</v>
      </c>
      <c r="AX24" s="13">
        <f>1-W24/'6states,ExoDamages'!T24</f>
        <v>6.5570408104651756E-2</v>
      </c>
      <c r="AY24" s="21">
        <f>-Y24*W24*X24^(-Parameters!B$52)*Parameters!B$46*Parameters!B$45*N24</f>
        <v>-1.8861216239354782E-5</v>
      </c>
      <c r="AZ24" s="7">
        <f>1000*EXP(-(Parameters!$B$54)*'6states'!A24)*AQ24*Parameters!B$46*Parameters!B$45*N24</f>
        <v>1.6568120806179369</v>
      </c>
      <c r="BA24" s="7">
        <f>SUM(AZ24:AZ$204)*EXP(Parameters!$B$54*A24)</f>
        <v>294.05758653161871</v>
      </c>
      <c r="BB24" s="13">
        <f t="shared" si="35"/>
        <v>0.21412382668872099</v>
      </c>
      <c r="BC24" s="30">
        <f>IF(C24&lt;0,Parameters!$B$6*AC24^2/AF24,0)</f>
        <v>0</v>
      </c>
      <c r="BD24" s="30">
        <f>Parameters!$B$5*AD24^2/AG24</f>
        <v>0.77909242885272456</v>
      </c>
      <c r="BE24" s="30">
        <f t="shared" si="15"/>
        <v>0</v>
      </c>
      <c r="BF24" s="30">
        <f t="shared" si="16"/>
        <v>0.10416280675454252</v>
      </c>
      <c r="BG24" s="30"/>
      <c r="BH24" s="5">
        <f t="shared" si="3"/>
        <v>-1.9966766741671173E-3</v>
      </c>
      <c r="BI24" s="2">
        <f>BH24/Parameters!$B$45</f>
        <v>-3.3277944569451958</v>
      </c>
      <c r="BJ24" s="2">
        <f t="shared" si="27"/>
        <v>2.3276350584021666E-3</v>
      </c>
      <c r="BM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-0.27495621053263758</v>
      </c>
      <c r="BN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-31.980297688165578</v>
      </c>
      <c r="BO24" s="7">
        <f t="shared" si="4"/>
        <v>6.5957246799747127E-2</v>
      </c>
      <c r="BP24" s="7">
        <f t="shared" si="5"/>
        <v>-0.92991465289212849</v>
      </c>
      <c r="BU24">
        <f>EXP(-Parameters!$B$56*A24)*BH24*BN24</f>
        <v>1.341809476288304E-2</v>
      </c>
      <c r="BV24">
        <f>-EXP((Parameters!$B$56)*F24)*SUM(BU24:BU32)</f>
        <v>-0.1318403702423705</v>
      </c>
      <c r="BW24">
        <f>X24^-Parameters!B$52/(1-2*Parameters!B$5*'6states'!D24/'6states'!G24)</f>
        <v>1.1211172195073456</v>
      </c>
      <c r="BX24">
        <f t="shared" si="17"/>
        <v>0.99829339008621354</v>
      </c>
      <c r="BY24">
        <f>$X24^-Parameters!$B$52/(1-2*Parameters!$B$5*'6states'!$E24/'6states'!$H24)</f>
        <v>1.0128368805902337</v>
      </c>
      <c r="BZ24">
        <f t="shared" si="18"/>
        <v>1.0046221826501349</v>
      </c>
      <c r="CA24" s="7">
        <f>($X24^-Parameters!$B$52*(1/(1+EXP(-C24)) + IF(C24&lt;0,2*Parameters!$B$6*C24/F24,0)) + BS24*(1/(1+EXP((C24-Parameters!$B$22)*Parameters!$B$21))))/(1-IF(C24&gt;0,2*Parameters!$B$5*C24/F24,0))</f>
        <v>0.47455612090675453</v>
      </c>
      <c r="CB24">
        <f t="shared" si="19"/>
        <v>1.0046651328685936</v>
      </c>
      <c r="CC24" s="7">
        <f t="shared" si="20"/>
        <v>2.2035873299526276E-3</v>
      </c>
      <c r="CD24">
        <f>(1/$T24-1/Parameters!$B$13) * LN(Parameters!$B$18) / LN(P24)</f>
        <v>0.2371830548901287</v>
      </c>
      <c r="CE24">
        <f>(Parameters!$B$18*'6states'!T24^+Parameters!$B$19*Parameters!$B$25^'6states'!T24)^((1-'6states'!T24)/'6states'!T24)*Parameters!$B$18*Parameters!$B$26^('6states'!T24-1)</f>
        <v>0.24674323202101284</v>
      </c>
      <c r="CF24">
        <f t="shared" si="21"/>
        <v>0.26669714048511722</v>
      </c>
      <c r="CG24">
        <f t="shared" si="22"/>
        <v>0.15159975352455901</v>
      </c>
      <c r="CH24">
        <f t="shared" si="23"/>
        <v>0.15720318455213966</v>
      </c>
    </row>
    <row r="25" spans="1:86" x14ac:dyDescent="0.3">
      <c r="A25">
        <f>A24+Parameters!$B$65</f>
        <v>21</v>
      </c>
      <c r="B25">
        <v>2046</v>
      </c>
      <c r="C25" s="74">
        <v>8.5089175709850192E-3</v>
      </c>
      <c r="D25" s="69">
        <v>6.6111948985553504E-2</v>
      </c>
      <c r="E25" s="75">
        <v>0.22109308007744</v>
      </c>
      <c r="F25" s="7">
        <f>MAX((1-Parameters!$B$4)^Parameters!B$65*F24 + C24*Parameters!B$65 - IF(C24&gt;0,Parameters!$B$5,0)*C24^2/F24*Parameters!B$65, 0.0001)</f>
        <v>0.27387665046652637</v>
      </c>
      <c r="G25" s="7">
        <f>(1-Parameters!$B$4)^Parameters!B$65*G24+D24*Parameters!B$65-Parameters!$B$5*D24^2/G24*Parameters!B$65</f>
        <v>0.63614477139215386</v>
      </c>
      <c r="H25" s="7">
        <f>(1-Parameters!$B$4)^Parameters!B$65*H24+E24*Parameters!B$65-Parameters!$B$5*E24^2/H24*Parameters!B$65</f>
        <v>3.6167965192255553</v>
      </c>
      <c r="I25" s="7">
        <f>I24 *(1-Parameters!$B$4)-C24*(C24&lt;0)*Parameters!B$65</f>
        <v>1.8749763482789849E-2</v>
      </c>
      <c r="J25" s="23">
        <f>J24*(1+Parameters!$B$51)^Parameters!B$65</f>
        <v>8.6716235534531894</v>
      </c>
      <c r="K25" s="23">
        <f>K24*(1+Parameters!$B$53)^Parameters!B$65</f>
        <v>13.720702730862074</v>
      </c>
      <c r="L25" s="23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20.523671565589169</v>
      </c>
      <c r="M25" s="8">
        <f>M24+L25*Parameters!B$65</f>
        <v>2877.5624106706387</v>
      </c>
      <c r="N25" s="7">
        <f>M25*Parameters!$B$45</f>
        <v>1.726537446402383</v>
      </c>
      <c r="O25" s="9">
        <f>EXP(-Parameters!$B$46/2*N25^2)</f>
        <v>0.97048594168832281</v>
      </c>
      <c r="P25" s="7">
        <f>MAX((Parameters!$B$62 + Parameters!$B$31*'6states'!A25 - '6states'!M25 + Parameters!$B$47/Parameters!$B$45)/Parameters!B$62,1)</f>
        <v>11.792751786587228</v>
      </c>
      <c r="Q25" s="7">
        <f>Parameters!B$61*EXP(-Parameters!B$60*A25)</f>
        <v>0.28361228121344206</v>
      </c>
      <c r="R25" s="7">
        <f>(1-Parameters!B$61)*P25^-Parameters!B$63</f>
        <v>0.3906685841480651</v>
      </c>
      <c r="S25" s="7">
        <f>Parameters!B$61*EXP(-Parameters!B$60*A25)+(1-Parameters!B$61)*P25^-Parameters!B$63</f>
        <v>0.67428086536150711</v>
      </c>
      <c r="T25" s="7">
        <f>1-S25/Parameters!$B$12</f>
        <v>0.66285956731924645</v>
      </c>
      <c r="U25" s="7">
        <f t="shared" si="0"/>
        <v>2.9661230249025761</v>
      </c>
      <c r="V25" s="7">
        <f>(Parameters!$B$19*(F25+Parameters!$B$20)^T25+Parameters!$B$18*G25^T25)^(1/T25)</f>
        <v>0.38076072922074483</v>
      </c>
      <c r="W25" s="7">
        <f>(Parameters!$B$10*H25^Parameters!$B$9+Parameters!$B$11*V25^Parameters!$B$9)^(Parameters!$B$7/Parameters!$B$9)*O25</f>
        <v>1.3875440033013535</v>
      </c>
      <c r="X25" s="7">
        <f>W25 - D25 - E25 - LN(1+EXP(Parameters!$B$21*C25))/Parameters!$B$21 - IF(C25&gt;0, 0,Parameters!$B$6*C25^2/F25)</f>
        <v>1.0915800909796929</v>
      </c>
      <c r="Y25" s="7">
        <f>EXP(-Parameters!$B$55*A25)</f>
        <v>0.72825792569172154</v>
      </c>
      <c r="Z25" s="7">
        <f>IF(X25&gt;0,X25^(1-Parameters!$B$52)/(1-Parameters!$B$52)*Y25*Parameters!$B$65,-10+X25*1000)</f>
        <v>-2.0178910463018993</v>
      </c>
      <c r="AB25" s="9"/>
      <c r="AC25" s="23">
        <f t="shared" si="6"/>
        <v>1.0123975557055709</v>
      </c>
      <c r="AD25" s="23">
        <f t="shared" si="7"/>
        <v>7.866050528464287</v>
      </c>
      <c r="AE25" s="23">
        <f t="shared" si="8"/>
        <v>2.230861277204331</v>
      </c>
      <c r="AF25" s="23">
        <f t="shared" si="9"/>
        <v>32.586054475674324</v>
      </c>
      <c r="AG25" s="23">
        <f t="shared" si="10"/>
        <v>75.688994077038714</v>
      </c>
      <c r="AH25" s="23">
        <f t="shared" si="11"/>
        <v>45.303204356594598</v>
      </c>
      <c r="AI25" s="23">
        <f t="shared" si="12"/>
        <v>111.4946350113386</v>
      </c>
      <c r="AJ25" s="23">
        <f t="shared" si="13"/>
        <v>165.09105249371868</v>
      </c>
      <c r="AK25" s="23">
        <f t="shared" si="14"/>
        <v>129.87703861805943</v>
      </c>
      <c r="AL25" s="9">
        <f t="shared" si="24"/>
        <v>2.0700803454886341E-2</v>
      </c>
      <c r="AM25" s="9">
        <f t="shared" si="25"/>
        <v>2.1969594792797587E-2</v>
      </c>
      <c r="AN25" s="9">
        <f t="shared" ref="AN25:AO25" si="46">AVERAGE(AL23:AL27)</f>
        <v>2.0617807754180005E-2</v>
      </c>
      <c r="AO25" s="9">
        <f t="shared" si="46"/>
        <v>1.93655183894057E-2</v>
      </c>
      <c r="AP25" s="23"/>
      <c r="AQ25" s="8">
        <f t="shared" si="1"/>
        <v>165.09105249371865</v>
      </c>
      <c r="AR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0.17755227903472745</v>
      </c>
      <c r="AS25" s="32">
        <f>((C26-C24)/2-(F26-F24)/F25/2*C25)/(F25/2/Parameters!$B$5-C25)-((D26-D24)/D25-(G26-G24)/G25)/(G25/2/Parameters!$B$5/D25-1)</f>
        <v>6.6657845167106102E-3</v>
      </c>
      <c r="AT25" s="32">
        <f>+Parameters!$B$5*C25^2/F25^2-Parameters!$B$5*D25^2/G25^2</f>
        <v>-9.83535549964272E-3</v>
      </c>
      <c r="AU25" s="30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0.65006422403819419</v>
      </c>
      <c r="AV25" s="30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77.345141256518247</v>
      </c>
      <c r="AW25" s="8">
        <f>1000*(AR25+AS25+AT25)/(EXP(-Parameters!$B$42*A25)*((C25&lt;0)*Parameters!$B$37*EXP(-Parameters!$B$38*AF25)+(C25&gt;=0)*Parameters!$B$41))</f>
        <v>236.23400624265125</v>
      </c>
      <c r="AX25" s="13">
        <f>1-W25/'6states,ExoDamages'!T25</f>
        <v>6.697182719430117E-2</v>
      </c>
      <c r="AY25" s="21">
        <f>-Y25*W25*X25^(-Parameters!B$52)*Parameters!B$46*Parameters!B$45*N25</f>
        <v>-1.8693052524608187E-5</v>
      </c>
      <c r="AZ25" s="7">
        <f>1000*EXP(-(Parameters!$B$54)*'6states'!A25)*AQ25*Parameters!B$46*Parameters!B$45*N25</f>
        <v>1.644857894429262</v>
      </c>
      <c r="BA25" s="7">
        <f>SUM(AZ25:AZ$204)*EXP(Parameters!$B$54*A25)</f>
        <v>301.09977142816456</v>
      </c>
      <c r="BB25" s="13">
        <f t="shared" si="35"/>
        <v>0.21312040982512462</v>
      </c>
      <c r="BC25" s="30">
        <f>IF(C25&lt;0,Parameters!$B$6*AC25^2/AF25,0)</f>
        <v>0</v>
      </c>
      <c r="BD25" s="30">
        <f>Parameters!$B$5*AD25^2/AG25</f>
        <v>0.81748676502920825</v>
      </c>
      <c r="BE25" s="30">
        <f t="shared" si="15"/>
        <v>0</v>
      </c>
      <c r="BF25" s="30">
        <f t="shared" si="16"/>
        <v>0.10392594886989731</v>
      </c>
      <c r="BG25" s="30"/>
      <c r="BH25" s="5">
        <f t="shared" si="3"/>
        <v>-2.0011561849672768E-3</v>
      </c>
      <c r="BI25" s="2">
        <f>BH25/Parameters!$B$45</f>
        <v>-3.3352603082787948</v>
      </c>
      <c r="BJ25" s="2">
        <f t="shared" si="27"/>
        <v>2.238461362391142E-3</v>
      </c>
      <c r="BM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-0.29556147589449411</v>
      </c>
      <c r="BN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-35.166131680093073</v>
      </c>
      <c r="BO25" s="7">
        <f t="shared" si="4"/>
        <v>6.407406368325097E-2</v>
      </c>
      <c r="BP25" s="7">
        <f t="shared" si="5"/>
        <v>-0.9456256999326883</v>
      </c>
      <c r="BU25">
        <f>EXP(-Parameters!$B$56*A25)*BH25*BN25</f>
        <v>1.3678271573648541E-2</v>
      </c>
      <c r="BV25">
        <f>-EXP((Parameters!$B$56)*F25)*SUM(BU25:BU33)</f>
        <v>-0.13355879362144674</v>
      </c>
      <c r="BW25">
        <f>X25^-Parameters!B$52/(1-2*Parameters!B$5*'6states'!D25/'6states'!G25)</f>
        <v>1.1215497571368045</v>
      </c>
      <c r="BX25">
        <f t="shared" si="17"/>
        <v>1.0003858094603604</v>
      </c>
      <c r="BY25">
        <f>$X25^-Parameters!$B$52/(1-2*Parameters!$B$5*'6states'!$E25/'6states'!$H25)</f>
        <v>1.0121819276250892</v>
      </c>
      <c r="BZ25">
        <f t="shared" si="18"/>
        <v>0.99935334802899078</v>
      </c>
      <c r="CA25" s="7">
        <f>($X25^-Parameters!$B$52*(1/(1+EXP(-C25)) + IF(C25&lt;0,2*Parameters!$B$6*C25/F25,0)) + BS25*(1/(1+EXP((C25-Parameters!$B$22)*Parameters!$B$21))))/(1-IF(C25&gt;0,2*Parameters!$B$5*C25/F25,0))</f>
        <v>0.475662841835437</v>
      </c>
      <c r="CB25">
        <f t="shared" si="19"/>
        <v>1.0023321181203348</v>
      </c>
      <c r="CC25" s="7">
        <f t="shared" si="20"/>
        <v>1.1067209286824697E-3</v>
      </c>
      <c r="CD25">
        <f>(1/$T25-1/Parameters!$B$13) * LN(Parameters!$B$18) / LN(P25)</f>
        <v>0.23723604085446651</v>
      </c>
      <c r="CE25">
        <f>(Parameters!$B$18*'6states'!T25^+Parameters!$B$19*Parameters!$B$25^'6states'!T25)^((1-'6states'!T25)/'6states'!T25)*Parameters!$B$18*Parameters!$B$26^('6states'!T25-1)</f>
        <v>0.24958454034662531</v>
      </c>
      <c r="CF25">
        <f t="shared" si="21"/>
        <v>0.2651751057820122</v>
      </c>
      <c r="CG25">
        <f t="shared" si="22"/>
        <v>0.15163091220913083</v>
      </c>
      <c r="CH25">
        <f t="shared" si="23"/>
        <v>0.15886139299311619</v>
      </c>
    </row>
    <row r="26" spans="1:86" x14ac:dyDescent="0.3">
      <c r="A26">
        <f>A25+Parameters!$B$65</f>
        <v>22</v>
      </c>
      <c r="B26">
        <v>2047</v>
      </c>
      <c r="C26" s="74">
        <v>8.3260644136473692E-3</v>
      </c>
      <c r="D26" s="69">
        <v>6.6853801443975805E-2</v>
      </c>
      <c r="E26" s="75">
        <v>0.220492809491286</v>
      </c>
      <c r="F26" s="7">
        <f>MAX((1-Parameters!$B$4)^Parameters!B$65*F25 + C25*Parameters!B$65 - IF(C25&gt;0,Parameters!$B$5,0)*C25^2/F25*Parameters!B$65, 0.0001)</f>
        <v>0.26489436801238786</v>
      </c>
      <c r="G26" s="7">
        <f>(1-Parameters!$B$4)^Parameters!B$65*G25+D25*Parameters!B$65-Parameters!$B$5*D25^2/G25*Parameters!B$65</f>
        <v>0.65537246722717901</v>
      </c>
      <c r="H26" s="7">
        <f>(1-Parameters!$B$4)^Parameters!B$65*H25+E25*Parameters!B$65-Parameters!$B$5*E25^2/H25*Parameters!B$65</f>
        <v>3.5968777816373438</v>
      </c>
      <c r="I26" s="7">
        <f>I25 *(1-Parameters!$B$4)-C25*(C25&lt;0)*Parameters!B$65</f>
        <v>1.7570403359722368E-2</v>
      </c>
      <c r="J26" s="23">
        <f>J25*(1+Parameters!$B$51)^Parameters!B$65</f>
        <v>8.6967712617582027</v>
      </c>
      <c r="K26" s="23">
        <f>K25*(1+Parameters!$B$53)^Parameters!B$65</f>
        <v>13.995116785479317</v>
      </c>
      <c r="L26" s="23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20.125184433589379</v>
      </c>
      <c r="M26" s="8">
        <f>M25+L26*Parameters!B$65</f>
        <v>2897.687595104228</v>
      </c>
      <c r="N26" s="7">
        <f>M26*Parameters!$B$45</f>
        <v>1.7386125570625366</v>
      </c>
      <c r="O26" s="9">
        <f>EXP(-Parameters!$B$46/2*N26^2)</f>
        <v>0.97007792572068596</v>
      </c>
      <c r="P26" s="7">
        <f>MAX((Parameters!$B$62 + Parameters!$B$31*'6states'!A26 - '6states'!M26 + Parameters!$B$47/Parameters!$B$45)/Parameters!B$62,1)</f>
        <v>12.454248097915443</v>
      </c>
      <c r="Q26" s="7">
        <f>Parameters!B$61*EXP(-Parameters!B$60*A26)</f>
        <v>0.2760572021534653</v>
      </c>
      <c r="R26" s="7">
        <f>(1-Parameters!B$61)*P26^-Parameters!B$63</f>
        <v>0.38854225201236814</v>
      </c>
      <c r="S26" s="7">
        <f>Parameters!B$61*EXP(-Parameters!B$60*A26)+(1-Parameters!B$61)*P26^-Parameters!B$63</f>
        <v>0.66459945416583344</v>
      </c>
      <c r="T26" s="7">
        <f>1-S26/Parameters!$B$12</f>
        <v>0.66770027291708334</v>
      </c>
      <c r="U26" s="7">
        <f t="shared" si="0"/>
        <v>3.0093313912065787</v>
      </c>
      <c r="V26" s="7">
        <f>(Parameters!$B$19*(F26+Parameters!$B$20)^T26+Parameters!$B$18*G26^T26)^(1/T26)</f>
        <v>0.37887451561509539</v>
      </c>
      <c r="W26" s="7">
        <f>(Parameters!$B$10*H26^Parameters!$B$9+Parameters!$B$11*V26^Parameters!$B$9)^(Parameters!$B$7/Parameters!$B$9)*O26</f>
        <v>1.3847370516435102</v>
      </c>
      <c r="X26" s="7">
        <f>W26 - D26 - E26 - LN(1+EXP(Parameters!$B$21*C26))/Parameters!$B$21 - IF(C26&gt;0, 0,Parameters!$B$6*C26^2/F26)</f>
        <v>1.0888008585506526</v>
      </c>
      <c r="Y26" s="7">
        <f>EXP(-Parameters!$B$55*A26)</f>
        <v>0.71734383973866223</v>
      </c>
      <c r="Z26" s="7">
        <f>IF(X26&gt;0,X26^(1-Parameters!$B$52)/(1-Parameters!$B$52)*Y26*Parameters!$B$65,-10+X26*1000)</f>
        <v>-1.9894240767658484</v>
      </c>
      <c r="AB26" s="9"/>
      <c r="AC26" s="23">
        <f t="shared" si="6"/>
        <v>1.013384695059881</v>
      </c>
      <c r="AD26" s="23">
        <f t="shared" si="7"/>
        <v>8.1369319073306166</v>
      </c>
      <c r="AE26" s="23">
        <f t="shared" si="8"/>
        <v>2.1385347225498266</v>
      </c>
      <c r="AF26" s="23">
        <f t="shared" si="9"/>
        <v>32.240910592921907</v>
      </c>
      <c r="AG26" s="23">
        <f t="shared" si="10"/>
        <v>79.766909653382967</v>
      </c>
      <c r="AH26" s="23">
        <f t="shared" si="11"/>
        <v>46.113699870401298</v>
      </c>
      <c r="AI26" s="23">
        <f t="shared" si="12"/>
        <v>113.4893261766458</v>
      </c>
      <c r="AJ26" s="23">
        <f t="shared" si="13"/>
        <v>168.53957225189797</v>
      </c>
      <c r="AK26" s="23">
        <f t="shared" si="14"/>
        <v>132.52048881758992</v>
      </c>
      <c r="AL26" s="9">
        <f t="shared" si="24"/>
        <v>2.0673417387222059E-2</v>
      </c>
      <c r="AM26" s="9">
        <f t="shared" si="25"/>
        <v>2.0149119990848341E-2</v>
      </c>
      <c r="AN26" s="9">
        <f t="shared" ref="AN26:AO26" si="47">AVERAGE(AL24:AL28)</f>
        <v>2.0718352859964283E-2</v>
      </c>
      <c r="AO26" s="9">
        <f t="shared" si="47"/>
        <v>2.001743700574643E-2</v>
      </c>
      <c r="AP26" s="23"/>
      <c r="AQ26" s="8">
        <f t="shared" si="1"/>
        <v>168.53957225189797</v>
      </c>
      <c r="AR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0.17979279072405716</v>
      </c>
      <c r="AS26" s="32">
        <f>((C27-C25)/2-(F27-F25)/F26/2*C26)/(F26/2/Parameters!$B$5-C26)-((D27-D25)/D26-(G27-G25)/G26)/(G26/2/Parameters!$B$5/D26-1)</f>
        <v>1.2124318268816702E-2</v>
      </c>
      <c r="AT26" s="32">
        <f>+Parameters!$B$5*C26^2/F26^2-Parameters!$B$5*D26^2/G26^2</f>
        <v>-9.4178605173843299E-3</v>
      </c>
      <c r="AU26" s="30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0.64527432421014574</v>
      </c>
      <c r="AV26" s="30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78.537841143510065</v>
      </c>
      <c r="AW26" s="8">
        <f>1000*(AR26+AS26+AT26)/(EXP(-Parameters!$B$42*A26)*((C26&lt;0)*Parameters!$B$37*EXP(-Parameters!$B$38*AF26)+(C26&gt;=0)*Parameters!$B$41))</f>
        <v>249.71407547238837</v>
      </c>
      <c r="AX26" s="13">
        <f>1-W26/'6states,ExoDamages'!T26</f>
        <v>6.8408006104042407E-2</v>
      </c>
      <c r="AY26" s="21">
        <f>-Y26*W26*X26^(-Parameters!B$52)*Parameters!B$46*Parameters!B$45*N26</f>
        <v>-1.8567968554926308E-5</v>
      </c>
      <c r="AZ26" s="7">
        <f>1000*EXP(-(Parameters!$B$54)*'6states'!A26)*AQ26*Parameters!B$46*Parameters!B$45*N26</f>
        <v>1.6326376527801119</v>
      </c>
      <c r="BA26" s="7">
        <f>SUM(AZ26:AZ$204)*EXP(Parameters!$B$54*A26)</f>
        <v>308.29570895610721</v>
      </c>
      <c r="BB26" s="13">
        <f t="shared" si="35"/>
        <v>0.21352261427393929</v>
      </c>
      <c r="BC26" s="30">
        <f>IF(C26&lt;0,Parameters!$B$6*AC26^2/AF26,0)</f>
        <v>0</v>
      </c>
      <c r="BD26" s="30">
        <f>Parameters!$B$5*AD26^2/AG26</f>
        <v>0.83003918733019477</v>
      </c>
      <c r="BE26" s="30">
        <f t="shared" si="15"/>
        <v>0</v>
      </c>
      <c r="BF26" s="30">
        <f t="shared" si="16"/>
        <v>0.10200886486249282</v>
      </c>
      <c r="BG26" s="30"/>
      <c r="BH26" s="5">
        <f t="shared" si="3"/>
        <v>-2.0055442314092279E-3</v>
      </c>
      <c r="BI26" s="2">
        <f>BH26/Parameters!$B$45</f>
        <v>-3.3425737190153799</v>
      </c>
      <c r="BJ26" s="2">
        <f t="shared" si="27"/>
        <v>2.187957948385777E-3</v>
      </c>
      <c r="BM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-0.31752926619231597</v>
      </c>
      <c r="BN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-38.647226661549112</v>
      </c>
      <c r="BO26" s="7">
        <f t="shared" si="4"/>
        <v>6.2203875104041448E-2</v>
      </c>
      <c r="BU26">
        <f>EXP(-Parameters!$B$56*A26)*BH26*BN26</f>
        <v>1.3934816301174316E-2</v>
      </c>
      <c r="BV26">
        <f>-EXP((Parameters!$B$56)*F26)*SUM(BU26:BU34)</f>
        <v>-0.13511580894717143</v>
      </c>
      <c r="BW26">
        <f>X26^-Parameters!B$52/(1-2*Parameters!B$5*'6states'!D26/'6states'!G26)</f>
        <v>1.1199952785482286</v>
      </c>
      <c r="BX26">
        <f t="shared" si="17"/>
        <v>0.99861399052633715</v>
      </c>
      <c r="BY26">
        <f>$X26^-Parameters!$B$52/(1-2*Parameters!$B$5*'6states'!$E26/'6states'!$H26)</f>
        <v>1.0160687921537246</v>
      </c>
      <c r="BZ26">
        <f t="shared" si="18"/>
        <v>1.0038400848924021</v>
      </c>
      <c r="CA26" s="7">
        <f>($X26^-Parameters!$B$52*(1/(1+EXP(-C26)) + IF(C26&lt;0,2*Parameters!$B$6*C26/F26,0)) + BS26*(1/(1+EXP((C26-Parameters!$B$22)*Parameters!$B$21))))/(1-IF(C26&gt;0,2*Parameters!$B$5*C26/F26,0))</f>
        <v>0.47762918266555932</v>
      </c>
      <c r="CB26">
        <f t="shared" si="19"/>
        <v>1.0041338962331696</v>
      </c>
      <c r="CC26" s="7">
        <f t="shared" si="20"/>
        <v>1.9663408301223151E-3</v>
      </c>
      <c r="CD26">
        <f>(1/$T26-1/Parameters!$B$13) * LN(Parameters!$B$18) / LN(P26)</f>
        <v>0.23726842748342614</v>
      </c>
      <c r="CE26">
        <f>(Parameters!$B$18*'6states'!T26^+Parameters!$B$19*Parameters!$B$25^'6states'!T26)^((1-'6states'!T26)/'6states'!T26)*Parameters!$B$18*Parameters!$B$26^('6states'!T26-1)</f>
        <v>0.25227319463664843</v>
      </c>
      <c r="CF26">
        <f t="shared" si="21"/>
        <v>0.26368526502772754</v>
      </c>
      <c r="CG26">
        <f t="shared" si="22"/>
        <v>0.15164995677897575</v>
      </c>
      <c r="CH26">
        <f t="shared" si="23"/>
        <v>0.16042750699274533</v>
      </c>
    </row>
    <row r="27" spans="1:86" x14ac:dyDescent="0.3">
      <c r="A27">
        <f>A26+Parameters!$B$65</f>
        <v>23</v>
      </c>
      <c r="B27">
        <v>2048</v>
      </c>
      <c r="C27" s="74">
        <v>8.1000101790198002E-3</v>
      </c>
      <c r="D27" s="69">
        <v>6.6980776948830298E-2</v>
      </c>
      <c r="E27" s="75">
        <v>0.22188535129824599</v>
      </c>
      <c r="F27" s="7">
        <f>MAX((1-Parameters!$B$4)^Parameters!B$65*F26 + C26*Parameters!B$65 - IF(C26&gt;0,Parameters!$B$5,0)*C26^2/F26*Parameters!B$65, 0.0001)</f>
        <v>0.25629687481878144</v>
      </c>
      <c r="G27" s="7">
        <f>(1-Parameters!$B$4)^Parameters!B$65*G26+D26*Parameters!B$65-Parameters!$B$5*D26^2/G26*Parameters!B$65</f>
        <v>0.67418366008552277</v>
      </c>
      <c r="H27" s="7">
        <f>(1-Parameters!$B$4)^Parameters!B$65*H26+E26*Parameters!B$65-Parameters!$B$5*E26^2/H26*Parameters!B$65</f>
        <v>3.5776105118863826</v>
      </c>
      <c r="I27" s="7">
        <f>I26 *(1-Parameters!$B$4)-C26*(C26&lt;0)*Parameters!B$65</f>
        <v>1.6465224988395831E-2</v>
      </c>
      <c r="J27" s="23">
        <f>J26*(1+Parameters!$B$51)^Parameters!B$65</f>
        <v>8.7219918984173006</v>
      </c>
      <c r="K27" s="23">
        <f>K26*(1+Parameters!$B$53)^Parameters!B$65</f>
        <v>14.275019121188903</v>
      </c>
      <c r="L27" s="23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19.74263586711745</v>
      </c>
      <c r="M27" s="8">
        <f>M26+L27*Parameters!B$65</f>
        <v>2917.4302309713453</v>
      </c>
      <c r="N27" s="7">
        <f>M27*Parameters!$B$45</f>
        <v>1.7504581385828071</v>
      </c>
      <c r="O27" s="9">
        <f>EXP(-Parameters!$B$46/2*N27^2)</f>
        <v>0.96967507082444016</v>
      </c>
      <c r="P27" s="7">
        <f>MAX((Parameters!$B$62 + Parameters!$B$31*'6states'!A27 - '6states'!M27 + Parameters!$B$47/Parameters!$B$45)/Parameters!B$62,1)</f>
        <v>13.123395380573097</v>
      </c>
      <c r="Q27" s="7">
        <f>Parameters!B$61*EXP(-Parameters!B$60*A27)</f>
        <v>0.26870338101983182</v>
      </c>
      <c r="R27" s="7">
        <f>(1-Parameters!B$61)*P27^-Parameters!B$63</f>
        <v>0.38651413686945663</v>
      </c>
      <c r="S27" s="7">
        <f>Parameters!B$61*EXP(-Parameters!B$60*A27)+(1-Parameters!B$61)*P27^-Parameters!B$63</f>
        <v>0.6552175178892885</v>
      </c>
      <c r="T27" s="7">
        <f>1-S27/Parameters!$B$12</f>
        <v>0.67239124105535575</v>
      </c>
      <c r="U27" s="7">
        <f t="shared" si="0"/>
        <v>3.05242144081065</v>
      </c>
      <c r="V27" s="7">
        <f>(Parameters!$B$19*(F27+Parameters!$B$20)^T27+Parameters!$B$18*G27^T27)^(1/T27)</f>
        <v>0.37710592750930777</v>
      </c>
      <c r="W27" s="7">
        <f>(Parameters!$B$10*H27^Parameters!$B$9+Parameters!$B$11*V27^Parameters!$B$9)^(Parameters!$B$7/Parameters!$B$9)*O27</f>
        <v>1.3820231398292278</v>
      </c>
      <c r="X27" s="7">
        <f>W27 - D27 - E27 - LN(1+EXP(Parameters!$B$21*C27))/Parameters!$B$21 - IF(C27&gt;0, 0,Parameters!$B$6*C27^2/F27)</f>
        <v>1.0847757522222932</v>
      </c>
      <c r="Y27" s="7">
        <f>EXP(-Parameters!$B$55*A27)</f>
        <v>0.70659331846233153</v>
      </c>
      <c r="Z27" s="7">
        <f>IF(X27&gt;0,X27^(1-Parameters!$B$52)/(1-Parameters!$B$52)*Y27*Parameters!$B$65,-10+X27*1000)</f>
        <v>-1.9621513022801074</v>
      </c>
      <c r="AB27" s="9"/>
      <c r="AC27" s="23">
        <f t="shared" si="6"/>
        <v>1.0085047364657276</v>
      </c>
      <c r="AD27" s="23">
        <f t="shared" si="7"/>
        <v>8.3395488785946448</v>
      </c>
      <c r="AE27" s="23">
        <f t="shared" si="8"/>
        <v>2.0500292000596581</v>
      </c>
      <c r="AF27" s="23">
        <f t="shared" si="9"/>
        <v>31.910652762584991</v>
      </c>
      <c r="AG27" s="23">
        <f t="shared" si="10"/>
        <v>83.940316051100083</v>
      </c>
      <c r="AH27" s="23">
        <f t="shared" si="11"/>
        <v>46.952177298184665</v>
      </c>
      <c r="AI27" s="23">
        <f t="shared" si="12"/>
        <v>115.55288296260953</v>
      </c>
      <c r="AJ27" s="23">
        <f t="shared" si="13"/>
        <v>172.07100381590837</v>
      </c>
      <c r="AK27" s="23">
        <f t="shared" si="14"/>
        <v>135.06174189175434</v>
      </c>
      <c r="AL27" s="9">
        <f t="shared" si="24"/>
        <v>2.0736632133779409E-2</v>
      </c>
      <c r="AM27" s="9">
        <f t="shared" si="25"/>
        <v>1.8994755175860689E-2</v>
      </c>
      <c r="AN27" s="9">
        <f t="shared" ref="AN27:AO27" si="48">AVERAGE(AL25:AL29)</f>
        <v>2.0789236307117064E-2</v>
      </c>
      <c r="AO27" s="9">
        <f t="shared" si="48"/>
        <v>2.0472928447165372E-2</v>
      </c>
      <c r="AP27" s="23"/>
      <c r="AQ27" s="8">
        <f t="shared" si="1"/>
        <v>172.07100381590837</v>
      </c>
      <c r="AR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0.1817992672463675</v>
      </c>
      <c r="AS27" s="32">
        <f>((C28-C26)/2-(F28-F26)/F27/2*C27)/(F27/2/Parameters!$B$5-C27)-((D28-D26)/D27-(G28-G26)/G27)/(G27/2/Parameters!$B$5/D27-1)</f>
        <v>1.2895978355791727E-2</v>
      </c>
      <c r="AT27" s="32">
        <f>+Parameters!$B$5*C27^2/F27^2-Parameters!$B$5*D27^2/G27^2</f>
        <v>-8.8717945327338368E-3</v>
      </c>
      <c r="AU27" s="30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0.64057009387371999</v>
      </c>
      <c r="AV27" s="30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79.75520517038639</v>
      </c>
      <c r="AW27" s="8">
        <f>1000*(AR27+AS27+AT27)/(EXP(-Parameters!$B$42*A27)*((C27&lt;0)*Parameters!$B$37*EXP(-Parameters!$B$38*AF27)+(C27&gt;=0)*Parameters!$B$41))</f>
        <v>256.81796982172114</v>
      </c>
      <c r="AX27" s="13">
        <f>1-W27/'6states,ExoDamages'!T27</f>
        <v>6.9793927817667689E-2</v>
      </c>
      <c r="AY27" s="21">
        <f>-Y27*W27*X27^(-Parameters!B$52)*Parameters!B$46*Parameters!B$45*N27</f>
        <v>-1.8470341283292409E-5</v>
      </c>
      <c r="AZ27" s="7">
        <f>1000*EXP(-(Parameters!$B$54)*'6states'!A27)*AQ27*Parameters!B$46*Parameters!B$45*N27</f>
        <v>1.6203200054722902</v>
      </c>
      <c r="BA27" s="7">
        <f>SUM(AZ27:AZ$204)*EXP(Parameters!$B$54*A27)</f>
        <v>315.64891810863872</v>
      </c>
      <c r="BB27" s="13">
        <f t="shared" si="35"/>
        <v>0.21487783371180838</v>
      </c>
      <c r="BC27" s="30">
        <f>IF(C27&lt;0,Parameters!$B$6*AC27^2/AF27,0)</f>
        <v>0</v>
      </c>
      <c r="BD27" s="30">
        <f>Parameters!$B$5*AD27^2/AG27</f>
        <v>0.82854197804223939</v>
      </c>
      <c r="BE27" s="30">
        <f t="shared" si="15"/>
        <v>0</v>
      </c>
      <c r="BF27" s="30">
        <f t="shared" si="16"/>
        <v>9.9350934937126087E-2</v>
      </c>
      <c r="BG27" s="30"/>
      <c r="BH27" s="5">
        <f t="shared" si="3"/>
        <v>-2.0097795918312222E-3</v>
      </c>
      <c r="BI27" s="2">
        <f>BH27/Parameters!$B$45</f>
        <v>-3.3496326530520375</v>
      </c>
      <c r="BJ27" s="2">
        <f t="shared" si="27"/>
        <v>2.1073755745203426E-3</v>
      </c>
      <c r="BM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-0.34066537616292403</v>
      </c>
      <c r="BN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-42.415088106934071</v>
      </c>
      <c r="BO27" s="7">
        <f t="shared" si="4"/>
        <v>6.0364783083997134E-2</v>
      </c>
      <c r="BU27">
        <f>EXP(-Parameters!$B$56*A27)*BH27*BN27</f>
        <v>1.4175699711649187E-2</v>
      </c>
      <c r="BV27">
        <f>-EXP((Parameters!$B$56)*F27)*SUM(BU27:BU35)</f>
        <v>-0.13649884142275631</v>
      </c>
      <c r="BW27">
        <f>X27^-Parameters!B$52/(1-2*Parameters!B$5*'6states'!D27/'6states'!G27)</f>
        <v>1.1181418758101529</v>
      </c>
      <c r="BX27">
        <f t="shared" si="17"/>
        <v>0.99834516915064309</v>
      </c>
      <c r="BY27">
        <f>$X27^-Parameters!$B$52/(1-2*Parameters!$B$5*'6states'!$E27/'6states'!$H27)</f>
        <v>1.0228390654796373</v>
      </c>
      <c r="BZ27">
        <f t="shared" si="18"/>
        <v>1.0066632036907286</v>
      </c>
      <c r="CA27" s="7">
        <f>($X27^-Parameters!$B$52*(1/(1+EXP(-C27)) + IF(C27&lt;0,2*Parameters!$B$6*C27/F27,0)) + BS27*(1/(1+EXP((C27-Parameters!$B$22)*Parameters!$B$21))))/(1-IF(C27&gt;0,2*Parameters!$B$5*C27/F27,0))</f>
        <v>0.48014589435521166</v>
      </c>
      <c r="CB27">
        <f t="shared" si="19"/>
        <v>1.0052691748766418</v>
      </c>
      <c r="CC27" s="7">
        <f t="shared" si="20"/>
        <v>2.51671168965234E-3</v>
      </c>
      <c r="CD27">
        <f>(1/$T27-1/Parameters!$B$13) * LN(Parameters!$B$18) / LN(P27)</f>
        <v>0.23728001525056641</v>
      </c>
      <c r="CE27">
        <f>(Parameters!$B$18*'6states'!T27^+Parameters!$B$19*Parameters!$B$25^'6states'!T27)^((1-'6states'!T27)/'6states'!T27)*Parameters!$B$18*Parameters!$B$26^('6states'!T27-1)</f>
        <v>0.25481883600918753</v>
      </c>
      <c r="CF27">
        <f t="shared" si="21"/>
        <v>0.26222485783766347</v>
      </c>
      <c r="CG27">
        <f t="shared" si="22"/>
        <v>0.15165677072301553</v>
      </c>
      <c r="CH27">
        <f t="shared" si="23"/>
        <v>0.16190762990703211</v>
      </c>
    </row>
    <row r="28" spans="1:86" x14ac:dyDescent="0.3">
      <c r="A28">
        <f>A27+Parameters!$B$65</f>
        <v>24</v>
      </c>
      <c r="B28">
        <v>2049</v>
      </c>
      <c r="C28" s="74">
        <v>7.8790654023202199E-3</v>
      </c>
      <c r="D28" s="69">
        <v>6.7116828983041193E-2</v>
      </c>
      <c r="E28" s="75">
        <v>0.22317652207585201</v>
      </c>
      <c r="F28" s="7">
        <f>MAX((1-Parameters!$B$4)^Parameters!B$65*F27 + C27*Parameters!B$65 - IF(C27&gt;0,Parameters!$B$5,0)*C27^2/F27*Parameters!B$65, 0.0001)</f>
        <v>0.24801981873157411</v>
      </c>
      <c r="G28" s="7">
        <f>(1-Parameters!$B$4)^Parameters!B$65*G27+D27*Parameters!B$65-Parameters!$B$5*D27^2/G27*Parameters!B$65</f>
        <v>0.69210368200229233</v>
      </c>
      <c r="H28" s="7">
        <f>(1-Parameters!$B$4)^Parameters!B$65*H27+E27*Parameters!B$65-Parameters!$B$5*E27^2/H27*Parameters!B$65</f>
        <v>3.5607027117236858</v>
      </c>
      <c r="I28" s="7">
        <f>I27 *(1-Parameters!$B$4)-C27*(C27&lt;0)*Parameters!B$65</f>
        <v>1.5429562336625733E-2</v>
      </c>
      <c r="J28" s="23">
        <f>J27*(1+Parameters!$B$51)^Parameters!B$65</f>
        <v>8.7472856749227095</v>
      </c>
      <c r="K28" s="23">
        <f>K27*(1+Parameters!$B$53)^Parameters!B$65</f>
        <v>14.560519503612682</v>
      </c>
      <c r="L28" s="23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19.371721271122574</v>
      </c>
      <c r="M28" s="8">
        <f>M27+L28*Parameters!B$65</f>
        <v>2936.8019522424679</v>
      </c>
      <c r="N28" s="7">
        <f>M28*Parameters!$B$45</f>
        <v>1.7620811713454805</v>
      </c>
      <c r="O28" s="9">
        <f>EXP(-Parameters!$B$46/2*N28^2)</f>
        <v>0.9692772899903872</v>
      </c>
      <c r="P28" s="7">
        <f>MAX((Parameters!$B$62 + Parameters!$B$31*'6states'!A28 - '6states'!M28 + Parameters!$B$47/Parameters!$B$45)/Parameters!B$62,1)</f>
        <v>13.799960955150645</v>
      </c>
      <c r="Q28" s="7">
        <f>Parameters!B$61*EXP(-Parameters!B$60*A28)</f>
        <v>0.26154545655125039</v>
      </c>
      <c r="R28" s="7">
        <f>(1-Parameters!B$61)*P28^-Parameters!B$63</f>
        <v>0.38457603593036216</v>
      </c>
      <c r="S28" s="7">
        <f>Parameters!B$61*EXP(-Parameters!B$60*A28)+(1-Parameters!B$61)*P28^-Parameters!B$63</f>
        <v>0.64612149248161255</v>
      </c>
      <c r="T28" s="7">
        <f>1-S28/Parameters!$B$12</f>
        <v>0.67693925375919373</v>
      </c>
      <c r="U28" s="7">
        <f t="shared" si="0"/>
        <v>3.0953930851586962</v>
      </c>
      <c r="V28" s="7">
        <f>(Parameters!$B$19*(F28+Parameters!$B$20)^T28+Parameters!$B$18*G28^T28)^(1/T28)</f>
        <v>0.37529719603315281</v>
      </c>
      <c r="W28" s="7">
        <f>(Parameters!$B$10*H28^Parameters!$B$9+Parameters!$B$11*V28^Parameters!$B$9)^(Parameters!$B$7/Parameters!$B$9)*O28</f>
        <v>1.3794851933359691</v>
      </c>
      <c r="X28" s="7">
        <f>W28 - D28 - E28 - LN(1+EXP(Parameters!$B$21*C28))/Parameters!$B$21 - IF(C28&gt;0, 0,Parameters!$B$6*C28^2/F28)</f>
        <v>1.0810130955947204</v>
      </c>
      <c r="Y28" s="7">
        <f>EXP(-Parameters!$B$55*A28)</f>
        <v>0.69600391058979738</v>
      </c>
      <c r="Z28" s="7">
        <f>IF(X28&gt;0,X28^(1-Parameters!$B$52)/(1-Parameters!$B$52)*Y28*Parameters!$B$65,-10+X28*1000)</f>
        <v>-1.9350972739193999</v>
      </c>
      <c r="AB28" s="9"/>
      <c r="AC28" s="23">
        <f t="shared" si="6"/>
        <v>1.003517351490655</v>
      </c>
      <c r="AD28" s="23">
        <f t="shared" si="7"/>
        <v>8.5483365123075021</v>
      </c>
      <c r="AE28" s="23">
        <f t="shared" si="8"/>
        <v>1.9651865722742896</v>
      </c>
      <c r="AF28" s="23">
        <f t="shared" si="9"/>
        <v>31.58905008421533</v>
      </c>
      <c r="AG28" s="23">
        <f t="shared" si="10"/>
        <v>88.149801842658135</v>
      </c>
      <c r="AH28" s="23">
        <f t="shared" si="11"/>
        <v>47.799736257317115</v>
      </c>
      <c r="AI28" s="23">
        <f t="shared" si="12"/>
        <v>117.63879008863178</v>
      </c>
      <c r="AJ28" s="23">
        <f t="shared" si="13"/>
        <v>175.69816430631832</v>
      </c>
      <c r="AK28" s="23">
        <f t="shared" si="14"/>
        <v>137.6832585116596</v>
      </c>
      <c r="AL28" s="9">
        <f t="shared" si="24"/>
        <v>2.0860342738991733E-2</v>
      </c>
      <c r="AM28" s="9">
        <f t="shared" si="25"/>
        <v>1.9223797673871168E-2</v>
      </c>
      <c r="AN28" s="9">
        <f t="shared" ref="AN28:AO28" si="49">AVERAGE(AL26:AL30)</f>
        <v>2.083959621287974E-2</v>
      </c>
      <c r="AO28" s="9">
        <f t="shared" si="49"/>
        <v>2.0159135654960282E-2</v>
      </c>
      <c r="AP28" s="23"/>
      <c r="AQ28" s="8">
        <f t="shared" si="1"/>
        <v>175.69816430631832</v>
      </c>
      <c r="AR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0.18417326106080731</v>
      </c>
      <c r="AS28" s="32">
        <f>((C29-C27)/2-(F29-F27)/F28/2*C28)/(F28/2/Parameters!$B$5-C28)-((D29-D27)/D28-(G29-G27)/G28)/(G28/2/Parameters!$B$5/D28-1)</f>
        <v>5.9214918076762333E-3</v>
      </c>
      <c r="AT28" s="32">
        <f>+Parameters!$B$5*C28^2/F28^2-Parameters!$B$5*D28^2/G28^2</f>
        <v>-8.3949728800122667E-3</v>
      </c>
      <c r="AU28" s="30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0.63593744347217462</v>
      </c>
      <c r="AV28" s="30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80.996187542624781</v>
      </c>
      <c r="AW28" s="8">
        <f>1000*(AR28+AS28+AT28)/(EXP(-Parameters!$B$42*A28)*((C28&lt;0)*Parameters!$B$37*EXP(-Parameters!$B$38*AF28)+(C28&gt;=0)*Parameters!$B$41))</f>
        <v>253.64262160553631</v>
      </c>
      <c r="AX28" s="13">
        <f>1-W28/'6states,ExoDamages'!T28</f>
        <v>7.1073133666599064E-2</v>
      </c>
      <c r="AY28" s="21">
        <f>-Y28*W28*X28^(-Parameters!B$52)*Parameters!B$46*Parameters!B$45*N28</f>
        <v>-1.8366658545253384E-5</v>
      </c>
      <c r="AZ28" s="7">
        <f>1000*EXP(-(Parameters!$B$54)*'6states'!A28)*AQ28*Parameters!B$46*Parameters!B$45*N28</f>
        <v>1.6080174999557364</v>
      </c>
      <c r="BA28" s="7">
        <f>SUM(AZ28:AZ$204)*EXP(Parameters!$B$54*A28)</f>
        <v>323.16265712883666</v>
      </c>
      <c r="BB28" s="13">
        <f t="shared" si="35"/>
        <v>0.21614760194718124</v>
      </c>
      <c r="BC28" s="30">
        <f>IF(C28&lt;0,Parameters!$B$6*AC28^2/AF28,0)</f>
        <v>0</v>
      </c>
      <c r="BD28" s="30">
        <f>Parameters!$B$5*AD28^2/AG28</f>
        <v>0.82897585247079963</v>
      </c>
      <c r="BE28" s="30">
        <f t="shared" si="15"/>
        <v>0</v>
      </c>
      <c r="BF28" s="30">
        <f t="shared" si="16"/>
        <v>9.6975107528497306E-2</v>
      </c>
      <c r="BG28" s="30"/>
      <c r="BH28" s="5">
        <f t="shared" si="3"/>
        <v>-2.013819848654091E-3</v>
      </c>
      <c r="BI28" s="2">
        <f>BH28/Parameters!$B$45</f>
        <v>-3.3563664144234853</v>
      </c>
      <c r="BJ28" s="2">
        <f t="shared" si="27"/>
        <v>2.006265270237062E-3</v>
      </c>
      <c r="BM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-0.36481955009396183</v>
      </c>
      <c r="BN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-46.465250634230728</v>
      </c>
      <c r="BO28" s="7">
        <f t="shared" si="4"/>
        <v>5.8567464740528062E-2</v>
      </c>
      <c r="BU28">
        <f>EXP(-Parameters!$B$56*A28)*BH28*BN28</f>
        <v>1.4392943846208119E-2</v>
      </c>
      <c r="BV28">
        <f>-EXP((Parameters!$B$56)*F28)*SUM(BU28:BU36)</f>
        <v>-0.13771662137720428</v>
      </c>
      <c r="BW28">
        <f>X28^-Parameters!B$52/(1-2*Parameters!B$5*'6states'!D28/'6states'!G28)</f>
        <v>1.1167766993270543</v>
      </c>
      <c r="BX28">
        <f t="shared" si="17"/>
        <v>0.99877906684953599</v>
      </c>
      <c r="BY28">
        <f>$X28^-Parameters!$B$52/(1-2*Parameters!$B$5*'6states'!$E28/'6states'!$H28)</f>
        <v>1.0291923607572198</v>
      </c>
      <c r="BZ28">
        <f t="shared" si="18"/>
        <v>1.0062114319759612</v>
      </c>
      <c r="CA28" s="7">
        <f>($X28^-Parameters!$B$52*(1/(1+EXP(-C28)) + IF(C28&lt;0,2*Parameters!$B$6*C28/F28,0)) + BS28*(1/(1+EXP((C28-Parameters!$B$22)*Parameters!$B$21))))/(1-IF(C28&gt;0,2*Parameters!$B$5*C28/F28,0))</f>
        <v>0.48251916768615216</v>
      </c>
      <c r="CB28">
        <f t="shared" si="19"/>
        <v>1.0049428170871431</v>
      </c>
      <c r="CC28" s="7">
        <f t="shared" si="20"/>
        <v>2.3732733309405063E-3</v>
      </c>
      <c r="CD28">
        <f>(1/$T28-1/Parameters!$B$13) * LN(Parameters!$B$18) / LN(P28)</f>
        <v>0.2372706081724105</v>
      </c>
      <c r="CE28">
        <f>(Parameters!$B$18*'6states'!T28^+Parameters!$B$19*Parameters!$B$25^'6states'!T28)^((1-'6states'!T28)/'6states'!T28)*Parameters!$B$18*Parameters!$B$26^('6states'!T28-1)</f>
        <v>0.25723039826043298</v>
      </c>
      <c r="CF28">
        <f t="shared" si="21"/>
        <v>0.26079133825828898</v>
      </c>
      <c r="CG28">
        <f t="shared" si="22"/>
        <v>0.15165123909169154</v>
      </c>
      <c r="CH28">
        <f t="shared" si="23"/>
        <v>0.16330738771708764</v>
      </c>
    </row>
    <row r="29" spans="1:86" s="53" customFormat="1" x14ac:dyDescent="0.3">
      <c r="A29" s="53">
        <f>A28+Parameters!$B$65</f>
        <v>25</v>
      </c>
      <c r="B29" s="53">
        <v>2050</v>
      </c>
      <c r="C29" s="76">
        <v>7.7767564099458101E-3</v>
      </c>
      <c r="D29" s="77">
        <v>6.8954401347671904E-2</v>
      </c>
      <c r="E29" s="78">
        <v>0.219782095609629</v>
      </c>
      <c r="F29" s="54">
        <f>MAX((1-Parameters!$B$4)^Parameters!B$65*F28 + C28*Parameters!B$65 - IF(C28&gt;0,Parameters!$B$5,0)*C28^2/F28*Parameters!B$65, 0.0001)</f>
        <v>0.24004813628180463</v>
      </c>
      <c r="G29" s="54">
        <f>(1-Parameters!$B$4)^Parameters!B$65*G28+D28*Parameters!B$65-Parameters!$B$5*D28^2/G28*Parameters!B$65</f>
        <v>0.70917852767978706</v>
      </c>
      <c r="H29" s="54">
        <f>(1-Parameters!$B$4)^Parameters!B$65*H28+E28*Parameters!B$65-Parameters!$B$5*E28^2/H28*Parameters!B$65</f>
        <v>3.5459228505506828</v>
      </c>
      <c r="I29" s="54">
        <f>I28 *(1-Parameters!$B$4)-C28*(C28&lt;0)*Parameters!B$65</f>
        <v>1.4459042865651976E-2</v>
      </c>
      <c r="J29" s="56">
        <f>J28*(1+Parameters!$B$51)^Parameters!B$65</f>
        <v>8.7726528033799838</v>
      </c>
      <c r="K29" s="56">
        <f>K28*(1+Parameters!$B$53)^Parameters!B$65</f>
        <v>14.851729893684935</v>
      </c>
      <c r="L29" s="56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19.011902665372208</v>
      </c>
      <c r="M29" s="57">
        <f>M28+L29*Parameters!B$65</f>
        <v>2955.8138549078403</v>
      </c>
      <c r="N29" s="54">
        <f>M29*Parameters!$B$45</f>
        <v>1.7734883129447041</v>
      </c>
      <c r="O29" s="55">
        <f>EXP(-Parameters!$B$46/2*N29^2)</f>
        <v>0.96888449829552137</v>
      </c>
      <c r="P29" s="54">
        <f>MAX((Parameters!$B$62 + Parameters!$B$31*'6states'!A29 - '6states'!M29 + Parameters!$B$47/Parameters!$B$45)/Parameters!B$62,1)</f>
        <v>14.483722901843194</v>
      </c>
      <c r="Q29" s="54">
        <f>Parameters!B$61*EXP(-Parameters!B$60*A29)</f>
        <v>0.25457821030377459</v>
      </c>
      <c r="R29" s="54">
        <f>(1-Parameters!B$61)*P29^-Parameters!B$63</f>
        <v>0.38272072757466363</v>
      </c>
      <c r="S29" s="54">
        <f>Parameters!B$61*EXP(-Parameters!B$60*A29)+(1-Parameters!B$61)*P29^-Parameters!B$63</f>
        <v>0.63729893787843817</v>
      </c>
      <c r="T29" s="54">
        <f>1-S29/Parameters!$B$12</f>
        <v>0.68135053106078092</v>
      </c>
      <c r="U29" s="54">
        <f t="shared" si="0"/>
        <v>3.1382446778555448</v>
      </c>
      <c r="V29" s="54">
        <f>(Parameters!$B$19*(F29+Parameters!$B$20)^T29+Parameters!$B$18*G29^T29)^(1/T29)</f>
        <v>0.37345940872494721</v>
      </c>
      <c r="W29" s="54">
        <f>(Parameters!$B$10*H29^Parameters!$B$9+Parameters!$B$11*V29^Parameters!$B$9)^(Parameters!$B$7/Parameters!$B$9)*O29</f>
        <v>1.3771097745852408</v>
      </c>
      <c r="X29" s="54">
        <f>W29 - D29 - E29 - LN(1+EXP(Parameters!$B$21*C29))/Parameters!$B$21 - IF(C29&gt;0, 0,Parameters!$B$6*C29^2/F29)</f>
        <v>1.0802879188250774</v>
      </c>
      <c r="Y29" s="54">
        <f>EXP(-Parameters!$B$55*A29)</f>
        <v>0.68557320158429325</v>
      </c>
      <c r="Z29" s="54">
        <f>IF(X29&gt;0,X29^(1-Parameters!$B$52)/(1-Parameters!$B$52)*Y29*Parameters!$B$65,-10+X29*1000)</f>
        <v>-1.9065445462630153</v>
      </c>
      <c r="AB29" s="55"/>
      <c r="AC29" s="56">
        <f t="shared" si="6"/>
        <v>1.0132263593886519</v>
      </c>
      <c r="AD29" s="56">
        <f t="shared" si="7"/>
        <v>8.9840048161946218</v>
      </c>
      <c r="AE29" s="56">
        <f t="shared" si="8"/>
        <v>1.8838552464202871</v>
      </c>
      <c r="AF29" s="56">
        <f t="shared" si="9"/>
        <v>31.27564840423473</v>
      </c>
      <c r="AG29" s="56">
        <f t="shared" si="10"/>
        <v>92.398210755144632</v>
      </c>
      <c r="AH29" s="56">
        <f t="shared" si="11"/>
        <v>48.657679003276577</v>
      </c>
      <c r="AI29" s="56">
        <f t="shared" si="12"/>
        <v>119.75025250458893</v>
      </c>
      <c r="AJ29" s="56">
        <f t="shared" si="13"/>
        <v>179.42235166283848</v>
      </c>
      <c r="AK29" s="56">
        <f t="shared" si="14"/>
        <v>140.74970815374991</v>
      </c>
      <c r="AL29" s="55">
        <f t="shared" si="24"/>
        <v>2.0974985820705783E-2</v>
      </c>
      <c r="AM29" s="55">
        <f t="shared" si="25"/>
        <v>2.2027374602449079E-2</v>
      </c>
      <c r="AN29" s="55">
        <f t="shared" ref="AN29:AO29" si="50">AVERAGE(AL27:AL31)</f>
        <v>2.0908228226153368E-2</v>
      </c>
      <c r="AO29" s="55">
        <f t="shared" si="50"/>
        <v>1.9624705401634301E-2</v>
      </c>
      <c r="AP29" s="56"/>
      <c r="AQ29" s="57">
        <f t="shared" si="1"/>
        <v>179.42235166283848</v>
      </c>
      <c r="AR29" s="58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0.18703489439236537</v>
      </c>
      <c r="AS29" s="58">
        <f>((C30-C28)/2-(F30-F28)/F29/2*C29)/(F29/2/Parameters!$B$5-C29)-((D30-D28)/D29-(G30-G28)/G29)/(G29/2/Parameters!$B$5/D29-1)</f>
        <v>3.3521851560634219E-3</v>
      </c>
      <c r="AT29" s="58">
        <f>+Parameters!$B$5*C29^2/F29^2-Parameters!$B$5*D29^2/G29^2</f>
        <v>-8.404396541558265E-3</v>
      </c>
      <c r="AU29" s="59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0.63137155006608425</v>
      </c>
      <c r="AV29" s="59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82.2608120111462</v>
      </c>
      <c r="AW29" s="57">
        <f>1000*(AR29+AS29+AT29)/(EXP(-Parameters!$B$42*A29)*((C29&lt;0)*Parameters!$B$37*EXP(-Parameters!$B$38*AF29)+(C29&gt;=0)*Parameters!$B$41))</f>
        <v>256.59065793190524</v>
      </c>
      <c r="AX29" s="60">
        <f>1-W29/'6states,ExoDamages'!T29</f>
        <v>7.2254011283773845E-2</v>
      </c>
      <c r="AY29" s="61">
        <f>-Y29*W29*X29^(-Parameters!B$52)*Parameters!B$46*Parameters!B$45*N29</f>
        <v>-1.8193643544050159E-5</v>
      </c>
      <c r="AZ29" s="54">
        <f>1000*EXP(-(Parameters!$B$54)*'6states'!A29)*AQ29*Parameters!B$46*Parameters!B$45*N29</f>
        <v>1.5957276686241657</v>
      </c>
      <c r="BA29" s="54">
        <f>SUM(AZ29:AZ$204)*EXP(Parameters!$B$54*A29)</f>
        <v>330.83999680471521</v>
      </c>
      <c r="BB29" s="60">
        <f t="shared" si="35"/>
        <v>0.21531562613194788</v>
      </c>
      <c r="BC29" s="59">
        <f>IF(C29&lt;0,Parameters!$B$6*AC29^2/AF29,0)</f>
        <v>0</v>
      </c>
      <c r="BD29" s="59">
        <f>Parameters!$B$5*AD29^2/AG29</f>
        <v>0.87352711570677455</v>
      </c>
      <c r="BE29" s="59">
        <f t="shared" si="15"/>
        <v>0</v>
      </c>
      <c r="BF29" s="59">
        <f t="shared" si="16"/>
        <v>9.7231372152889906E-2</v>
      </c>
      <c r="BG29" s="59"/>
      <c r="BH29" s="62">
        <f t="shared" si="3"/>
        <v>-2.0176690514517905E-3</v>
      </c>
      <c r="BI29" s="63">
        <f>BH29/Parameters!$B$45</f>
        <v>-3.362781752419651</v>
      </c>
      <c r="BJ29" s="63">
        <f t="shared" si="27"/>
        <v>1.9077473557568281E-3</v>
      </c>
      <c r="BM29" s="53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-0.38997260979967191</v>
      </c>
      <c r="BN29" s="53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-50.80916861215745</v>
      </c>
      <c r="BO29" s="54">
        <f t="shared" si="4"/>
        <v>5.6811925361345821E-2</v>
      </c>
      <c r="BU29" s="53">
        <f>EXP(-Parameters!$B$56*A29)*BH29*BN29</f>
        <v>1.4585381106119778E-2</v>
      </c>
      <c r="BV29" s="53">
        <f>-EXP((Parameters!$B$56)*F29)*SUM(BU29:BU37)</f>
        <v>-0.1387786250015689</v>
      </c>
      <c r="BW29" s="53">
        <f>X29^-Parameters!B$52/(1-2*Parameters!B$5*'6states'!D29/'6states'!G29)</f>
        <v>1.118500075776331</v>
      </c>
      <c r="BX29" s="53">
        <f t="shared" si="17"/>
        <v>1.001543170134473</v>
      </c>
      <c r="BY29" s="53">
        <f>$X29^-Parameters!$B$52/(1-2*Parameters!$B$5*'6states'!$E29/'6states'!$H29)</f>
        <v>1.0284882477345765</v>
      </c>
      <c r="BZ29" s="53">
        <f t="shared" si="18"/>
        <v>0.99931585867764772</v>
      </c>
      <c r="CA29" s="54">
        <f>($X29^-Parameters!$B$52*(1/(1+EXP(-C29)) + IF(C29&lt;0,2*Parameters!$B$6*C29/F29,0)) + BS29*(1/(1+EXP((C29-Parameters!$B$22)*Parameters!$B$21))))/(1-IF(C29&gt;0,2*Parameters!$B$5*C29/F29,0))</f>
        <v>0.48358126336963386</v>
      </c>
      <c r="CB29" s="53">
        <f t="shared" si="19"/>
        <v>1.0022011471348897</v>
      </c>
      <c r="CC29" s="54">
        <f t="shared" si="20"/>
        <v>1.0620956834817008E-3</v>
      </c>
      <c r="CD29" s="53">
        <f>(1/$T29-1/Parameters!$B$13) * LN(Parameters!$B$18) / LN(P29)</f>
        <v>0.23724037081018451</v>
      </c>
      <c r="CE29" s="53">
        <f>(Parameters!$B$18*'6states'!T29^+Parameters!$B$19*Parameters!$B$25^'6states'!T29)^((1-'6states'!T29)/'6states'!T29)*Parameters!$B$18*Parameters!$B$26^('6states'!T29-1)</f>
        <v>0.25951612134395241</v>
      </c>
      <c r="CF29" s="53">
        <f t="shared" si="21"/>
        <v>0.25938276974306651</v>
      </c>
      <c r="CG29" s="53">
        <f t="shared" si="22"/>
        <v>0.1516334584125667</v>
      </c>
      <c r="CH29" s="53">
        <f t="shared" si="23"/>
        <v>0.16463194583733065</v>
      </c>
    </row>
    <row r="30" spans="1:86" x14ac:dyDescent="0.3">
      <c r="A30">
        <f>A29+Parameters!$B$65</f>
        <v>26</v>
      </c>
      <c r="B30">
        <v>2051</v>
      </c>
      <c r="C30" s="74">
        <v>7.6452855958303902E-3</v>
      </c>
      <c r="D30" s="69">
        <v>6.9878296342443205E-2</v>
      </c>
      <c r="E30" s="75">
        <v>0.21905517177676101</v>
      </c>
      <c r="F30" s="7">
        <f>MAX((1-Parameters!$B$4)^Parameters!B$65*F29 + C29*Parameters!B$65 - IF(C29&gt;0,Parameters!$B$5,0)*C29^2/F29*Parameters!B$65, 0.0001)</f>
        <v>0.23247392403311612</v>
      </c>
      <c r="G30" s="7">
        <f>(1-Parameters!$B$4)^Parameters!B$65*G29+D29*Parameters!B$65-Parameters!$B$5*D29^2/G29*Parameters!B$65</f>
        <v>0.72682106857738515</v>
      </c>
      <c r="H30" s="7">
        <f>(1-Parameters!$B$4)^Parameters!B$65*H29+E29*Parameters!B$65-Parameters!$B$5*E29^2/H29*Parameters!B$65</f>
        <v>3.5290439452466429</v>
      </c>
      <c r="I30" s="7">
        <f>I29 *(1-Parameters!$B$4)-C29*(C29&lt;0)*Parameters!B$65</f>
        <v>1.3549569069402467E-2</v>
      </c>
      <c r="J30" s="23">
        <f>J29*(1+Parameters!$B$51)^Parameters!B$65</f>
        <v>8.7980934965097841</v>
      </c>
      <c r="K30" s="23">
        <f>K29*(1+Parameters!$B$53)^Parameters!B$65</f>
        <v>15.148764491558634</v>
      </c>
      <c r="L30" s="23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18.671547529218739</v>
      </c>
      <c r="M30" s="8">
        <f>M29+L30*Parameters!B$65</f>
        <v>2974.4854024370588</v>
      </c>
      <c r="N30" s="7">
        <f>M30*Parameters!$B$45</f>
        <v>1.7846912414622351</v>
      </c>
      <c r="O30" s="9">
        <f>EXP(-Parameters!$B$46/2*N30^2)</f>
        <v>0.96849642790759993</v>
      </c>
      <c r="P30" s="7">
        <f>MAX((Parameters!$B$62 + Parameters!$B$31*'6states'!A30 - '6states'!M30 + Parameters!$B$47/Parameters!$B$45)/Parameters!B$62,1)</f>
        <v>15.174291951258825</v>
      </c>
      <c r="Q30" s="7">
        <f>Parameters!B$61*EXP(-Parameters!B$60*A30)</f>
        <v>0.24779656284632573</v>
      </c>
      <c r="R30" s="7">
        <f>(1-Parameters!B$61)*P30^-Parameters!B$63</f>
        <v>0.3809422659580996</v>
      </c>
      <c r="S30" s="7">
        <f>Parameters!B$61*EXP(-Parameters!B$60*A30)+(1-Parameters!B$61)*P30^-Parameters!B$63</f>
        <v>0.62873882880442533</v>
      </c>
      <c r="T30" s="7">
        <f>1-S30/Parameters!$B$12</f>
        <v>0.68563058559778733</v>
      </c>
      <c r="U30" s="7">
        <f t="shared" si="0"/>
        <v>3.180971030217886</v>
      </c>
      <c r="V30" s="7">
        <f>(Parameters!$B$19*(F30+Parameters!$B$20)^T30+Parameters!$B$18*G30^T30)^(1/T30)</f>
        <v>0.37202368456677137</v>
      </c>
      <c r="W30" s="7">
        <f>(Parameters!$B$10*H30^Parameters!$B$9+Parameters!$B$11*V30^Parameters!$B$9)^(Parameters!$B$7/Parameters!$B$9)*O30</f>
        <v>1.374707676009117</v>
      </c>
      <c r="X30" s="7">
        <f>W30 - D30 - E30 - LN(1+EXP(Parameters!$B$21*C30))/Parameters!$B$21 - IF(C30&gt;0, 0,Parameters!$B$6*C30^2/F30)</f>
        <v>1.0778084834165185</v>
      </c>
      <c r="Y30" s="7">
        <f>EXP(-Parameters!$B$55*A30)</f>
        <v>0.67529881309466844</v>
      </c>
      <c r="Z30" s="7">
        <f>IF(X30&gt;0,X30^(1-Parameters!$B$52)/(1-Parameters!$B$52)*Y30*Parameters!$B$65,-10+X30*1000)</f>
        <v>-1.8794829179397716</v>
      </c>
      <c r="AB30" s="9"/>
      <c r="AC30" s="23">
        <f t="shared" si="6"/>
        <v>1.018965547653919</v>
      </c>
      <c r="AD30" s="23">
        <f t="shared" si="7"/>
        <v>9.3133965512725521</v>
      </c>
      <c r="AE30" s="23">
        <f t="shared" si="8"/>
        <v>1.8058899035515616</v>
      </c>
      <c r="AF30" s="23">
        <f t="shared" si="9"/>
        <v>30.984181865861448</v>
      </c>
      <c r="AG30" s="23">
        <f t="shared" si="10"/>
        <v>96.870891074791984</v>
      </c>
      <c r="AH30" s="23">
        <f t="shared" si="11"/>
        <v>49.583408328336681</v>
      </c>
      <c r="AI30" s="23">
        <f t="shared" si="12"/>
        <v>122.02854285253966</v>
      </c>
      <c r="AJ30" s="23">
        <f t="shared" si="13"/>
        <v>183.22137772232313</v>
      </c>
      <c r="AK30" s="23">
        <f t="shared" si="14"/>
        <v>143.65058019147375</v>
      </c>
      <c r="AL30" s="9">
        <f t="shared" si="24"/>
        <v>2.095260298369972E-2</v>
      </c>
      <c r="AM30" s="9">
        <f t="shared" si="25"/>
        <v>2.0400630831772126E-2</v>
      </c>
      <c r="AN30" s="9">
        <f t="shared" ref="AN30:AO30" si="51">AVERAGE(AL28:AL32)</f>
        <v>2.1007896181143515E-2</v>
      </c>
      <c r="AO30" s="9">
        <f t="shared" si="51"/>
        <v>2.0068578762463752E-2</v>
      </c>
      <c r="AP30" s="23"/>
      <c r="AQ30" s="8">
        <f t="shared" si="1"/>
        <v>183.22137772232313</v>
      </c>
      <c r="AR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0.18865799377979964</v>
      </c>
      <c r="AS30" s="32">
        <f>((C31-C29)/2-(F31-F29)/F30/2*C30)/(F30/2/Parameters!$B$5-C30)-((D31-D29)/D30-(G31-G29)/G30)/(G30/2/Parameters!$B$5/D30-1)</f>
        <v>1.2214241908513741E-2</v>
      </c>
      <c r="AT30" s="32">
        <f>+Parameters!$B$5*C30^2/F30^2-Parameters!$B$5*D30^2/G30^2</f>
        <v>-8.1618234097362522E-3</v>
      </c>
      <c r="AU30" s="30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0.62689276610968248</v>
      </c>
      <c r="AV30" s="30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83.552422304225473</v>
      </c>
      <c r="AW30" s="8">
        <f>1000*(AR30+AS30+AT30)/(EXP(-Parameters!$B$42*A30)*((C30&lt;0)*Parameters!$B$37*EXP(-Parameters!$B$38*AF30)+(C30&gt;=0)*Parameters!$B$41))</f>
        <v>274.44726175551745</v>
      </c>
      <c r="AX30" s="13">
        <f>1-W30/'6states,ExoDamages'!T30</f>
        <v>7.3430287479171685E-2</v>
      </c>
      <c r="AY30" s="21">
        <f>-Y30*W30*X30^(-Parameters!B$52)*Parameters!B$46*Parameters!B$45*N30</f>
        <v>-1.8058662746005291E-5</v>
      </c>
      <c r="AZ30" s="7">
        <f>1000*EXP(-(Parameters!$B$54)*'6states'!A30)*AQ30*Parameters!B$46*Parameters!B$45*N30</f>
        <v>1.5832496489268364</v>
      </c>
      <c r="BA30" s="7">
        <f>SUM(AZ30:AZ$204)*EXP(Parameters!$B$54*A30)</f>
        <v>338.6840625044602</v>
      </c>
      <c r="BB30" s="13">
        <f t="shared" si="35"/>
        <v>0.21573950512593756</v>
      </c>
      <c r="BC30" s="30">
        <f>IF(C30&lt;0,Parameters!$B$6*AC30^2/AF30,0)</f>
        <v>0</v>
      </c>
      <c r="BD30" s="30">
        <f>Parameters!$B$5*AD30^2/AG30</f>
        <v>0.89541196905359133</v>
      </c>
      <c r="BE30" s="30">
        <f t="shared" si="15"/>
        <v>0</v>
      </c>
      <c r="BF30" s="30">
        <f t="shared" si="16"/>
        <v>9.6142364831576427E-2</v>
      </c>
      <c r="BG30" s="30"/>
      <c r="BH30" s="5">
        <f t="shared" si="3"/>
        <v>-2.0214254213503742E-3</v>
      </c>
      <c r="BI30" s="2">
        <f>BH30/Parameters!$B$45</f>
        <v>-3.3690423689172904</v>
      </c>
      <c r="BJ30" s="2">
        <f t="shared" si="27"/>
        <v>1.858277757323501E-3</v>
      </c>
      <c r="BM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-0.41653256094808</v>
      </c>
      <c r="BN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-55.515562337347873</v>
      </c>
      <c r="BO30" s="7">
        <f t="shared" si="4"/>
        <v>5.5074289445017875E-2</v>
      </c>
      <c r="BU30">
        <f>EXP(-Parameters!$B$56*A30)*BH30*BN30</f>
        <v>1.4768053502365657E-2</v>
      </c>
      <c r="BV30">
        <f>-EXP((Parameters!$B$56)*F30)*SUM(BU30:BU38)</f>
        <v>-0.13972992735752124</v>
      </c>
      <c r="BW30">
        <f>X30^-Parameters!B$52/(1-2*Parameters!B$5*'6states'!D30/'6states'!G30)</f>
        <v>1.1189496626475723</v>
      </c>
      <c r="BX30">
        <f t="shared" si="17"/>
        <v>1.0004019551549241</v>
      </c>
      <c r="BY30">
        <f>$X30^-Parameters!$B$52/(1-2*Parameters!$B$5*'6states'!$E30/'6states'!$H30)</f>
        <v>1.0318967244075559</v>
      </c>
      <c r="BZ30">
        <f t="shared" si="18"/>
        <v>1.0033140647746701</v>
      </c>
      <c r="CA30" s="7">
        <f>($X30^-Parameters!$B$52*(1/(1+EXP(-C30)) + IF(C30&lt;0,2*Parameters!$B$6*C30/F30,0)) + BS30*(1/(1+EXP((C30-Parameters!$B$22)*Parameters!$B$21))))/(1-IF(C30&gt;0,2*Parameters!$B$5*C30/F30,0))</f>
        <v>0.48556071257537919</v>
      </c>
      <c r="CB30">
        <f t="shared" si="19"/>
        <v>1.0040933124496023</v>
      </c>
      <c r="CC30" s="7">
        <f t="shared" si="20"/>
        <v>1.9794492057453317E-3</v>
      </c>
      <c r="CD30">
        <f>(1/$T30-1/Parameters!$B$13) * LN(Parameters!$B$18) / LN(P30)</f>
        <v>0.23719053156220782</v>
      </c>
      <c r="CE30">
        <f>(Parameters!$B$18*'6states'!T30^+Parameters!$B$19*Parameters!$B$25^'6states'!T30)^((1-'6states'!T30)/'6states'!T30)*Parameters!$B$18*Parameters!$B$26^('6states'!T30-1)</f>
        <v>0.26168351429676312</v>
      </c>
      <c r="CF30">
        <f t="shared" si="21"/>
        <v>0.2579986190731226</v>
      </c>
      <c r="CG30">
        <f t="shared" si="22"/>
        <v>0.15160415029159446</v>
      </c>
      <c r="CH30">
        <f t="shared" si="23"/>
        <v>0.16588599567645002</v>
      </c>
    </row>
    <row r="31" spans="1:86" x14ac:dyDescent="0.3">
      <c r="A31">
        <f>A30+Parameters!$B$65</f>
        <v>27</v>
      </c>
      <c r="B31">
        <v>2052</v>
      </c>
      <c r="C31" s="74">
        <v>7.4263201698909903E-3</v>
      </c>
      <c r="D31" s="69">
        <v>6.8926661033637898E-2</v>
      </c>
      <c r="E31" s="75">
        <v>0.22350804928045101</v>
      </c>
      <c r="F31" s="7">
        <f>MAX((1-Parameters!$B$4)^Parameters!B$65*F30 + C30*Parameters!B$65 - IF(C30&gt;0,Parameters!$B$5,0)*C30^2/F30*Parameters!B$65, 0.0001)</f>
        <v>0.22524517207365893</v>
      </c>
      <c r="G31" s="7">
        <f>(1-Parameters!$B$4)^Parameters!B$65*G30+D30*Parameters!B$65-Parameters!$B$5*D30^2/G30*Parameters!B$65</f>
        <v>0.74426405504554671</v>
      </c>
      <c r="H31" s="7">
        <f>(1-Parameters!$B$4)^Parameters!B$65*H30+E30*Parameters!B$65-Parameters!$B$5*E30^2/H30*Parameters!B$65</f>
        <v>3.5125250381467352</v>
      </c>
      <c r="I31" s="7">
        <f>I30 *(1-Parameters!$B$4)-C30*(C30&lt;0)*Parameters!B$65</f>
        <v>1.2697301174937052E-2</v>
      </c>
      <c r="J31" s="23">
        <f>J30*(1+Parameters!$B$51)^Parameters!B$65</f>
        <v>8.8236079676496608</v>
      </c>
      <c r="K31" s="23">
        <f>K30*(1+Parameters!$B$53)^Parameters!B$65</f>
        <v>15.451739781389806</v>
      </c>
      <c r="L31" s="23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18.347307083087625</v>
      </c>
      <c r="M31" s="8">
        <f>M30+L31*Parameters!B$65</f>
        <v>2992.8327095201466</v>
      </c>
      <c r="N31" s="7">
        <f>M31*Parameters!$B$45</f>
        <v>1.7956996257120879</v>
      </c>
      <c r="O31" s="9">
        <f>EXP(-Parameters!$B$46/2*N31^2)</f>
        <v>0.96811286898171212</v>
      </c>
      <c r="P31" s="7">
        <f>MAX((Parameters!$B$62 + Parameters!$B$31*'6states'!A31 - '6states'!M31 + Parameters!$B$47/Parameters!$B$45)/Parameters!B$62,1)</f>
        <v>15.871345809597068</v>
      </c>
      <c r="Q31" s="7">
        <f>Parameters!B$61*EXP(-Parameters!B$60*A31)</f>
        <v>0.24119557005756295</v>
      </c>
      <c r="R31" s="7">
        <f>(1-Parameters!B$61)*P31^-Parameters!B$63</f>
        <v>0.37923518939631146</v>
      </c>
      <c r="S31" s="7">
        <f>Parameters!B$61*EXP(-Parameters!B$60*A31)+(1-Parameters!B$61)*P31^-Parameters!B$63</f>
        <v>0.62043075945387438</v>
      </c>
      <c r="T31" s="7">
        <f>1-S31/Parameters!$B$12</f>
        <v>0.68978462027306287</v>
      </c>
      <c r="U31" s="7">
        <f t="shared" si="0"/>
        <v>3.2235668034261757</v>
      </c>
      <c r="V31" s="7">
        <f>(Parameters!$B$19*(F31+Parameters!$B$20)^T31+Parameters!$B$18*G31^T31)^(1/T31)</f>
        <v>0.37076517750605958</v>
      </c>
      <c r="W31" s="7">
        <f>(Parameters!$B$10*H31^Parameters!$B$9+Parameters!$B$11*V31^Parameters!$B$9)^(Parameters!$B$7/Parameters!$B$9)*O31</f>
        <v>1.3723975630222032</v>
      </c>
      <c r="X31" s="7">
        <f>W31 - D31 - E31 - LN(1+EXP(Parameters!$B$21*C31))/Parameters!$B$21 - IF(C31&gt;0, 0,Parameters!$B$6*C31^2/F31)</f>
        <v>1.0721954146820749</v>
      </c>
      <c r="Y31" s="7">
        <f>EXP(-Parameters!$B$55*A31)</f>
        <v>0.66517840241309079</v>
      </c>
      <c r="Z31" s="7">
        <f>IF(X31&gt;0,X31^(1-Parameters!$B$52)/(1-Parameters!$B$52)*Y31*Parameters!$B$65,-10+X31*1000)</f>
        <v>-1.8547023165915761</v>
      </c>
      <c r="AB31" s="9"/>
      <c r="AC31" s="23">
        <f t="shared" si="6"/>
        <v>1.0125051918870809</v>
      </c>
      <c r="AD31" s="23">
        <f t="shared" si="7"/>
        <v>9.3974674616033607</v>
      </c>
      <c r="AE31" s="23">
        <f t="shared" si="8"/>
        <v>1.7311512389003838</v>
      </c>
      <c r="AF31" s="23">
        <f t="shared" si="9"/>
        <v>30.709947989681982</v>
      </c>
      <c r="AG31" s="23">
        <f t="shared" si="10"/>
        <v>101.47303141114232</v>
      </c>
      <c r="AH31" s="23">
        <f t="shared" si="11"/>
        <v>50.550159245467995</v>
      </c>
      <c r="AI31" s="23">
        <f t="shared" si="12"/>
        <v>124.40779046169344</v>
      </c>
      <c r="AJ31" s="23">
        <f t="shared" si="13"/>
        <v>187.11281308971022</v>
      </c>
      <c r="AK31" s="23">
        <f t="shared" si="14"/>
        <v>146.18322389122872</v>
      </c>
      <c r="AL31" s="9">
        <f t="shared" si="24"/>
        <v>2.1016577453590202E-2</v>
      </c>
      <c r="AM31" s="9">
        <f t="shared" si="25"/>
        <v>1.7476968724218445E-2</v>
      </c>
      <c r="AN31" s="9">
        <f t="shared" ref="AN31:AO31" si="52">AVERAGE(AL29:AL33)</f>
        <v>2.1089372350109593E-2</v>
      </c>
      <c r="AO31" s="9">
        <f t="shared" si="52"/>
        <v>1.9940550268151114E-2</v>
      </c>
      <c r="AP31" s="23"/>
      <c r="AQ31" s="8">
        <f t="shared" si="1"/>
        <v>187.11281308971022</v>
      </c>
      <c r="AR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0.18973637418863662</v>
      </c>
      <c r="AS31" s="32">
        <f>((C32-C30)/2-(F32-F30)/F31/2*C31)/(F31/2/Parameters!$B$5-C31)-((D32-D30)/D31-(G32-G30)/G31)/(G31/2/Parameters!$B$5/D31-1)</f>
        <v>1.0043258714475006E-2</v>
      </c>
      <c r="AT31" s="32">
        <f>+Parameters!$B$5*C31^2/F31^2-Parameters!$B$5*D31^2/G31^2</f>
        <v>-7.4896863577728501E-3</v>
      </c>
      <c r="AU31" s="30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0.62248928718371532</v>
      </c>
      <c r="AV31" s="30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84.870248083695458</v>
      </c>
      <c r="AW31" s="8">
        <f>1000*(AR31+AS31+AT31)/(EXP(-Parameters!$B$42*A31)*((C31&lt;0)*Parameters!$B$37*EXP(-Parameters!$B$38*AF31)+(C31&gt;=0)*Parameters!$B$41))</f>
        <v>276.60068101782548</v>
      </c>
      <c r="AX31" s="13">
        <f>1-W31/'6states,ExoDamages'!T31</f>
        <v>7.4556452860562228E-2</v>
      </c>
      <c r="AY31" s="21">
        <f>-Y31*W31*X31^(-Parameters!B$52)*Parameters!B$46*Parameters!B$45*N31</f>
        <v>-1.7994063605850819E-5</v>
      </c>
      <c r="AZ31" s="7">
        <f>1000*EXP(-(Parameters!$B$54)*'6states'!A31)*AQ31*Parameters!B$46*Parameters!B$45*N31</f>
        <v>1.5707376274957803</v>
      </c>
      <c r="BA31" s="7">
        <f>SUM(AZ31:AZ$204)*EXP(Parameters!$B$54*A31)</f>
        <v>346.69854779354694</v>
      </c>
      <c r="BB31" s="13">
        <f t="shared" si="35"/>
        <v>0.21849428952908204</v>
      </c>
      <c r="BC31" s="30">
        <f>IF(C31&lt;0,Parameters!$B$6*AC31^2/AF31,0)</f>
        <v>0</v>
      </c>
      <c r="BD31" s="30">
        <f>Parameters!$B$5*AD31^2/AG31</f>
        <v>0.87030409423835065</v>
      </c>
      <c r="BE31" s="30">
        <f t="shared" si="15"/>
        <v>0</v>
      </c>
      <c r="BF31" s="30">
        <f t="shared" si="16"/>
        <v>9.261049296465057E-2</v>
      </c>
      <c r="BG31" s="30"/>
      <c r="BH31" s="5">
        <f t="shared" si="3"/>
        <v>-2.0250319615981319E-3</v>
      </c>
      <c r="BI31" s="2">
        <f>BH31/Parameters!$B$45</f>
        <v>-3.3750532693302202</v>
      </c>
      <c r="BJ31" s="2">
        <f t="shared" si="27"/>
        <v>1.7809794196589346E-3</v>
      </c>
      <c r="BM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-0.44439014522332582</v>
      </c>
      <c r="BN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-60.588194283128509</v>
      </c>
      <c r="BO31" s="7">
        <f t="shared" si="4"/>
        <v>5.3362903232796306E-2</v>
      </c>
      <c r="BU31">
        <f>EXP(-Parameters!$B$56*A31)*BH31*BN31</f>
        <v>1.4934672815936948E-2</v>
      </c>
      <c r="BV31">
        <f>-EXP((Parameters!$B$56)*F31)*SUM(BU31:BU39)</f>
        <v>-0.14059697579380587</v>
      </c>
      <c r="BW31">
        <f>X31^-Parameters!B$52/(1-2*Parameters!B$5*'6states'!D31/'6states'!G31)</f>
        <v>1.1170955940482732</v>
      </c>
      <c r="BX31">
        <f t="shared" si="17"/>
        <v>0.99834302769714212</v>
      </c>
      <c r="BY31">
        <f>$X31^-Parameters!$B$52/(1-2*Parameters!$B$5*'6states'!$E31/'6states'!$H31)</f>
        <v>1.0429104405034972</v>
      </c>
      <c r="BZ31">
        <f t="shared" si="18"/>
        <v>1.0106732736284871</v>
      </c>
      <c r="CA31" s="7">
        <f>($X31^-Parameters!$B$52*(1/(1+EXP(-C31)) + IF(C31&lt;0,2*Parameters!$B$6*C31/F31,0)) + BS31*(1/(1+EXP((C31-Parameters!$B$22)*Parameters!$B$21))))/(1-IF(C31&gt;0,2*Parameters!$B$5*C31/F31,0))</f>
        <v>0.48902938969581555</v>
      </c>
      <c r="CB31">
        <f t="shared" si="19"/>
        <v>1.0071436527515556</v>
      </c>
      <c r="CC31" s="7">
        <f t="shared" si="20"/>
        <v>3.4686771204363587E-3</v>
      </c>
      <c r="CD31">
        <f>(1/$T31-1/Parameters!$B$13) * LN(Parameters!$B$18) / LN(P31)</f>
        <v>0.23712206145315129</v>
      </c>
      <c r="CE31">
        <f>(Parameters!$B$18*'6states'!T31^+Parameters!$B$19*Parameters!$B$25^'6states'!T31)^((1-'6states'!T31)/'6states'!T31)*Parameters!$B$18*Parameters!$B$26^('6states'!T31-1)</f>
        <v>0.26373959429183302</v>
      </c>
      <c r="CF31">
        <f t="shared" si="21"/>
        <v>0.25663816901288006</v>
      </c>
      <c r="CG31">
        <f t="shared" si="22"/>
        <v>0.15156388458526437</v>
      </c>
      <c r="CH31">
        <f t="shared" si="23"/>
        <v>0.16707389995707722</v>
      </c>
    </row>
    <row r="32" spans="1:86" x14ac:dyDescent="0.3">
      <c r="A32">
        <f>A31+Parameters!$B$65</f>
        <v>28</v>
      </c>
      <c r="B32">
        <v>2053</v>
      </c>
      <c r="C32" s="74">
        <v>7.3495306439890998E-3</v>
      </c>
      <c r="D32" s="69">
        <v>7.0154412688612403E-2</v>
      </c>
      <c r="E32" s="75">
        <v>0.221932849639359</v>
      </c>
      <c r="F32" s="7">
        <f>MAX((1-Parameters!$B$4)^Parameters!B$65*F31 + C31*Parameters!B$65 - IF(C31&gt;0,Parameters!$B$5,0)*C31^2/F31*Parameters!B$65, 0.0001)</f>
        <v>0.21825872557778159</v>
      </c>
      <c r="G32" s="7">
        <f>(1-Parameters!$B$4)^Parameters!B$65*G31+D31*Parameters!B$65-Parameters!$B$5*D31^2/G31*Parameters!B$65</f>
        <v>0.75999317496008711</v>
      </c>
      <c r="H32" s="7">
        <f>(1-Parameters!$B$4)^Parameters!B$65*H31+E31*Parameters!B$65-Parameters!$B$5*E31^2/H31*Parameters!B$65</f>
        <v>3.5008730584009187</v>
      </c>
      <c r="I32" s="7">
        <f>I31 *(1-Parameters!$B$4)-C31*(C31&lt;0)*Parameters!B$65</f>
        <v>1.1898640931033513E-2</v>
      </c>
      <c r="J32" s="23">
        <f>J31*(1+Parameters!$B$51)^Parameters!B$65</f>
        <v>8.8491964307558444</v>
      </c>
      <c r="K32" s="23">
        <f>K31*(1+Parameters!$B$53)^Parameters!B$65</f>
        <v>15.760774577017603</v>
      </c>
      <c r="L32" s="23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18.031188378566643</v>
      </c>
      <c r="M32" s="8">
        <f>M31+L32*Parameters!B$65</f>
        <v>3010.8638978987133</v>
      </c>
      <c r="N32" s="7">
        <f>M32*Parameters!$B$45</f>
        <v>1.8065183387392278</v>
      </c>
      <c r="O32" s="9">
        <f>EXP(-Parameters!$B$46/2*N32^2)</f>
        <v>0.96773377001725802</v>
      </c>
      <c r="P32" s="7">
        <f>MAX((Parameters!$B$62 + Parameters!$B$31*'6states'!A32 - '6states'!M32 + Parameters!$B$47/Parameters!$B$45)/Parameters!B$62,1)</f>
        <v>16.574722042025737</v>
      </c>
      <c r="Q32" s="7">
        <f>Parameters!B$61*EXP(-Parameters!B$60*A32)</f>
        <v>0.23477041952139963</v>
      </c>
      <c r="R32" s="7">
        <f>(1-Parameters!B$61)*P32^-Parameters!B$63</f>
        <v>0.3775942558146051</v>
      </c>
      <c r="S32" s="7">
        <f>Parameters!B$61*EXP(-Parameters!B$60*A32)+(1-Parameters!B$61)*P32^-Parameters!B$63</f>
        <v>0.61236467533600469</v>
      </c>
      <c r="T32" s="7">
        <f>1-S32/Parameters!$B$12</f>
        <v>0.6938176623319976</v>
      </c>
      <c r="U32" s="7">
        <f t="shared" si="0"/>
        <v>3.2660277128209576</v>
      </c>
      <c r="V32" s="7">
        <f>(Parameters!$B$19*(F32+Parameters!$B$20)^T32+Parameters!$B$18*G32^T32)^(1/T32)</f>
        <v>0.36923879650562685</v>
      </c>
      <c r="W32" s="7">
        <f>(Parameters!$B$10*H32^Parameters!$B$9+Parameters!$B$11*V32^Parameters!$B$9)^(Parameters!$B$7/Parameters!$B$9)*O32</f>
        <v>1.37039058506661</v>
      </c>
      <c r="X32" s="7">
        <f>W32 - D32 - E32 - LN(1+EXP(Parameters!$B$21*C32))/Parameters!$B$21 - IF(C32&gt;0, 0,Parameters!$B$6*C32^2/F32)</f>
        <v>1.0706051265224201</v>
      </c>
      <c r="Y32" s="7">
        <f>EXP(-Parameters!$B$55*A32)</f>
        <v>0.65520966194087471</v>
      </c>
      <c r="Z32" s="7">
        <f>IF(X32&gt;0,X32^(1-Parameters!$B$52)/(1-Parameters!$B$52)*Y32*Parameters!$B$65,-10+X32*1000)</f>
        <v>-1.8278560358051694</v>
      </c>
      <c r="AB32" s="9"/>
      <c r="AC32" s="23">
        <f t="shared" si="6"/>
        <v>1.0250404363046732</v>
      </c>
      <c r="AD32" s="23">
        <f t="shared" si="7"/>
        <v>9.7844492763421176</v>
      </c>
      <c r="AE32" s="23">
        <f t="shared" si="8"/>
        <v>1.6595057129742505</v>
      </c>
      <c r="AF32" s="23">
        <f t="shared" si="9"/>
        <v>30.440585954495816</v>
      </c>
      <c r="AG32" s="23">
        <f t="shared" si="10"/>
        <v>105.99639261138331</v>
      </c>
      <c r="AH32" s="23">
        <f t="shared" si="11"/>
        <v>51.497805153079852</v>
      </c>
      <c r="AI32" s="23">
        <f t="shared" si="12"/>
        <v>126.74001918788933</v>
      </c>
      <c r="AJ32" s="23">
        <f t="shared" si="13"/>
        <v>191.12863545556468</v>
      </c>
      <c r="AK32" s="23">
        <f t="shared" si="14"/>
        <v>149.31750055333043</v>
      </c>
      <c r="AL32" s="9">
        <f t="shared" si="24"/>
        <v>2.1234971908730138E-2</v>
      </c>
      <c r="AM32" s="9">
        <f t="shared" si="25"/>
        <v>2.1214121980007938E-2</v>
      </c>
      <c r="AN32" s="9">
        <f t="shared" ref="AN32:AO32" si="53">AVERAGE(AL30:AL34)</f>
        <v>2.1181782347627732E-2</v>
      </c>
      <c r="AO32" s="9">
        <f t="shared" si="53"/>
        <v>1.9688192887714173E-2</v>
      </c>
      <c r="AP32" s="23"/>
      <c r="AQ32" s="8">
        <f t="shared" si="1"/>
        <v>191.12863545556471</v>
      </c>
      <c r="AR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0.19215233298235937</v>
      </c>
      <c r="AS32" s="32">
        <f>((C33-C31)/2-(F33-F31)/F32/2*C32)/(F32/2/Parameters!$B$5-C32)-((D33-D31)/D32-(G33-G31)/G32)/(G32/2/Parameters!$B$5/D32-1)</f>
        <v>7.9397158363382677E-3</v>
      </c>
      <c r="AT32" s="32">
        <f>+Parameters!$B$5*C32^2/F32^2-Parameters!$B$5*D32^2/G32^2</f>
        <v>-7.3870975236356197E-3</v>
      </c>
      <c r="AU32" s="30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0.61813478486916396</v>
      </c>
      <c r="AV32" s="30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86.211375973456356</v>
      </c>
      <c r="AW32" s="8">
        <f>1000*(AR32+AS32+AT32)/(EXP(-Parameters!$B$42*A32)*((C32&lt;0)*Parameters!$B$37*EXP(-Parameters!$B$38*AF32)+(C32&gt;=0)*Parameters!$B$41))</f>
        <v>279.98352987568313</v>
      </c>
      <c r="AX32" s="13">
        <f>1-W32/'6states,ExoDamages'!T32</f>
        <v>7.5489463172868865E-2</v>
      </c>
      <c r="AY32" s="21">
        <f>-Y32*W32*X32^(-Parameters!B$52)*Parameters!B$46*Parameters!B$45*N32</f>
        <v>-1.784081794718141E-5</v>
      </c>
      <c r="AZ32" s="7">
        <f>1000*EXP(-(Parameters!$B$54)*'6states'!A32)*AQ32*Parameters!B$46*Parameters!B$45*N32</f>
        <v>1.5584426491816146</v>
      </c>
      <c r="BA32" s="7">
        <f>SUM(AZ32:AZ$204)*EXP(Parameters!$B$54*A32)</f>
        <v>354.88685913755108</v>
      </c>
      <c r="BB32" s="13">
        <f t="shared" si="35"/>
        <v>0.2185047067857708</v>
      </c>
      <c r="BC32" s="30">
        <f>IF(C32&lt;0,Parameters!$B$6*AC32^2/AF32,0)</f>
        <v>0</v>
      </c>
      <c r="BD32" s="30">
        <f>Parameters!$B$5*AD32^2/AG32</f>
        <v>0.90319533790464523</v>
      </c>
      <c r="BE32" s="30">
        <f t="shared" si="15"/>
        <v>0</v>
      </c>
      <c r="BF32" s="30">
        <f t="shared" si="16"/>
        <v>9.2309266714529048E-2</v>
      </c>
      <c r="BG32" s="30"/>
      <c r="BH32" s="5">
        <f t="shared" si="3"/>
        <v>-2.0283789123448095E-3</v>
      </c>
      <c r="BI32" s="2">
        <f>BH32/Parameters!$B$45</f>
        <v>-3.3806315205746826</v>
      </c>
      <c r="BJ32" s="2">
        <f t="shared" si="27"/>
        <v>1.6500618924343291E-3</v>
      </c>
      <c r="BM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-0.47315093016440873</v>
      </c>
      <c r="BN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-65.9904501915846</v>
      </c>
      <c r="BO32" s="7">
        <f t="shared" si="4"/>
        <v>5.1697849656173356E-2</v>
      </c>
      <c r="BU32">
        <f>EXP(-Parameters!$B$56*A32)*BH32*BN32</f>
        <v>1.5070616880999092E-2</v>
      </c>
      <c r="BV32">
        <f>-EXP((Parameters!$B$56)*F32)*SUM(BU32:BU40)</f>
        <v>-0.13123942726052137</v>
      </c>
      <c r="BW32">
        <f>X32^-Parameters!B$52/(1-2*Parameters!B$5*'6states'!D32/'6states'!G32)</f>
        <v>1.118509260250246</v>
      </c>
      <c r="BX32">
        <f t="shared" si="17"/>
        <v>1.0012654836430335</v>
      </c>
      <c r="BY32">
        <f>$X32^-Parameters!$B$52/(1-2*Parameters!$B$5*'6states'!$E32/'6states'!$H32)</f>
        <v>1.0444323117029204</v>
      </c>
      <c r="BZ32">
        <f t="shared" si="18"/>
        <v>1.0014592539688147</v>
      </c>
      <c r="CA32" s="7">
        <f>($X32^-Parameters!$B$52*(1/(1+EXP(-C32)) + IF(C32&lt;0,2*Parameters!$B$6*C32/F32,0)) + BS32*(1/(1+EXP((C32-Parameters!$B$22)*Parameters!$B$21))))/(1-IF(C32&gt;0,2*Parameters!$B$5*C32/F32,0))</f>
        <v>0.4907307937782901</v>
      </c>
      <c r="CB32">
        <f t="shared" si="19"/>
        <v>1.0034791448496232</v>
      </c>
      <c r="CC32" s="7">
        <f t="shared" si="20"/>
        <v>1.7014040824745447E-3</v>
      </c>
      <c r="CD32">
        <f>(1/$T32-1/Parameters!$B$13) * LN(Parameters!$B$18) / LN(P32)</f>
        <v>0.23703534177922836</v>
      </c>
      <c r="CE32">
        <f>(Parameters!$B$18*'6states'!T32^+Parameters!$B$19*Parameters!$B$25^'6states'!T32)^((1-'6states'!T32)/'6states'!T32)*Parameters!$B$18*Parameters!$B$26^('6states'!T32-1)</f>
        <v>0.265690972677258</v>
      </c>
      <c r="CF32">
        <f t="shared" si="21"/>
        <v>0.25530012455855727</v>
      </c>
      <c r="CG32">
        <f t="shared" si="22"/>
        <v>0.15151288398392915</v>
      </c>
      <c r="CH32">
        <f t="shared" si="23"/>
        <v>0.16819974791311076</v>
      </c>
    </row>
    <row r="33" spans="1:86" x14ac:dyDescent="0.3">
      <c r="A33">
        <f>A32+Parameters!$B$65</f>
        <v>29</v>
      </c>
      <c r="B33">
        <v>2054</v>
      </c>
      <c r="C33" s="74">
        <v>7.1897058670666297E-3</v>
      </c>
      <c r="D33" s="69">
        <v>6.9721523230676194E-2</v>
      </c>
      <c r="E33" s="75">
        <v>0.22494636686823899</v>
      </c>
      <c r="F33" s="7">
        <f>MAX((1-Parameters!$B$4)^Parameters!B$65*F32 + C32*Parameters!B$65 - IF(C32&gt;0,Parameters!$B$5,0)*C32^2/F32*Parameters!B$65, 0.0001)</f>
        <v>0.21163229811606127</v>
      </c>
      <c r="G33" s="7">
        <f>(1-Parameters!$B$4)^Parameters!B$65*G32+D32*Parameters!B$65-Parameters!$B$5*D32^2/G32*Parameters!B$65</f>
        <v>0.77586811455163585</v>
      </c>
      <c r="H33" s="7">
        <f>(1-Parameters!$B$4)^Parameters!B$65*H32+E32*Parameters!B$65-Parameters!$B$5*E32^2/H32*Parameters!B$65</f>
        <v>3.4885318764985795</v>
      </c>
      <c r="I33" s="7">
        <f>I32 *(1-Parameters!$B$4)-C32*(C32&lt;0)*Parameters!B$65</f>
        <v>1.1150216416471506E-2</v>
      </c>
      <c r="J33" s="23">
        <f>J32*(1+Parameters!$B$51)^Parameters!B$65</f>
        <v>8.8748591004050361</v>
      </c>
      <c r="K33" s="23">
        <f>K32*(1+Parameters!$B$53)^Parameters!B$65</f>
        <v>16.075990068557957</v>
      </c>
      <c r="L33" s="23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17.73401549254255</v>
      </c>
      <c r="M33" s="8">
        <f>M32+L33*Parameters!B$65</f>
        <v>3028.597913391256</v>
      </c>
      <c r="N33" s="7">
        <f>M33*Parameters!$B$45</f>
        <v>1.8171587480347535</v>
      </c>
      <c r="O33" s="9">
        <f>EXP(-Parameters!$B$46/2*N33^2)</f>
        <v>0.96735884394713334</v>
      </c>
      <c r="P33" s="7">
        <f>MAX((Parameters!$B$62 + Parameters!$B$31*'6states'!A33 - '6states'!M33 + Parameters!$B$47/Parameters!$B$45)/Parameters!B$62,1)</f>
        <v>17.284041732174884</v>
      </c>
      <c r="Q33" s="7">
        <f>Parameters!B$61*EXP(-Parameters!B$60*A33)</f>
        <v>0.22851642701853894</v>
      </c>
      <c r="R33" s="7">
        <f>(1-Parameters!B$61)*P33^-Parameters!B$63</f>
        <v>0.37601526281749725</v>
      </c>
      <c r="S33" s="7">
        <f>Parameters!B$61*EXP(-Parameters!B$60*A33)+(1-Parameters!B$61)*P33^-Parameters!B$63</f>
        <v>0.60453168983603622</v>
      </c>
      <c r="T33" s="7">
        <f>1-S33/Parameters!$B$12</f>
        <v>0.69773415508198189</v>
      </c>
      <c r="U33" s="7">
        <f t="shared" si="0"/>
        <v>3.3083460034038064</v>
      </c>
      <c r="V33" s="7">
        <f>(Parameters!$B$19*(F33+Parameters!$B$20)^T33+Parameters!$B$18*G33^T33)^(1/T33)</f>
        <v>0.36800099155743182</v>
      </c>
      <c r="W33" s="7">
        <f>(Parameters!$B$10*H33^Parameters!$B$9+Parameters!$B$11*V33^Parameters!$B$9)^(Parameters!$B$7/Parameters!$B$9)*O33</f>
        <v>1.3684313597771793</v>
      </c>
      <c r="X33" s="7">
        <f>W33 - D33 - E33 - LN(1+EXP(Parameters!$B$21*C33))/Parameters!$B$21 - IF(C33&gt;0, 0,Parameters!$B$6*C33^2/F33)</f>
        <v>1.066208878082415</v>
      </c>
      <c r="Y33" s="7">
        <f>EXP(-Parameters!$B$55*A33)</f>
        <v>0.64539031866231678</v>
      </c>
      <c r="Z33" s="7">
        <f>IF(X33&gt;0,X33^(1-Parameters!$B$52)/(1-Parameters!$B$52)*Y33*Parameters!$B$65,-10+X33*1000)</f>
        <v>-1.8030575923485201</v>
      </c>
      <c r="AB33" s="9"/>
      <c r="AC33" s="23">
        <f t="shared" si="6"/>
        <v>1.0257707706127148</v>
      </c>
      <c r="AD33" s="23">
        <f t="shared" si="7"/>
        <v>9.9473193945557306</v>
      </c>
      <c r="AE33" s="23">
        <f t="shared" si="8"/>
        <v>1.5908253129538661</v>
      </c>
      <c r="AF33" s="23">
        <f t="shared" si="9"/>
        <v>30.194034295539577</v>
      </c>
      <c r="AG33" s="23">
        <f t="shared" si="10"/>
        <v>110.6947695041347</v>
      </c>
      <c r="AH33" s="23">
        <f t="shared" si="11"/>
        <v>52.503491474557656</v>
      </c>
      <c r="AI33" s="23">
        <f t="shared" si="12"/>
        <v>129.21508979142692</v>
      </c>
      <c r="AJ33" s="23">
        <f t="shared" si="13"/>
        <v>195.237039790328</v>
      </c>
      <c r="AK33" s="23">
        <f t="shared" si="14"/>
        <v>152.11830952841694</v>
      </c>
      <c r="AL33" s="9">
        <f t="shared" si="24"/>
        <v>2.1267723583822118E-2</v>
      </c>
      <c r="AM33" s="9">
        <f t="shared" si="25"/>
        <v>1.858365520230798E-2</v>
      </c>
      <c r="AN33" s="9">
        <f t="shared" ref="AN33:AO33" si="54">AVERAGE(AL31:AL35)</f>
        <v>2.1290848602911618E-2</v>
      </c>
      <c r="AO33" s="9">
        <f t="shared" si="54"/>
        <v>2.0015795879699993E-2</v>
      </c>
      <c r="AP33" s="23"/>
      <c r="AQ33" s="8">
        <f t="shared" si="1"/>
        <v>195.237039790328</v>
      </c>
      <c r="AR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0.19373056008276657</v>
      </c>
      <c r="AS33" s="32">
        <f>((C34-C32)/2-(F34-F32)/F33/2*C33)/(F33/2/Parameters!$B$5-C33)-((D34-D32)/D33-(G34-G32)/G33)/(G33/2/Parameters!$B$5/D33-1)</f>
        <v>8.0655626905155216E-3</v>
      </c>
      <c r="AT33" s="32">
        <f>+Parameters!$B$5*C33^2/F33^2-Parameters!$B$5*D33^2/G33^2</f>
        <v>-6.9211466066413305E-3</v>
      </c>
      <c r="AU33" s="30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0.61385747599529594</v>
      </c>
      <c r="AV33" s="30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87.580363903673344</v>
      </c>
      <c r="AW33" s="8">
        <f>1000*(AR33+AS33+AT33)/(EXP(-Parameters!$B$42*A33)*((C33&lt;0)*Parameters!$B$37*EXP(-Parameters!$B$38*AF33)+(C33&gt;=0)*Parameters!$B$41))</f>
        <v>285.98195523219772</v>
      </c>
      <c r="AX33" s="13">
        <f>1-W33/'6states,ExoDamages'!T33</f>
        <v>7.6400701318125597E-2</v>
      </c>
      <c r="AY33" s="21">
        <f>-Y33*W33*X33^(-Parameters!B$52)*Parameters!B$46*Parameters!B$45*N33</f>
        <v>-1.7750007626504823E-5</v>
      </c>
      <c r="AZ33" s="7">
        <f>1000*EXP(-(Parameters!$B$54)*'6states'!A33)*AQ33*Parameters!B$46*Parameters!B$45*N33</f>
        <v>1.5460873900582464</v>
      </c>
      <c r="BA33" s="7">
        <f>SUM(AZ33:AZ$204)*EXP(Parameters!$B$54*A33)</f>
        <v>363.25178173591036</v>
      </c>
      <c r="BB33" s="13">
        <f t="shared" si="35"/>
        <v>0.22058658171582174</v>
      </c>
      <c r="BC33" s="30">
        <f>IF(C33&lt;0,Parameters!$B$6*AC33^2/AF33,0)</f>
        <v>0</v>
      </c>
      <c r="BD33" s="30">
        <f>Parameters!$B$5*AD33^2/AG33</f>
        <v>0.89389194792630744</v>
      </c>
      <c r="BE33" s="30">
        <f t="shared" si="15"/>
        <v>0</v>
      </c>
      <c r="BF33" s="30">
        <f t="shared" si="16"/>
        <v>8.9862596391098448E-2</v>
      </c>
      <c r="BG33" s="30"/>
      <c r="BH33" s="5">
        <f t="shared" si="3"/>
        <v>-2.0315963930414901E-3</v>
      </c>
      <c r="BI33" s="2">
        <f>BH33/Parameters!$B$45</f>
        <v>-3.3859939884024839</v>
      </c>
      <c r="BJ33" s="2">
        <f t="shared" si="27"/>
        <v>1.5837204218815959E-3</v>
      </c>
      <c r="BM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-0.50339794301224061</v>
      </c>
      <c r="BN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-71.820865203098862</v>
      </c>
      <c r="BO33" s="7">
        <f t="shared" si="4"/>
        <v>5.0049782586699579E-2</v>
      </c>
      <c r="BU33">
        <f>EXP(-Parameters!$B$56*A33)*BH33*BN33</f>
        <v>1.5195463358825099E-2</v>
      </c>
      <c r="BV33">
        <f>-EXP((Parameters!$B$56)*F33)*SUM(BU33:BU41)</f>
        <v>-0.12202014449392853</v>
      </c>
      <c r="BW33">
        <f>X33^-Parameters!B$52/(1-2*Parameters!B$5*'6states'!D33/'6states'!G33)</f>
        <v>1.1180301851644614</v>
      </c>
      <c r="BX33">
        <f t="shared" si="17"/>
        <v>0.99957168429193211</v>
      </c>
      <c r="BY33">
        <f>$X33^-Parameters!$B$52/(1-2*Parameters!$B$5*'6states'!$E33/'6states'!$H33)</f>
        <v>1.0528741671950375</v>
      </c>
      <c r="BZ33">
        <f t="shared" si="18"/>
        <v>1.0080827214914032</v>
      </c>
      <c r="CA33" s="7">
        <f>($X33^-Parameters!$B$52*(1/(1+EXP(-C33)) + IF(C33&lt;0,2*Parameters!$B$6*C33/F33,0)) + BS33*(1/(1+EXP((C33-Parameters!$B$22)*Parameters!$B$21))))/(1-IF(C33&gt;0,2*Parameters!$B$5*C33/F33,0))</f>
        <v>0.49374181190514993</v>
      </c>
      <c r="CB33">
        <f t="shared" si="19"/>
        <v>1.0061357839471965</v>
      </c>
      <c r="CC33" s="7">
        <f t="shared" si="20"/>
        <v>3.0110181268598324E-3</v>
      </c>
      <c r="CD33">
        <f>(1/$T33-1/Parameters!$B$13) * LN(Parameters!$B$18) / LN(P33)</f>
        <v>0.23693175889078794</v>
      </c>
      <c r="CE33">
        <f>(Parameters!$B$18*'6states'!T33^+Parameters!$B$19*Parameters!$B$25^'6states'!T33)^((1-'6states'!T33)/'6states'!T33)*Parameters!$B$18*Parameters!$B$26^('6states'!T33-1)</f>
        <v>0.26754367939186274</v>
      </c>
      <c r="CF33">
        <f t="shared" si="21"/>
        <v>0.25398446196967134</v>
      </c>
      <c r="CG33">
        <f t="shared" si="22"/>
        <v>0.15145196196022193</v>
      </c>
      <c r="CH33">
        <f t="shared" si="23"/>
        <v>0.16926725890092098</v>
      </c>
    </row>
    <row r="34" spans="1:86" s="89" customFormat="1" x14ac:dyDescent="0.3">
      <c r="A34" s="89">
        <f>A33+Parameters!$B$65</f>
        <v>30</v>
      </c>
      <c r="B34" s="89">
        <v>2055</v>
      </c>
      <c r="C34" s="90">
        <v>7.1038063143418996E-3</v>
      </c>
      <c r="D34" s="91">
        <v>7.0646923930046193E-2</v>
      </c>
      <c r="E34" s="92">
        <v>0.22443163548436501</v>
      </c>
      <c r="F34" s="93">
        <f>MAX((1-Parameters!$B$4)^Parameters!B$65*F33 + C33*Parameters!B$65 - IF(C33&gt;0,Parameters!$B$5,0)*C33^2/F33*Parameters!B$65, 0.0001)</f>
        <v>0.20526607921075785</v>
      </c>
      <c r="G34" s="93">
        <f>(1-Parameters!$B$4)^Parameters!B$65*G33+D33*Parameters!B$65-Parameters!$B$5*D33^2/G33*Parameters!B$65</f>
        <v>0.7905221762751633</v>
      </c>
      <c r="H34" s="93">
        <f>(1-Parameters!$B$4)^Parameters!B$65*H33+E33*Parameters!B$65-Parameters!$B$5*E33^2/H33*Parameters!B$65</f>
        <v>3.4795446705763564</v>
      </c>
      <c r="I34" s="93">
        <f>I33 *(1-Parameters!$B$4)-C33*(C33&lt;0)*Parameters!B$65</f>
        <v>1.0448867803875449E-2</v>
      </c>
      <c r="J34" s="64">
        <f>J33*(1+Parameters!$B$51)^Parameters!B$65</f>
        <v>8.9005961917962093</v>
      </c>
      <c r="K34" s="64">
        <f>K33*(1+Parameters!$B$53)^Parameters!B$65</f>
        <v>16.397509869929117</v>
      </c>
      <c r="L34" s="64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17.447938009987293</v>
      </c>
      <c r="M34" s="95">
        <f>M33+L34*Parameters!B$65</f>
        <v>3046.0458514012435</v>
      </c>
      <c r="N34" s="93">
        <f>M34*Parameters!$B$45</f>
        <v>1.8276275108407458</v>
      </c>
      <c r="O34" s="94">
        <f>EXP(-Parameters!$B$46/2*N34^2)</f>
        <v>0.96698796017949651</v>
      </c>
      <c r="P34" s="93">
        <f>MAX((Parameters!$B$62 + Parameters!$B$31*'6states'!A34 - '6states'!M34 + Parameters!$B$47/Parameters!$B$45)/Parameters!B$62,1)</f>
        <v>17.999082971975131</v>
      </c>
      <c r="Q34" s="93">
        <f>Parameters!B$61*EXP(-Parameters!B$60*A34)</f>
        <v>0.22242903311147058</v>
      </c>
      <c r="R34" s="93">
        <f>(1-Parameters!B$61)*P34^-Parameters!B$63</f>
        <v>0.37449408834141396</v>
      </c>
      <c r="S34" s="93">
        <f>Parameters!B$61*EXP(-Parameters!B$60*A34)+(1-Parameters!B$61)*P34^-Parameters!B$63</f>
        <v>0.59692312145288451</v>
      </c>
      <c r="T34" s="93">
        <f>1-S34/Parameters!$B$12</f>
        <v>0.70153843927355775</v>
      </c>
      <c r="U34" s="93">
        <f t="shared" si="0"/>
        <v>3.3505152139727614</v>
      </c>
      <c r="V34" s="93">
        <f>(Parameters!$B$19*(F34+Parameters!$B$20)^T34+Parameters!$B$18*G34^T34)^(1/T34)</f>
        <v>0.36664511815620043</v>
      </c>
      <c r="W34" s="93">
        <f>(Parameters!$B$10*H34^Parameters!$B$9+Parameters!$B$11*V34^Parameters!$B$9)^(Parameters!$B$7/Parameters!$B$9)*O34</f>
        <v>1.3667063160587549</v>
      </c>
      <c r="X34" s="93">
        <f>W34 - D34 - E34 - LN(1+EXP(Parameters!$B$21*C34))/Parameters!$B$21 - IF(C34&gt;0, 0,Parameters!$B$6*C34^2/F34)</f>
        <v>1.0641500543594422</v>
      </c>
      <c r="Y34" s="93">
        <f>EXP(-Parameters!$B$55*A34)</f>
        <v>0.63571813362641427</v>
      </c>
      <c r="Z34" s="93">
        <f>IF(X34&gt;0,X34^(1-Parameters!$B$52)/(1-Parameters!$B$52)*Y34*Parameters!$B$65,-10+X34*1000)</f>
        <v>-1.7772378353749978</v>
      </c>
      <c r="AB34" s="94"/>
      <c r="AC34" s="23">
        <f t="shared" si="6"/>
        <v>1.0367835812089121</v>
      </c>
      <c r="AD34" s="23">
        <f t="shared" si="7"/>
        <v>10.310749977193373</v>
      </c>
      <c r="AE34" s="64">
        <f t="shared" si="8"/>
        <v>1.5249873239659242</v>
      </c>
      <c r="AF34" s="64">
        <f t="shared" si="9"/>
        <v>29.958094476081893</v>
      </c>
      <c r="AG34" s="64">
        <f t="shared" si="10"/>
        <v>115.37482536495011</v>
      </c>
      <c r="AH34" s="64">
        <f t="shared" si="11"/>
        <v>53.510980144165963</v>
      </c>
      <c r="AI34" s="64">
        <f t="shared" si="12"/>
        <v>131.69459611093268</v>
      </c>
      <c r="AJ34" s="64">
        <f t="shared" si="13"/>
        <v>199.46752573525151</v>
      </c>
      <c r="AK34" s="64">
        <f t="shared" si="14"/>
        <v>155.31016126875505</v>
      </c>
      <c r="AL34" s="94">
        <f t="shared" si="24"/>
        <v>2.1437035808296478E-2</v>
      </c>
      <c r="AM34" s="94">
        <f t="shared" si="25"/>
        <v>2.0765587700264376E-2</v>
      </c>
      <c r="AN34" s="9">
        <f t="shared" ref="AN34:AO34" si="55">AVERAGE(AL32:AL36)</f>
        <v>2.138745983982222E-2</v>
      </c>
      <c r="AO34" s="9">
        <f t="shared" si="55"/>
        <v>2.0433816149596318E-2</v>
      </c>
      <c r="AP34" s="64"/>
      <c r="AQ34" s="95">
        <f t="shared" si="1"/>
        <v>199.46752573525151</v>
      </c>
      <c r="AR34" s="103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0.19612037141382621</v>
      </c>
      <c r="AS34" s="103">
        <f>((C35-C33)/2-(F35-F33)/F34/2*C34)/(F34/2/Parameters!$B$5-C34)-((D35-D33)/D34-(G35-G33)/G34)/(G34/2/Parameters!$B$5/D34-1)</f>
        <v>2.1105067496042084E-3</v>
      </c>
      <c r="AT34" s="103">
        <f>+Parameters!$B$5*C34^2/F34^2-Parameters!$B$5*D34^2/G34^2</f>
        <v>-6.7888355356821462E-3</v>
      </c>
      <c r="AU34" s="104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0.60963095851731597</v>
      </c>
      <c r="AV34" s="104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88.974183757142384</v>
      </c>
      <c r="AW34" s="95">
        <f>1000*(AR34+AS34+AT34)/(EXP(-Parameters!$B$42*A34)*((C34&lt;0)*Parameters!$B$37*EXP(-Parameters!$B$38*AF34)+(C34&gt;=0)*Parameters!$B$41))</f>
        <v>283.76760857101789</v>
      </c>
      <c r="AX34" s="98">
        <f>1-W34/'6states,ExoDamages'!T34</f>
        <v>7.7163712296539955E-2</v>
      </c>
      <c r="AY34" s="99">
        <f>-Y34*W34*X34^(-Parameters!B$52)*Parameters!B$46*Parameters!B$45*N34</f>
        <v>-1.7608441511885782E-5</v>
      </c>
      <c r="AZ34" s="93">
        <f>1000*EXP(-(Parameters!$B$54)*'6states'!A34)*AQ34*Parameters!B$46*Parameters!B$45*N34</f>
        <v>1.533893141852217</v>
      </c>
      <c r="BA34" s="93">
        <f>SUM(AZ34:AZ$204)*EXP(Parameters!$B$54*A34)</f>
        <v>371.79687257814709</v>
      </c>
      <c r="BB34" s="98">
        <f t="shared" si="35"/>
        <v>0.22110263351981338</v>
      </c>
      <c r="BC34" s="30">
        <f>IF(C34&lt;0,Parameters!$B$6*AC34^2/AF34,0)</f>
        <v>0</v>
      </c>
      <c r="BD34" s="30">
        <f>Parameters!$B$5*AD34^2/AG34</f>
        <v>0.92144507916620155</v>
      </c>
      <c r="BE34" s="30">
        <f t="shared" si="15"/>
        <v>0</v>
      </c>
      <c r="BF34" s="30">
        <f t="shared" si="16"/>
        <v>8.9367415678235904E-2</v>
      </c>
      <c r="BG34" s="104"/>
      <c r="BH34" s="100">
        <f t="shared" si="3"/>
        <v>-2.0345850896111893E-3</v>
      </c>
      <c r="BI34" s="105">
        <f>BH34/Parameters!$B$45</f>
        <v>-3.3909751493519824</v>
      </c>
      <c r="BJ34" s="105">
        <f t="shared" si="27"/>
        <v>1.4689464623326431E-3</v>
      </c>
      <c r="BM34" s="89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-0.53472171735706919</v>
      </c>
      <c r="BN34" s="89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-78.04135875050261</v>
      </c>
      <c r="BO34" s="93">
        <f t="shared" si="4"/>
        <v>4.8438311523988357E-2</v>
      </c>
      <c r="BU34" s="89">
        <f>EXP(-Parameters!$B$56*A34)*BH34*BN34</f>
        <v>1.5295074332164777E-2</v>
      </c>
      <c r="BV34" s="89">
        <f>-EXP((Parameters!$B$56)*F34)*SUM(BU34:BU42)</f>
        <v>-0.11293076462919489</v>
      </c>
      <c r="BW34" s="89">
        <f>X34^-Parameters!B$52/(1-2*Parameters!B$5*'6states'!D34/'6states'!G34)</f>
        <v>1.1195995607444551</v>
      </c>
      <c r="BX34" s="89">
        <f t="shared" si="17"/>
        <v>1.0014036969670572</v>
      </c>
      <c r="BY34" s="89">
        <f>$X34^-Parameters!$B$52/(1-2*Parameters!$B$5*'6states'!$E34/'6states'!$H34)</f>
        <v>1.0556701853300188</v>
      </c>
      <c r="BZ34" s="89">
        <f t="shared" si="18"/>
        <v>1.0026556052205462</v>
      </c>
      <c r="CA34" s="93">
        <f>($X34^-Parameters!$B$52*(1/(1+EXP(-C34)) + IF(C34&lt;0,2*Parameters!$B$6*C34/F34,0)) + BS34*(1/(1+EXP((C34-Parameters!$B$22)*Parameters!$B$21))))/(1-IF(C34&gt;0,2*Parameters!$B$5*C34/F34,0))</f>
        <v>0.49568623542416373</v>
      </c>
      <c r="CB34" s="89">
        <f t="shared" si="19"/>
        <v>1.0039381382579511</v>
      </c>
      <c r="CC34" s="93">
        <f t="shared" si="20"/>
        <v>1.9444235190138048E-3</v>
      </c>
      <c r="CD34" s="89">
        <f>(1/$T34-1/Parameters!$B$13) * LN(Parameters!$B$18) / LN(P34)</f>
        <v>0.23681206538395747</v>
      </c>
      <c r="CE34" s="89">
        <f>(Parameters!$B$18*'6states'!T34^+Parameters!$B$19*Parameters!$B$25^'6states'!T34)^((1-'6states'!T34)/'6states'!T34)*Parameters!$B$18*Parameters!$B$26^('6states'!T34-1)</f>
        <v>0.26930342043543942</v>
      </c>
      <c r="CF34" s="89">
        <f t="shared" si="21"/>
        <v>0.25269050427277107</v>
      </c>
      <c r="CG34" s="89">
        <f t="shared" si="22"/>
        <v>0.15138155906783324</v>
      </c>
      <c r="CH34" s="89">
        <f t="shared" si="23"/>
        <v>0.17027993535301256</v>
      </c>
    </row>
    <row r="35" spans="1:86" x14ac:dyDescent="0.3">
      <c r="A35">
        <f>A34+Parameters!$B$65</f>
        <v>31</v>
      </c>
      <c r="B35">
        <v>2056</v>
      </c>
      <c r="C35" s="74">
        <v>7.0871562973725101E-3</v>
      </c>
      <c r="D35" s="69">
        <v>7.2207663625454194E-2</v>
      </c>
      <c r="E35" s="75">
        <v>0.221947912225605</v>
      </c>
      <c r="F35" s="7">
        <f>MAX((1-Parameters!$B$4)^Parameters!B$65*F34 + C34*Parameters!B$65 - IF(C34&gt;0,Parameters!$B$5,0)*C34^2/F34*Parameters!B$65, 0.0001)</f>
        <v>0.19921280207270736</v>
      </c>
      <c r="G35" s="7">
        <f>(1-Parameters!$B$4)^Parameters!B$65*G34+D34*Parameters!B$65-Parameters!$B$5*D34^2/G34*Parameters!B$65</f>
        <v>0.80513172230025665</v>
      </c>
      <c r="H35" s="7">
        <f>(1-Parameters!$B$4)^Parameters!B$65*H34+E34*Parameters!B$65-Parameters!$B$5*E34^2/H34*Parameters!B$65</f>
        <v>3.4706370410194611</v>
      </c>
      <c r="I35" s="7">
        <f>I34 *(1-Parameters!$B$4)-C34*(C34&lt;0)*Parameters!B$65</f>
        <v>9.7916340190116833E-3</v>
      </c>
      <c r="J35" s="23">
        <f>J34*(1+Parameters!$B$51)^Parameters!B$65</f>
        <v>8.9264079207524176</v>
      </c>
      <c r="K35" s="23">
        <f>K34*(1+Parameters!$B$53)^Parameters!B$65</f>
        <v>16.725460067327699</v>
      </c>
      <c r="L35" s="23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17.178370268009107</v>
      </c>
      <c r="M35" s="8">
        <f>M34+L35*Parameters!B$65</f>
        <v>3063.2242216692525</v>
      </c>
      <c r="N35" s="7">
        <f>M35*Parameters!$B$45</f>
        <v>1.8379345330015513</v>
      </c>
      <c r="O35" s="9">
        <f>EXP(-Parameters!$B$46/2*N35^2)</f>
        <v>0.96662086518298562</v>
      </c>
      <c r="P35" s="7">
        <f>MAX((Parameters!$B$62 + Parameters!$B$31*'6states'!A35 - '6states'!M35 + Parameters!$B$47/Parameters!$B$45)/Parameters!B$62,1)</f>
        <v>18.719515566614952</v>
      </c>
      <c r="Q35" s="7">
        <f>Parameters!B$61*EXP(-Parameters!B$60*A35)</f>
        <v>0.21650379982043882</v>
      </c>
      <c r="R35" s="7">
        <f>(1-Parameters!B$61)*P35^-Parameters!B$63</f>
        <v>0.37302723726496378</v>
      </c>
      <c r="S35" s="7">
        <f>Parameters!B$61*EXP(-Parameters!B$60*A35)+(1-Parameters!B$61)*P35^-Parameters!B$63</f>
        <v>0.58953103708540255</v>
      </c>
      <c r="T35" s="7">
        <f>1-S35/Parameters!$B$12</f>
        <v>0.70523448145729872</v>
      </c>
      <c r="U35" s="7">
        <f t="shared" si="0"/>
        <v>3.3925270667475806</v>
      </c>
      <c r="V35" s="7">
        <f>(Parameters!$B$19*(F35+Parameters!$B$20)^T35+Parameters!$B$18*G35^T35)^(1/T35)</f>
        <v>0.36550460072745911</v>
      </c>
      <c r="W35" s="7">
        <f>(Parameters!$B$10*H35^Parameters!$B$9+Parameters!$B$11*V35^Parameters!$B$9)^(Parameters!$B$7/Parameters!$B$9)*O35</f>
        <v>1.3650665748392019</v>
      </c>
      <c r="X35" s="7">
        <f>W35 - D35 - E35 - LN(1+EXP(Parameters!$B$21*C35))/Parameters!$B$21 - IF(C35&gt;0, 0,Parameters!$B$6*C35^2/F35)</f>
        <v>1.0634481760936261</v>
      </c>
      <c r="Y35" s="7">
        <f>EXP(-Parameters!$B$55*A35)</f>
        <v>0.62619090143635336</v>
      </c>
      <c r="Z35" s="7">
        <f>IF(X35&gt;0,X35^(1-Parameters!$B$52)/(1-Parameters!$B$52)*Y35*Parameters!$B$65,-10+X35*1000)</f>
        <v>-1.7510074461127387</v>
      </c>
      <c r="AB35" s="9"/>
      <c r="AC35" s="23">
        <f t="shared" si="6"/>
        <v>1.0581002397837389</v>
      </c>
      <c r="AD35" s="23">
        <f t="shared" si="7"/>
        <v>10.780479926009567</v>
      </c>
      <c r="AE35" s="23">
        <f t="shared" si="8"/>
        <v>1.461874109822008</v>
      </c>
      <c r="AF35" s="23">
        <f t="shared" si="9"/>
        <v>29.742128548691571</v>
      </c>
      <c r="AG35" s="23">
        <f t="shared" si="10"/>
        <v>120.20478068745754</v>
      </c>
      <c r="AH35" s="23">
        <f t="shared" si="11"/>
        <v>54.569207936780543</v>
      </c>
      <c r="AI35" s="23">
        <f t="shared" si="12"/>
        <v>134.29897527510195</v>
      </c>
      <c r="AJ35" s="23">
        <f t="shared" si="13"/>
        <v>203.80209064863075</v>
      </c>
      <c r="AK35" s="23">
        <f t="shared" si="14"/>
        <v>158.77098273385261</v>
      </c>
      <c r="AL35" s="9">
        <f t="shared" si="24"/>
        <v>2.1497934260119145E-2</v>
      </c>
      <c r="AM35" s="9">
        <f t="shared" si="25"/>
        <v>2.2038645791701228E-2</v>
      </c>
      <c r="AN35" s="9">
        <f t="shared" ref="AN35:AO35" si="56">AVERAGE(AL33:AL37)</f>
        <v>2.1467302850658322E-2</v>
      </c>
      <c r="AO35" s="9">
        <f t="shared" si="56"/>
        <v>2.1038131734981747E-2</v>
      </c>
      <c r="AP35" s="23"/>
      <c r="AQ35" s="8">
        <f t="shared" si="1"/>
        <v>203.80209064863078</v>
      </c>
      <c r="AR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0.19800734849999471</v>
      </c>
      <c r="AS35" s="32">
        <f>((C36-C34)/2-(F36-F34)/F35/2*C35)/(F35/2/Parameters!$B$5-C35)-((D36-D34)/D35-(G36-G34)/G35)/(G35/2/Parameters!$B$5/D35-1)</f>
        <v>4.1730182935539031E-3</v>
      </c>
      <c r="AT35" s="32">
        <f>+Parameters!$B$5*C35^2/F35^2-Parameters!$B$5*D35^2/G35^2</f>
        <v>-6.7776330707350315E-3</v>
      </c>
      <c r="AU35" s="30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0.60546789419007374</v>
      </c>
      <c r="AV35" s="30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90.39531472748601</v>
      </c>
      <c r="AW35" s="8">
        <f>1000*(AR35+AS35+AT35)/(EXP(-Parameters!$B$42*A35)*((C35&lt;0)*Parameters!$B$37*EXP(-Parameters!$B$38*AF35)+(C35&gt;=0)*Parameters!$B$41))</f>
        <v>292.54931187293636</v>
      </c>
      <c r="AX35" s="13">
        <f>1-W35/'6states,ExoDamages'!T35</f>
        <v>7.7841034522067254E-2</v>
      </c>
      <c r="AY35" s="21">
        <f>-Y35*W35*X35^(-Parameters!B$52)*Parameters!B$46*Parameters!B$45*N35</f>
        <v>-1.7436964555408811E-5</v>
      </c>
      <c r="AZ35" s="7">
        <f>1000*EXP(-(Parameters!$B$54)*'6states'!A35)*AQ35*Parameters!B$46*Parameters!B$45*N35</f>
        <v>1.5217039033733266</v>
      </c>
      <c r="BA35" s="7">
        <f>SUM(AZ35:AZ$204)*EXP(Parameters!$B$54*A35)</f>
        <v>380.52511623800621</v>
      </c>
      <c r="BB35" s="13">
        <f t="shared" si="35"/>
        <v>0.22067988309208775</v>
      </c>
      <c r="BC35" s="30">
        <f>IF(C35&lt;0,Parameters!$B$6*AC35^2/AF35,0)</f>
        <v>0</v>
      </c>
      <c r="BD35" s="30">
        <f>Parameters!$B$5*AD35^2/AG35</f>
        <v>0.96683964456683047</v>
      </c>
      <c r="BE35" s="30">
        <f t="shared" si="15"/>
        <v>0</v>
      </c>
      <c r="BF35" s="30">
        <f t="shared" si="16"/>
        <v>8.968428596895589E-2</v>
      </c>
      <c r="BG35" s="30"/>
      <c r="BH35" s="5">
        <f t="shared" si="3"/>
        <v>-2.0374205237307253E-3</v>
      </c>
      <c r="BI35" s="2">
        <f>BH35/Parameters!$B$45</f>
        <v>-3.3957008728845426</v>
      </c>
      <c r="BJ35" s="2">
        <f t="shared" si="27"/>
        <v>1.3916783926100074E-3</v>
      </c>
      <c r="BM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-0.56744535492091908</v>
      </c>
      <c r="BN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-84.718615042903835</v>
      </c>
      <c r="BO35" s="7">
        <f t="shared" si="4"/>
        <v>4.6848929152464233E-2</v>
      </c>
      <c r="BU35">
        <f>EXP(-Parameters!$B$56*A35)*BH35*BN35</f>
        <v>1.5379260981576779E-2</v>
      </c>
      <c r="BV35">
        <f>-EXP((Parameters!$B$56)*F35)*SUM(BU35:BU43)</f>
        <v>-0.10055764799956457</v>
      </c>
      <c r="BW35">
        <f>X35^-Parameters!B$52/(1-2*Parameters!B$5*'6states'!D35/'6states'!G35)</f>
        <v>1.1214626347577565</v>
      </c>
      <c r="BX35">
        <f t="shared" si="17"/>
        <v>1.0016640538980406</v>
      </c>
      <c r="BY35">
        <f>$X35^-Parameters!$B$52/(1-2*Parameters!$B$5*'6states'!$E35/'6states'!$H35)</f>
        <v>1.0552779417702949</v>
      </c>
      <c r="BZ35">
        <f t="shared" si="18"/>
        <v>0.9996284411881905</v>
      </c>
      <c r="CA35" s="7">
        <f>($X35^-Parameters!$B$52*(1/(1+EXP(-C35)) + IF(C35&lt;0,2*Parameters!$B$6*C35/F35,0)) + BS35*(1/(1+EXP((C35-Parameters!$B$22)*Parameters!$B$21))))/(1-IF(C35&gt;0,2*Parameters!$B$5*C35/F35,0))</f>
        <v>0.49715791415784388</v>
      </c>
      <c r="CB35">
        <f t="shared" si="19"/>
        <v>1.0029689723629724</v>
      </c>
      <c r="CC35" s="7">
        <f t="shared" si="20"/>
        <v>1.4716787336801485E-3</v>
      </c>
      <c r="CD35">
        <f>(1/$T35-1/Parameters!$B$13) * LN(Parameters!$B$18) / LN(P35)</f>
        <v>0.23667744491518991</v>
      </c>
      <c r="CE35">
        <f>(Parameters!$B$18*'6states'!T35^+Parameters!$B$19*Parameters!$B$25^'6states'!T35)^((1-'6states'!T35)/'6states'!T35)*Parameters!$B$18*Parameters!$B$26^('6states'!T35-1)</f>
        <v>0.27097546810476314</v>
      </c>
      <c r="CF35">
        <f t="shared" si="21"/>
        <v>0.2514181507846327</v>
      </c>
      <c r="CG35">
        <f t="shared" si="22"/>
        <v>0.15130236926036411</v>
      </c>
      <c r="CH35">
        <f t="shared" si="23"/>
        <v>0.17124100323647251</v>
      </c>
    </row>
    <row r="36" spans="1:86" x14ac:dyDescent="0.3">
      <c r="A36">
        <f>A35+Parameters!$B$65</f>
        <v>32</v>
      </c>
      <c r="B36">
        <v>2057</v>
      </c>
      <c r="C36" s="74">
        <v>7.0352302631180204E-3</v>
      </c>
      <c r="D36" s="69">
        <v>7.2555616167322798E-2</v>
      </c>
      <c r="E36" s="75">
        <v>0.223335686884853</v>
      </c>
      <c r="F36" s="7">
        <f>MAX((1-Parameters!$B$4)^Parameters!B$65*F35 + C35*Parameters!B$65 - IF(C35&gt;0,Parameters!$B$5,0)*C35^2/F35*Parameters!B$65, 0.0001)</f>
        <v>0.19351734181157379</v>
      </c>
      <c r="G36" s="7">
        <f>(1-Parameters!$B$4)^Parameters!B$65*G35+D35*Parameters!B$65-Parameters!$B$5*D35^2/G35*Parameters!B$65</f>
        <v>0.82022070783928935</v>
      </c>
      <c r="H36" s="7">
        <f>(1-Parameters!$B$4)^Parameters!B$65*H35+E35*Parameters!B$65-Parameters!$B$5*E35^2/H35*Parameters!B$65</f>
        <v>3.4600882713107022</v>
      </c>
      <c r="I36" s="7">
        <f>I35 *(1-Parameters!$B$4)-C35*(C35&lt;0)*Parameters!B$65</f>
        <v>9.1757402392158485E-3</v>
      </c>
      <c r="J36" s="23">
        <f>J35*(1+Parameters!$B$51)^Parameters!B$65</f>
        <v>8.9522945037225981</v>
      </c>
      <c r="K36" s="23">
        <f>K35*(1+Parameters!$B$53)^Parameters!B$65</f>
        <v>17.059969268674255</v>
      </c>
      <c r="L36" s="23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16.930338482900517</v>
      </c>
      <c r="M36" s="8">
        <f>M35+L36*Parameters!B$65</f>
        <v>3080.154560152153</v>
      </c>
      <c r="N36" s="7">
        <f>M36*Parameters!$B$45</f>
        <v>1.8480927360912915</v>
      </c>
      <c r="O36" s="9">
        <f>EXP(-Parameters!$B$46/2*N36^2)</f>
        <v>0.96625718808659344</v>
      </c>
      <c r="P36" s="7">
        <f>MAX((Parameters!$B$62 + Parameters!$B$31*'6states'!A36 - '6states'!M36 + Parameters!$B$47/Parameters!$B$45)/Parameters!B$62,1)</f>
        <v>19.444908796956941</v>
      </c>
      <c r="Q36" s="7">
        <f>Parameters!B$61*EXP(-Parameters!B$60*A36)</f>
        <v>0.21073640738795882</v>
      </c>
      <c r="R36" s="7">
        <f>(1-Parameters!B$61)*P36^-Parameters!B$63</f>
        <v>0.37161172927596825</v>
      </c>
      <c r="S36" s="7">
        <f>Parameters!B$61*EXP(-Parameters!B$60*A36)+(1-Parameters!B$61)*P36^-Parameters!B$63</f>
        <v>0.58234813666392704</v>
      </c>
      <c r="T36" s="7">
        <f>1-S36/Parameters!$B$12</f>
        <v>0.70882593166803654</v>
      </c>
      <c r="U36" s="7">
        <f t="shared" si="0"/>
        <v>3.4343717685048589</v>
      </c>
      <c r="V36" s="7">
        <f>(Parameters!$B$19*(F36+Parameters!$B$20)^T36+Parameters!$B$18*G36^T36)^(1/T36)</f>
        <v>0.36474642900773019</v>
      </c>
      <c r="W36" s="7">
        <f>(Parameters!$B$10*H36^Parameters!$B$9+Parameters!$B$11*V36^Parameters!$B$9)^(Parameters!$B$7/Parameters!$B$9)*O36</f>
        <v>1.3634311179244609</v>
      </c>
      <c r="X36" s="7">
        <f>W36 - D36 - E36 - LN(1+EXP(Parameters!$B$21*C36))/Parameters!$B$21 - IF(C36&gt;0, 0,Parameters!$B$6*C36^2/F36)</f>
        <v>1.0601233449960934</v>
      </c>
      <c r="Y36" s="7">
        <f>EXP(-Parameters!$B$55*A36)</f>
        <v>0.61680644974664667</v>
      </c>
      <c r="Z36" s="7">
        <f>IF(X36&gt;0,X36^(1-Parameters!$B$52)/(1-Parameters!$B$52)*Y36*Parameters!$B$65,-10+X36*1000)</f>
        <v>-1.7266571947173786</v>
      </c>
      <c r="AB36" s="9"/>
      <c r="AC36" s="23">
        <f t="shared" si="6"/>
        <v>1.074461656377345</v>
      </c>
      <c r="AD36" s="23">
        <f t="shared" si="7"/>
        <v>11.081119538519467</v>
      </c>
      <c r="AE36" s="23">
        <f t="shared" si="8"/>
        <v>1.4013729028318411</v>
      </c>
      <c r="AF36" s="23">
        <f t="shared" si="9"/>
        <v>29.555104217505885</v>
      </c>
      <c r="AG36" s="23">
        <f t="shared" si="10"/>
        <v>125.2689204730323</v>
      </c>
      <c r="AH36" s="23">
        <f t="shared" si="11"/>
        <v>55.70621537775714</v>
      </c>
      <c r="AI36" s="23">
        <f t="shared" si="12"/>
        <v>137.09723715165745</v>
      </c>
      <c r="AJ36" s="23">
        <f t="shared" si="13"/>
        <v>208.23120246703377</v>
      </c>
      <c r="AK36" s="23">
        <f t="shared" si="14"/>
        <v>161.90825923641637</v>
      </c>
      <c r="AL36" s="9">
        <f t="shared" si="24"/>
        <v>2.1499633638143223E-2</v>
      </c>
      <c r="AM36" s="9">
        <f t="shared" si="25"/>
        <v>1.9567070073700066E-2</v>
      </c>
      <c r="AN36" s="9">
        <f t="shared" ref="AN36:AO36" si="57">AVERAGE(AL34:AL38)</f>
        <v>2.1521711120053588E-2</v>
      </c>
      <c r="AO36" s="9">
        <f t="shared" si="57"/>
        <v>2.1371706523082068E-2</v>
      </c>
      <c r="AP36" s="23"/>
      <c r="AQ36" s="8">
        <f t="shared" si="1"/>
        <v>208.23120246703374</v>
      </c>
      <c r="AR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0.19867032785699582</v>
      </c>
      <c r="AS36" s="32">
        <f>((C37-C35)/2-(F37-F35)/F36/2*C36)/(F36/2/Parameters!$B$5-C36)-((D37-D35)/D36-(G37-G35)/G36)/(G36/2/Parameters!$B$5/D36-1)</f>
        <v>4.6921434939045745E-4</v>
      </c>
      <c r="AT36" s="32">
        <f>+Parameters!$B$5*C36^2/F36^2-Parameters!$B$5*D36^2/G36^2</f>
        <v>-6.5032814885157214E-3</v>
      </c>
      <c r="AU36" s="30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0.60138004250598165</v>
      </c>
      <c r="AV36" s="30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91.846289661722693</v>
      </c>
      <c r="AW36" s="8">
        <f>1000*(AR36+AS36+AT36)/(EXP(-Parameters!$B$42*A36)*((C36&lt;0)*Parameters!$B$37*EXP(-Parameters!$B$38*AF36)+(C36&gt;=0)*Parameters!$B$41))</f>
        <v>291.30600008435778</v>
      </c>
      <c r="AX36" s="13">
        <f>1-W36/'6states,ExoDamages'!T36</f>
        <v>7.8526113440829159E-2</v>
      </c>
      <c r="AY36" s="21">
        <f>-Y36*W36*X36^(-Parameters!B$52)*Parameters!B$46*Parameters!B$45*N36</f>
        <v>-1.732295743969674E-5</v>
      </c>
      <c r="AZ36" s="7">
        <f>1000*EXP(-(Parameters!$B$54)*'6states'!A36)*AQ36*Parameters!B$46*Parameters!B$45*N36</f>
        <v>1.5094450683157157</v>
      </c>
      <c r="BA36" s="7">
        <f>SUM(AZ36:AZ$204)*EXP(Parameters!$B$54*A36)</f>
        <v>389.4399713003105</v>
      </c>
      <c r="BB36" s="13">
        <f t="shared" si="35"/>
        <v>0.22217956546014309</v>
      </c>
      <c r="BC36" s="30">
        <f>IF(C36&lt;0,Parameters!$B$6*AC36^2/AF36,0)</f>
        <v>0</v>
      </c>
      <c r="BD36" s="30">
        <f>Parameters!$B$5*AD36^2/AG36</f>
        <v>0.98022087013508019</v>
      </c>
      <c r="BE36" s="30">
        <f t="shared" si="15"/>
        <v>0</v>
      </c>
      <c r="BF36" s="30">
        <f t="shared" si="16"/>
        <v>8.845864957305985E-2</v>
      </c>
      <c r="BG36" s="30"/>
      <c r="BH36" s="5">
        <f t="shared" ref="BH36:BH55" si="58">SUM(AY36:AY234)/Y36</f>
        <v>-2.0401492726305637E-3</v>
      </c>
      <c r="BI36" s="2">
        <f>BH36/Parameters!$B$45</f>
        <v>-3.4002487877176066</v>
      </c>
      <c r="BJ36" s="2">
        <f t="shared" si="27"/>
        <v>1.3375241392606929E-3</v>
      </c>
      <c r="BM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-0.60191783784841058</v>
      </c>
      <c r="BN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-91.928424922802577</v>
      </c>
      <c r="BO36" s="7">
        <f t="shared" ref="BO36:BO67" si="59">I36/(F36+I36)</f>
        <v>4.5269133738450158E-2</v>
      </c>
      <c r="BU36">
        <f>EXP(-Parameters!$B$56*A36)*BH36*BN36</f>
        <v>1.5456556191931167E-2</v>
      </c>
      <c r="BV36">
        <f>-EXP((Parameters!$B$56)*F36)*SUM(BU36:BU44)</f>
        <v>-8.8301892209731114E-2</v>
      </c>
      <c r="BW36">
        <f>X36^-Parameters!B$52/(1-2*Parameters!B$5*'6states'!D36/'6states'!G36)</f>
        <v>1.1228594242244339</v>
      </c>
      <c r="BX36">
        <f t="shared" si="17"/>
        <v>1.0012455069151538</v>
      </c>
      <c r="BY36">
        <f>$X36^-Parameters!$B$52/(1-2*Parameters!$B$5*'6states'!$E36/'6states'!$H36)</f>
        <v>1.0611989742577763</v>
      </c>
      <c r="BZ36">
        <f t="shared" si="18"/>
        <v>1.0056108748729728</v>
      </c>
      <c r="CA36" s="7">
        <f>($X36^-Parameters!$B$52*(1/(1+EXP(-C36)) + IF(C36&lt;0,2*Parameters!$B$6*C36/F36,0)) + BS36*(1/(1+EXP((C36-Parameters!$B$22)*Parameters!$B$21))))/(1-IF(C36&gt;0,2*Parameters!$B$5*C36/F36,0))</f>
        <v>0.50008961465750312</v>
      </c>
      <c r="CB36">
        <f t="shared" si="19"/>
        <v>1.0058969201056074</v>
      </c>
      <c r="CC36" s="7">
        <f t="shared" si="20"/>
        <v>2.93170049965924E-3</v>
      </c>
      <c r="CD36">
        <f>(1/$T36-1/Parameters!$B$13) * LN(Parameters!$B$18) / LN(P36)</f>
        <v>0.23652937221930356</v>
      </c>
      <c r="CE36">
        <f>(Parameters!$B$18*'6states'!T36^+Parameters!$B$19*Parameters!$B$25^'6states'!T36)^((1-'6states'!T36)/'6states'!T36)*Parameters!$B$18*Parameters!$B$26^('6states'!T36-1)</f>
        <v>0.27256471178023733</v>
      </c>
      <c r="CF36">
        <f t="shared" si="21"/>
        <v>0.25016769971524094</v>
      </c>
      <c r="CG36">
        <f t="shared" si="22"/>
        <v>0.15121525771431699</v>
      </c>
      <c r="CH36">
        <f t="shared" si="23"/>
        <v>0.17215344472808314</v>
      </c>
    </row>
    <row r="37" spans="1:86" x14ac:dyDescent="0.3">
      <c r="A37">
        <f>A36+Parameters!$B$65</f>
        <v>33</v>
      </c>
      <c r="B37">
        <v>2058</v>
      </c>
      <c r="C37" s="74">
        <v>7.2213612132059997E-3</v>
      </c>
      <c r="D37" s="69">
        <v>7.5681439994119998E-2</v>
      </c>
      <c r="E37" s="75">
        <v>0.21696215496021101</v>
      </c>
      <c r="F37" s="7">
        <f>MAX((1-Parameters!$B$4)^Parameters!B$65*F36 + C36*Parameters!B$65 - IF(C36&gt;0,Parameters!$B$5,0)*C36^2/F36*Parameters!B$65, 0.0001)</f>
        <v>0.18812456884853565</v>
      </c>
      <c r="G37" s="7">
        <f>(1-Parameters!$B$4)^Parameters!B$65*G36+D36*Parameters!B$65-Parameters!$B$5*D36^2/G36*Parameters!B$65</f>
        <v>0.83476626965841827</v>
      </c>
      <c r="H37" s="7">
        <f>(1-Parameters!$B$4)^Parameters!B$65*H36+E36*Parameters!B$65-Parameters!$B$5*E36^2/H36*Parameters!B$65</f>
        <v>3.4513689271546433</v>
      </c>
      <c r="I37" s="7">
        <f>I36 *(1-Parameters!$B$4)-C36*(C36&lt;0)*Parameters!B$65</f>
        <v>8.5985861781691722E-3</v>
      </c>
      <c r="J37" s="23">
        <f>J36*(1+Parameters!$B$51)^Parameters!B$65</f>
        <v>8.9782561577833935</v>
      </c>
      <c r="K37" s="23">
        <f>K36*(1+Parameters!$B$53)^Parameters!B$65</f>
        <v>17.401168654047741</v>
      </c>
      <c r="L37" s="23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16.699839222652198</v>
      </c>
      <c r="M37" s="8">
        <f>M36+L37*Parameters!B$65</f>
        <v>3096.8543993748053</v>
      </c>
      <c r="N37" s="7">
        <f>M37*Parameters!$B$45</f>
        <v>1.858112639624883</v>
      </c>
      <c r="O37" s="9">
        <f>EXP(-Parameters!$B$46/2*N37^2)</f>
        <v>0.9658966337018694</v>
      </c>
      <c r="P37" s="7">
        <f>MAX((Parameters!$B$62 + Parameters!$B$31*'6states'!A37 - '6states'!M37 + Parameters!$B$47/Parameters!$B$45)/Parameters!B$62,1)</f>
        <v>20.174912012503896</v>
      </c>
      <c r="Q37" s="7">
        <f>Parameters!B$61*EXP(-Parameters!B$60*A37)</f>
        <v>0.20512265112952199</v>
      </c>
      <c r="R37" s="7">
        <f>(1-Parameters!B$61)*P37^-Parameters!B$63</f>
        <v>0.37024469064605248</v>
      </c>
      <c r="S37" s="7">
        <f>Parameters!B$61*EXP(-Parameters!B$60*A37)+(1-Parameters!B$61)*P37^-Parameters!B$63</f>
        <v>0.57536734177557447</v>
      </c>
      <c r="T37" s="7">
        <f>1-S37/Parameters!$B$12</f>
        <v>0.71231632911221276</v>
      </c>
      <c r="U37" s="7">
        <f t="shared" si="0"/>
        <v>3.4760401830038385</v>
      </c>
      <c r="V37" s="7">
        <f>(Parameters!$B$19*(F37+Parameters!$B$20)^T37+Parameters!$B$18*G37^T37)^(1/T37)</f>
        <v>0.36408372944011974</v>
      </c>
      <c r="W37" s="7">
        <f>(Parameters!$B$10*H37^Parameters!$B$9+Parameters!$B$11*V37^Parameters!$B$9)^(Parameters!$B$7/Parameters!$B$9)*O37</f>
        <v>1.3619808671409248</v>
      </c>
      <c r="X37" s="7">
        <f>W37 - D37 - E37 - LN(1+EXP(Parameters!$B$21*C37))/Parameters!$B$21 - IF(C37&gt;0, 0,Parameters!$B$6*C37^2/F37)</f>
        <v>1.0617542935618007</v>
      </c>
      <c r="Y37" s="7">
        <f>EXP(-Parameters!$B$55*A37)</f>
        <v>0.60756263876780681</v>
      </c>
      <c r="Z37" s="7">
        <f>IF(X37&gt;0,X37^(1-Parameters!$B$52)/(1-Parameters!$B$52)*Y37*Parameters!$B$65,-10+X37*1000)</f>
        <v>-1.6998656823847311</v>
      </c>
      <c r="AB37" s="9"/>
      <c r="AC37" s="23">
        <f t="shared" si="6"/>
        <v>1.128208785527669</v>
      </c>
      <c r="AD37" s="23">
        <f t="shared" si="7"/>
        <v>11.823874056681337</v>
      </c>
      <c r="AE37" s="23">
        <f t="shared" si="8"/>
        <v>1.3433756023153398</v>
      </c>
      <c r="AF37" s="23">
        <f t="shared" si="9"/>
        <v>29.391105787698837</v>
      </c>
      <c r="AG37" s="23">
        <f t="shared" si="10"/>
        <v>130.41732873969738</v>
      </c>
      <c r="AH37" s="23">
        <f t="shared" si="11"/>
        <v>56.881583692399118</v>
      </c>
      <c r="AI37" s="23">
        <f t="shared" si="12"/>
        <v>139.98990805884955</v>
      </c>
      <c r="AJ37" s="23">
        <f t="shared" si="13"/>
        <v>212.78519861587077</v>
      </c>
      <c r="AK37" s="23">
        <f t="shared" si="14"/>
        <v>165.88015565230751</v>
      </c>
      <c r="AL37" s="9">
        <f t="shared" si="24"/>
        <v>2.163418696291064E-2</v>
      </c>
      <c r="AM37" s="9">
        <f t="shared" si="25"/>
        <v>2.4235699906935082E-2</v>
      </c>
      <c r="AN37" s="9">
        <f t="shared" ref="AN37:AO37" si="60">AVERAGE(AL35:AL39)</f>
        <v>2.1567889289451258E-2</v>
      </c>
      <c r="AO37" s="9">
        <f t="shared" si="60"/>
        <v>2.1325224602221658E-2</v>
      </c>
      <c r="AP37" s="23"/>
      <c r="AQ37" s="8">
        <f t="shared" si="1"/>
        <v>212.7851986158708</v>
      </c>
      <c r="AR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0.19920076651560331</v>
      </c>
      <c r="AS37" s="32">
        <f>((C38-C36)/2-(F38-F36)/F37/2*C37)/(F37/2/Parameters!$B$5-C37)-((D38-D36)/D37-(G38-G36)/G37)/(G37/2/Parameters!$B$5/D37-1)</f>
        <v>7.9823757218488219E-4</v>
      </c>
      <c r="AT37" s="32">
        <f>+Parameters!$B$5*C37^2/F37^2-Parameters!$B$5*D37^2/G37^2</f>
        <v>-6.7460782380618783E-3</v>
      </c>
      <c r="AU37" s="30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0.5973515540509301</v>
      </c>
      <c r="AV37" s="30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93.325517368721108</v>
      </c>
      <c r="AW37" s="8">
        <f>1000*(AR37+AS37+AT37)/(EXP(-Parameters!$B$42*A37)*((C37&lt;0)*Parameters!$B$37*EXP(-Parameters!$B$38*AF37)+(C37&gt;=0)*Parameters!$B$41))</f>
        <v>295.17557173967032</v>
      </c>
      <c r="AX37" s="13">
        <f>1-W37/'6states,ExoDamages'!T37</f>
        <v>7.9095880712576339E-2</v>
      </c>
      <c r="AY37" s="21">
        <f>-Y37*W37*X37^(-Parameters!B$52)*Parameters!B$46*Parameters!B$45*N37</f>
        <v>-1.7102081701170565E-5</v>
      </c>
      <c r="AZ37" s="7">
        <f>1000*EXP(-(Parameters!$B$54)*'6states'!A37)*AQ37*Parameters!B$46*Parameters!B$45*N37</f>
        <v>1.497329779357125</v>
      </c>
      <c r="BA37" s="7">
        <f>SUM(AZ37:AZ$204)*EXP(Parameters!$B$54*A37)</f>
        <v>398.54519240427675</v>
      </c>
      <c r="BB37" s="13">
        <f t="shared" si="35"/>
        <v>0.22016825889560007</v>
      </c>
      <c r="BC37" s="30">
        <f>IF(C37&lt;0,Parameters!$B$6*AC37^2/AF37,0)</f>
        <v>0</v>
      </c>
      <c r="BD37" s="30">
        <f>Parameters!$B$5*AD37^2/AG37</f>
        <v>1.071974093161344</v>
      </c>
      <c r="BE37" s="30">
        <f t="shared" si="15"/>
        <v>0</v>
      </c>
      <c r="BF37" s="30">
        <f t="shared" si="16"/>
        <v>9.066183283266635E-2</v>
      </c>
      <c r="BG37" s="30"/>
      <c r="BH37" s="5">
        <f t="shared" si="58"/>
        <v>-2.0426770725759857E-3</v>
      </c>
      <c r="BI37" s="2">
        <f>BH37/Parameters!$B$45</f>
        <v>-3.404461787626643</v>
      </c>
      <c r="BJ37" s="2">
        <f t="shared" si="27"/>
        <v>1.2374936691457172E-3</v>
      </c>
      <c r="BM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-0.63793290084169463</v>
      </c>
      <c r="BN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-99.665628412350685</v>
      </c>
      <c r="BO37" s="7">
        <f t="shared" si="59"/>
        <v>4.3709070124469736E-2</v>
      </c>
      <c r="BU37">
        <f>EXP(-Parameters!$B$56*A37)*BH37*BN37</f>
        <v>1.5519264224792242E-2</v>
      </c>
      <c r="BV37">
        <f>-EXP((Parameters!$B$56)*F37)*SUM(BU37:BU45)</f>
        <v>-7.6145200716912637E-2</v>
      </c>
      <c r="BW37">
        <f>X37^-Parameters!B$52/(1-2*Parameters!B$5*'6states'!D37/'6states'!G37)</f>
        <v>1.1265625985789367</v>
      </c>
      <c r="BX37">
        <f t="shared" ref="BX37:BX68" si="61">BW37/BW36</f>
        <v>1.003297985726985</v>
      </c>
      <c r="BY37">
        <f>$X37^-Parameters!$B$52/(1-2*Parameters!$B$5*'6states'!$E37/'6states'!$H37)</f>
        <v>1.0549202818886223</v>
      </c>
      <c r="BZ37">
        <f t="shared" ref="BZ37:BZ68" si="62">BY37/BY36</f>
        <v>0.99408339762715525</v>
      </c>
      <c r="CA37" s="7">
        <f>($X37^-Parameters!$B$52*(1/(1+EXP(-C37)) + IF(C37&lt;0,2*Parameters!$B$6*C37/F37,0)) + BS37*(1/(1+EXP((C37-Parameters!$B$22)*Parameters!$B$21))))/(1-IF(C37&gt;0,2*Parameters!$B$5*C37/F37,0))</f>
        <v>0.50129563984613634</v>
      </c>
      <c r="CB37">
        <f t="shared" ref="CB37:CB68" si="63">CA37/CA36</f>
        <v>1.0024116181445983</v>
      </c>
      <c r="CC37" s="7">
        <f t="shared" ref="CC37:CC68" si="64">CA37-CA36</f>
        <v>1.2060251886332196E-3</v>
      </c>
      <c r="CD37">
        <f>(1/$T37-1/Parameters!$B$13) * LN(Parameters!$B$18) / LN(P37)</f>
        <v>0.23636895712245276</v>
      </c>
      <c r="CE37">
        <f>(Parameters!$B$18*'6states'!T37^+Parameters!$B$19*Parameters!$B$25^'6states'!T37)^((1-'6states'!T37)/'6states'!T37)*Parameters!$B$18*Parameters!$B$26^('6states'!T37-1)</f>
        <v>0.27407576796758459</v>
      </c>
      <c r="CF37">
        <f t="shared" ref="CF37:CF68" si="65">(LN(CE37)-LN(CE$4))/ LN(P37)</f>
        <v>0.24893908761582043</v>
      </c>
      <c r="CG37">
        <f t="shared" ref="CG37:CG68" si="66">1-2^-CD37</f>
        <v>0.15112087501191274</v>
      </c>
      <c r="CH37">
        <f t="shared" ref="CH37:CH68" si="67">1-2^-CE37</f>
        <v>0.17302006432150818</v>
      </c>
    </row>
    <row r="38" spans="1:86" x14ac:dyDescent="0.3">
      <c r="A38">
        <f>A37+Parameters!$B$65</f>
        <v>34</v>
      </c>
      <c r="B38">
        <v>2059</v>
      </c>
      <c r="C38" s="74">
        <v>7.4360111158659602E-3</v>
      </c>
      <c r="D38" s="69">
        <v>7.6645545004136104E-2</v>
      </c>
      <c r="E38" s="75">
        <v>0.21682250668643299</v>
      </c>
      <c r="F38" s="7">
        <f>MAX((1-Parameters!$B$4)^Parameters!B$65*F37 + C37*Parameters!B$65 - IF(C37&gt;0,Parameters!$B$5,0)*C37^2/F37*Parameters!B$65, 0.0001)</f>
        <v>0.18323569506768511</v>
      </c>
      <c r="G38" s="7">
        <f>(1-Parameters!$B$4)^Parameters!B$65*G37+D37*Parameters!B$65-Parameters!$B$5*D37^2/G37*Parameters!B$65</f>
        <v>0.85107949322974141</v>
      </c>
      <c r="H38" s="7">
        <f>(1-Parameters!$B$4)^Parameters!B$65*H37+E37*Parameters!B$65-Parameters!$B$5*E37^2/H37*Parameters!B$65</f>
        <v>3.4376011632220465</v>
      </c>
      <c r="I38" s="7">
        <f>I37 *(1-Parameters!$B$4)-C37*(C37&lt;0)*Parameters!B$65</f>
        <v>8.0577351075623322E-3</v>
      </c>
      <c r="J38" s="23">
        <f>J37*(1+Parameters!$B$51)^Parameters!B$65</f>
        <v>9.0042931006409646</v>
      </c>
      <c r="K38" s="23">
        <f>K37*(1+Parameters!$B$53)^Parameters!B$65</f>
        <v>17.749192027128696</v>
      </c>
      <c r="L38" s="23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16.506893975878413</v>
      </c>
      <c r="M38" s="8">
        <f>M37+L38*Parameters!B$65</f>
        <v>3113.3612933506838</v>
      </c>
      <c r="N38" s="7">
        <f>M38*Parameters!$B$45</f>
        <v>1.8680167760104101</v>
      </c>
      <c r="O38" s="9">
        <f>EXP(-Parameters!$B$46/2*N38^2)</f>
        <v>0.96553846244845176</v>
      </c>
      <c r="P38" s="7">
        <f>MAX((Parameters!$B$62 + Parameters!$B$31*'6states'!A38 - '6states'!M38 + Parameters!$B$47/Parameters!$B$45)/Parameters!B$62,1)</f>
        <v>20.908774132986327</v>
      </c>
      <c r="Q38" s="7">
        <f>Parameters!B$61*EXP(-Parameters!B$60*A38)</f>
        <v>0.19965843836819494</v>
      </c>
      <c r="R38" s="7">
        <f>(1-Parameters!B$61)*P38^-Parameters!B$63</f>
        <v>0.36892420256498265</v>
      </c>
      <c r="S38" s="7">
        <f>Parameters!B$61*EXP(-Parameters!B$60*A38)+(1-Parameters!B$61)*P38^-Parameters!B$63</f>
        <v>0.56858264093317756</v>
      </c>
      <c r="T38" s="7">
        <f>1-S38/Parameters!$B$12</f>
        <v>0.71570867953341122</v>
      </c>
      <c r="U38" s="7">
        <f t="shared" si="0"/>
        <v>3.5175185734083096</v>
      </c>
      <c r="V38" s="7">
        <f>(Parameters!$B$19*(F38+Parameters!$B$20)^T38+Parameters!$B$18*G38^T38)^(1/T38)</f>
        <v>0.36424070309498197</v>
      </c>
      <c r="W38" s="7">
        <f>(Parameters!$B$10*H38^Parameters!$B$9+Parameters!$B$11*V38^Parameters!$B$9)^(Parameters!$B$7/Parameters!$B$9)*O38</f>
        <v>1.3604037008098158</v>
      </c>
      <c r="X38" s="7">
        <f>W38 - D38 - E38 - LN(1+EXP(Parameters!$B$21*C38))/Parameters!$B$21 - IF(C38&gt;0, 0,Parameters!$B$6*C38^2/F38)</f>
        <v>1.0591594615808497</v>
      </c>
      <c r="Y38" s="7">
        <f>EXP(-Parameters!$B$55*A38)</f>
        <v>0.59845736077844469</v>
      </c>
      <c r="Z38" s="7">
        <f>IF(X38&gt;0,X38^(1-Parameters!$B$52)/(1-Parameters!$B$52)*Y38*Parameters!$B$65,-10+X38*1000)</f>
        <v>-1.6758251201363434</v>
      </c>
      <c r="AB38" s="9"/>
      <c r="AC38" s="23">
        <f t="shared" si="6"/>
        <v>1.188415320016516</v>
      </c>
      <c r="AD38" s="23">
        <f t="shared" si="7"/>
        <v>12.249408785791358</v>
      </c>
      <c r="AE38" s="23">
        <f t="shared" si="8"/>
        <v>1.2877785814534572</v>
      </c>
      <c r="AF38" s="23">
        <f t="shared" si="9"/>
        <v>29.28453223095438</v>
      </c>
      <c r="AG38" s="23">
        <f t="shared" si="10"/>
        <v>136.01861166507021</v>
      </c>
      <c r="AH38" s="23">
        <f t="shared" si="11"/>
        <v>58.212558451945519</v>
      </c>
      <c r="AI38" s="23">
        <f t="shared" si="12"/>
        <v>143.26553827380872</v>
      </c>
      <c r="AJ38" s="23">
        <f t="shared" si="13"/>
        <v>217.41826017446377</v>
      </c>
      <c r="AK38" s="23">
        <f t="shared" si="14"/>
        <v>169.27372900202315</v>
      </c>
      <c r="AL38" s="9">
        <f t="shared" si="24"/>
        <v>2.1539764930798455E-2</v>
      </c>
      <c r="AM38" s="9">
        <f t="shared" si="25"/>
        <v>2.0251529142809588E-2</v>
      </c>
      <c r="AN38" s="9">
        <f t="shared" ref="AN38:AO38" si="68">AVERAGE(AL36:AL40)</f>
        <v>2.121956270020444E-2</v>
      </c>
      <c r="AO38" s="9">
        <f t="shared" si="68"/>
        <v>2.0333600344008929E-2</v>
      </c>
      <c r="AP38" s="23"/>
      <c r="AQ38" s="8">
        <f t="shared" si="1"/>
        <v>217.41826017446377</v>
      </c>
      <c r="AR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0.19664463143684105</v>
      </c>
      <c r="AS38" s="32">
        <f>((C39-C37)/2-(F39-F37)/F38/2*C38)/(F38/2/Parameters!$B$5-C38)-((D39-D37)/D38-(G39-G37)/G38)/(G38/2/Parameters!$B$5/D38-1)</f>
        <v>-6.1007584698102586E-2</v>
      </c>
      <c r="AT38" s="32">
        <f>+Parameters!$B$5*C38^2/F38^2-Parameters!$B$5*D38^2/G38^2</f>
        <v>-6.463365450615704E-3</v>
      </c>
      <c r="AU38" s="30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0.5934387065790786</v>
      </c>
      <c r="AV38" s="30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94.842737510786122</v>
      </c>
      <c r="AW38" s="8">
        <f>1000*(AR38+AS38+AT38)/(EXP(-Parameters!$B$42*A38)*((C38&lt;0)*Parameters!$B$37*EXP(-Parameters!$B$38*AF38)+(C38&gt;=0)*Parameters!$B$41))</f>
        <v>199.28348834762548</v>
      </c>
      <c r="AX38" s="13">
        <f>1-W38/'6states,ExoDamages'!T38</f>
        <v>7.9760172144058283E-2</v>
      </c>
      <c r="AY38" s="21">
        <f>-Y38*W38*X38^(-Parameters!B$52)*Parameters!B$46*Parameters!B$45*N38</f>
        <v>-1.6971931683105096E-5</v>
      </c>
      <c r="AZ38" s="7">
        <f>1000*EXP(-(Parameters!$B$54)*'6states'!A38)*AQ38*Parameters!B$46*Parameters!B$45*N38</f>
        <v>1.485036271812759</v>
      </c>
      <c r="BA38" s="7">
        <f>SUM(AZ38:AZ$204)*EXP(Parameters!$B$54*A38)</f>
        <v>407.84392495951317</v>
      </c>
      <c r="BB38" s="13">
        <f t="shared" si="35"/>
        <v>0.22118733036915003</v>
      </c>
      <c r="BC38" s="30">
        <f>IF(C38&lt;0,Parameters!$B$6*AC38^2/AF38,0)</f>
        <v>0</v>
      </c>
      <c r="BD38" s="30">
        <f>Parameters!$B$5*AD38^2/AG38</f>
        <v>1.1031432666795487</v>
      </c>
      <c r="BE38" s="30">
        <f t="shared" si="15"/>
        <v>0</v>
      </c>
      <c r="BF38" s="30">
        <f t="shared" si="16"/>
        <v>9.0056857924370542E-2</v>
      </c>
      <c r="BG38" s="30"/>
      <c r="BH38" s="5">
        <f t="shared" si="58"/>
        <v>-2.0451786056596174E-3</v>
      </c>
      <c r="BI38" s="2">
        <f>BH38/Parameters!$B$45</f>
        <v>-3.4086310094326961</v>
      </c>
      <c r="BJ38" s="2">
        <f t="shared" si="27"/>
        <v>1.2231367356911882E-3</v>
      </c>
      <c r="BM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-0.67688728993198899</v>
      </c>
      <c r="BN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-108.17940058793981</v>
      </c>
      <c r="BO38" s="7">
        <f t="shared" si="59"/>
        <v>4.212238287629895E-2</v>
      </c>
      <c r="BU38">
        <f>EXP(-Parameters!$B$56*A38)*BH38*BN38</f>
        <v>1.5600080725645504E-2</v>
      </c>
      <c r="BV38">
        <f>-EXP((Parameters!$B$56)*F38)*SUM(BU38:BU46)</f>
        <v>-6.4088748968908149E-2</v>
      </c>
      <c r="BW38">
        <f>X38^-Parameters!B$52/(1-2*Parameters!B$5*'6states'!D38/'6states'!G38)</f>
        <v>1.12862211556638</v>
      </c>
      <c r="BX38">
        <f t="shared" si="61"/>
        <v>1.0018281425195912</v>
      </c>
      <c r="BY38">
        <f>$X38^-Parameters!$B$52/(1-2*Parameters!$B$5*'6states'!$E38/'6states'!$H38)</f>
        <v>1.0589222557667164</v>
      </c>
      <c r="BZ38">
        <f t="shared" si="62"/>
        <v>1.0037936268235637</v>
      </c>
      <c r="CA38" s="7">
        <f>($X38^-Parameters!$B$52*(1/(1+EXP(-C38)) + IF(C38&lt;0,2*Parameters!$B$6*C38/F38,0)) + BS38*(1/(1+EXP((C38-Parameters!$B$22)*Parameters!$B$21))))/(1-IF(C38&gt;0,2*Parameters!$B$5*C38/F38,0))</f>
        <v>0.50541203335745821</v>
      </c>
      <c r="CB38">
        <f t="shared" si="63"/>
        <v>1.0082115087068886</v>
      </c>
      <c r="CC38" s="7">
        <f t="shared" si="64"/>
        <v>4.1163935113218697E-3</v>
      </c>
      <c r="CD38">
        <f>(1/$T38-1/Parameters!$B$13) * LN(Parameters!$B$18) / LN(P38)</f>
        <v>0.23619847154104096</v>
      </c>
      <c r="CE38">
        <f>(Parameters!$B$18*'6states'!T38^+Parameters!$B$19*Parameters!$B$25^'6states'!T38)^((1-'6states'!T38)/'6states'!T38)*Parameters!$B$18*Parameters!$B$26^('6states'!T38-1)</f>
        <v>0.2755128150123507</v>
      </c>
      <c r="CF38">
        <f t="shared" si="65"/>
        <v>0.24773362712932143</v>
      </c>
      <c r="CG38">
        <f t="shared" si="66"/>
        <v>0.15102055568010586</v>
      </c>
      <c r="CH38">
        <f t="shared" si="67"/>
        <v>0.17384339659698189</v>
      </c>
    </row>
    <row r="39" spans="1:86" x14ac:dyDescent="0.3">
      <c r="A39">
        <f>A38+Parameters!$B$65</f>
        <v>35</v>
      </c>
      <c r="B39">
        <v>2060</v>
      </c>
      <c r="C39" s="74">
        <v>-3.718404653863E-3</v>
      </c>
      <c r="D39" s="69">
        <v>7.8005915052863403E-2</v>
      </c>
      <c r="E39" s="75">
        <v>0.222796521154428</v>
      </c>
      <c r="F39" s="7">
        <f>MAX((1-Parameters!$B$4)^Parameters!B$65*F38 + C38*Parameters!B$65 - IF(C38&gt;0,Parameters!$B$5,0)*C38^2/F38*Parameters!B$65, 0.0001)</f>
        <v>0.17884441518996419</v>
      </c>
      <c r="G39" s="7">
        <f>(1-Parameters!$B$4)^Parameters!B$65*G38+D38*Parameters!B$65-Parameters!$B$5*D38^2/G38*Parameters!B$65</f>
        <v>0.8672896811527534</v>
      </c>
      <c r="H39" s="7">
        <f>(1-Parameters!$B$4)^Parameters!B$65*H38+E38*Parameters!B$65-Parameters!$B$5*E38^2/H38*Parameters!B$65</f>
        <v>3.4245227412025478</v>
      </c>
      <c r="I39" s="7">
        <f>I38 *(1-Parameters!$B$4)-C38*(C38&lt;0)*Parameters!B$65</f>
        <v>7.5509035692966622E-3</v>
      </c>
      <c r="J39" s="23">
        <f>J38*(1+Parameters!$B$51)^Parameters!B$65</f>
        <v>9.0304055506328229</v>
      </c>
      <c r="K39" s="23">
        <f>K38*(1+Parameters!$B$53)^Parameters!B$65</f>
        <v>18.10417586767127</v>
      </c>
      <c r="L39" s="23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16.352805991868934</v>
      </c>
      <c r="M39" s="8">
        <f>M38+L39*Parameters!B$65</f>
        <v>3129.7140993425528</v>
      </c>
      <c r="N39" s="7">
        <f>M39*Parameters!$B$45</f>
        <v>1.8778284596055315</v>
      </c>
      <c r="O39" s="9">
        <f>EXP(-Parameters!$B$46/2*N39^2)</f>
        <v>0.96518188916486725</v>
      </c>
      <c r="P39" s="7">
        <f>MAX((Parameters!$B$62 + Parameters!$B$31*'6states'!A39 - '6states'!M39 + Parameters!$B$47/Parameters!$B$45)/Parameters!B$62,1)</f>
        <v>21.645718013148944</v>
      </c>
      <c r="Q39" s="7">
        <f>Parameters!B$61*EXP(-Parameters!B$60*A39)</f>
        <v>0.19433978545087652</v>
      </c>
      <c r="R39" s="7">
        <f>(1-Parameters!B$61)*P39^-Parameters!B$63</f>
        <v>0.36764850532987492</v>
      </c>
      <c r="S39" s="7">
        <f>Parameters!B$61*EXP(-Parameters!B$60*A39)+(1-Parameters!B$61)*P39^-Parameters!B$63</f>
        <v>0.56198829078075141</v>
      </c>
      <c r="T39" s="7">
        <f>1-S39/Parameters!$B$12</f>
        <v>0.7190058546096243</v>
      </c>
      <c r="U39" s="7">
        <f t="shared" si="0"/>
        <v>3.5587930083409165</v>
      </c>
      <c r="V39" s="7">
        <f>(Parameters!$B$19*(F39+Parameters!$B$20)^T39+Parameters!$B$18*G39^T39)^(1/T39)</f>
        <v>0.36476977271912436</v>
      </c>
      <c r="W39" s="7">
        <f>(Parameters!$B$10*H39^Parameters!$B$9+Parameters!$B$11*V39^Parameters!$B$9)^(Parameters!$B$7/Parameters!$B$9)*O39</f>
        <v>1.359002521774769</v>
      </c>
      <c r="X39" s="7">
        <f>W39 - D39 - E39 - LN(1+EXP(Parameters!$B$21*C39))/Parameters!$B$21 - IF(C39&gt;0, 0,Parameters!$B$6*C39^2/F39)</f>
        <v>1.0568685951545664</v>
      </c>
      <c r="Y39" s="7">
        <f>EXP(-Parameters!$B$55*A39)</f>
        <v>0.58948853964467807</v>
      </c>
      <c r="Z39" s="7">
        <f>IF(X39&gt;0,X39^(1-Parameters!$B$52)/(1-Parameters!$B$52)*Y39*Parameters!$B$65,-10+X39*1000)</f>
        <v>-1.6519617008594751</v>
      </c>
      <c r="AB39" s="9"/>
      <c r="AC39" s="23">
        <f t="shared" si="6"/>
        <v>-0.60791472688218717</v>
      </c>
      <c r="AD39" s="23">
        <f t="shared" si="7"/>
        <v>12.753034959573746</v>
      </c>
      <c r="AE39" s="23">
        <f t="shared" si="8"/>
        <v>1.234482502132711</v>
      </c>
      <c r="AF39" s="23">
        <f t="shared" si="9"/>
        <v>29.238924736623705</v>
      </c>
      <c r="AG39" s="23">
        <f t="shared" si="10"/>
        <v>141.791498969316</v>
      </c>
      <c r="AH39" s="23">
        <f t="shared" si="11"/>
        <v>59.635498930180191</v>
      </c>
      <c r="AI39" s="23">
        <f t="shared" si="12"/>
        <v>146.76750312412815</v>
      </c>
      <c r="AJ39" s="23">
        <f t="shared" si="13"/>
        <v>222.18067256306503</v>
      </c>
      <c r="AK39" s="23">
        <f t="shared" si="14"/>
        <v>172.78538598704668</v>
      </c>
      <c r="AL39" s="9">
        <f t="shared" si="24"/>
        <v>2.166792665528483E-2</v>
      </c>
      <c r="AM39" s="9">
        <f t="shared" si="25"/>
        <v>2.0533178095962334E-2</v>
      </c>
      <c r="AN39" s="9">
        <f t="shared" ref="AN39:AO39" si="69">AVERAGE(AL37:AL41)</f>
        <v>2.1324906139421708E-2</v>
      </c>
      <c r="AO39" s="9">
        <f t="shared" si="69"/>
        <v>2.0939751038897291E-2</v>
      </c>
      <c r="AP39" s="23"/>
      <c r="AQ39" s="8">
        <f t="shared" si="1"/>
        <v>222.18067256306503</v>
      </c>
      <c r="AR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0.22952595639612361</v>
      </c>
      <c r="AS39" s="32">
        <f>((C40-C38)/2-(F40-F38)/F39/2*C39)/(F39/2/Parameters!$B$5-C39)-((D40-D38)/D39-(G40-G38)/G39)/(G39/2/Parameters!$B$5/D39-1)</f>
        <v>5.4806646731992981E-3</v>
      </c>
      <c r="AT39" s="32">
        <f>+Parameters!$B$5*C39^2/F39^2-Parameters!$B$5*D39^2/G39^2</f>
        <v>-7.6573163566271574E-3</v>
      </c>
      <c r="AU39" s="30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0.58963943203229596</v>
      </c>
      <c r="AV39" s="30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96.39900109055958</v>
      </c>
      <c r="AW39" s="8">
        <f>1000*(AR39+AS39+AT39)/(EXP(-Parameters!$B$42*A39)*((C39&lt;0)*Parameters!$B$37*EXP(-Parameters!$B$38*AF39)+(C39&gt;=0)*Parameters!$B$41))</f>
        <v>95290567044.123032</v>
      </c>
      <c r="AX39" s="13">
        <f>1-W39/'6states,ExoDamages'!T39</f>
        <v>8.0312962807313593E-2</v>
      </c>
      <c r="AY39" s="21">
        <f>-Y39*W39*X39^(-Parameters!B$52)*Parameters!B$46*Parameters!B$45*N39</f>
        <v>-1.6837224898451152E-5</v>
      </c>
      <c r="AZ39" s="7">
        <f>1000*EXP(-(Parameters!$B$54)*'6states'!A39)*AQ39*Parameters!B$46*Parameters!B$45*N39</f>
        <v>1.4729185463028565</v>
      </c>
      <c r="BA39" s="7">
        <f>SUM(AZ39:AZ$204)*EXP(Parameters!$B$54*A39)</f>
        <v>417.34041134134475</v>
      </c>
      <c r="BB39" s="13">
        <f t="shared" si="35"/>
        <v>0.21860447408549025</v>
      </c>
      <c r="BC39" s="30">
        <f>IF(C39&lt;0,Parameters!$B$6*AC39^2/AF39,0)</f>
        <v>6.3196632312771964E-2</v>
      </c>
      <c r="BD39" s="30">
        <f>Parameters!$B$5*AD39^2/AG39</f>
        <v>1.1470356252831899</v>
      </c>
      <c r="BE39" s="30">
        <f t="shared" si="15"/>
        <v>0.10395640953935857</v>
      </c>
      <c r="BF39" s="30">
        <f t="shared" si="16"/>
        <v>8.9942168975401929E-2</v>
      </c>
      <c r="BG39" s="30"/>
      <c r="BH39" s="5">
        <f t="shared" si="58"/>
        <v>-2.047504196956929E-3</v>
      </c>
      <c r="BI39" s="2">
        <f>BH39/Parameters!$B$45</f>
        <v>-3.4125069949282154</v>
      </c>
      <c r="BJ39" s="2">
        <f t="shared" si="27"/>
        <v>1.1358175972326912E-3</v>
      </c>
      <c r="BM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-0.71901949321716041</v>
      </c>
      <c r="BN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-117.55109503425854</v>
      </c>
      <c r="BO39" s="7">
        <f t="shared" si="59"/>
        <v>4.0510156690410463E-2</v>
      </c>
      <c r="BU39">
        <f>EXP(-Parameters!$B$56*A39)*BH39*BN39</f>
        <v>1.5697393460672872E-2</v>
      </c>
      <c r="BV39">
        <f>-EXP((Parameters!$B$56)*F39)*SUM(BU39:BU47)</f>
        <v>-5.2098309518577524E-2</v>
      </c>
      <c r="BW39">
        <f>X39^-Parameters!B$52/(1-2*Parameters!B$5*'6states'!D39/'6states'!G39)</f>
        <v>1.1316094186841836</v>
      </c>
      <c r="BX39">
        <f t="shared" si="61"/>
        <v>1.0026468585690478</v>
      </c>
      <c r="BY39">
        <f>$X39^-Parameters!$B$52/(1-2*Parameters!$B$5*'6states'!$E39/'6states'!$H39)</f>
        <v>1.0668698935201251</v>
      </c>
      <c r="BZ39">
        <f t="shared" si="62"/>
        <v>1.0075054025072447</v>
      </c>
      <c r="CA39" s="7">
        <f>($X39^-Parameters!$B$52*(1/(1+EXP(-C39)) + IF(C39&lt;0,2*Parameters!$B$6*C39/F39,0)) + BS39*(1/(1+EXP((C39-Parameters!$B$22)*Parameters!$B$21))))/(1-IF(C39&gt;0,2*Parameters!$B$5*C39/F39,0))</f>
        <v>0.27020896979133385</v>
      </c>
      <c r="CB39">
        <f t="shared" si="63"/>
        <v>0.53463105735004457</v>
      </c>
      <c r="CC39" s="7">
        <f t="shared" si="64"/>
        <v>-0.23520306356612436</v>
      </c>
      <c r="CD39">
        <f>(1/$T39-1/Parameters!$B$13) * LN(Parameters!$B$18) / LN(P39)</f>
        <v>0.23601999754204703</v>
      </c>
      <c r="CE39">
        <f>(Parameters!$B$18*'6states'!T39^+Parameters!$B$19*Parameters!$B$25^'6states'!T39)^((1-'6states'!T39)/'6states'!T39)*Parameters!$B$18*Parameters!$B$26^('6states'!T39-1)</f>
        <v>0.27687978752490067</v>
      </c>
      <c r="CF39">
        <f t="shared" si="65"/>
        <v>0.24655244808354698</v>
      </c>
      <c r="CG39">
        <f t="shared" si="66"/>
        <v>0.15091552299835065</v>
      </c>
      <c r="CH39">
        <f t="shared" si="67"/>
        <v>0.17462582010005023</v>
      </c>
    </row>
    <row r="40" spans="1:86" x14ac:dyDescent="0.3">
      <c r="A40">
        <f>A39+Parameters!$B$65</f>
        <v>36</v>
      </c>
      <c r="B40">
        <v>2061</v>
      </c>
      <c r="C40" s="74">
        <v>7.1261474323178996E-3</v>
      </c>
      <c r="D40" s="69">
        <v>7.6272793208481293E-2</v>
      </c>
      <c r="E40" s="75">
        <v>0.22029171035272399</v>
      </c>
      <c r="F40" s="7">
        <f>MAX((1-Parameters!$B$4)^Parameters!B$65*F39 + C39*Parameters!B$65 - IF(C39&gt;0,Parameters!$B$5,0)*C39^2/F39*Parameters!B$65, 0.0001)</f>
        <v>0.16387669682065245</v>
      </c>
      <c r="G40" s="7">
        <f>(1-Parameters!$B$4)^Parameters!B$65*G39+D39*Parameters!B$65-Parameters!$B$5*D39^2/G39*Parameters!B$65</f>
        <v>0.88372705406834318</v>
      </c>
      <c r="H40" s="7">
        <f>(1-Parameters!$B$4)^Parameters!B$65*H39+E39*Parameters!B$65-Parameters!$B$5*E39^2/H39*Parameters!B$65</f>
        <v>3.4174218307874615</v>
      </c>
      <c r="I40" s="7">
        <f>I39 *(1-Parameters!$B$4)-C39*(C39&lt;0)*Parameters!B$65</f>
        <v>1.0794356388650903E-2</v>
      </c>
      <c r="J40" s="23">
        <f>J39*(1+Parameters!$B$51)^Parameters!B$65</f>
        <v>9.0565937267296572</v>
      </c>
      <c r="K40" s="23">
        <f>K39*(1+Parameters!$B$53)^Parameters!B$65</f>
        <v>18.466259385024696</v>
      </c>
      <c r="L40" s="23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14.876306535501824</v>
      </c>
      <c r="M40" s="8">
        <f>M39+L40*Parameters!B$65</f>
        <v>3144.5904058780548</v>
      </c>
      <c r="N40" s="7">
        <f>M40*Parameters!$B$45</f>
        <v>1.8867542435268327</v>
      </c>
      <c r="O40" s="9">
        <f>EXP(-Parameters!$B$46/2*N40^2)</f>
        <v>0.96485600361094426</v>
      </c>
      <c r="P40" s="7">
        <f>MAX((Parameters!$B$62 + Parameters!$B$31*'6states'!A40 - '6states'!M40 + Parameters!$B$47/Parameters!$B$45)/Parameters!B$62,1)</f>
        <v>22.412191882438904</v>
      </c>
      <c r="Q40" s="7">
        <f>Parameters!B$61*EXP(-Parameters!B$60*A40)</f>
        <v>0.18916281484403841</v>
      </c>
      <c r="R40" s="7">
        <f>(1-Parameters!B$61)*P40^-Parameters!B$63</f>
        <v>0.36637140597601248</v>
      </c>
      <c r="S40" s="7">
        <f>Parameters!B$61*EXP(-Parameters!B$60*A40)+(1-Parameters!B$61)*P40^-Parameters!B$63</f>
        <v>0.55553422082005088</v>
      </c>
      <c r="T40" s="7">
        <f>1-S40/Parameters!$B$12</f>
        <v>0.72223288958997456</v>
      </c>
      <c r="U40" s="7">
        <f t="shared" si="0"/>
        <v>3.6001382543953881</v>
      </c>
      <c r="V40" s="7">
        <f>(Parameters!$B$19*(F40+Parameters!$B$20)^T40+Parameters!$B$18*G40^T40)^(1/T40)</f>
        <v>0.35639513952872487</v>
      </c>
      <c r="W40" s="7">
        <f>(Parameters!$B$10*H40^Parameters!$B$9+Parameters!$B$11*V40^Parameters!$B$9)^(Parameters!$B$7/Parameters!$B$9)*O40</f>
        <v>1.3550100369989626</v>
      </c>
      <c r="X40" s="7">
        <f>W40 - D40 - E40 - LN(1+EXP(Parameters!$B$21*C40))/Parameters!$B$21 - IF(C40&gt;0, 0,Parameters!$B$6*C40^2/F40)</f>
        <v>1.0509478534870911</v>
      </c>
      <c r="Y40" s="7">
        <f>EXP(-Parameters!$B$55*A40)</f>
        <v>0.58065413034674362</v>
      </c>
      <c r="Z40" s="7">
        <f>IF(X40&gt;0,X40^(1-Parameters!$B$52)/(1-Parameters!$B$52)*Y40*Parameters!$B$65,-10+X40*1000)</f>
        <v>-1.6304071328725567</v>
      </c>
      <c r="AB40" s="9"/>
      <c r="AC40" s="23">
        <f t="shared" si="6"/>
        <v>1.1917869366283294</v>
      </c>
      <c r="AD40" s="23">
        <f t="shared" si="7"/>
        <v>12.755969397121341</v>
      </c>
      <c r="AE40" s="23">
        <f t="shared" si="8"/>
        <v>1.8052633706345134</v>
      </c>
      <c r="AF40" s="23">
        <f t="shared" si="9"/>
        <v>27.40696966258643</v>
      </c>
      <c r="AG40" s="23">
        <f t="shared" si="10"/>
        <v>147.79575760771385</v>
      </c>
      <c r="AH40" s="23">
        <f t="shared" si="11"/>
        <v>59.604025260814566</v>
      </c>
      <c r="AI40" s="23">
        <f t="shared" si="12"/>
        <v>146.69004402761999</v>
      </c>
      <c r="AJ40" s="23">
        <f t="shared" si="13"/>
        <v>226.61378766483992</v>
      </c>
      <c r="AK40" s="23">
        <f t="shared" si="14"/>
        <v>175.76199970032053</v>
      </c>
      <c r="AL40" s="9">
        <f t="shared" si="24"/>
        <v>1.9756301313885061E-2</v>
      </c>
      <c r="AM40" s="9">
        <f t="shared" si="25"/>
        <v>1.7080524500637573E-2</v>
      </c>
      <c r="AN40" s="9">
        <f t="shared" ref="AN40:AO40" si="70">AVERAGE(AL38:AL42)</f>
        <v>2.1392984764690936E-2</v>
      </c>
      <c r="AO40" s="9">
        <f t="shared" si="70"/>
        <v>2.0576903671289594E-2</v>
      </c>
      <c r="AP40" s="23"/>
      <c r="AQ40" s="8">
        <f t="shared" si="1"/>
        <v>226.61378766483992</v>
      </c>
      <c r="AR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0.21284004465370771</v>
      </c>
      <c r="AS40" s="32">
        <f>((C41-C39)/2-(F41-F39)/F40/2*C40)/(F40/2/Parameters!$B$5-C40)-((D41-D39)/D40-(G41-G39)/G40)/(G40/2/Parameters!$B$5/D40-1)</f>
        <v>8.5038254615021097E-2</v>
      </c>
      <c r="AT40" s="32">
        <f>+Parameters!$B$5*C40^2/F40^2-Parameters!$B$5*D40^2/G40^2</f>
        <v>-5.5581573047273208E-3</v>
      </c>
      <c r="AU40" s="30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0.56130075620100617</v>
      </c>
      <c r="AV40" s="30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93.872729285138348</v>
      </c>
      <c r="AW40" s="8">
        <f>1000*(AR40+AS40+AT40)/(EXP(-Parameters!$B$42*A40)*((C40&lt;0)*Parameters!$B$37*EXP(-Parameters!$B$38*AF40)+(C40&gt;=0)*Parameters!$B$41))</f>
        <v>460.0890641384446</v>
      </c>
      <c r="AX40" s="13">
        <f>1-W40/'6states,ExoDamages'!T40</f>
        <v>8.2654899497468737E-2</v>
      </c>
      <c r="AY40" s="21">
        <f>-Y40*W40*X40^(-Parameters!B$52)*Parameters!B$46*Parameters!B$45*N40</f>
        <v>-1.6741258368814696E-5</v>
      </c>
      <c r="AZ40" s="7">
        <f>1000*EXP(-(Parameters!$B$54)*'6states'!A40)*AQ40*Parameters!B$46*Parameters!B$45*N40</f>
        <v>1.4573855717164244</v>
      </c>
      <c r="BA40" s="7">
        <f>SUM(AZ40:AZ$204)*EXP(Parameters!$B$54*A40)</f>
        <v>427.03779206785657</v>
      </c>
      <c r="BB40" s="13">
        <f t="shared" si="35"/>
        <v>0.22412428151907168</v>
      </c>
      <c r="BC40" s="30">
        <f>IF(C40&lt;0,Parameters!$B$6*AC40^2/AF40,0)</f>
        <v>0</v>
      </c>
      <c r="BD40" s="30">
        <f>Parameters!$B$5*AD40^2/AG40</f>
        <v>1.1009433416362397</v>
      </c>
      <c r="BE40" s="30">
        <f t="shared" si="15"/>
        <v>0</v>
      </c>
      <c r="BF40" s="30">
        <f t="shared" si="16"/>
        <v>8.6308088970854013E-2</v>
      </c>
      <c r="BG40" s="30"/>
      <c r="BH40" s="5">
        <f t="shared" si="58"/>
        <v>-2.0496591204325577E-3</v>
      </c>
      <c r="BI40" s="2">
        <f>BH40/Parameters!$B$45</f>
        <v>-3.4160985340542633</v>
      </c>
      <c r="BJ40" s="2">
        <f t="shared" si="27"/>
        <v>1.0513570057317789E-3</v>
      </c>
      <c r="BM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-0.28098186089472732</v>
      </c>
      <c r="BN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-46.9918022921022</v>
      </c>
      <c r="BO40" s="7">
        <f t="shared" si="59"/>
        <v>6.1798198329498441E-2</v>
      </c>
      <c r="BU40">
        <f>EXP(-Parameters!$B$56*A40)*BH40*BN40</f>
        <v>5.8103840125810794E-3</v>
      </c>
      <c r="BV40">
        <f>-EXP((Parameters!$B$56)*F40)*SUM(BU40:BU48)</f>
        <v>-3.8041857519552594E-2</v>
      </c>
      <c r="BW40">
        <f>X40^-Parameters!B$52/(1-2*Parameters!B$5*'6states'!D40/'6states'!G40)</f>
        <v>1.130208057231523</v>
      </c>
      <c r="BX40">
        <f t="shared" si="61"/>
        <v>0.99876162090070786</v>
      </c>
      <c r="BY40">
        <f>$X40^-Parameters!$B$52/(1-2*Parameters!$B$5*'6states'!$E40/'6states'!$H40)</f>
        <v>1.0735165706940628</v>
      </c>
      <c r="BZ40">
        <f t="shared" si="62"/>
        <v>1.006230072864843</v>
      </c>
      <c r="CA40" s="7">
        <f>($X40^-Parameters!$B$52*(1/(1+EXP(-C40)) + IF(C40&lt;0,2*Parameters!$B$6*C40/F40,0)) + BS40*(1/(1+EXP((C40-Parameters!$B$22)*Parameters!$B$21))))/(1-IF(C40&gt;0,2*Parameters!$B$5*C40/F40,0))</f>
        <v>0.51391923008999452</v>
      </c>
      <c r="CB40">
        <f t="shared" si="63"/>
        <v>1.9019325320209151</v>
      </c>
      <c r="CC40" s="7">
        <f t="shared" si="64"/>
        <v>0.24371026029866066</v>
      </c>
      <c r="CD40">
        <f>(1/$T40-1/Parameters!$B$13) * LN(Parameters!$B$18) / LN(P40)</f>
        <v>0.23575954756671841</v>
      </c>
      <c r="CE40">
        <f>(Parameters!$B$18*'6states'!T40^+Parameters!$B$19*Parameters!$B$25^'6states'!T40)^((1-'6states'!T40)/'6states'!T40)*Parameters!$B$18*Parameters!$B$26^('6states'!T40-1)</f>
        <v>0.27818934048481825</v>
      </c>
      <c r="CF40">
        <f t="shared" si="65"/>
        <v>0.245310855413576</v>
      </c>
      <c r="CG40">
        <f t="shared" si="66"/>
        <v>0.15076222379955639</v>
      </c>
      <c r="CH40">
        <f t="shared" si="67"/>
        <v>0.17537468299741543</v>
      </c>
    </row>
    <row r="41" spans="1:86" x14ac:dyDescent="0.3">
      <c r="A41">
        <f>A40+Parameters!$B$65</f>
        <v>37</v>
      </c>
      <c r="B41">
        <v>2062</v>
      </c>
      <c r="C41" s="74">
        <v>6.9390245575909597E-3</v>
      </c>
      <c r="D41" s="69">
        <v>7.7554193083665499E-2</v>
      </c>
      <c r="E41" s="75">
        <v>0.21837255273286801</v>
      </c>
      <c r="F41" s="7">
        <f>MAX((1-Parameters!$B$4)^Parameters!B$65*F40 + C40*Parameters!B$65 - IF(C40&gt;0,Parameters!$B$5,0)*C40^2/F40*Parameters!B$65, 0.0001)</f>
        <v>0.16038512083809864</v>
      </c>
      <c r="G41" s="7">
        <f>(1-Parameters!$B$4)^Parameters!B$65*G40+D40*Parameters!B$65-Parameters!$B$5*D40^2/G40*Parameters!B$65</f>
        <v>0.89783045655363269</v>
      </c>
      <c r="H41" s="7">
        <f>(1-Parameters!$B$4)^Parameters!B$65*H40+E40*Parameters!B$65-Parameters!$B$5*E40^2/H40*Parameters!B$65</f>
        <v>3.4085574014212816</v>
      </c>
      <c r="I41" s="7">
        <f>I40 *(1-Parameters!$B$4)-C40*(C40&lt;0)*Parameters!B$65</f>
        <v>1.0115391371804762E-2</v>
      </c>
      <c r="J41" s="23">
        <f>J40*(1+Parameters!$B$51)^Parameters!B$65</f>
        <v>9.0828578485371718</v>
      </c>
      <c r="K41" s="23">
        <f>K40*(1+Parameters!$B$53)^Parameters!B$65</f>
        <v>18.835584572725189</v>
      </c>
      <c r="L41" s="23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14.767972393110279</v>
      </c>
      <c r="M41" s="8">
        <f>M40+L41*Parameters!B$65</f>
        <v>3159.3583782711648</v>
      </c>
      <c r="N41" s="7">
        <f>M41*Parameters!$B$45</f>
        <v>1.8956150269626988</v>
      </c>
      <c r="O41" s="9">
        <f>EXP(-Parameters!$B$46/2*N41^2)</f>
        <v>0.96453107236507107</v>
      </c>
      <c r="P41" s="7">
        <f>MAX((Parameters!$B$62 + Parameters!$B$31*'6states'!A41 - '6states'!M41 + Parameters!$B$47/Parameters!$B$45)/Parameters!B$62,1)</f>
        <v>23.180832434576704</v>
      </c>
      <c r="Q41" s="7">
        <f>Parameters!B$61*EXP(-Parameters!B$60*A41)</f>
        <v>0.18412375230683145</v>
      </c>
      <c r="R41" s="7">
        <f>(1-Parameters!B$61)*P41^-Parameters!B$63</f>
        <v>0.36513805813011613</v>
      </c>
      <c r="S41" s="7">
        <f>Parameters!B$61*EXP(-Parameters!B$60*A41)+(1-Parameters!B$61)*P41^-Parameters!B$63</f>
        <v>0.54926181043694755</v>
      </c>
      <c r="T41" s="7">
        <f>1-S41/Parameters!$B$12</f>
        <v>0.72536909478152622</v>
      </c>
      <c r="U41" s="7">
        <f t="shared" si="0"/>
        <v>3.6412507878692026</v>
      </c>
      <c r="V41" s="7">
        <f>(Parameters!$B$19*(F41+Parameters!$B$20)^T41+Parameters!$B$18*G41^T41)^(1/T41)</f>
        <v>0.35712118549093119</v>
      </c>
      <c r="W41" s="7">
        <f>(Parameters!$B$10*H41^Parameters!$B$9+Parameters!$B$11*V41^Parameters!$B$9)^(Parameters!$B$7/Parameters!$B$9)*O41</f>
        <v>1.3540996683849071</v>
      </c>
      <c r="X41" s="7">
        <f>W41 - D41 - E41 - LN(1+EXP(Parameters!$B$21*C41))/Parameters!$B$21 - IF(C41&gt;0, 0,Parameters!$B$6*C41^2/F41)</f>
        <v>1.0508421262419931</v>
      </c>
      <c r="Y41" s="7">
        <f>EXP(-Parameters!$B$55*A41)</f>
        <v>0.571952118512703</v>
      </c>
      <c r="Z41" s="7">
        <f>IF(X41&gt;0,X41^(1-Parameters!$B$52)/(1-Parameters!$B$52)*Y41*Parameters!$B$65,-10+X41*1000)</f>
        <v>-1.6060294788422573</v>
      </c>
      <c r="AB41" s="9"/>
      <c r="AC41" s="23">
        <f t="shared" si="6"/>
        <v>1.1871348243455566</v>
      </c>
      <c r="AD41" s="23">
        <f t="shared" si="7"/>
        <v>13.268044034074132</v>
      </c>
      <c r="AE41" s="23">
        <f t="shared" si="8"/>
        <v>1.7305506357111051</v>
      </c>
      <c r="AF41" s="23">
        <f t="shared" si="9"/>
        <v>27.438836780810927</v>
      </c>
      <c r="AG41" s="23">
        <f t="shared" si="10"/>
        <v>153.60167592531482</v>
      </c>
      <c r="AH41" s="23">
        <f t="shared" si="11"/>
        <v>61.09662709639376</v>
      </c>
      <c r="AI41" s="23">
        <f t="shared" si="12"/>
        <v>150.3634507819246</v>
      </c>
      <c r="AJ41" s="23">
        <f t="shared" si="13"/>
        <v>231.66064028638817</v>
      </c>
      <c r="AK41" s="23">
        <f t="shared" si="14"/>
        <v>179.77905577326487</v>
      </c>
      <c r="AL41" s="9">
        <f t="shared" si="24"/>
        <v>2.2026350834229547E-2</v>
      </c>
      <c r="AM41" s="9">
        <f t="shared" si="25"/>
        <v>2.2597823548141882E-2</v>
      </c>
      <c r="AN41" s="9">
        <f t="shared" ref="AN41:AO41" si="71">AVERAGE(AL39:AL43)</f>
        <v>2.113156132712497E-2</v>
      </c>
      <c r="AO41" s="9">
        <f t="shared" si="71"/>
        <v>2.0578562248408261E-2</v>
      </c>
      <c r="AP41" s="23"/>
      <c r="AQ41" s="8">
        <f t="shared" si="1"/>
        <v>231.66064028638817</v>
      </c>
      <c r="AR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0.21090750080173284</v>
      </c>
      <c r="AS41" s="32">
        <f>((C42-C40)/2-(F42-F40)/F41/2*C41)/(F41/2/Parameters!$B$5-C41)-((D42-D40)/D41-(G42-G40)/G41)/(G41/2/Parameters!$B$5/D41-1)</f>
        <v>-6.3457551316236996E-2</v>
      </c>
      <c r="AT41" s="32">
        <f>+Parameters!$B$5*C41^2/F41^2-Parameters!$B$5*D41^2/G41^2</f>
        <v>-5.5895872072178488E-3</v>
      </c>
      <c r="AU41" s="30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0.55775848683676721</v>
      </c>
      <c r="AV41" s="30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95.421844641530441</v>
      </c>
      <c r="AW41" s="8">
        <f>1000*(AR41+AS41+AT41)/(EXP(-Parameters!$B$42*A41)*((C41&lt;0)*Parameters!$B$37*EXP(-Parameters!$B$38*AF41)+(C41&gt;=0)*Parameters!$B$41))</f>
        <v>225.5210989383142</v>
      </c>
      <c r="AX41" s="13">
        <f>1-W41/'6states,ExoDamages'!T41</f>
        <v>8.2916914613062165E-2</v>
      </c>
      <c r="AY41" s="21">
        <f>-Y41*W41*X41^(-Parameters!B$52)*Parameters!B$46*Parameters!B$45*N41</f>
        <v>-1.6558925976519057E-5</v>
      </c>
      <c r="AZ41" s="7">
        <f>1000*EXP(-(Parameters!$B$54)*'6states'!A41)*AQ41*Parameters!B$46*Parameters!B$45*N41</f>
        <v>1.4452116682987353</v>
      </c>
      <c r="BA41" s="7">
        <f>SUM(AZ41:AZ$204)*EXP(Parameters!$B$54*A41)</f>
        <v>436.95234826999706</v>
      </c>
      <c r="BB41" s="13">
        <f t="shared" si="35"/>
        <v>0.22366578874904053</v>
      </c>
      <c r="BC41" s="30">
        <f>IF(C41&lt;0,Parameters!$B$6*AC41^2/AF41,0)</f>
        <v>0</v>
      </c>
      <c r="BD41" s="30">
        <f>Parameters!$B$5*AD41^2/AG41</f>
        <v>1.1460877065932922</v>
      </c>
      <c r="BE41" s="30">
        <f t="shared" si="15"/>
        <v>0</v>
      </c>
      <c r="BF41" s="30">
        <f t="shared" si="16"/>
        <v>8.6379552528615663E-2</v>
      </c>
      <c r="BG41" s="30"/>
      <c r="BH41" s="5">
        <f t="shared" si="58"/>
        <v>-2.0515734407357778E-3</v>
      </c>
      <c r="BI41" s="2">
        <f>BH41/Parameters!$B$45</f>
        <v>-3.4192890678929633</v>
      </c>
      <c r="BJ41" s="2">
        <f t="shared" si="27"/>
        <v>9.3309859896284486E-4</v>
      </c>
      <c r="BM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-0.30988500379562417</v>
      </c>
      <c r="BN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-53.015416863715025</v>
      </c>
      <c r="BO41" s="7">
        <f t="shared" si="59"/>
        <v>5.9327630402374924E-2</v>
      </c>
      <c r="BU41">
        <f>EXP(-Parameters!$B$56*A41)*BH41*BN41</f>
        <v>6.0689753564827191E-3</v>
      </c>
      <c r="BV41">
        <f>-EXP((Parameters!$B$56)*F41)*SUM(BU41:BU49)</f>
        <v>-3.4156010855181454E-2</v>
      </c>
      <c r="BW41">
        <f>X41^-Parameters!B$52/(1-2*Parameters!B$5*'6states'!D41/'6states'!G41)</f>
        <v>1.1305568706788744</v>
      </c>
      <c r="BX41">
        <f t="shared" si="61"/>
        <v>1.0003086276417157</v>
      </c>
      <c r="BY41">
        <f>$X41^-Parameters!$B$52/(1-2*Parameters!$B$5*'6states'!$E41/'6states'!$H41)</f>
        <v>1.0726885532149406</v>
      </c>
      <c r="BZ41">
        <f t="shared" si="62"/>
        <v>0.99922868682074761</v>
      </c>
      <c r="CA41" s="7">
        <f>($X41^-Parameters!$B$52*(1/(1+EXP(-C41)) + IF(C41&lt;0,2*Parameters!$B$6*C41/F41,0)) + BS41*(1/(1+EXP((C41-Parameters!$B$22)*Parameters!$B$21))))/(1-IF(C41&gt;0,2*Parameters!$B$5*C41/F41,0))</f>
        <v>0.51369350836688377</v>
      </c>
      <c r="CB41">
        <f t="shared" si="63"/>
        <v>0.99956078366035994</v>
      </c>
      <c r="CC41" s="7">
        <f t="shared" si="64"/>
        <v>-2.2572172311075001E-4</v>
      </c>
      <c r="CD41">
        <f>(1/$T41-1/Parameters!$B$13) * LN(Parameters!$B$18) / LN(P41)</f>
        <v>0.23549916890090117</v>
      </c>
      <c r="CE41">
        <f>(Parameters!$B$18*'6states'!T41^+Parameters!$B$19*Parameters!$B$25^'6states'!T41)^((1-'6states'!T41)/'6states'!T41)*Parameters!$B$18*Parameters!$B$26^('6states'!T41-1)</f>
        <v>0.27943523790368646</v>
      </c>
      <c r="CF41">
        <f t="shared" si="65"/>
        <v>0.24410084803194379</v>
      </c>
      <c r="CG41">
        <f t="shared" si="66"/>
        <v>0.15060893890682536</v>
      </c>
      <c r="CH41">
        <f t="shared" si="67"/>
        <v>0.17608651399901498</v>
      </c>
    </row>
    <row r="42" spans="1:86" x14ac:dyDescent="0.3">
      <c r="A42">
        <f>A41+Parameters!$B$65</f>
        <v>38</v>
      </c>
      <c r="B42">
        <v>2063</v>
      </c>
      <c r="C42" s="74">
        <v>-2.23288504378822E-3</v>
      </c>
      <c r="D42" s="69">
        <v>7.9337214048695301E-2</v>
      </c>
      <c r="E42" s="75">
        <v>0.221695058060529</v>
      </c>
      <c r="F42" s="7">
        <f>MAX((1-Parameters!$B$4)^Parameters!B$65*F41 + C41*Parameters!B$65 - IF(C41&gt;0,Parameters!$B$5,0)*C41^2/F41*Parameters!B$65, 0.0001)</f>
        <v>0.15693570602837467</v>
      </c>
      <c r="G42" s="7">
        <f>(1-Parameters!$B$4)^Parameters!B$65*G41+D41*Parameters!B$65-Parameters!$B$5*D41^2/G41*Parameters!B$65</f>
        <v>0.91221201742478986</v>
      </c>
      <c r="H42" s="7">
        <f>(1-Parameters!$B$4)^Parameters!B$65*H41+E41*Parameters!B$65-Parameters!$B$5*E41^2/H41*Parameters!B$65</f>
        <v>3.3985414431348056</v>
      </c>
      <c r="I42" s="7">
        <f>I41 *(1-Parameters!$B$4)-C41*(C41&lt;0)*Parameters!B$65</f>
        <v>9.4791332545182422E-3</v>
      </c>
      <c r="J42" s="23">
        <f>J41*(1+Parameters!$B$51)^Parameters!B$65</f>
        <v>9.1091981362979286</v>
      </c>
      <c r="K42" s="23">
        <f>K41*(1+Parameters!$B$53)^Parameters!B$65</f>
        <v>19.212296264179692</v>
      </c>
      <c r="L42" s="23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14.65870693209677</v>
      </c>
      <c r="M42" s="8">
        <f>M41+L42*Parameters!B$65</f>
        <v>3174.0170852032616</v>
      </c>
      <c r="N42" s="7">
        <f>M42*Parameters!$B$45</f>
        <v>1.9044102511219567</v>
      </c>
      <c r="O42" s="9">
        <f>EXP(-Parameters!$B$46/2*N42^2)</f>
        <v>0.9642071486483057</v>
      </c>
      <c r="P42" s="7">
        <f>MAX((Parameters!$B$62 + Parameters!$B$31*'6states'!A42 - '6states'!M42 + Parameters!$B$47/Parameters!$B$45)/Parameters!B$62,1)</f>
        <v>23.951658295934777</v>
      </c>
      <c r="Q42" s="7">
        <f>Parameters!B$61*EXP(-Parameters!B$60*A42)</f>
        <v>0.17921892413949694</v>
      </c>
      <c r="R42" s="7">
        <f>(1-Parameters!B$61)*P42^-Parameters!B$63</f>
        <v>0.36394557684082313</v>
      </c>
      <c r="S42" s="7">
        <f>Parameters!B$61*EXP(-Parameters!B$60*A42)+(1-Parameters!B$61)*P42^-Parameters!B$63</f>
        <v>0.5431645009803201</v>
      </c>
      <c r="T42" s="7">
        <f>1-S42/Parameters!$B$12</f>
        <v>0.72841774950983995</v>
      </c>
      <c r="U42" s="7">
        <f t="shared" si="0"/>
        <v>3.6821257582009466</v>
      </c>
      <c r="V42" s="7">
        <f>(Parameters!$B$19*(F42+Parameters!$B$20)^T42+Parameters!$B$18*G42^T42)^(1/T42)</f>
        <v>0.35794042443802815</v>
      </c>
      <c r="W42" s="7">
        <f>(Parameters!$B$10*H42^Parameters!$B$9+Parameters!$B$11*V42^Parameters!$B$9)^(Parameters!$B$7/Parameters!$B$9)*O42</f>
        <v>1.353119857569026</v>
      </c>
      <c r="X42" s="7">
        <f>W42 - D42 - E42 - LN(1+EXP(Parameters!$B$21*C42))/Parameters!$B$21 - IF(C42&gt;0, 0,Parameters!$B$6*C42^2/F42)</f>
        <v>1.0505511175960607</v>
      </c>
      <c r="Y42" s="7">
        <f>EXP(-Parameters!$B$55*A42)</f>
        <v>0.56338051995913718</v>
      </c>
      <c r="Z42" s="7">
        <f>IF(X42&gt;0,X42^(1-Parameters!$B$52)/(1-Parameters!$B$52)*Y42*Parameters!$B$65,-10+X42*1000)</f>
        <v>-1.5821139714214372</v>
      </c>
      <c r="AB42" s="9"/>
      <c r="AC42" s="23">
        <f t="shared" si="6"/>
        <v>-0.39077411522453698</v>
      </c>
      <c r="AD42" s="23">
        <f t="shared" si="7"/>
        <v>13.884695815625301</v>
      </c>
      <c r="AE42" s="23">
        <f t="shared" si="8"/>
        <v>1.658929966383518</v>
      </c>
      <c r="AF42" s="23">
        <f t="shared" si="9"/>
        <v>27.465100292996858</v>
      </c>
      <c r="AG42" s="23">
        <f t="shared" si="10"/>
        <v>159.64496022669934</v>
      </c>
      <c r="AH42" s="23">
        <f t="shared" si="11"/>
        <v>62.642657333384939</v>
      </c>
      <c r="AI42" s="23">
        <f t="shared" si="12"/>
        <v>154.16834889979322</v>
      </c>
      <c r="AJ42" s="23">
        <f t="shared" si="13"/>
        <v>236.80762993387617</v>
      </c>
      <c r="AK42" s="23">
        <f t="shared" si="14"/>
        <v>183.85549431611761</v>
      </c>
      <c r="AL42" s="9">
        <f t="shared" si="24"/>
        <v>2.197458008925679E-2</v>
      </c>
      <c r="AM42" s="9">
        <f t="shared" si="25"/>
        <v>2.2421463068896585E-2</v>
      </c>
      <c r="AN42" s="9">
        <f t="shared" ref="AN42:AO42" si="72">AVERAGE(AL40:AL44)</f>
        <v>2.1194026122414299E-2</v>
      </c>
      <c r="AO42" s="9">
        <f t="shared" si="72"/>
        <v>2.0446904006773358E-2</v>
      </c>
      <c r="AP42" s="23"/>
      <c r="AQ42" s="8">
        <f t="shared" si="1"/>
        <v>236.80762993387614</v>
      </c>
      <c r="AR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0.24347018373518883</v>
      </c>
      <c r="AS42" s="32">
        <f>((C43-C41)/2-(F43-F41)/F42/2*C42)/(F42/2/Parameters!$B$5-C42)-((D43-D41)/D42-(G43-G41)/G42)/(G42/2/Parameters!$B$5/D42-1)</f>
        <v>-3.0481024945893747E-3</v>
      </c>
      <c r="AT42" s="32">
        <f>+Parameters!$B$5*C42^2/F42^2-Parameters!$B$5*D42^2/G42^2</f>
        <v>-7.3617513091833453E-3</v>
      </c>
      <c r="AU42" s="30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0.55427055335663034</v>
      </c>
      <c r="AV42" s="30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97.002120949086731</v>
      </c>
      <c r="AW42" s="8">
        <f>1000*(AR42+AS42+AT42)/(EXP(-Parameters!$B$42*A42)*((C42&lt;0)*Parameters!$B$37*EXP(-Parameters!$B$38*AF42)+(C42&gt;=0)*Parameters!$B$41))</f>
        <v>27622275468.813999</v>
      </c>
      <c r="AX42" s="13">
        <f>1-W42/'6states,ExoDamages'!T42</f>
        <v>8.3231558270295825E-2</v>
      </c>
      <c r="AY42" s="21">
        <f>-Y42*W42*X42^(-Parameters!B$52)*Parameters!B$46*Parameters!B$45*N42</f>
        <v>-1.6380709438856808E-5</v>
      </c>
      <c r="AZ42" s="7">
        <f>1000*EXP(-(Parameters!$B$54)*'6states'!A42)*AQ42*Parameters!B$46*Parameters!B$45*N42</f>
        <v>1.4329846213438882</v>
      </c>
      <c r="BA42" s="7">
        <f>SUM(AZ42:AZ$204)*EXP(Parameters!$B$54*A42)</f>
        <v>447.07650530812197</v>
      </c>
      <c r="BB42" s="13">
        <f t="shared" si="35"/>
        <v>0.22082255714009694</v>
      </c>
      <c r="BC42" s="30">
        <f>IF(C42&lt;0,Parameters!$B$6*AC42^2/AF42,0)</f>
        <v>2.7799718096870884E-2</v>
      </c>
      <c r="BD42" s="30">
        <f>Parameters!$B$5*AD42^2/AG42</f>
        <v>1.2075844901003085</v>
      </c>
      <c r="BE42" s="30">
        <f t="shared" si="15"/>
        <v>7.1140121655441008E-2</v>
      </c>
      <c r="BF42" s="30">
        <f t="shared" si="16"/>
        <v>8.697234034766102E-2</v>
      </c>
      <c r="BG42" s="30"/>
      <c r="BH42" s="5">
        <f t="shared" si="58"/>
        <v>-2.053395189845421E-3</v>
      </c>
      <c r="BI42" s="2">
        <f>BH42/Parameters!$B$45</f>
        <v>-3.4223253164090353</v>
      </c>
      <c r="BJ42" s="2">
        <f t="shared" si="27"/>
        <v>8.8718874898130462E-4</v>
      </c>
      <c r="BM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-0.34021291840807855</v>
      </c>
      <c r="BN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-59.540191085396465</v>
      </c>
      <c r="BO42" s="7">
        <f t="shared" si="59"/>
        <v>5.696086536131803E-2</v>
      </c>
      <c r="BU42">
        <f>EXP(-Parameters!$B$56*A42)*BH42*BN42</f>
        <v>6.3100662663233362E-3</v>
      </c>
      <c r="BV42">
        <f>-EXP((Parameters!$B$56)*F42)*SUM(BU42:BU50)</f>
        <v>-3.0103916191166556E-2</v>
      </c>
      <c r="BW42">
        <f>X42^-Parameters!B$52/(1-2*Parameters!B$5*'6states'!D42/'6states'!G42)</f>
        <v>1.1326028824476759</v>
      </c>
      <c r="BX42">
        <f t="shared" si="61"/>
        <v>1.0018097380342954</v>
      </c>
      <c r="BY42">
        <f>$X42^-Parameters!$B$52/(1-2*Parameters!$B$5*'6states'!$E42/'6states'!$H42)</f>
        <v>1.0759687049768467</v>
      </c>
      <c r="BZ42">
        <f t="shared" si="62"/>
        <v>1.0030578789640994</v>
      </c>
      <c r="CA42" s="7">
        <f>($X42^-Parameters!$B$52*(1/(1+EXP(-C42)) + IF(C42&lt;0,2*Parameters!$B$6*C42/F42,0)) + BS42*(1/(1+EXP((C42-Parameters!$B$22)*Parameters!$B$21))))/(1-IF(C42&gt;0,2*Parameters!$B$5*C42/F42,0))</f>
        <v>0.33415770252093435</v>
      </c>
      <c r="CB42">
        <f t="shared" si="63"/>
        <v>0.65050014664050693</v>
      </c>
      <c r="CC42" s="7">
        <f t="shared" si="64"/>
        <v>-0.17953580584594941</v>
      </c>
      <c r="CD42">
        <f>(1/$T42-1/Parameters!$B$13) * LN(Parameters!$B$18) / LN(P42)</f>
        <v>0.23523782495688972</v>
      </c>
      <c r="CE42">
        <f>(Parameters!$B$18*'6states'!T42^+Parameters!$B$19*Parameters!$B$25^'6states'!T42)^((1-'6states'!T42)/'6states'!T42)*Parameters!$B$18*Parameters!$B$26^('6states'!T42-1)</f>
        <v>0.28062110510051586</v>
      </c>
      <c r="CF42">
        <f t="shared" si="65"/>
        <v>0.2429200808590001</v>
      </c>
      <c r="CG42">
        <f t="shared" si="66"/>
        <v>0.1504550579334073</v>
      </c>
      <c r="CH42">
        <f t="shared" si="67"/>
        <v>0.17676347655836255</v>
      </c>
    </row>
    <row r="43" spans="1:86" x14ac:dyDescent="0.3">
      <c r="A43">
        <f>A42+Parameters!$B$65</f>
        <v>39</v>
      </c>
      <c r="B43">
        <v>2064</v>
      </c>
      <c r="C43" s="74">
        <v>6.2034111095225003E-3</v>
      </c>
      <c r="D43" s="69">
        <v>7.9029361913813406E-2</v>
      </c>
      <c r="E43" s="75">
        <v>0.21608052336063399</v>
      </c>
      <c r="F43" s="7">
        <f>MAX((1-Parameters!$B$4)^Parameters!B$65*F42 + C42*Parameters!B$65 - IF(C42&gt;0,Parameters!$B$5,0)*C42^2/F42*Parameters!B$65, 0.0001)</f>
        <v>0.14483156507540171</v>
      </c>
      <c r="G43" s="7">
        <f>(1-Parameters!$B$4)^Parameters!B$65*G42+D42*Parameters!B$65-Parameters!$B$5*D42^2/G42*Parameters!B$65</f>
        <v>0.92727095239498758</v>
      </c>
      <c r="H43" s="7">
        <f>(1-Parameters!$B$4)^Parameters!B$65*H42+E42*Parameters!B$65-Parameters!$B$5*E42^2/H42*Parameters!B$65</f>
        <v>3.3920065408970315</v>
      </c>
      <c r="I43" s="7">
        <f>I42 *(1-Parameters!$B$4)-C42*(C42&lt;0)*Parameters!B$65</f>
        <v>1.1115780816597266E-2</v>
      </c>
      <c r="J43" s="23">
        <f>J42*(1+Parameters!$B$51)^Parameters!B$65</f>
        <v>9.1356148108931912</v>
      </c>
      <c r="K43" s="23">
        <f>K42*(1+Parameters!$B$53)^Parameters!B$65</f>
        <v>19.596542189463285</v>
      </c>
      <c r="L43" s="23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13.595011610546312</v>
      </c>
      <c r="M43" s="8">
        <f>M42+L43*Parameters!B$65</f>
        <v>3187.612096813808</v>
      </c>
      <c r="N43" s="7">
        <f>M43*Parameters!$B$45</f>
        <v>1.9125672580882846</v>
      </c>
      <c r="O43" s="9">
        <f>EXP(-Parameters!$B$46/2*N43^2)</f>
        <v>0.9639054878349792</v>
      </c>
      <c r="P43" s="7">
        <f>MAX((Parameters!$B$62 + Parameters!$B$31*'6states'!A43 - '6states'!M43 + Parameters!$B$47/Parameters!$B$45)/Parameters!B$62,1)</f>
        <v>24.743758063723845</v>
      </c>
      <c r="Q43" s="7">
        <f>Parameters!B$61*EXP(-Parameters!B$60*A43)</f>
        <v>0.17444475450507668</v>
      </c>
      <c r="R43" s="7">
        <f>(1-Parameters!B$61)*P43^-Parameters!B$63</f>
        <v>0.36276337878655945</v>
      </c>
      <c r="S43" s="7">
        <f>Parameters!B$61*EXP(-Parameters!B$60*A43)+(1-Parameters!B$61)*P43^-Parameters!B$63</f>
        <v>0.53720813329163608</v>
      </c>
      <c r="T43" s="7">
        <f>1-S43/Parameters!$B$12</f>
        <v>0.73139593335418196</v>
      </c>
      <c r="U43" s="7">
        <f t="shared" si="0"/>
        <v>3.7229518245477733</v>
      </c>
      <c r="V43" s="7">
        <f>(Parameters!$B$19*(F43+Parameters!$B$20)^T43+Parameters!$B$18*G43^T43)^(1/T43)</f>
        <v>0.35143741583398952</v>
      </c>
      <c r="W43" s="7">
        <f>(Parameters!$B$10*H43^Parameters!$B$9+Parameters!$B$11*V43^Parameters!$B$9)^(Parameters!$B$7/Parameters!$B$9)*O43</f>
        <v>1.3497874682425963</v>
      </c>
      <c r="X43" s="7">
        <f>W43 - D43 - E43 - LN(1+EXP(Parameters!$B$21*C43))/Parameters!$B$21 - IF(C43&gt;0, 0,Parameters!$B$6*C43^2/F43)</f>
        <v>1.0479923560140367</v>
      </c>
      <c r="Y43" s="7">
        <f>EXP(-Parameters!$B$55*A43)</f>
        <v>0.5549373802387243</v>
      </c>
      <c r="Z43" s="7">
        <f>IF(X43&gt;0,X43^(1-Parameters!$B$52)/(1-Parameters!$B$52)*Y43*Parameters!$B$65,-10+X43*1000)</f>
        <v>-1.5597342002688108</v>
      </c>
      <c r="AB43" s="9"/>
      <c r="AC43" s="23">
        <f t="shared" si="6"/>
        <v>1.1105747374899251</v>
      </c>
      <c r="AD43" s="23">
        <f t="shared" si="7"/>
        <v>14.148346983920179</v>
      </c>
      <c r="AE43" s="23">
        <f t="shared" si="8"/>
        <v>1.9900189016069074</v>
      </c>
      <c r="AF43" s="23">
        <f t="shared" si="9"/>
        <v>25.928682546440193</v>
      </c>
      <c r="AG43" s="23">
        <f t="shared" si="10"/>
        <v>166.00603705875685</v>
      </c>
      <c r="AH43" s="23">
        <f t="shared" si="11"/>
        <v>62.916596843766683</v>
      </c>
      <c r="AI43" s="23">
        <f t="shared" si="12"/>
        <v>154.84253489080581</v>
      </c>
      <c r="AJ43" s="23">
        <f t="shared" si="13"/>
        <v>241.64767363388538</v>
      </c>
      <c r="AK43" s="23">
        <f t="shared" si="14"/>
        <v>187.61836272387961</v>
      </c>
      <c r="AL43" s="9">
        <f t="shared" si="24"/>
        <v>2.0232647742968624E-2</v>
      </c>
      <c r="AM43" s="9">
        <f t="shared" si="25"/>
        <v>2.025982202840293E-2</v>
      </c>
      <c r="AN43" s="9">
        <f t="shared" ref="AN43:AO43" si="73">AVERAGE(AL41:AL45)</f>
        <v>2.1649979148612351E-2</v>
      </c>
      <c r="AO43" s="9">
        <f t="shared" si="73"/>
        <v>2.1693297976802306E-2</v>
      </c>
      <c r="AP43" s="23"/>
      <c r="AQ43" s="8">
        <f t="shared" si="1"/>
        <v>241.64767363388538</v>
      </c>
      <c r="AR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0.22585058751742881</v>
      </c>
      <c r="AS43" s="32">
        <f>((C44-C42)/2-(F44-F42)/F43/2*C43)/(F43/2/Parameters!$B$5-C43)-((D44-D42)/D43-(G44-G42)/G43)/(G43/2/Parameters!$B$5/D43-1)</f>
        <v>7.4895994304012017E-2</v>
      </c>
      <c r="AT43" s="32">
        <f>+Parameters!$B$5*C43^2/F43^2-Parameters!$B$5*D43^2/G43^2</f>
        <v>-5.4292243687977778E-3</v>
      </c>
      <c r="AU43" s="30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0.5381541620126904</v>
      </c>
      <c r="AV43" s="30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96.343835134337638</v>
      </c>
      <c r="AW43" s="8">
        <f>1000*(AR43+AS43+AT43)/(EXP(-Parameters!$B$42*A43)*((C43&lt;0)*Parameters!$B$37*EXP(-Parameters!$B$38*AF43)+(C43&gt;=0)*Parameters!$B$41))</f>
        <v>478.96191086792049</v>
      </c>
      <c r="AX43" s="13">
        <f>1-W43/'6states,ExoDamages'!T43</f>
        <v>8.5166201610644476E-2</v>
      </c>
      <c r="AY43" s="21">
        <f>-Y43*W43*X43^(-Parameters!B$52)*Parameters!B$46*Parameters!B$45*N43</f>
        <v>-1.6217725325199297E-5</v>
      </c>
      <c r="AZ43" s="7">
        <f>1000*EXP(-(Parameters!$B$54)*'6states'!A43)*AQ43*Parameters!B$46*Parameters!B$45*N43</f>
        <v>1.4178847342928154</v>
      </c>
      <c r="BA43" s="7">
        <f>SUM(AZ43:AZ$204)*EXP(Parameters!$B$54*A43)</f>
        <v>457.41444546745828</v>
      </c>
      <c r="BB43" s="13">
        <f t="shared" si="35"/>
        <v>0.22323017769328929</v>
      </c>
      <c r="BC43" s="30">
        <f>IF(C43&lt;0,Parameters!$B$6*AC43^2/AF43,0)</f>
        <v>0</v>
      </c>
      <c r="BD43" s="30">
        <f>Parameters!$B$5*AD43^2/AG43</f>
        <v>1.205833992088807</v>
      </c>
      <c r="BE43" s="30">
        <f t="shared" si="15"/>
        <v>0</v>
      </c>
      <c r="BF43" s="30">
        <f t="shared" si="16"/>
        <v>8.5227906373745041E-2</v>
      </c>
      <c r="BG43" s="30"/>
      <c r="BH43" s="5">
        <f t="shared" si="58"/>
        <v>-2.0551186150178616E-3</v>
      </c>
      <c r="BI43" s="2">
        <f>BH43/Parameters!$B$45</f>
        <v>-3.4251976916964364</v>
      </c>
      <c r="BJ43" s="2">
        <f t="shared" si="27"/>
        <v>8.3860131471080734E-4</v>
      </c>
      <c r="BM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-0.18020774427655237</v>
      </c>
      <c r="BN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-32.261954714942107</v>
      </c>
      <c r="BO43" s="7">
        <f t="shared" si="59"/>
        <v>7.1279063795644707E-2</v>
      </c>
      <c r="BU43">
        <f>EXP(-Parameters!$B$56*A43)*BH43*BN43</f>
        <v>3.1652189441646952E-3</v>
      </c>
      <c r="BV43">
        <f>-EXP((Parameters!$B$56)*F43)*SUM(BU43:BU51)</f>
        <v>-2.5875604220993772E-2</v>
      </c>
      <c r="BW43">
        <f>X43^-Parameters!B$52/(1-2*Parameters!B$5*'6states'!D43/'6states'!G43)</f>
        <v>1.1315585235366641</v>
      </c>
      <c r="BX43">
        <f t="shared" si="61"/>
        <v>0.99907791254357847</v>
      </c>
      <c r="BY43">
        <f>$X43^-Parameters!$B$52/(1-2*Parameters!$B$5*'6states'!$E43/'6states'!$H43)</f>
        <v>1.075732239806505</v>
      </c>
      <c r="BZ43">
        <f t="shared" si="62"/>
        <v>0.99978023043862896</v>
      </c>
      <c r="CA43" s="7">
        <f>($X43^-Parameters!$B$52*(1/(1+EXP(-C43)) + IF(C43&lt;0,2*Parameters!$B$6*C43/F43,0)) + BS43*(1/(1+EXP((C43-Parameters!$B$22)*Parameters!$B$21))))/(1-IF(C43&gt;0,2*Parameters!$B$5*C43/F43,0))</f>
        <v>0.51490320983402327</v>
      </c>
      <c r="CB43">
        <f t="shared" si="63"/>
        <v>1.5408988209744037</v>
      </c>
      <c r="CC43" s="7">
        <f t="shared" si="64"/>
        <v>0.18074550731308892</v>
      </c>
      <c r="CD43">
        <f>(1/$T43-1/Parameters!$B$13) * LN(Parameters!$B$18) / LN(P43)</f>
        <v>0.23492794407937928</v>
      </c>
      <c r="CE43">
        <f>(Parameters!$B$18*'6states'!T43^+Parameters!$B$19*Parameters!$B$25^'6states'!T43)^((1-'6states'!T43)/'6states'!T43)*Parameters!$B$18*Parameters!$B$26^('6states'!T43-1)</f>
        <v>0.28175559382351223</v>
      </c>
      <c r="CF43">
        <f t="shared" si="65"/>
        <v>0.24171426564617871</v>
      </c>
      <c r="CG43">
        <f t="shared" si="66"/>
        <v>0.15027256197988914</v>
      </c>
      <c r="CH43">
        <f t="shared" si="67"/>
        <v>0.17741058866933435</v>
      </c>
    </row>
    <row r="44" spans="1:86" ht="15" customHeight="1" x14ac:dyDescent="0.3">
      <c r="A44">
        <f>A43+Parameters!$B$65</f>
        <v>40</v>
      </c>
      <c r="B44">
        <v>2065</v>
      </c>
      <c r="C44" s="74">
        <v>5.7743576738216304E-3</v>
      </c>
      <c r="D44" s="69">
        <v>7.8161788935618495E-2</v>
      </c>
      <c r="E44" s="75">
        <v>0.219301924260702</v>
      </c>
      <c r="F44" s="7">
        <f>MAX((1-Parameters!$B$4)^Parameters!B$65*F43 + C43*Parameters!B$65 - IF(C43&gt;0,Parameters!$B$5,0)*C43^2/F43*Parameters!B$65, 0.0001)</f>
        <v>0.14165936685749217</v>
      </c>
      <c r="G44" s="7">
        <f>(1-Parameters!$B$4)^Parameters!B$65*G43+D43*Parameters!B$65-Parameters!$B$5*D43^2/G43*Parameters!B$65</f>
        <v>0.9412394643451889</v>
      </c>
      <c r="H44" s="7">
        <f>(1-Parameters!$B$4)^Parameters!B$65*H43+E43*Parameters!B$65-Parameters!$B$5*E43^2/H43*Parameters!B$65</f>
        <v>3.3809649051522528</v>
      </c>
      <c r="I44" s="7">
        <f>I43 *(1-Parameters!$B$4)-C43*(C43&lt;0)*Parameters!B$65</f>
        <v>1.0416598203233299E-2</v>
      </c>
      <c r="J44" s="23">
        <f>J43*(1+Parameters!$B$51)^Parameters!B$65</f>
        <v>9.1621080938447808</v>
      </c>
      <c r="K44" s="23">
        <f>K43*(1+Parameters!$B$53)^Parameters!B$65</f>
        <v>19.98847303325255</v>
      </c>
      <c r="L44" s="23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13.483007675313207</v>
      </c>
      <c r="M44" s="8">
        <f>M43+L44*Parameters!B$65</f>
        <v>3201.0951044891212</v>
      </c>
      <c r="N44" s="7">
        <f>M44*Parameters!$B$45</f>
        <v>1.9206570626934725</v>
      </c>
      <c r="O44" s="9">
        <f>EXP(-Parameters!$B$46/2*N44^2)</f>
        <v>0.963605132666702</v>
      </c>
      <c r="P44" s="7">
        <f>MAX((Parameters!$B$62 + Parameters!$B$31*'6states'!A44 - '6states'!M44 + Parameters!$B$47/Parameters!$B$45)/Parameters!B$62,1)</f>
        <v>25.538097910217576</v>
      </c>
      <c r="Q44" s="7">
        <f>Parameters!B$61*EXP(-Parameters!B$60*A44)</f>
        <v>0.16979776282246956</v>
      </c>
      <c r="R44" s="7">
        <f>(1-Parameters!B$61)*P44^-Parameters!B$63</f>
        <v>0.36161892396851336</v>
      </c>
      <c r="S44" s="7">
        <f>Parameters!B$61*EXP(-Parameters!B$60*A44)+(1-Parameters!B$61)*P44^-Parameters!B$63</f>
        <v>0.53141668679098286</v>
      </c>
      <c r="T44" s="7">
        <f>1-S44/Parameters!$B$12</f>
        <v>0.73429165660450857</v>
      </c>
      <c r="U44" s="7">
        <f t="shared" si="0"/>
        <v>3.7635250260529385</v>
      </c>
      <c r="V44" s="7">
        <f>(Parameters!$B$19*(F44+Parameters!$B$20)^T44+Parameters!$B$18*G44^T44)^(1/T44)</f>
        <v>0.35235563531259784</v>
      </c>
      <c r="W44" s="7">
        <f>(Parameters!$B$10*H44^Parameters!$B$9+Parameters!$B$11*V44^Parameters!$B$9)^(Parameters!$B$7/Parameters!$B$9)*O44</f>
        <v>1.348818426195219</v>
      </c>
      <c r="X44" s="7">
        <f>W44 - D44 - E44 - LN(1+EXP(Parameters!$B$21*C44))/Parameters!$B$21 - IF(C44&gt;0, 0,Parameters!$B$6*C44^2/F44)</f>
        <v>1.0450374775648379</v>
      </c>
      <c r="Y44" s="7">
        <f>EXP(-Parameters!$B$55*A44)</f>
        <v>0.54662077419459754</v>
      </c>
      <c r="Z44" s="7">
        <f>IF(X44&gt;0,X44^(1-Parameters!$B$52)/(1-Parameters!$B$52)*Y44*Parameters!$B$65,-10+X44*1000)</f>
        <v>-1.5378781820746608</v>
      </c>
      <c r="AB44" s="9"/>
      <c r="AC44" s="23">
        <f t="shared" si="6"/>
        <v>1.0574959460923745</v>
      </c>
      <c r="AD44" s="23">
        <f t="shared" si="7"/>
        <v>14.314280411389982</v>
      </c>
      <c r="AE44" s="23">
        <f t="shared" si="8"/>
        <v>1.9076598635259039</v>
      </c>
      <c r="AF44" s="23">
        <f t="shared" si="9"/>
        <v>25.943007801015881</v>
      </c>
      <c r="AG44" s="23">
        <f t="shared" si="10"/>
        <v>172.37534875258956</v>
      </c>
      <c r="AH44" s="23">
        <f t="shared" si="11"/>
        <v>64.529195622076642</v>
      </c>
      <c r="AI44" s="23">
        <f t="shared" si="12"/>
        <v>158.81126325695345</v>
      </c>
      <c r="AJ44" s="23">
        <f t="shared" si="13"/>
        <v>247.01795390726627</v>
      </c>
      <c r="AK44" s="23">
        <f t="shared" si="14"/>
        <v>191.38455884877945</v>
      </c>
      <c r="AL44" s="9">
        <f t="shared" si="24"/>
        <v>2.1980250631731479E-2</v>
      </c>
      <c r="AM44" s="9">
        <f t="shared" si="25"/>
        <v>1.9874886887787824E-2</v>
      </c>
      <c r="AN44" s="9">
        <f t="shared" ref="AN44:AO44" si="74">AVERAGE(AL42:AL46)</f>
        <v>2.1632277767681174E-2</v>
      </c>
      <c r="AO44" s="9">
        <f t="shared" si="74"/>
        <v>2.0944858034476786E-2</v>
      </c>
      <c r="AP44" s="23"/>
      <c r="AQ44" s="8">
        <f t="shared" si="1"/>
        <v>247.01795390726627</v>
      </c>
      <c r="AR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0.22367032832447831</v>
      </c>
      <c r="AS44" s="32">
        <f>((C45-C43)/2-(F45-F43)/F44/2*C44)/(F44/2/Parameters!$B$5-C44)-((D45-D43)/D44-(G45-G43)/G44)/(G44/2/Parameters!$B$5/D44-1)</f>
        <v>-2.1941140115441507E-3</v>
      </c>
      <c r="AT44" s="32">
        <f>+Parameters!$B$5*C44^2/F44^2-Parameters!$B$5*D44^2/G44^2</f>
        <v>-5.2343017636895754E-3</v>
      </c>
      <c r="AU44" s="30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0.53453197829971633</v>
      </c>
      <c r="AV44" s="30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97.892342670657413</v>
      </c>
      <c r="AW44" s="8">
        <f>1000*(AR44+AS44+AT44)/(EXP(-Parameters!$B$42*A44)*((C44&lt;0)*Parameters!$B$37*EXP(-Parameters!$B$38*AF44)+(C44&gt;=0)*Parameters!$B$41))</f>
        <v>354.23773539861162</v>
      </c>
      <c r="AX44" s="13">
        <f>1-W44/'6states,ExoDamages'!T44</f>
        <v>8.5504903904078944E-2</v>
      </c>
      <c r="AY44" s="21">
        <f>-Y44*W44*X44^(-Parameters!B$52)*Parameters!B$46*Parameters!B$45*N44</f>
        <v>-1.6091952428443732E-5</v>
      </c>
      <c r="AZ44" s="7">
        <f>1000*EXP(-(Parameters!$B$54)*'6states'!A44)*AQ44*Parameters!B$46*Parameters!B$45*N44</f>
        <v>1.4053231577232739</v>
      </c>
      <c r="BA44" s="7">
        <f>SUM(AZ44:AZ$204)*EXP(Parameters!$B$54*A44)</f>
        <v>467.98193651400248</v>
      </c>
      <c r="BB44" s="13">
        <f t="shared" si="35"/>
        <v>0.22481756252805923</v>
      </c>
      <c r="BC44" s="30">
        <f>IF(C44&lt;0,Parameters!$B$6*AC44^2/AF44,0)</f>
        <v>0</v>
      </c>
      <c r="BD44" s="30">
        <f>Parameters!$B$5*AD44^2/AG44</f>
        <v>1.1886770653615564</v>
      </c>
      <c r="BE44" s="30">
        <f t="shared" si="15"/>
        <v>0</v>
      </c>
      <c r="BF44" s="30">
        <f t="shared" si="16"/>
        <v>8.3041342715049579E-2</v>
      </c>
      <c r="BH44" s="5">
        <f t="shared" si="58"/>
        <v>-2.0567173222224002E-3</v>
      </c>
      <c r="BI44" s="2">
        <f>BH44/Parameters!$B$45</f>
        <v>-3.4278622037040005</v>
      </c>
      <c r="BJ44" s="2">
        <f t="shared" si="27"/>
        <v>7.7731012777726427E-4</v>
      </c>
      <c r="BM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-0.20148225318237761</v>
      </c>
      <c r="BN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-36.898764847191799</v>
      </c>
      <c r="BO44" s="7">
        <f t="shared" si="59"/>
        <v>6.8496019072269876E-2</v>
      </c>
      <c r="BU44">
        <f>EXP(-Parameters!$B$56*A44)*BH44*BN44</f>
        <v>3.3511020315646913E-3</v>
      </c>
      <c r="BV44">
        <f>-EXP((Parameters!$B$56)*F44)*SUM(BU44:BU52)</f>
        <v>-2.4923472111375848E-2</v>
      </c>
      <c r="BW44">
        <f>X44^-Parameters!B$52/(1-2*Parameters!B$5*'6states'!D44/'6states'!G44)</f>
        <v>1.129923367782137</v>
      </c>
      <c r="BX44">
        <f t="shared" si="61"/>
        <v>0.99855495255391968</v>
      </c>
      <c r="BY44">
        <f>$X44^-Parameters!$B$52/(1-2*Parameters!$B$5*'6states'!$E44/'6states'!$H44)</f>
        <v>1.08272129945106</v>
      </c>
      <c r="BZ44">
        <f t="shared" si="62"/>
        <v>1.0064970253618244</v>
      </c>
      <c r="CA44" s="7">
        <f>($X44^-Parameters!$B$52*(1/(1+EXP(-C44)) + IF(C44&lt;0,2*Parameters!$B$6*C44/F44,0)) + BS44*(1/(1+EXP((C44-Parameters!$B$22)*Parameters!$B$21))))/(1-IF(C44&gt;0,2*Parameters!$B$5*C44/F44,0))</f>
        <v>0.51443025943458509</v>
      </c>
      <c r="CB44">
        <f t="shared" si="63"/>
        <v>0.99908147708073014</v>
      </c>
      <c r="CC44" s="7">
        <f t="shared" si="64"/>
        <v>-4.7295039943817674E-4</v>
      </c>
      <c r="CD44">
        <f>(1/$T44-1/Parameters!$B$13) * LN(Parameters!$B$18) / LN(P44)</f>
        <v>0.23461928423986242</v>
      </c>
      <c r="CE44">
        <f>(Parameters!$B$18*'6states'!T44^+Parameters!$B$19*Parameters!$B$25^'6states'!T44)^((1-'6states'!T44)/'6states'!T44)*Parameters!$B$18*Parameters!$B$26^('6states'!T44-1)</f>
        <v>0.28283602774012589</v>
      </c>
      <c r="CF44">
        <f t="shared" si="65"/>
        <v>0.24053827867154062</v>
      </c>
      <c r="CG44">
        <f t="shared" si="66"/>
        <v>0.15009074615198392</v>
      </c>
      <c r="CH44">
        <f t="shared" si="67"/>
        <v>0.17802639503430073</v>
      </c>
    </row>
    <row r="45" spans="1:86" x14ac:dyDescent="0.3">
      <c r="A45">
        <f>A44+Parameters!$B$65</f>
        <v>41</v>
      </c>
      <c r="B45">
        <v>2066</v>
      </c>
      <c r="C45" s="74">
        <v>5.5313518348307396E-3</v>
      </c>
      <c r="D45" s="69">
        <v>8.0863107692340994E-2</v>
      </c>
      <c r="E45" s="75">
        <v>0.21527090901613999</v>
      </c>
      <c r="F45" s="7">
        <f>MAX((1-Parameters!$B$4)^Parameters!B$65*F44 + C44*Parameters!B$65 - IF(C44&gt;0,Parameters!$B$5,0)*C44^2/F44*Parameters!B$65, 0.0001)</f>
        <v>0.13828797441660345</v>
      </c>
      <c r="G45" s="7">
        <f>(1-Parameters!$B$4)^Parameters!B$65*G44+D44*Parameters!B$65-Parameters!$B$5*D44^2/G44*Parameters!B$65</f>
        <v>0.95370663107127107</v>
      </c>
      <c r="H45" s="7">
        <f>(1-Parameters!$B$4)^Parameters!B$65*H44+E44*Parameters!B$65-Parameters!$B$5*E44^2/H44*Parameters!B$65</f>
        <v>3.3733794006471718</v>
      </c>
      <c r="I45" s="7">
        <f>I44 *(1-Parameters!$B$4)-C44*(C44&lt;0)*Parameters!B$65</f>
        <v>9.7613941762499257E-3</v>
      </c>
      <c r="J45" s="23">
        <f>J44*(1+Parameters!$B$51)^Parameters!B$65</f>
        <v>9.1886782073169293</v>
      </c>
      <c r="K45" s="23">
        <f>K44*(1+Parameters!$B$53)^Parameters!B$65</f>
        <v>20.388242493917602</v>
      </c>
      <c r="L45" s="23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13.346430338704486</v>
      </c>
      <c r="M45" s="8">
        <f>M44+L45*Parameters!B$65</f>
        <v>3214.4415348278258</v>
      </c>
      <c r="N45" s="7">
        <f>M45*Parameters!$B$45</f>
        <v>1.9286649208966953</v>
      </c>
      <c r="O45" s="9">
        <f>EXP(-Parameters!$B$46/2*N45^2)</f>
        <v>0.96330666416012667</v>
      </c>
      <c r="P45" s="7">
        <f>MAX((Parameters!$B$62 + Parameters!$B$31*'6states'!A45 - '6states'!M45 + Parameters!$B$47/Parameters!$B$45)/Parameters!B$62,1)</f>
        <v>26.335169303443489</v>
      </c>
      <c r="Q45" s="7">
        <f>Parameters!B$61*EXP(-Parameters!B$60*A45)</f>
        <v>0.16527456122893386</v>
      </c>
      <c r="R45" s="7">
        <f>(1-Parameters!B$61)*P45^-Parameters!B$63</f>
        <v>0.3605092337929135</v>
      </c>
      <c r="S45" s="7">
        <f>Parameters!B$61*EXP(-Parameters!B$60*A45)+(1-Parameters!B$61)*P45^-Parameters!B$63</f>
        <v>0.52578379502184736</v>
      </c>
      <c r="T45" s="7">
        <f>1-S45/Parameters!$B$12</f>
        <v>0.73710810248907632</v>
      </c>
      <c r="U45" s="7">
        <f t="shared" si="0"/>
        <v>3.8038448863128163</v>
      </c>
      <c r="V45" s="7">
        <f>(Parameters!$B$19*(F45+Parameters!$B$20)^T45+Parameters!$B$18*G45^T45)^(1/T45)</f>
        <v>0.35274141387606178</v>
      </c>
      <c r="W45" s="7">
        <f>(Parameters!$B$10*H45^Parameters!$B$9+Parameters!$B$11*V45^Parameters!$B$9)^(Parameters!$B$7/Parameters!$B$9)*O45</f>
        <v>1.3479253132921849</v>
      </c>
      <c r="X45" s="7">
        <f>W45 - D45 - E45 - LN(1+EXP(Parameters!$B$21*C45))/Parameters!$B$21 - IF(C45&gt;0, 0,Parameters!$B$6*C45^2/F45)</f>
        <v>1.0456793944672942</v>
      </c>
      <c r="Y45" s="7">
        <f>EXP(-Parameters!$B$55*A45)</f>
        <v>0.53842880552138184</v>
      </c>
      <c r="Z45" s="7">
        <f>IF(X45&gt;0,X45^(1-Parameters!$B$52)/(1-Parameters!$B$52)*Y45*Parameters!$B$65,-10+X45*1000)</f>
        <v>-1.5145051321469667</v>
      </c>
      <c r="AB45" s="9"/>
      <c r="AC45" s="23">
        <f t="shared" si="6"/>
        <v>1.0362489812644609</v>
      </c>
      <c r="AD45" s="23">
        <f t="shared" si="7"/>
        <v>15.148975416898402</v>
      </c>
      <c r="AE45" s="23">
        <f t="shared" si="8"/>
        <v>1.8287093413882169</v>
      </c>
      <c r="AF45" s="23">
        <f t="shared" si="9"/>
        <v>25.907007344564658</v>
      </c>
      <c r="AG45" s="23">
        <f t="shared" si="10"/>
        <v>178.66835348451616</v>
      </c>
      <c r="AH45" s="23">
        <f t="shared" si="11"/>
        <v>66.082929036829171</v>
      </c>
      <c r="AI45" s="23">
        <f t="shared" si="12"/>
        <v>162.63511948176236</v>
      </c>
      <c r="AJ45" s="23">
        <f t="shared" si="13"/>
        <v>252.52167542915805</v>
      </c>
      <c r="AK45" s="23">
        <f t="shared" si="14"/>
        <v>195.89862290492496</v>
      </c>
      <c r="AL45" s="9">
        <f t="shared" si="24"/>
        <v>2.2036066444875324E-2</v>
      </c>
      <c r="AM45" s="9">
        <f t="shared" si="25"/>
        <v>2.3312494350782309E-2</v>
      </c>
      <c r="AN45" s="9">
        <f t="shared" ref="AN45:AO45" si="75">AVERAGE(AL43:AL47)</f>
        <v>2.1655847480793078E-2</v>
      </c>
      <c r="AO45" s="9">
        <f t="shared" si="75"/>
        <v>2.1540449025691012E-2</v>
      </c>
      <c r="AP45" s="23"/>
      <c r="AQ45" s="8">
        <f t="shared" si="1"/>
        <v>252.52167542915802</v>
      </c>
      <c r="AR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0.22319736989037273</v>
      </c>
      <c r="AS45" s="32">
        <f>((C46-C44)/2-(F46-F44)/F45/2*C45)/(F45/2/Parameters!$B$5-C45)-((D46-D44)/D45-(G46-G44)/G45)/(G45/2/Parameters!$B$5/D45-1)</f>
        <v>1.8558968590234443E-3</v>
      </c>
      <c r="AT45" s="32">
        <f>+Parameters!$B$5*C45^2/F45^2-Parameters!$B$5*D45^2/G45^2</f>
        <v>-5.5891425049043094E-3</v>
      </c>
      <c r="AU45" s="30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0.53091541476140736</v>
      </c>
      <c r="AV45" s="30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99.462224445706781</v>
      </c>
      <c r="AW45" s="8">
        <f>1000*(AR45+AS45+AT45)/(EXP(-Parameters!$B$42*A45)*((C45&lt;0)*Parameters!$B$37*EXP(-Parameters!$B$38*AF45)+(C45&gt;=0)*Parameters!$B$41))</f>
        <v>363.12941512999981</v>
      </c>
      <c r="AX45" s="13">
        <f>1-W45/'6states,ExoDamages'!T45</f>
        <v>8.5762684588205018E-2</v>
      </c>
      <c r="AY45" s="21">
        <f>-Y45*W45*X45^(-Parameters!B$52)*Parameters!B$46*Parameters!B$45*N45</f>
        <v>-1.5893156577434143E-5</v>
      </c>
      <c r="AZ45" s="7">
        <f>1000*EXP(-(Parameters!$B$54)*'6states'!A45)*AQ45*Parameters!B$46*Parameters!B$45*N45</f>
        <v>1.3928667221166169</v>
      </c>
      <c r="BA45" s="7">
        <f>SUM(AZ45:AZ$204)*EXP(Parameters!$B$54*A45)</f>
        <v>478.77367869370562</v>
      </c>
      <c r="BB45" s="13">
        <f t="shared" si="35"/>
        <v>0.22379976514167652</v>
      </c>
      <c r="BC45" s="30">
        <f>IF(C45&lt;0,Parameters!$B$6*AC45^2/AF45,0)</f>
        <v>0</v>
      </c>
      <c r="BD45" s="30">
        <f>Parameters!$B$5*AD45^2/AG45</f>
        <v>1.2844549787698156</v>
      </c>
      <c r="BE45" s="30">
        <f t="shared" si="15"/>
        <v>0</v>
      </c>
      <c r="BF45" s="30">
        <f t="shared" si="16"/>
        <v>8.4788241014440477E-2</v>
      </c>
      <c r="BH45" s="5">
        <f t="shared" si="58"/>
        <v>-2.0581225431858846E-3</v>
      </c>
      <c r="BI45" s="2">
        <f>BH45/Parameters!$B$45</f>
        <v>-3.4302042386431415</v>
      </c>
      <c r="BJ45" s="2">
        <f t="shared" si="27"/>
        <v>6.8276836485614556E-4</v>
      </c>
      <c r="BM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-0.22310774141513495</v>
      </c>
      <c r="BN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-41.797227270523642</v>
      </c>
      <c r="BO45" s="7">
        <f t="shared" si="59"/>
        <v>6.5933372556923733E-2</v>
      </c>
      <c r="BU45">
        <f>EXP(-Parameters!$B$56*A45)*BH45*BN45</f>
        <v>3.5135403804393717E-3</v>
      </c>
      <c r="BV45">
        <f>-EXP((Parameters!$B$56)*F45)*SUM(BU45:BU53)</f>
        <v>-2.3850388557454732E-2</v>
      </c>
      <c r="BW45">
        <f>X45^-Parameters!B$52/(1-2*Parameters!B$5*'6states'!D45/'6states'!G45)</f>
        <v>1.1337369920034852</v>
      </c>
      <c r="BX45">
        <f t="shared" si="61"/>
        <v>1.0033751175788441</v>
      </c>
      <c r="BY45">
        <f>$X45^-Parameters!$B$52/(1-2*Parameters!$B$5*'6states'!$E45/'6states'!$H45)</f>
        <v>1.0792221548125334</v>
      </c>
      <c r="BZ45">
        <f t="shared" si="62"/>
        <v>0.99676819451108911</v>
      </c>
      <c r="CA45" s="7">
        <f>($X45^-Parameters!$B$52*(1/(1+EXP(-C45)) + IF(C45&lt;0,2*Parameters!$B$6*C45/F45,0)) + BS45*(1/(1+EXP((C45-Parameters!$B$22)*Parameters!$B$21))))/(1-IF(C45&gt;0,2*Parameters!$B$5*C45/F45,0))</f>
        <v>0.5130886999160803</v>
      </c>
      <c r="CB45">
        <f t="shared" si="63"/>
        <v>0.99739214501110551</v>
      </c>
      <c r="CC45" s="7">
        <f t="shared" si="64"/>
        <v>-1.3415595185047868E-3</v>
      </c>
      <c r="CD45">
        <f>(1/$T45-1/Parameters!$B$13) * LN(Parameters!$B$18) / LN(P45)</f>
        <v>0.23430993224036276</v>
      </c>
      <c r="CE45">
        <f>(Parameters!$B$18*'6states'!T45^+Parameters!$B$19*Parameters!$B$25^'6states'!T45)^((1-'6states'!T45)/'6states'!T45)*Parameters!$B$18*Parameters!$B$26^('6states'!T45-1)</f>
        <v>0.28386553359198341</v>
      </c>
      <c r="CF45">
        <f t="shared" si="65"/>
        <v>0.23938894817053069</v>
      </c>
      <c r="CG45">
        <f t="shared" si="66"/>
        <v>0.14990848357378295</v>
      </c>
      <c r="CH45">
        <f t="shared" si="67"/>
        <v>0.17861274540700067</v>
      </c>
    </row>
    <row r="46" spans="1:86" x14ac:dyDescent="0.3">
      <c r="A46">
        <f>A45+Parameters!$B$65</f>
        <v>42</v>
      </c>
      <c r="B46">
        <v>2067</v>
      </c>
      <c r="C46" s="74">
        <v>5.3054713360106698E-3</v>
      </c>
      <c r="D46" s="69">
        <v>7.9054697513430597E-2</v>
      </c>
      <c r="E46" s="75">
        <v>0.22025385958401</v>
      </c>
      <c r="F46" s="7">
        <f>MAX((1-Parameters!$B$4)^Parameters!B$65*F45 + C45*Parameters!B$65 - IF(C45&gt;0,Parameters!$B$5,0)*C45^2/F45*Parameters!B$65, 0.0001)</f>
        <v>0.13489976527270794</v>
      </c>
      <c r="G46" s="7">
        <f>(1-Parameters!$B$4)^Parameters!B$65*G45+D45*Parameters!B$65-Parameters!$B$5*D45^2/G45*Parameters!B$65</f>
        <v>0.96772535100503421</v>
      </c>
      <c r="H46" s="7">
        <f>(1-Parameters!$B$4)^Parameters!B$65*H45+E45*Parameters!B$65-Parameters!$B$5*E45^2/H45*Parameters!B$65</f>
        <v>3.3627273150991295</v>
      </c>
      <c r="I46" s="7">
        <f>I45 *(1-Parameters!$B$4)-C45*(C45&lt;0)*Parameters!B$65</f>
        <v>9.1474024825638055E-3</v>
      </c>
      <c r="J46" s="23">
        <f>J45*(1+Parameters!$B$51)^Parameters!B$65</f>
        <v>9.215325374118148</v>
      </c>
      <c r="K46" s="23">
        <f>K45*(1+Parameters!$B$53)^Parameters!B$65</f>
        <v>20.796007343795953</v>
      </c>
      <c r="L46" s="23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13.202547527927631</v>
      </c>
      <c r="M46" s="8">
        <f>M45+L46*Parameters!B$65</f>
        <v>3227.6440823557532</v>
      </c>
      <c r="N46" s="7">
        <f>M46*Parameters!$B$45</f>
        <v>1.9365864494134517</v>
      </c>
      <c r="O46" s="9">
        <f>EXP(-Parameters!$B$46/2*N46^2)</f>
        <v>0.96301028303601377</v>
      </c>
      <c r="P46" s="7">
        <f>MAX((Parameters!$B$62 + Parameters!$B$31*'6states'!A46 - '6states'!M46 + Parameters!$B$47/Parameters!$B$45)/Parameters!B$62,1)</f>
        <v>27.135118352884938</v>
      </c>
      <c r="Q46" s="7">
        <f>Parameters!B$61*EXP(-Parameters!B$60*A46)</f>
        <v>0.16087185211018509</v>
      </c>
      <c r="R46" s="7">
        <f>(1-Parameters!B$61)*P46^-Parameters!B$63</f>
        <v>0.35943207686028794</v>
      </c>
      <c r="S46" s="7">
        <f>Parameters!B$61*EXP(-Parameters!B$60*A46)+(1-Parameters!B$61)*P46^-Parameters!B$63</f>
        <v>0.52030392897047306</v>
      </c>
      <c r="T46" s="7">
        <f>1-S46/Parameters!$B$12</f>
        <v>0.73984803551476341</v>
      </c>
      <c r="U46" s="7">
        <f t="shared" si="0"/>
        <v>3.8439071639482054</v>
      </c>
      <c r="V46" s="7">
        <f>(Parameters!$B$19*(F46+Parameters!$B$20)^T46+Parameters!$B$18*G46^T46)^(1/T46)</f>
        <v>0.3534668318411795</v>
      </c>
      <c r="W46" s="7">
        <f>(Parameters!$B$10*H46^Parameters!$B$9+Parameters!$B$11*V46^Parameters!$B$9)^(Parameters!$B$7/Parameters!$B$9)*O46</f>
        <v>1.3469004893077272</v>
      </c>
      <c r="X46" s="7">
        <f>W46 - D46 - E46 - LN(1+EXP(Parameters!$B$21*C46))/Parameters!$B$21 - IF(C46&gt;0, 0,Parameters!$B$6*C46^2/F46)</f>
        <v>1.0416687617966152</v>
      </c>
      <c r="Y46" s="7">
        <f>EXP(-Parameters!$B$55*A46)</f>
        <v>0.53035960633280899</v>
      </c>
      <c r="Z46" s="7">
        <f>IF(X46&gt;0,X46^(1-Parameters!$B$52)/(1-Parameters!$B$52)*Y46*Parameters!$B$65,-10+X46*1000)</f>
        <v>-1.4938157051679846</v>
      </c>
      <c r="AB46" s="9"/>
      <c r="AC46" s="23">
        <f t="shared" si="6"/>
        <v>1.0167510006591935</v>
      </c>
      <c r="AD46" s="23">
        <f t="shared" si="7"/>
        <v>15.150198297750029</v>
      </c>
      <c r="AE46" s="23">
        <f t="shared" si="8"/>
        <v>1.7530262701546404</v>
      </c>
      <c r="AF46" s="23">
        <f t="shared" si="9"/>
        <v>25.852457329992877</v>
      </c>
      <c r="AG46" s="23">
        <f t="shared" si="10"/>
        <v>185.45679670705493</v>
      </c>
      <c r="AH46" s="23">
        <f t="shared" si="11"/>
        <v>67.739081452579811</v>
      </c>
      <c r="AI46" s="23">
        <f t="shared" si="12"/>
        <v>166.71103666554066</v>
      </c>
      <c r="AJ46" s="23">
        <f t="shared" si="13"/>
        <v>258.12266876211714</v>
      </c>
      <c r="AK46" s="23">
        <f t="shared" si="14"/>
        <v>199.62745792695424</v>
      </c>
      <c r="AL46" s="9">
        <f t="shared" si="24"/>
        <v>2.1937843929573653E-2</v>
      </c>
      <c r="AM46" s="9">
        <f t="shared" si="25"/>
        <v>1.885562383651429E-2</v>
      </c>
      <c r="AN46" s="9">
        <f t="shared" ref="AN46:AO46" si="76">AVERAGE(AL44:AL48)</f>
        <v>2.1705793708199826E-2</v>
      </c>
      <c r="AO46" s="9">
        <f t="shared" si="76"/>
        <v>2.1195891344541095E-2</v>
      </c>
      <c r="AP46" s="23"/>
      <c r="AQ46" s="8">
        <f t="shared" si="1"/>
        <v>258.12266876211709</v>
      </c>
      <c r="AR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0.22056894020495285</v>
      </c>
      <c r="AS46" s="32">
        <f>((C47-C45)/2-(F47-F45)/F46/2*C46)/(F46/2/Parameters!$B$5-C46)-((D47-D45)/D46-(G47-G45)/G46)/(G46/2/Parameters!$B$5/D46-1)</f>
        <v>-5.6316675057370931E-2</v>
      </c>
      <c r="AT46" s="32">
        <f>+Parameters!$B$5*C46^2/F46^2-Parameters!$B$5*D46^2/G46^2</f>
        <v>-5.1266916431192419E-3</v>
      </c>
      <c r="AU46" s="30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0.5273442569575213</v>
      </c>
      <c r="AV46" s="30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101.06129446297328</v>
      </c>
      <c r="AW46" s="8">
        <f>1000*(AR46+AS46+AT46)/(EXP(-Parameters!$B$42*A46)*((C46&lt;0)*Parameters!$B$37*EXP(-Parameters!$B$38*AF46)+(C46&gt;=0)*Parameters!$B$41))</f>
        <v>265.93825855448944</v>
      </c>
      <c r="AX46" s="13">
        <f>1-W46/'6states,ExoDamages'!T46</f>
        <v>8.6117408676482432E-2</v>
      </c>
      <c r="AY46" s="21">
        <f>-Y46*W46*X46^(-Parameters!B$52)*Parameters!B$46*Parameters!B$45*N46</f>
        <v>-1.5789018447051498E-5</v>
      </c>
      <c r="AZ46" s="7">
        <f>1000*EXP(-(Parameters!$B$54)*'6states'!A46)*AQ46*Parameters!B$46*Parameters!B$45*N46</f>
        <v>1.3802997774727324</v>
      </c>
      <c r="BA46" s="7">
        <f>SUM(AZ46:AZ$204)*EXP(Parameters!$B$54*A46)</f>
        <v>489.79364133388395</v>
      </c>
      <c r="BB46" s="13">
        <f t="shared" ref="BB46:BB109" si="77">(C46+D46+E46)/W46</f>
        <v>0.22615926777932582</v>
      </c>
      <c r="BC46" s="30">
        <f>IF(C46&lt;0,Parameters!$B$6*AC46^2/AF46,0)</f>
        <v>0</v>
      </c>
      <c r="BD46" s="30">
        <f>Parameters!$B$5*AD46^2/AG46</f>
        <v>1.2376386982662493</v>
      </c>
      <c r="BE46" s="30">
        <f t="shared" si="15"/>
        <v>0</v>
      </c>
      <c r="BF46" s="30">
        <f t="shared" si="16"/>
        <v>8.1691254064314933E-2</v>
      </c>
      <c r="BH46" s="5">
        <f t="shared" si="58"/>
        <v>-2.0594692599597416E-3</v>
      </c>
      <c r="BI46" s="2">
        <f>BH46/Parameters!$B$45</f>
        <v>-3.4324487665995695</v>
      </c>
      <c r="BJ46" s="2">
        <f t="shared" si="27"/>
        <v>6.5391448177432032E-4</v>
      </c>
      <c r="BM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-0.24563087308754347</v>
      </c>
      <c r="BN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-47.073185432067881</v>
      </c>
      <c r="BO46" s="7">
        <f t="shared" si="59"/>
        <v>6.3502827755036059E-2</v>
      </c>
      <c r="BU46">
        <f>EXP(-Parameters!$B$56*A46)*BH46*BN46</f>
        <v>3.6625214694511305E-3</v>
      </c>
      <c r="BV46">
        <f>-EXP((Parameters!$B$56)*F46)*SUM(BU46:BU54)</f>
        <v>-2.267481736047584E-2</v>
      </c>
      <c r="BW46">
        <f>X46^-Parameters!B$52/(1-2*Parameters!B$5*'6states'!D46/'6states'!G46)</f>
        <v>1.1311964795518612</v>
      </c>
      <c r="BX46">
        <f t="shared" si="61"/>
        <v>0.99775916948150867</v>
      </c>
      <c r="BY46">
        <f>$X46^-Parameters!$B$52/(1-2*Parameters!$B$5*'6states'!$E46/'6states'!$H46)</f>
        <v>1.0890398915534369</v>
      </c>
      <c r="BZ46">
        <f t="shared" si="62"/>
        <v>1.0090970489228039</v>
      </c>
      <c r="CA46" s="7">
        <f>($X46^-Parameters!$B$52*(1/(1+EXP(-C46)) + IF(C46&lt;0,2*Parameters!$B$6*C46/F46,0)) + BS46*(1/(1+EXP((C46-Parameters!$B$22)*Parameters!$B$21))))/(1-IF(C46&gt;0,2*Parameters!$B$5*C46/F46,0))</f>
        <v>0.51494951111826015</v>
      </c>
      <c r="CB46">
        <f t="shared" si="63"/>
        <v>1.0036266852154105</v>
      </c>
      <c r="CC46" s="7">
        <f t="shared" si="64"/>
        <v>1.8608112021798462E-3</v>
      </c>
      <c r="CD46">
        <f>(1/$T46-1/Parameters!$B$13) * LN(Parameters!$B$18) / LN(P46)</f>
        <v>0.23399905392224771</v>
      </c>
      <c r="CE46">
        <f>(Parameters!$B$18*'6states'!T46^+Parameters!$B$19*Parameters!$B$25^'6states'!T46)^((1-'6states'!T46)/'6states'!T46)*Parameters!$B$18*Parameters!$B$26^('6states'!T46-1)</f>
        <v>0.28484693560237562</v>
      </c>
      <c r="CF46">
        <f t="shared" si="65"/>
        <v>0.23826437090040078</v>
      </c>
      <c r="CG46">
        <f t="shared" si="66"/>
        <v>0.14972528235037741</v>
      </c>
      <c r="CH46">
        <f t="shared" si="67"/>
        <v>0.17917130904055978</v>
      </c>
    </row>
    <row r="47" spans="1:86" x14ac:dyDescent="0.3">
      <c r="A47">
        <f>A46+Parameters!$B$65</f>
        <v>43</v>
      </c>
      <c r="B47">
        <v>2068</v>
      </c>
      <c r="C47" s="74">
        <v>-1.9187184471483299E-3</v>
      </c>
      <c r="D47" s="69">
        <v>8.2366929127294305E-2</v>
      </c>
      <c r="E47" s="75">
        <v>0.217604193918426</v>
      </c>
      <c r="F47" s="7">
        <f>MAX((1-Parameters!$B$4)^Parameters!B$65*F46 + C46*Parameters!B$65 - IF(C46&gt;0,Parameters!$B$5,0)*C46^2/F46*Parameters!B$65, 0.0001)</f>
        <v>0.13151138255115905</v>
      </c>
      <c r="G47" s="7">
        <f>(1-Parameters!$B$4)^Parameters!B$65*G46+D46*Parameters!B$65-Parameters!$B$5*D46^2/G46*Parameters!B$65</f>
        <v>0.97945204656070106</v>
      </c>
      <c r="H47" s="7">
        <f>(1-Parameters!$B$4)^Parameters!B$65*H46+E46*Parameters!B$65-Parameters!$B$5*E46^2/H46*Parameters!B$65</f>
        <v>3.3570393118147099</v>
      </c>
      <c r="I47" s="7">
        <f>I46 *(1-Parameters!$B$4)-C46*(C46&lt;0)*Parameters!B$65</f>
        <v>8.5720308664105418E-3</v>
      </c>
      <c r="J47" s="23">
        <f>J46*(1+Parameters!$B$51)^Parameters!B$65</f>
        <v>9.242049817703089</v>
      </c>
      <c r="K47" s="23">
        <f>K46*(1+Parameters!$B$53)^Parameters!B$65</f>
        <v>21.211927490671872</v>
      </c>
      <c r="L47" s="23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13.05274782457337</v>
      </c>
      <c r="M47" s="8">
        <f>M46+L47*Parameters!B$65</f>
        <v>3240.6968301803267</v>
      </c>
      <c r="N47" s="7">
        <f>M47*Parameters!$B$45</f>
        <v>1.9444180981081958</v>
      </c>
      <c r="O47" s="9">
        <f>EXP(-Parameters!$B$46/2*N47^2)</f>
        <v>0.96271616070010446</v>
      </c>
      <c r="P47" s="7">
        <f>MAX((Parameters!$B$62 + Parameters!$B$31*'6states'!A47 - '6states'!M47 + Parameters!$B$47/Parameters!$B$45)/Parameters!B$62,1)</f>
        <v>27.938063396393463</v>
      </c>
      <c r="Q47" s="7">
        <f>Parameters!B$61*EXP(-Parameters!B$60*A47)</f>
        <v>0.15658642569628925</v>
      </c>
      <c r="R47" s="7">
        <f>(1-Parameters!B$61)*P47^-Parameters!B$63</f>
        <v>0.35838545408390404</v>
      </c>
      <c r="S47" s="7">
        <f>Parameters!B$61*EXP(-Parameters!B$60*A47)+(1-Parameters!B$61)*P47^-Parameters!B$63</f>
        <v>0.51497187978019332</v>
      </c>
      <c r="T47" s="7">
        <f>1-S47/Parameters!$B$12</f>
        <v>0.7425140601099034</v>
      </c>
      <c r="U47" s="7">
        <f t="shared" si="0"/>
        <v>3.8837072052432555</v>
      </c>
      <c r="V47" s="7">
        <f>(Parameters!$B$19*(F47+Parameters!$B$20)^T47+Parameters!$B$18*G47^T47)^(1/T47)</f>
        <v>0.35364732726912435</v>
      </c>
      <c r="W47" s="7">
        <f>(Parameters!$B$10*H47^Parameters!$B$9+Parameters!$B$11*V47^Parameters!$B$9)^(Parameters!$B$7/Parameters!$B$9)*O47</f>
        <v>1.3460845125162213</v>
      </c>
      <c r="X47" s="7">
        <f>W47 - D47 - E47 - LN(1+EXP(Parameters!$B$21*C47))/Parameters!$B$21 - IF(C47&gt;0, 0,Parameters!$B$6*C47^2/F47)</f>
        <v>1.0444860993070757</v>
      </c>
      <c r="Y47" s="7">
        <f>EXP(-Parameters!$B$55*A47)</f>
        <v>0.52241133673581286</v>
      </c>
      <c r="Z47" s="7">
        <f>IF(X47&gt;0,X47^(1-Parameters!$B$52)/(1-Parameters!$B$52)*Y47*Parameters!$B$65,-10+X47*1000)</f>
        <v>-1.4700381852117157</v>
      </c>
      <c r="AB47" s="9"/>
      <c r="AC47" s="23">
        <f t="shared" si="6"/>
        <v>-0.37614880816109414</v>
      </c>
      <c r="AD47" s="23">
        <f t="shared" si="7"/>
        <v>16.147352035504735</v>
      </c>
      <c r="AE47" s="23">
        <f t="shared" si="8"/>
        <v>1.680475422911891</v>
      </c>
      <c r="AF47" s="23">
        <f t="shared" si="9"/>
        <v>25.781713768248348</v>
      </c>
      <c r="AG47" s="23">
        <f t="shared" si="10"/>
        <v>192.01343506771991</v>
      </c>
      <c r="AH47" s="23">
        <f t="shared" si="11"/>
        <v>69.329619913407683</v>
      </c>
      <c r="AI47" s="23">
        <f t="shared" si="12"/>
        <v>170.62547291083652</v>
      </c>
      <c r="AJ47" s="23">
        <f t="shared" si="13"/>
        <v>263.88868352186199</v>
      </c>
      <c r="AK47" s="23">
        <f t="shared" si="14"/>
        <v>204.76282071457788</v>
      </c>
      <c r="AL47" s="9">
        <f t="shared" si="24"/>
        <v>2.209242865481631E-2</v>
      </c>
      <c r="AM47" s="9">
        <f t="shared" si="25"/>
        <v>2.5399418024967702E-2</v>
      </c>
      <c r="AN47" s="9">
        <f t="shared" ref="AN47:AO47" si="78">AVERAGE(AL45:AL49)</f>
        <v>2.1719670742573527E-2</v>
      </c>
      <c r="AO47" s="9">
        <f t="shared" si="78"/>
        <v>2.1683798586412985E-2</v>
      </c>
      <c r="AP47" s="23"/>
      <c r="AQ47" s="8">
        <f t="shared" si="1"/>
        <v>263.88868352186194</v>
      </c>
      <c r="AR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0.2544656357111843</v>
      </c>
      <c r="AS47" s="32">
        <f>((C48-C46)/2-(F48-F46)/F47/2*C47)/(F47/2/Parameters!$B$5-C47)-((D48-D46)/D47-(G48-G46)/G47)/(G47/2/Parameters!$B$5/D47-1)</f>
        <v>-4.8732462999129776E-3</v>
      </c>
      <c r="AT47" s="32">
        <f>+Parameters!$B$5*C47^2/F47^2-Parameters!$B$5*D47^2/G47^2</f>
        <v>-6.8590925839720363E-3</v>
      </c>
      <c r="AU47" s="30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0.52381370724577647</v>
      </c>
      <c r="AV47" s="30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102.68932472702244</v>
      </c>
      <c r="AW47" s="8">
        <f>1000*(AR47+AS47+AT47)/(EXP(-Parameters!$B$42*A47)*((C47&lt;0)*Parameters!$B$37*EXP(-Parameters!$B$38*AF47)+(C47&gt;=0)*Parameters!$B$41))</f>
        <v>8864900386.5609264</v>
      </c>
      <c r="AX47" s="13">
        <f>1-W47/'6states,ExoDamages'!T47</f>
        <v>8.6337825059664919E-2</v>
      </c>
      <c r="AY47" s="21">
        <f>-Y47*W47*X47^(-Parameters!B$52)*Parameters!B$46*Parameters!B$45*N47</f>
        <v>-1.5549029439934665E-5</v>
      </c>
      <c r="AZ47" s="7">
        <f>1000*EXP(-(Parameters!$B$54)*'6states'!A47)*AQ47*Parameters!B$46*Parameters!B$45*N47</f>
        <v>1.3679715568026445</v>
      </c>
      <c r="BA47" s="7">
        <f>SUM(AZ47:AZ$204)*EXP(Parameters!$B$54*A47)</f>
        <v>501.04680147453098</v>
      </c>
      <c r="BB47" s="13">
        <f t="shared" si="77"/>
        <v>0.22142176202698136</v>
      </c>
      <c r="BC47" s="30">
        <f>IF(C47&lt;0,Parameters!$B$6*AC47^2/AF47,0)</f>
        <v>2.7439588995682291E-2</v>
      </c>
      <c r="BD47" s="30">
        <f>Parameters!$B$5*AD47^2/AG47</f>
        <v>1.3579100736704248</v>
      </c>
      <c r="BE47" s="30">
        <f t="shared" si="15"/>
        <v>7.29487596407076E-2</v>
      </c>
      <c r="BF47" s="30">
        <f t="shared" si="16"/>
        <v>8.4094907368381974E-2</v>
      </c>
      <c r="BH47" s="5">
        <f t="shared" si="58"/>
        <v>-2.0605798760911982E-3</v>
      </c>
      <c r="BI47" s="2">
        <f>BH47/Parameters!$B$45</f>
        <v>-3.4342997934853305</v>
      </c>
      <c r="BJ47" s="2">
        <f t="shared" si="27"/>
        <v>5.3898232451121686E-4</v>
      </c>
      <c r="BM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-0.26901151743055068</v>
      </c>
      <c r="BN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-52.73747266749789</v>
      </c>
      <c r="BO47" s="7">
        <f t="shared" si="59"/>
        <v>6.1192332891392968E-2</v>
      </c>
      <c r="BU47">
        <f>EXP(-Parameters!$B$56*A47)*BH47*BN47</f>
        <v>3.7973888872535806E-3</v>
      </c>
      <c r="BV47">
        <f>-EXP((Parameters!$B$56)*F47)*SUM(BU47:BU55)</f>
        <v>-2.1408346798756202E-2</v>
      </c>
      <c r="BW47">
        <f>X47^-Parameters!B$52/(1-2*Parameters!B$5*'6states'!D47/'6states'!G47)</f>
        <v>1.1335930355649062</v>
      </c>
      <c r="BX47">
        <f t="shared" si="61"/>
        <v>1.0021186027859585</v>
      </c>
      <c r="BY47">
        <f>$X47^-Parameters!$B$52/(1-2*Parameters!$B$5*'6states'!$E47/'6states'!$H47)</f>
        <v>1.0833848264156516</v>
      </c>
      <c r="BZ47">
        <f t="shared" si="62"/>
        <v>0.99480729293605685</v>
      </c>
      <c r="CA47" s="7">
        <f>($X47^-Parameters!$B$52*(1/(1+EXP(-C47)) + IF(C47&lt;0,2*Parameters!$B$6*C47/F47,0)) + BS47*(1/(1+EXP((C47-Parameters!$B$22)*Parameters!$B$21))))/(1-IF(C47&gt;0,2*Parameters!$B$5*C47/F47,0))</f>
        <v>0.33344304484567155</v>
      </c>
      <c r="CB47">
        <f t="shared" si="63"/>
        <v>0.64752570426092715</v>
      </c>
      <c r="CC47" s="7">
        <f t="shared" si="64"/>
        <v>-0.1815064662725886</v>
      </c>
      <c r="CD47">
        <f>(1/$T47-1/Parameters!$B$13) * LN(Parameters!$B$18) / LN(P47)</f>
        <v>0.23368603670562763</v>
      </c>
      <c r="CE47">
        <f>(Parameters!$B$18*'6states'!T47^+Parameters!$B$19*Parameters!$B$25^'6states'!T47)^((1-'6states'!T47)/'6states'!T47)*Parameters!$B$18*Parameters!$B$26^('6states'!T47-1)</f>
        <v>0.28578286698031213</v>
      </c>
      <c r="CF47">
        <f t="shared" si="65"/>
        <v>0.23716294318650646</v>
      </c>
      <c r="CG47">
        <f t="shared" si="66"/>
        <v>0.14954078078006861</v>
      </c>
      <c r="CH47">
        <f t="shared" si="67"/>
        <v>0.17970363927445787</v>
      </c>
    </row>
    <row r="48" spans="1:86" x14ac:dyDescent="0.3">
      <c r="A48">
        <f>A47+Parameters!$B$65</f>
        <v>44</v>
      </c>
      <c r="B48">
        <v>2069</v>
      </c>
      <c r="C48" s="74">
        <v>4.7498365985876503E-3</v>
      </c>
      <c r="D48" s="69">
        <v>8.0920714172177693E-2</v>
      </c>
      <c r="E48" s="75">
        <v>0.21656722624931801</v>
      </c>
      <c r="F48" s="7">
        <f>MAX((1-Parameters!$B$4)^Parameters!B$65*F47 + C47*Parameters!B$65 - IF(C47&gt;0,Parameters!$B$5,0)*C47^2/F47*Parameters!B$65, 0.0001)</f>
        <v>0.12132059814154282</v>
      </c>
      <c r="G48" s="7">
        <f>(1-Parameters!$B$4)^Parameters!B$65*G47+D47*Parameters!B$65-Parameters!$B$5*D47^2/G47*Parameters!B$65</f>
        <v>0.99328480268414943</v>
      </c>
      <c r="H48" s="7">
        <f>(1-Parameters!$B$4)^Parameters!B$65*H47+E47*Parameters!B$65-Parameters!$B$5*E47^2/H47*Parameters!B$65</f>
        <v>3.349380570460756</v>
      </c>
      <c r="I48" s="7">
        <f>I47 *(1-Parameters!$B$4)-C47*(C47&lt;0)*Parameters!B$65</f>
        <v>9.951568572061649E-3</v>
      </c>
      <c r="J48" s="23">
        <f>J47*(1+Parameters!$B$51)^Parameters!B$65</f>
        <v>9.2688517621744264</v>
      </c>
      <c r="K48" s="23">
        <f>K47*(1+Parameters!$B$53)^Parameters!B$65</f>
        <v>21.63616604048531</v>
      </c>
      <c r="L48" s="23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12.114627140287354</v>
      </c>
      <c r="M48" s="8">
        <f>M47+L48*Parameters!B$65</f>
        <v>3252.811457320614</v>
      </c>
      <c r="N48" s="7">
        <f>M48*Parameters!$B$45</f>
        <v>1.9516868743923681</v>
      </c>
      <c r="O48" s="9">
        <f>EXP(-Parameters!$B$46/2*N48^2)</f>
        <v>0.96244219608469073</v>
      </c>
      <c r="P48" s="7">
        <f>MAX((Parameters!$B$62 + Parameters!$B$31*'6states'!A48 - '6states'!M48 + Parameters!$B$47/Parameters!$B$45)/Parameters!B$62,1)</f>
        <v>28.759770853587725</v>
      </c>
      <c r="Q48" s="7">
        <f>Parameters!B$61*EXP(-Parameters!B$60*A48)</f>
        <v>0.15241515772159842</v>
      </c>
      <c r="R48" s="7">
        <f>(1-Parameters!B$61)*P48^-Parameters!B$63</f>
        <v>0.3573480875493793</v>
      </c>
      <c r="S48" s="7">
        <f>Parameters!B$61*EXP(-Parameters!B$60*A48)+(1-Parameters!B$61)*P48^-Parameters!B$63</f>
        <v>0.50976324527097772</v>
      </c>
      <c r="T48" s="7">
        <f>1-S48/Parameters!$B$12</f>
        <v>0.74511837736451114</v>
      </c>
      <c r="U48" s="7">
        <f t="shared" si="0"/>
        <v>3.9233899629951718</v>
      </c>
      <c r="V48" s="7">
        <f>(Parameters!$B$19*(F48+Parameters!$B$20)^T48+Parameters!$B$18*G48^T48)^(1/T48)</f>
        <v>0.34826637536867394</v>
      </c>
      <c r="W48" s="7">
        <f>(Parameters!$B$10*H48^Parameters!$B$9+Parameters!$B$11*V48^Parameters!$B$9)^(Parameters!$B$7/Parameters!$B$9)*O48</f>
        <v>1.3431048226676998</v>
      </c>
      <c r="X48" s="7">
        <f>W48 - D48 - E48 - LN(1+EXP(Parameters!$B$21*C48))/Parameters!$B$21 - IF(C48&gt;0, 0,Parameters!$B$6*C48^2/F48)</f>
        <v>1.0401486094784198</v>
      </c>
      <c r="Y48" s="7">
        <f>EXP(-Parameters!$B$55*A48)</f>
        <v>0.51458218441100756</v>
      </c>
      <c r="Z48" s="7">
        <f>IF(X48&gt;0,X48^(1-Parameters!$B$52)/(1-Parameters!$B$52)*Y48*Parameters!$B$65,-10+X48*1000)</f>
        <v>-1.4501179031770715</v>
      </c>
      <c r="AB48" s="9"/>
      <c r="AC48" s="23">
        <f t="shared" si="6"/>
        <v>0.95254370580852465</v>
      </c>
      <c r="AD48" s="23">
        <f t="shared" si="7"/>
        <v>16.228035502770389</v>
      </c>
      <c r="AE48" s="23">
        <f t="shared" si="8"/>
        <v>1.9957116017544463</v>
      </c>
      <c r="AF48" s="23">
        <f t="shared" si="9"/>
        <v>24.329925829241024</v>
      </c>
      <c r="AG48" s="23">
        <f t="shared" si="10"/>
        <v>199.19573383921943</v>
      </c>
      <c r="AH48" s="23">
        <f t="shared" si="11"/>
        <v>69.842180234330783</v>
      </c>
      <c r="AI48" s="23">
        <f t="shared" si="12"/>
        <v>171.88692288361966</v>
      </c>
      <c r="AJ48" s="23">
        <f t="shared" si="13"/>
        <v>269.34948571780507</v>
      </c>
      <c r="AK48" s="23">
        <f t="shared" si="14"/>
        <v>208.59391486409561</v>
      </c>
      <c r="AL48" s="9">
        <f t="shared" si="24"/>
        <v>2.0482378880002372E-2</v>
      </c>
      <c r="AM48" s="9">
        <f t="shared" si="25"/>
        <v>1.8537033622653354E-2</v>
      </c>
      <c r="AN48" s="9">
        <f t="shared" ref="AN48:AO48" si="79">AVERAGE(AL46:AL50)</f>
        <v>2.1711763507393476E-2</v>
      </c>
      <c r="AO48" s="9">
        <f t="shared" si="79"/>
        <v>2.1167594899154984E-2</v>
      </c>
      <c r="AP48" s="23"/>
      <c r="AQ48" s="8">
        <f t="shared" si="1"/>
        <v>269.34948571780507</v>
      </c>
      <c r="AR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0.23545271792605016</v>
      </c>
      <c r="AS48" s="32">
        <f>((C49-C47)/2-(F49-F47)/F48/2*C48)/(F48/2/Parameters!$B$5-C48)-((D49-D47)/D48-(G49-G47)/G48)/(G48/2/Parameters!$B$5/D48-1)</f>
        <v>6.6919672807783506E-2</v>
      </c>
      <c r="AT48" s="32">
        <f>+Parameters!$B$5*C48^2/F48^2-Parameters!$B$5*D48^2/G48^2</f>
        <v>-5.1041904793539782E-3</v>
      </c>
      <c r="AU48" s="30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0.50946726565344058</v>
      </c>
      <c r="AV48" s="30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102.16979619003394</v>
      </c>
      <c r="AW48" s="8">
        <f>1000*(AR48+AS48+AT48)/(EXP(-Parameters!$B$42*A48)*((C48&lt;0)*Parameters!$B$37*EXP(-Parameters!$B$38*AF48)+(C48&gt;=0)*Parameters!$B$41))</f>
        <v>506.8450180971447</v>
      </c>
      <c r="AX48" s="13">
        <f>1-W48/'6states,ExoDamages'!T48</f>
        <v>8.8051367676562631E-2</v>
      </c>
      <c r="AY48" s="21">
        <f>-Y48*W48*X48^(-Parameters!B$52)*Parameters!B$46*Parameters!B$45*N48</f>
        <v>-1.5425644686498127E-5</v>
      </c>
      <c r="AZ48" s="7">
        <f>1000*EXP(-(Parameters!$B$54)*'6states'!A48)*AQ48*Parameters!B$46*Parameters!B$45*N48</f>
        <v>1.3531601577591859</v>
      </c>
      <c r="BA48" s="7">
        <f>SUM(AZ48:AZ$204)*EXP(Parameters!$B$54*A48)</f>
        <v>512.53666943498797</v>
      </c>
      <c r="BB48" s="13">
        <f t="shared" si="77"/>
        <v>0.22502918009018319</v>
      </c>
      <c r="BC48" s="30">
        <f>IF(C48&lt;0,Parameters!$B$6*AC48^2/AF48,0)</f>
        <v>0</v>
      </c>
      <c r="BD48" s="30">
        <f>Parameters!$B$5*AD48^2/AG48</f>
        <v>1.3220621305662004</v>
      </c>
      <c r="BE48" s="30">
        <f t="shared" si="15"/>
        <v>0</v>
      </c>
      <c r="BF48" s="30">
        <f t="shared" si="16"/>
        <v>8.1467786432960598E-2</v>
      </c>
      <c r="BH48" s="5">
        <f t="shared" si="58"/>
        <v>-2.061713930679737E-3</v>
      </c>
      <c r="BI48" s="2">
        <f>BH48/Parameters!$B$45</f>
        <v>-3.4361898844662289</v>
      </c>
      <c r="BJ48" s="2">
        <f t="shared" si="27"/>
        <v>5.500542881645698E-4</v>
      </c>
      <c r="BM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-0.14063837943335369</v>
      </c>
      <c r="BN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-28.203960356064872</v>
      </c>
      <c r="BO48" s="7">
        <f t="shared" si="59"/>
        <v>7.58086715653358E-2</v>
      </c>
      <c r="BU48">
        <f>EXP(-Parameters!$B$56*A48)*BH48*BN48</f>
        <v>1.879489219747359E-3</v>
      </c>
      <c r="BV48">
        <f>-EXP((Parameters!$B$56)*F48)*SUM(BU48:BU56)</f>
        <v>-1.7557842301814824E-2</v>
      </c>
      <c r="BW48">
        <f>X48^-Parameters!B$52/(1-2*Parameters!B$5*'6states'!D48/'6states'!G48)</f>
        <v>1.1328237189412211</v>
      </c>
      <c r="BX48">
        <f t="shared" si="61"/>
        <v>0.99932134672713324</v>
      </c>
      <c r="BY48">
        <f>$X48^-Parameters!$B$52/(1-2*Parameters!$B$5*'6states'!$E48/'6states'!$H48)</f>
        <v>1.0890844135791746</v>
      </c>
      <c r="BZ48">
        <f t="shared" si="62"/>
        <v>1.0052609073198671</v>
      </c>
      <c r="CA48" s="7">
        <f>($X48^-Parameters!$B$52*(1/(1+EXP(-C48)) + IF(C48&lt;0,2*Parameters!$B$6*C48/F48,0)) + BS48*(1/(1+EXP((C48-Parameters!$B$22)*Parameters!$B$21))))/(1-IF(C48&gt;0,2*Parameters!$B$5*C48/F48,0))</f>
        <v>0.51562370568211291</v>
      </c>
      <c r="CB48">
        <f t="shared" si="63"/>
        <v>1.5463621558541147</v>
      </c>
      <c r="CC48" s="7">
        <f t="shared" si="64"/>
        <v>0.18218066083644135</v>
      </c>
      <c r="CD48">
        <f>(1/$T48-1/Parameters!$B$13) * LN(Parameters!$B$18) / LN(P48)</f>
        <v>0.23333879546686828</v>
      </c>
      <c r="CE48">
        <f>(Parameters!$B$18*'6states'!T48^+Parameters!$B$19*Parameters!$B$25^'6states'!T48)^((1-'6states'!T48)/'6states'!T48)*Parameters!$B$18*Parameters!$B$26^('6states'!T48-1)</f>
        <v>0.2866791057192099</v>
      </c>
      <c r="CF48">
        <f t="shared" si="65"/>
        <v>0.23604843987983135</v>
      </c>
      <c r="CG48">
        <f t="shared" si="66"/>
        <v>0.14933605972205111</v>
      </c>
      <c r="CH48">
        <f t="shared" si="67"/>
        <v>0.18021306992033448</v>
      </c>
    </row>
    <row r="49" spans="1:86" x14ac:dyDescent="0.3">
      <c r="A49">
        <f>A48+Parameters!$B$65</f>
        <v>45</v>
      </c>
      <c r="B49">
        <v>2070</v>
      </c>
      <c r="C49" s="74">
        <v>4.4448708473968403E-3</v>
      </c>
      <c r="D49" s="69">
        <v>8.2227293446668001E-2</v>
      </c>
      <c r="E49" s="75">
        <v>0.21503249420390599</v>
      </c>
      <c r="F49" s="7">
        <f>MAX((1-Parameters!$B$4)^Parameters!B$65*F48 + C48*Parameters!B$65 - IF(C48&gt;0,Parameters!$B$5,0)*C48^2/F48*Parameters!B$65, 0.0001)</f>
        <v>0.11825340772169239</v>
      </c>
      <c r="G49" s="7">
        <f>(1-Parameters!$B$4)^Parameters!B$65*G48+D48*Parameters!B$65-Parameters!$B$5*D48^2/G48*Parameters!B$65</f>
        <v>1.0051354713073126</v>
      </c>
      <c r="H49" s="7">
        <f>(1-Parameters!$B$4)^Parameters!B$65*H48+E48*Parameters!B$65-Parameters!$B$5*E48^2/H48*Parameters!B$65</f>
        <v>3.3412687626027719</v>
      </c>
      <c r="I49" s="7">
        <f>I48 *(1-Parameters!$B$4)-C48*(C48&lt;0)*Parameters!B$65</f>
        <v>9.3256149088789715E-3</v>
      </c>
      <c r="J49" s="23">
        <f>J48*(1+Parameters!$B$51)^Parameters!B$65</f>
        <v>9.2957314322847306</v>
      </c>
      <c r="K49" s="23">
        <f>K48*(1+Parameters!$B$53)^Parameters!B$65</f>
        <v>22.068889361295017</v>
      </c>
      <c r="L49" s="23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11.970604519093227</v>
      </c>
      <c r="M49" s="8">
        <f>M48+L49*Parameters!B$65</f>
        <v>3264.7820618397072</v>
      </c>
      <c r="N49" s="7">
        <f>M49*Parameters!$B$45</f>
        <v>1.9588692371038241</v>
      </c>
      <c r="O49" s="9">
        <f>EXP(-Parameters!$B$46/2*N49^2)</f>
        <v>0.96217056136562873</v>
      </c>
      <c r="P49" s="7">
        <f>MAX((Parameters!$B$62 + Parameters!$B$31*'6states'!A49 - '6states'!M49 + Parameters!$B$47/Parameters!$B$45)/Parameters!B$62,1)</f>
        <v>29.584358763205856</v>
      </c>
      <c r="Q49" s="7">
        <f>Parameters!B$61*EXP(-Parameters!B$60*A49)</f>
        <v>0.14835500714702263</v>
      </c>
      <c r="R49" s="7">
        <f>(1-Parameters!B$61)*P49^-Parameters!B$63</f>
        <v>0.35633935396182309</v>
      </c>
      <c r="S49" s="7">
        <f>Parameters!B$61*EXP(-Parameters!B$60*A49)+(1-Parameters!B$61)*P49^-Parameters!B$63</f>
        <v>0.50469436110884569</v>
      </c>
      <c r="T49" s="7">
        <f>1-S49/Parameters!$B$12</f>
        <v>0.74765281944557715</v>
      </c>
      <c r="U49" s="7">
        <f t="shared" si="0"/>
        <v>3.9627944239477384</v>
      </c>
      <c r="V49" s="7">
        <f>(Parameters!$B$19*(F49+Parameters!$B$20)^T49+Parameters!$B$18*G49^T49)^(1/T49)</f>
        <v>0.34872176878950351</v>
      </c>
      <c r="W49" s="7">
        <f>(Parameters!$B$10*H49^Parameters!$B$9+Parameters!$B$11*V49^Parameters!$B$9)^(Parameters!$B$7/Parameters!$B$9)*O49</f>
        <v>1.342233706123747</v>
      </c>
      <c r="X49" s="7">
        <f>W49 - D49 - E49 - LN(1+EXP(Parameters!$B$21*C49))/Parameters!$B$21 - IF(C49&gt;0, 0,Parameters!$B$6*C49^2/F49)</f>
        <v>1.0397492614889741</v>
      </c>
      <c r="Y49" s="7">
        <f>EXP(-Parameters!$B$55*A49)</f>
        <v>0.50687036419945219</v>
      </c>
      <c r="Z49" s="7">
        <f>IF(X49&gt;0,X49^(1-Parameters!$B$52)/(1-Parameters!$B$52)*Y49*Parameters!$B$65,-10+X49*1000)</f>
        <v>-1.4285776061317101</v>
      </c>
      <c r="AB49" s="9"/>
      <c r="AC49" s="23">
        <f t="shared" si="6"/>
        <v>0.91184955733275441</v>
      </c>
      <c r="AD49" s="23">
        <f t="shared" si="7"/>
        <v>16.868638865834871</v>
      </c>
      <c r="AE49" s="23">
        <f t="shared" si="8"/>
        <v>1.9131169652538214</v>
      </c>
      <c r="AF49" s="23">
        <f t="shared" si="9"/>
        <v>24.259268983544409</v>
      </c>
      <c r="AG49" s="23">
        <f t="shared" si="10"/>
        <v>206.19999231424103</v>
      </c>
      <c r="AH49" s="23">
        <f t="shared" si="11"/>
        <v>71.539039360217046</v>
      </c>
      <c r="AI49" s="23">
        <f t="shared" si="12"/>
        <v>176.06302238018449</v>
      </c>
      <c r="AJ49" s="23">
        <f t="shared" si="13"/>
        <v>275.35450472826062</v>
      </c>
      <c r="AK49" s="23">
        <f t="shared" si="14"/>
        <v>213.30088913180359</v>
      </c>
      <c r="AL49" s="9">
        <f t="shared" si="24"/>
        <v>2.2049635803599976E-2</v>
      </c>
      <c r="AM49" s="9">
        <f t="shared" si="25"/>
        <v>2.2314423097147262E-2</v>
      </c>
      <c r="AN49" s="9">
        <f t="shared" ref="AN49:AO49" si="80">AVERAGE(AL47:AL51)</f>
        <v>2.1732637964288946E-2</v>
      </c>
      <c r="AO49" s="9">
        <f t="shared" si="80"/>
        <v>2.1361003498319951E-2</v>
      </c>
      <c r="AP49" s="23"/>
      <c r="AQ49" s="8">
        <f t="shared" si="1"/>
        <v>275.35450472826062</v>
      </c>
      <c r="AR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0.23489170336533724</v>
      </c>
      <c r="AS49" s="32">
        <f>((C50-C48)/2-(F50-F48)/F49/2*C49)/(F49/2/Parameters!$B$5-C49)-((D50-D48)/D49-(G50-G48)/G49)/(G49/2/Parameters!$B$5/D49-1)</f>
        <v>1.1321218255074916E-3</v>
      </c>
      <c r="AT49" s="32">
        <f>+Parameters!$B$5*C49^2/F49^2-Parameters!$B$5*D49^2/G49^2</f>
        <v>-5.2795804561969134E-3</v>
      </c>
      <c r="AU49" s="30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0.50580653717002166</v>
      </c>
      <c r="AV49" s="30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103.76442485041223</v>
      </c>
      <c r="AW49" s="8">
        <f>1000*(AR49+AS49+AT49)/(EXP(-Parameters!$B$42*A49)*((C49&lt;0)*Parameters!$B$37*EXP(-Parameters!$B$38*AF49)+(C49&gt;=0)*Parameters!$B$41))</f>
        <v>397.37500891620749</v>
      </c>
      <c r="AX49" s="13">
        <f>1-W49/'6states,ExoDamages'!T49</f>
        <v>8.8340480838829949E-2</v>
      </c>
      <c r="AY49" s="21">
        <f>-Y49*W49*X49^(-Parameters!B$52)*Parameters!B$46*Parameters!B$45*N49</f>
        <v>-1.5248395792636877E-5</v>
      </c>
      <c r="AZ49" s="7">
        <f>1000*EXP(-(Parameters!$B$54)*'6states'!A49)*AQ49*Parameters!B$46*Parameters!B$45*N49</f>
        <v>1.3405308266547156</v>
      </c>
      <c r="BA49" s="7">
        <f>SUM(AZ49:AZ$204)*EXP(Parameters!$B$54*A49)</f>
        <v>524.27990948496301</v>
      </c>
      <c r="BB49" s="13">
        <f t="shared" si="77"/>
        <v>0.22477803762600135</v>
      </c>
      <c r="BC49" s="30">
        <f>IF(C49&lt;0,Parameters!$B$6*AC49^2/AF49,0)</f>
        <v>0</v>
      </c>
      <c r="BD49" s="30">
        <f>Parameters!$B$5*AD49^2/AG49</f>
        <v>1.3799756924932849</v>
      </c>
      <c r="BE49" s="30">
        <f t="shared" si="15"/>
        <v>0</v>
      </c>
      <c r="BF49" s="30">
        <f t="shared" si="16"/>
        <v>8.1807175046484493E-2</v>
      </c>
      <c r="BH49" s="5">
        <f t="shared" si="58"/>
        <v>-2.0626489280834849E-3</v>
      </c>
      <c r="BI49" s="2">
        <f>BH49/Parameters!$B$45</f>
        <v>-3.4377482134724753</v>
      </c>
      <c r="BJ49" s="2">
        <f t="shared" si="27"/>
        <v>4.5329934290694318E-4</v>
      </c>
      <c r="BM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-0.1567558728484198</v>
      </c>
      <c r="BN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-32.157913733276025</v>
      </c>
      <c r="BO49" s="7">
        <f t="shared" si="59"/>
        <v>7.3096773408297802E-2</v>
      </c>
      <c r="BU49">
        <f>EXP(-Parameters!$B$56*A49)*BH49*BN49</f>
        <v>1.9830768732119952E-3</v>
      </c>
      <c r="BV49">
        <f>-EXP((Parameters!$B$56)*F49)*SUM(BU49:BU57)</f>
        <v>-1.5656736865101842E-2</v>
      </c>
      <c r="BW49">
        <f>X49^-Parameters!B$52/(1-2*Parameters!B$5*'6states'!D49/'6states'!G49)</f>
        <v>1.1343309694507475</v>
      </c>
      <c r="BX49">
        <f t="shared" si="61"/>
        <v>1.0013305252038112</v>
      </c>
      <c r="BY49">
        <f>$X49^-Parameters!$B$52/(1-2*Parameters!$B$5*'6states'!$E49/'6states'!$H49)</f>
        <v>1.088892902719597</v>
      </c>
      <c r="BZ49">
        <f t="shared" si="62"/>
        <v>0.99982415425545557</v>
      </c>
      <c r="CA49" s="7">
        <f>($X49^-Parameters!$B$52*(1/(1+EXP(-C49)) + IF(C49&lt;0,2*Parameters!$B$6*C49/F49,0)) + BS49*(1/(1+EXP((C49-Parameters!$B$22)*Parameters!$B$21))))/(1-IF(C49&gt;0,2*Parameters!$B$5*C49/F49,0))</f>
        <v>0.5140686151655991</v>
      </c>
      <c r="CB49">
        <f t="shared" si="63"/>
        <v>0.99698405930647316</v>
      </c>
      <c r="CC49" s="7">
        <f t="shared" si="64"/>
        <v>-1.5550905165138129E-3</v>
      </c>
      <c r="CD49">
        <f>(1/$T49-1/Parameters!$B$13) * LN(Parameters!$B$18) / LN(P49)</f>
        <v>0.2329914824918852</v>
      </c>
      <c r="CE49">
        <f>(Parameters!$B$18*'6states'!T49^+Parameters!$B$19*Parameters!$B$25^'6states'!T49)^((1-'6states'!T49)/'6states'!T49)*Parameters!$B$18*Parameters!$B$26^('6states'!T49-1)</f>
        <v>0.28753425056717868</v>
      </c>
      <c r="CF49">
        <f t="shared" si="65"/>
        <v>0.23495782543746027</v>
      </c>
      <c r="CG49">
        <f t="shared" si="66"/>
        <v>0.14913124707554437</v>
      </c>
      <c r="CH49">
        <f t="shared" si="67"/>
        <v>0.18069884745767162</v>
      </c>
    </row>
    <row r="50" spans="1:86" x14ac:dyDescent="0.3">
      <c r="A50">
        <f>A49+Parameters!$B$65</f>
        <v>46</v>
      </c>
      <c r="B50">
        <v>2071</v>
      </c>
      <c r="C50" s="74">
        <v>4.1941279822062102E-3</v>
      </c>
      <c r="D50" s="69">
        <v>8.1182504937418104E-2</v>
      </c>
      <c r="E50" s="75">
        <v>0.21737549018250599</v>
      </c>
      <c r="F50" s="7">
        <f>MAX((1-Parameters!$B$4)^Parameters!B$65*F49 + C49*Parameters!B$65 - IF(C49&gt;0,Parameters!$B$5,0)*C49^2/F49*Parameters!B$65, 0.0001)</f>
        <v>0.1150930668554125</v>
      </c>
      <c r="G50" s="7">
        <f>(1-Parameters!$B$4)^Parameters!B$65*G49+D49*Parameters!B$65-Parameters!$B$5*D49^2/G49*Parameters!B$65</f>
        <v>1.0174129610201605</v>
      </c>
      <c r="H50" s="7">
        <f>(1-Parameters!$B$4)^Parameters!B$65*H49+E49*Parameters!B$65-Parameters!$B$5*E49^2/H49*Parameters!B$65</f>
        <v>3.3322967044896523</v>
      </c>
      <c r="I50" s="7">
        <f>I49 *(1-Parameters!$B$4)-C49*(C49&lt;0)*Parameters!B$65</f>
        <v>8.7390337311104849E-3</v>
      </c>
      <c r="J50" s="23">
        <f>J49*(1+Parameters!$B$51)^Parameters!B$65</f>
        <v>9.3226890534383546</v>
      </c>
      <c r="K50" s="23">
        <f>K49*(1+Parameters!$B$53)^Parameters!B$65</f>
        <v>22.510267148520917</v>
      </c>
      <c r="L50" s="23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11.811192660876218</v>
      </c>
      <c r="M50" s="8">
        <f>M49+L50*Parameters!B$65</f>
        <v>3276.5932545005835</v>
      </c>
      <c r="N50" s="7">
        <f>M50*Parameters!$B$45</f>
        <v>1.9659559527003498</v>
      </c>
      <c r="O50" s="9">
        <f>EXP(-Parameters!$B$46/2*N50^2)</f>
        <v>0.96190164158339386</v>
      </c>
      <c r="P50" s="7">
        <f>MAX((Parameters!$B$62 + Parameters!$B$31*'6states'!A50 - '6states'!M50 + Parameters!$B$47/Parameters!$B$45)/Parameters!B$62,1)</f>
        <v>30.412134909988335</v>
      </c>
      <c r="Q50" s="7">
        <f>Parameters!B$61*EXP(-Parameters!B$60*A50)</f>
        <v>0.14440301394297783</v>
      </c>
      <c r="R50" s="7">
        <f>(1-Parameters!B$61)*P50^-Parameters!B$63</f>
        <v>0.3553573589503754</v>
      </c>
      <c r="S50" s="7">
        <f>Parameters!B$61*EXP(-Parameters!B$60*A50)+(1-Parameters!B$61)*P50^-Parameters!B$63</f>
        <v>0.49976037289335323</v>
      </c>
      <c r="T50" s="7">
        <f>1-S50/Parameters!$B$12</f>
        <v>0.75011981355332336</v>
      </c>
      <c r="U50" s="7">
        <f t="shared" si="0"/>
        <v>4.0019179360320978</v>
      </c>
      <c r="V50" s="7">
        <f>(Parameters!$B$19*(F50+Parameters!$B$20)^T50+Parameters!$B$18*G50^T50)^(1/T50)</f>
        <v>0.34918456551378396</v>
      </c>
      <c r="W50" s="7">
        <f>(Parameters!$B$10*H50^Parameters!$B$9+Parameters!$B$11*V50^Parameters!$B$9)^(Parameters!$B$7/Parameters!$B$9)*O50</f>
        <v>1.3412919226561784</v>
      </c>
      <c r="X50" s="7">
        <f>W50 - D50 - E50 - LN(1+EXP(Parameters!$B$21*C50))/Parameters!$B$21 - IF(C50&gt;0, 0,Parameters!$B$6*C50^2/F50)</f>
        <v>1.0377061320368057</v>
      </c>
      <c r="Y50" s="7">
        <f>EXP(-Parameters!$B$55*A50)</f>
        <v>0.49927411769560981</v>
      </c>
      <c r="Z50" s="7">
        <f>IF(X50&gt;0,X50^(1-Parameters!$B$52)/(1-Parameters!$B$52)*Y50*Parameters!$B$65,-10+X50*1000)</f>
        <v>-1.4081372086234165</v>
      </c>
      <c r="AB50" s="9"/>
      <c r="AC50" s="23">
        <f t="shared" si="6"/>
        <v>0.8801638493044085</v>
      </c>
      <c r="AD50" s="23">
        <f t="shared" si="7"/>
        <v>17.036653708479736</v>
      </c>
      <c r="AE50" s="23">
        <f t="shared" si="8"/>
        <v>1.8339405951864192</v>
      </c>
      <c r="AF50" s="23">
        <f t="shared" si="9"/>
        <v>24.152996089171062</v>
      </c>
      <c r="AG50" s="23">
        <f t="shared" si="10"/>
        <v>213.51043933395943</v>
      </c>
      <c r="AH50" s="23">
        <f t="shared" si="11"/>
        <v>73.278553397560287</v>
      </c>
      <c r="AI50" s="23">
        <f t="shared" si="12"/>
        <v>180.34409886131101</v>
      </c>
      <c r="AJ50" s="23">
        <f t="shared" si="13"/>
        <v>281.47845432818013</v>
      </c>
      <c r="AK50" s="23">
        <f t="shared" si="14"/>
        <v>217.76908751836882</v>
      </c>
      <c r="AL50" s="9">
        <f t="shared" si="24"/>
        <v>2.1996530268975079E-2</v>
      </c>
      <c r="AM50" s="9">
        <f t="shared" si="25"/>
        <v>2.0731475914492314E-2</v>
      </c>
      <c r="AN50" s="9">
        <f t="shared" ref="AN50:AO50" si="81">AVERAGE(AL48:AL52)</f>
        <v>2.1743543942136158E-2</v>
      </c>
      <c r="AO50" s="9">
        <f t="shared" si="81"/>
        <v>2.0794398594010312E-2</v>
      </c>
      <c r="AP50" s="23"/>
      <c r="AQ50" s="8">
        <f t="shared" si="1"/>
        <v>281.47845432818013</v>
      </c>
      <c r="AR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0.23352860882917398</v>
      </c>
      <c r="AS50" s="32">
        <f>((C51-C49)/2-(F51-F49)/F50/2*C50)/(F50/2/Parameters!$B$5-C50)-((D51-D49)/D50-(G51-G49)/G50)/(G50/2/Parameters!$B$5/D50-1)</f>
        <v>5.8614987016671928E-3</v>
      </c>
      <c r="AT50" s="32">
        <f>+Parameters!$B$5*C50^2/F50^2-Parameters!$B$5*D50^2/G50^2</f>
        <v>-5.0389741104128272E-3</v>
      </c>
      <c r="AU50" s="30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0.50217425564097229</v>
      </c>
      <c r="AV50" s="30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105.38439164034143</v>
      </c>
      <c r="AW50" s="8">
        <f>1000*(AR50+AS50+AT50)/(EXP(-Parameters!$B$42*A50)*((C50&lt;0)*Parameters!$B$37*EXP(-Parameters!$B$38*AF50)+(C50&gt;=0)*Parameters!$B$41))</f>
        <v>407.64270633014831</v>
      </c>
      <c r="AX50" s="13">
        <f>1-W50/'6states,ExoDamages'!T50</f>
        <v>8.8684449479664473E-2</v>
      </c>
      <c r="AY50" s="21">
        <f>-Y50*W50*X50^(-Parameters!B$52)*Parameters!B$46*Parameters!B$45*N50</f>
        <v>-1.5103689051879974E-5</v>
      </c>
      <c r="AZ50" s="7">
        <f>1000*EXP(-(Parameters!$B$54)*'6states'!A50)*AQ50*Parameters!B$46*Parameters!B$45*N50</f>
        <v>1.3278663887557889</v>
      </c>
      <c r="BA50" s="7">
        <f>SUM(AZ50:AZ$204)*EXP(Parameters!$B$54*A50)</f>
        <v>536.27156208788836</v>
      </c>
      <c r="BB50" s="13">
        <f t="shared" si="77"/>
        <v>0.22571680182982554</v>
      </c>
      <c r="BC50" s="30">
        <f>IF(C50&lt;0,Parameters!$B$6*AC50^2/AF50,0)</f>
        <v>0</v>
      </c>
      <c r="BD50" s="30">
        <f>Parameters!$B$5*AD50^2/AG50</f>
        <v>1.359406924027118</v>
      </c>
      <c r="BE50" s="30">
        <f t="shared" si="15"/>
        <v>0</v>
      </c>
      <c r="BF50" s="30">
        <f t="shared" si="16"/>
        <v>7.9793071297240364E-2</v>
      </c>
      <c r="BH50" s="5">
        <f t="shared" si="58"/>
        <v>-2.063490137152982E-3</v>
      </c>
      <c r="BI50" s="2">
        <f>BH50/Parameters!$B$45</f>
        <v>-3.4391502285883035</v>
      </c>
      <c r="BJ50" s="2">
        <f t="shared" si="27"/>
        <v>4.0766323732355225E-4</v>
      </c>
      <c r="BM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-0.17329905479859184</v>
      </c>
      <c r="BN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-36.367884766384506</v>
      </c>
      <c r="BO50" s="7">
        <f t="shared" si="59"/>
        <v>7.0571634412390644E-2</v>
      </c>
      <c r="BU50">
        <f>EXP(-Parameters!$B$56*A50)*BH50*BN50</f>
        <v>2.075256766857604E-3</v>
      </c>
      <c r="BV50">
        <f>-EXP((Parameters!$B$56)*F50)*SUM(BU50:BU58)</f>
        <v>-1.3651918234719562E-2</v>
      </c>
      <c r="BW50">
        <f>X50^-Parameters!B$52/(1-2*Parameters!B$5*'6states'!D50/'6states'!G50)</f>
        <v>1.1318956165648679</v>
      </c>
      <c r="BX50">
        <f t="shared" si="61"/>
        <v>0.99785304910871042</v>
      </c>
      <c r="BY50">
        <f>$X50^-Parameters!$B$52/(1-2*Parameters!$B$5*'6states'!$E50/'6states'!$H50)</f>
        <v>1.0939889830177603</v>
      </c>
      <c r="BZ50">
        <f t="shared" si="62"/>
        <v>1.0046800564917224</v>
      </c>
      <c r="CA50" s="7">
        <f>($X50^-Parameters!$B$52*(1/(1+EXP(-C50)) + IF(C50&lt;0,2*Parameters!$B$6*C50/F50,0)) + BS50*(1/(1+EXP((C50-Parameters!$B$22)*Parameters!$B$21))))/(1-IF(C50&gt;0,2*Parameters!$B$5*C50/F50,0))</f>
        <v>0.51409637057755264</v>
      </c>
      <c r="CB50">
        <f t="shared" si="63"/>
        <v>1.0000539916484585</v>
      </c>
      <c r="CC50" s="7">
        <f t="shared" si="64"/>
        <v>2.7755411953545028E-5</v>
      </c>
      <c r="CD50">
        <f>(1/$T50-1/Parameters!$B$13) * LN(Parameters!$B$18) / LN(P50)</f>
        <v>0.2326431873660687</v>
      </c>
      <c r="CE50">
        <f>(Parameters!$B$18*'6states'!T50^+Parameters!$B$19*Parameters!$B$25^'6states'!T50)^((1-'6states'!T50)/'6states'!T50)*Parameters!$B$18*Parameters!$B$26^('6states'!T50-1)</f>
        <v>0.28835054574949137</v>
      </c>
      <c r="CF50">
        <f t="shared" si="65"/>
        <v>0.23388927050831504</v>
      </c>
      <c r="CG50">
        <f t="shared" si="66"/>
        <v>0.14892580572680236</v>
      </c>
      <c r="CH50">
        <f t="shared" si="67"/>
        <v>0.18116228733583484</v>
      </c>
    </row>
    <row r="51" spans="1:86" x14ac:dyDescent="0.3">
      <c r="A51">
        <f>A50+Parameters!$B$65</f>
        <v>47</v>
      </c>
      <c r="B51">
        <v>2072</v>
      </c>
      <c r="C51" s="74">
        <v>3.9742162287751499E-3</v>
      </c>
      <c r="D51" s="69">
        <v>8.0598193827265296E-2</v>
      </c>
      <c r="E51" s="75">
        <v>0.22022981088486801</v>
      </c>
      <c r="F51" s="7">
        <f>MAX((1-Parameters!$B$4)^Parameters!B$65*F50 + C50*Parameters!B$65 - IF(C50&gt;0,Parameters!$B$5,0)*C50^2/F50*Parameters!B$65, 0.0001)</f>
        <v>0.11189500192992823</v>
      </c>
      <c r="G51" s="7">
        <f>(1-Parameters!$B$4)^Parameters!B$65*G50+D50*Parameters!B$65-Parameters!$B$5*D50^2/G50*Parameters!B$65</f>
        <v>1.0281223893048508</v>
      </c>
      <c r="H51" s="7">
        <f>(1-Parameters!$B$4)^Parameters!B$65*H50+E50*Parameters!B$65-Parameters!$B$5*E50^2/H50*Parameters!B$65</f>
        <v>3.3258906910082975</v>
      </c>
      <c r="I51" s="7">
        <f>I50 *(1-Parameters!$B$4)-C50*(C50&lt;0)*Parameters!B$65</f>
        <v>8.189348509423636E-3</v>
      </c>
      <c r="J51" s="23">
        <f>J50*(1+Parameters!$B$51)^Parameters!B$65</f>
        <v>9.3497248516933258</v>
      </c>
      <c r="K51" s="23">
        <f>K50*(1+Parameters!$B$53)^Parameters!B$65</f>
        <v>22.960472491491338</v>
      </c>
      <c r="L51" s="23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11.641652508737964</v>
      </c>
      <c r="M51" s="8">
        <f>M50+L51*Parameters!B$65</f>
        <v>3288.2349070093214</v>
      </c>
      <c r="N51" s="7">
        <f>M51*Parameters!$B$45</f>
        <v>1.9729409442055927</v>
      </c>
      <c r="O51" s="9">
        <f>EXP(-Parameters!$B$46/2*N51^2)</f>
        <v>0.9616357055531366</v>
      </c>
      <c r="P51" s="7">
        <f>MAX((Parameters!$B$62 + Parameters!$B$31*'6states'!A51 - '6states'!M51 + Parameters!$B$47/Parameters!$B$45)/Parameters!B$62,1)</f>
        <v>31.243301859813574</v>
      </c>
      <c r="Q51" s="7">
        <f>Parameters!B$61*EXP(-Parameters!B$60*A51)</f>
        <v>0.14055629693139302</v>
      </c>
      <c r="R51" s="7">
        <f>(1-Parameters!B$61)*P51^-Parameters!B$63</f>
        <v>0.35440048851204509</v>
      </c>
      <c r="S51" s="7">
        <f>Parameters!B$61*EXP(-Parameters!B$60*A51)+(1-Parameters!B$61)*P51^-Parameters!B$63</f>
        <v>0.49495678544343813</v>
      </c>
      <c r="T51" s="7">
        <f>1-S51/Parameters!$B$12</f>
        <v>0.75252160727828099</v>
      </c>
      <c r="U51" s="7">
        <f t="shared" si="0"/>
        <v>4.0407568070981688</v>
      </c>
      <c r="V51" s="7">
        <f>(Parameters!$B$19*(F51+Parameters!$B$20)^T51+Parameters!$B$18*G51^T51)^(1/T51)</f>
        <v>0.34923947650824033</v>
      </c>
      <c r="W51" s="7">
        <f>(Parameters!$B$10*H51^Parameters!$B$9+Parameters!$B$11*V51^Parameters!$B$9)^(Parameters!$B$7/Parameters!$B$9)*O51</f>
        <v>1.3404120365864656</v>
      </c>
      <c r="X51" s="7">
        <f>W51 - D51 - E51 - LN(1+EXP(Parameters!$B$21*C51))/Parameters!$B$21 - IF(C51&gt;0, 0,Parameters!$B$6*C51^2/F51)</f>
        <v>1.0347262213528023</v>
      </c>
      <c r="Y51" s="7">
        <f>EXP(-Parameters!$B$55*A51)</f>
        <v>0.49179171284640477</v>
      </c>
      <c r="Z51" s="7">
        <f>IF(X51&gt;0,X51^(1-Parameters!$B$52)/(1-Parameters!$B$52)*Y51*Parameters!$B$65,-10+X51*1000)</f>
        <v>-1.3884308430105248</v>
      </c>
      <c r="AB51" s="9"/>
      <c r="AC51" s="23">
        <f t="shared" si="6"/>
        <v>0.85316129315225764</v>
      </c>
      <c r="AD51" s="23">
        <f t="shared" si="7"/>
        <v>17.302344742474858</v>
      </c>
      <c r="AE51" s="23">
        <f t="shared" si="8"/>
        <v>1.7580410229786916</v>
      </c>
      <c r="AF51" s="23">
        <f t="shared" si="9"/>
        <v>24.020958862933835</v>
      </c>
      <c r="AG51" s="23">
        <f t="shared" si="10"/>
        <v>220.71124888150678</v>
      </c>
      <c r="AH51" s="23">
        <f t="shared" si="11"/>
        <v>74.972670394790796</v>
      </c>
      <c r="AI51" s="23">
        <f t="shared" si="12"/>
        <v>184.51344977048626</v>
      </c>
      <c r="AJ51" s="23">
        <f t="shared" si="13"/>
        <v>287.75174793229934</v>
      </c>
      <c r="AK51" s="23">
        <f t="shared" si="14"/>
        <v>222.12892058467099</v>
      </c>
      <c r="AL51" s="9">
        <f t="shared" si="24"/>
        <v>2.2042216214051003E-2</v>
      </c>
      <c r="AM51" s="9">
        <f t="shared" si="25"/>
        <v>1.9822666832339131E-2</v>
      </c>
      <c r="AN51" s="9">
        <f t="shared" ref="AN51:AO51" si="82">AVERAGE(AL49:AL53)</f>
        <v>2.2069822702840369E-2</v>
      </c>
      <c r="AO51" s="9">
        <f t="shared" si="82"/>
        <v>2.1473321336814344E-2</v>
      </c>
      <c r="AP51" s="23"/>
      <c r="AQ51" s="8">
        <f t="shared" si="1"/>
        <v>287.75174793229934</v>
      </c>
      <c r="AR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0.23359225793925226</v>
      </c>
      <c r="AS51" s="32">
        <f>((C52-C50)/2-(F52-F50)/F51/2*C51)/(F51/2/Parameters!$B$5-C51)-((D52-D50)/D51-(G52-G50)/G51)/(G51/2/Parameters!$B$5/D51-1)</f>
        <v>2.4135935279359904E-3</v>
      </c>
      <c r="AT51" s="32">
        <f>+Parameters!$B$5*C51^2/F51^2-Parameters!$B$5*D51^2/G51^2</f>
        <v>-4.8840696408723443E-3</v>
      </c>
      <c r="AU51" s="30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0.49857575205970095</v>
      </c>
      <c r="AV51" s="30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107.03130098502746</v>
      </c>
      <c r="AW51" s="8">
        <f>1000*(AR51+AS51+AT51)/(EXP(-Parameters!$B$42*A51)*((C51&lt;0)*Parameters!$B$37*EXP(-Parameters!$B$38*AF51)+(C51&gt;=0)*Parameters!$B$41))</f>
        <v>406.06582451830508</v>
      </c>
      <c r="AX51" s="13">
        <f>1-W51/'6states,ExoDamages'!T51</f>
        <v>8.8993195613213172E-2</v>
      </c>
      <c r="AY51" s="21">
        <f>-Y51*W51*X51^(-Parameters!B$52)*Parameters!B$46*Parameters!B$45*N51</f>
        <v>-1.4978438989543133E-5</v>
      </c>
      <c r="AZ51" s="7">
        <f>1000*EXP(-(Parameters!$B$54)*'6states'!A51)*AQ51*Parameters!B$46*Parameters!B$45*N51</f>
        <v>1.3152967808121849</v>
      </c>
      <c r="BA51" s="7">
        <f>SUM(AZ51:AZ$204)*EXP(Parameters!$B$54*A51)</f>
        <v>548.51683952533585</v>
      </c>
      <c r="BB51" s="13">
        <f t="shared" si="77"/>
        <v>0.22739442247708186</v>
      </c>
      <c r="BC51" s="30">
        <f>IF(C51&lt;0,Parameters!$B$6*AC51^2/AF51,0)</f>
        <v>0</v>
      </c>
      <c r="BD51" s="30">
        <f>Parameters!$B$5*AD51^2/AG51</f>
        <v>1.3563927307944814</v>
      </c>
      <c r="BE51" s="30">
        <f t="shared" si="15"/>
        <v>0</v>
      </c>
      <c r="BF51" s="30">
        <f t="shared" si="16"/>
        <v>7.8393579077448691E-2</v>
      </c>
      <c r="BH51" s="5">
        <f t="shared" si="58"/>
        <v>-2.0641737183274078E-3</v>
      </c>
      <c r="BI51" s="2">
        <f>BH51/Parameters!$B$45</f>
        <v>-3.4402895305456802</v>
      </c>
      <c r="BJ51" s="2">
        <f t="shared" si="27"/>
        <v>3.3116455672144163E-4</v>
      </c>
      <c r="BM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-0.19033408047411005</v>
      </c>
      <c r="BN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-40.859797474654449</v>
      </c>
      <c r="BO51" s="7">
        <f t="shared" si="59"/>
        <v>6.8196634111450133E-2</v>
      </c>
      <c r="BU51">
        <f>EXP(-Parameters!$B$56*A51)*BH51*BN51</f>
        <v>2.1573414269200762E-3</v>
      </c>
      <c r="BV51">
        <f>-EXP((Parameters!$B$56)*F51)*SUM(BU51:BU59)</f>
        <v>-1.1555064715814111E-2</v>
      </c>
      <c r="BW51">
        <f>X51^-Parameters!B$52/(1-2*Parameters!B$5*'6states'!D51/'6states'!G51)</f>
        <v>1.1325266330862838</v>
      </c>
      <c r="BX51">
        <f t="shared" si="61"/>
        <v>1.0005574864962645</v>
      </c>
      <c r="BY51">
        <f>$X51^-Parameters!$B$52/(1-2*Parameters!$B$5*'6states'!$E51/'6states'!$H51)</f>
        <v>1.1007353239280024</v>
      </c>
      <c r="BZ51">
        <f t="shared" si="62"/>
        <v>1.0061667356938389</v>
      </c>
      <c r="CA51" s="7">
        <f>($X51^-Parameters!$B$52*(1/(1+EXP(-C51)) + IF(C51&lt;0,2*Parameters!$B$6*C51/F51,0)) + BS51*(1/(1+EXP((C51-Parameters!$B$22)*Parameters!$B$21))))/(1-IF(C51&gt;0,2*Parameters!$B$5*C51/F51,0))</f>
        <v>0.51501312859501225</v>
      </c>
      <c r="CB51">
        <f t="shared" si="63"/>
        <v>1.0017832415670036</v>
      </c>
      <c r="CC51" s="7">
        <f t="shared" si="64"/>
        <v>9.1675801745960683E-4</v>
      </c>
      <c r="CD51">
        <f>(1/$T51-1/Parameters!$B$13) * LN(Parameters!$B$18) / LN(P51)</f>
        <v>0.23229334315012878</v>
      </c>
      <c r="CE51">
        <f>(Parameters!$B$18*'6states'!T51^+Parameters!$B$19*Parameters!$B$25^'6states'!T51)^((1-'6states'!T51)/'6states'!T51)*Parameters!$B$18*Parameters!$B$26^('6states'!T51-1)</f>
        <v>0.2891300713351469</v>
      </c>
      <c r="CF51">
        <f t="shared" si="65"/>
        <v>0.2328413666421667</v>
      </c>
      <c r="CG51">
        <f t="shared" si="66"/>
        <v>0.14871940071458334</v>
      </c>
      <c r="CH51">
        <f t="shared" si="67"/>
        <v>0.18160460710135884</v>
      </c>
    </row>
    <row r="52" spans="1:86" x14ac:dyDescent="0.3">
      <c r="A52">
        <f>A51+Parameters!$B$65</f>
        <v>48</v>
      </c>
      <c r="B52">
        <v>2073</v>
      </c>
      <c r="C52" s="74">
        <v>3.8262068448762401E-3</v>
      </c>
      <c r="D52" s="69">
        <v>8.1143408097876804E-2</v>
      </c>
      <c r="E52" s="75">
        <v>0.21919516706921599</v>
      </c>
      <c r="F52" s="7">
        <f>MAX((1-Parameters!$B$4)^Parameters!B$65*F51 + C51*Parameters!B$65 - IF(C51&gt;0,Parameters!$B$5,0)*C51^2/F51*Parameters!B$65, 0.0001)</f>
        <v>0.10868986882748792</v>
      </c>
      <c r="G52" s="7">
        <f>(1-Parameters!$B$4)^Parameters!B$65*G51+D51*Parameters!B$65-Parameters!$B$5*D51^2/G51*Parameters!B$65</f>
        <v>1.0377333039635437</v>
      </c>
      <c r="H52" s="7">
        <f>(1-Parameters!$B$4)^Parameters!B$65*H51+E51*Parameters!B$65-Parameters!$B$5*E51^2/H51*Parameters!B$65</f>
        <v>3.3223390659297247</v>
      </c>
      <c r="I52" s="7">
        <f>I51 *(1-Parameters!$B$4)-C51*(C51&lt;0)*Parameters!B$65</f>
        <v>7.6742384881808897E-3</v>
      </c>
      <c r="J52" s="23">
        <f>J51*(1+Parameters!$B$51)^Parameters!B$65</f>
        <v>9.376839053763236</v>
      </c>
      <c r="K52" s="23">
        <f>K51*(1+Parameters!$B$53)^Parameters!B$65</f>
        <v>23.419681941321166</v>
      </c>
      <c r="L52" s="23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11.464896817395875</v>
      </c>
      <c r="M52" s="8">
        <f>M51+L52*Parameters!B$65</f>
        <v>3299.6998038267175</v>
      </c>
      <c r="N52" s="7">
        <f>M52*Parameters!$B$45</f>
        <v>1.9798198822960302</v>
      </c>
      <c r="O52" s="9">
        <f>EXP(-Parameters!$B$46/2*N52^2)</f>
        <v>0.96137295766024944</v>
      </c>
      <c r="P52" s="7">
        <f>MAX((Parameters!$B$62 + Parameters!$B$31*'6states'!A52 - '6states'!M52 + Parameters!$B$47/Parameters!$B$45)/Parameters!B$62,1)</f>
        <v>32.078003923465658</v>
      </c>
      <c r="Q52" s="7">
        <f>Parameters!B$61*EXP(-Parameters!B$60*A52)</f>
        <v>0.13681205168520402</v>
      </c>
      <c r="R52" s="7">
        <f>(1-Parameters!B$61)*P52^-Parameters!B$63</f>
        <v>0.35346732296753292</v>
      </c>
      <c r="S52" s="7">
        <f>Parameters!B$61*EXP(-Parameters!B$60*A52)+(1-Parameters!B$61)*P52^-Parameters!B$63</f>
        <v>0.49027937465273697</v>
      </c>
      <c r="T52" s="7">
        <f>1-S52/Parameters!$B$12</f>
        <v>0.75486031267363152</v>
      </c>
      <c r="U52" s="7">
        <f t="shared" si="0"/>
        <v>4.0793068266773256</v>
      </c>
      <c r="V52" s="7">
        <f>(Parameters!$B$19*(F52+Parameters!$B$20)^T52+Parameters!$B$18*G52^T52)^(1/T52)</f>
        <v>0.34902268581491003</v>
      </c>
      <c r="W52" s="7">
        <f>(Parameters!$B$10*H52^Parameters!$B$9+Parameters!$B$11*V52^Parameters!$B$9)^(Parameters!$B$7/Parameters!$B$9)*O52</f>
        <v>1.3396730408483235</v>
      </c>
      <c r="X52" s="7">
        <f>W52 - D52 - E52 - LN(1+EXP(Parameters!$B$21*C52))/Parameters!$B$21 - IF(C52&gt;0, 0,Parameters!$B$6*C52^2/F52)</f>
        <v>1.0345896083244139</v>
      </c>
      <c r="Y52" s="7">
        <f>EXP(-Parameters!$B$55*A52)</f>
        <v>0.48442144355629069</v>
      </c>
      <c r="Z52" s="7">
        <f>IF(X52&gt;0,X52^(1-Parameters!$B$52)/(1-Parameters!$B$52)*Y52*Parameters!$B$65,-10+X52*1000)</f>
        <v>-1.3676862349309045</v>
      </c>
      <c r="AB52" s="9"/>
      <c r="AC52" s="23">
        <f t="shared" si="6"/>
        <v>0.84024492633035275</v>
      </c>
      <c r="AD52" s="23">
        <f t="shared" si="7"/>
        <v>17.819302438051949</v>
      </c>
      <c r="AE52" s="23">
        <f t="shared" si="8"/>
        <v>1.685282634883708</v>
      </c>
      <c r="AF52" s="23">
        <f t="shared" si="9"/>
        <v>23.868576511514306</v>
      </c>
      <c r="AG52" s="23">
        <f t="shared" si="10"/>
        <v>227.88891946786657</v>
      </c>
      <c r="AH52" s="23">
        <f t="shared" si="11"/>
        <v>76.646285164349663</v>
      </c>
      <c r="AI52" s="23">
        <f t="shared" si="12"/>
        <v>188.63234313645606</v>
      </c>
      <c r="AJ52" s="23">
        <f t="shared" si="13"/>
        <v>294.19566718452432</v>
      </c>
      <c r="AK52" s="23">
        <f t="shared" si="14"/>
        <v>227.19855576883054</v>
      </c>
      <c r="AL52" s="9">
        <f t="shared" si="24"/>
        <v>2.2146958544052353E-2</v>
      </c>
      <c r="AM52" s="9">
        <f t="shared" si="25"/>
        <v>2.2566393503419491E-2</v>
      </c>
      <c r="AN52" s="9">
        <f t="shared" ref="AN52:AO52" si="83">AVERAGE(AL50:AL54)</f>
        <v>2.2083560958443549E-2</v>
      </c>
      <c r="AO52" s="9">
        <f t="shared" si="83"/>
        <v>2.1626530574575753E-2</v>
      </c>
      <c r="AP52" s="23"/>
      <c r="AQ52" s="8">
        <f t="shared" si="1"/>
        <v>294.19566718452432</v>
      </c>
      <c r="AR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0.23468416341638176</v>
      </c>
      <c r="AS52" s="32">
        <f>((C53-C51)/2-(F53-F51)/F52/2*C52)/(F52/2/Parameters!$B$5-C52)-((D53-D51)/D52-(G53-G51)/G52)/(G52/2/Parameters!$B$5/D52-1)</f>
        <v>-2.6475342948616061E-3</v>
      </c>
      <c r="AT52" s="32">
        <f>+Parameters!$B$5*C52^2/F52^2-Parameters!$B$5*D52^2/G52^2</f>
        <v>-4.8748848577258161E-3</v>
      </c>
      <c r="AU52" s="30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0.49501144695748828</v>
      </c>
      <c r="AV52" s="30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108.70579496726855</v>
      </c>
      <c r="AW52" s="8">
        <f>1000*(AR52+AS52+AT52)/(EXP(-Parameters!$B$42*A52)*((C52&lt;0)*Parameters!$B$37*EXP(-Parameters!$B$38*AF52)+(C52&gt;=0)*Parameters!$B$41))</f>
        <v>403.11940311482698</v>
      </c>
      <c r="AX52" s="13">
        <f>1-W52/'6states,ExoDamages'!T52</f>
        <v>8.9212903801912158E-2</v>
      </c>
      <c r="AY52" s="21">
        <f>-Y52*W52*X52^(-Parameters!B$52)*Parameters!B$46*Parameters!B$45*N52</f>
        <v>-1.4799880726666915E-5</v>
      </c>
      <c r="AZ52" s="7">
        <f>1000*EXP(-(Parameters!$B$54)*'6states'!A52)*AQ52*Parameters!B$46*Parameters!B$45*N52</f>
        <v>1.302896502671012</v>
      </c>
      <c r="BA52" s="7">
        <f>SUM(AZ52:AZ$204)*EXP(Parameters!$B$54*A52)</f>
        <v>561.02040298706845</v>
      </c>
      <c r="BB52" s="13">
        <f t="shared" si="77"/>
        <v>0.22704404189500019</v>
      </c>
      <c r="BC52" s="30">
        <f>IF(C52&lt;0,Parameters!$B$6*AC52^2/AF52,0)</f>
        <v>0</v>
      </c>
      <c r="BD52" s="30">
        <f>Parameters!$B$5*AD52^2/AG52</f>
        <v>1.3933434768140933</v>
      </c>
      <c r="BE52" s="30">
        <f t="shared" si="15"/>
        <v>0</v>
      </c>
      <c r="BF52" s="30">
        <f t="shared" si="16"/>
        <v>7.819293048411928E-2</v>
      </c>
      <c r="BH52" s="5">
        <f t="shared" si="58"/>
        <v>-2.0646589924192813E-3</v>
      </c>
      <c r="BI52" s="2">
        <f>BH52/Parameters!$B$45</f>
        <v>-3.4410983206988024</v>
      </c>
      <c r="BJ52" s="2">
        <f t="shared" si="27"/>
        <v>2.3503837372418346E-4</v>
      </c>
      <c r="BM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-0.20787123247639225</v>
      </c>
      <c r="BN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-45.649060675384199</v>
      </c>
      <c r="BO52" s="7">
        <f t="shared" si="59"/>
        <v>6.5950220091170061E-2</v>
      </c>
      <c r="BU52">
        <f>EXP(-Parameters!$B$56*A52)*BH52*BN52</f>
        <v>2.2298807441910925E-3</v>
      </c>
      <c r="BV52">
        <f>-EXP((Parameters!$B$56)*F52)*SUM(BU52:BU60)</f>
        <v>-9.3764676020125677E-3</v>
      </c>
      <c r="BW52">
        <f>X52^-Parameters!B$52/(1-2*Parameters!B$5*'6states'!D52/'6states'!G52)</f>
        <v>1.1321896982973223</v>
      </c>
      <c r="BX52">
        <f t="shared" si="61"/>
        <v>0.99970249283405965</v>
      </c>
      <c r="BY52">
        <f>$X52^-Parameters!$B$52/(1-2*Parameters!$B$5*'6states'!$E52/'6states'!$H52)</f>
        <v>1.1003211633482328</v>
      </c>
      <c r="BZ52">
        <f t="shared" si="62"/>
        <v>0.99962374190164838</v>
      </c>
      <c r="CA52" s="7">
        <f>($X52^-Parameters!$B$52*(1/(1+EXP(-C52)) + IF(C52&lt;0,2*Parameters!$B$6*C52/F52,0)) + BS52*(1/(1+EXP((C52-Parameters!$B$22)*Parameters!$B$21))))/(1-IF(C52&gt;0,2*Parameters!$B$5*C52/F52,0))</f>
        <v>0.51471849579911444</v>
      </c>
      <c r="CB52">
        <f t="shared" si="63"/>
        <v>0.99942791206759796</v>
      </c>
      <c r="CC52" s="7">
        <f t="shared" si="64"/>
        <v>-2.94632795897809E-4</v>
      </c>
      <c r="CD52">
        <f>(1/$T52-1/Parameters!$B$13) * LN(Parameters!$B$18) / LN(P52)</f>
        <v>0.23194158911174562</v>
      </c>
      <c r="CE52">
        <f>(Parameters!$B$18*'6states'!T52^+Parameters!$B$19*Parameters!$B$25^'6states'!T52)^((1-'6states'!T52)/'6states'!T52)*Parameters!$B$18*Parameters!$B$26^('6states'!T52-1)</f>
        <v>0.2898747673584709</v>
      </c>
      <c r="CF52">
        <f t="shared" si="65"/>
        <v>0.23181296925354461</v>
      </c>
      <c r="CG52">
        <f t="shared" si="66"/>
        <v>0.14851181845528849</v>
      </c>
      <c r="CH52">
        <f t="shared" si="67"/>
        <v>0.18202694065678204</v>
      </c>
    </row>
    <row r="53" spans="1:86" x14ac:dyDescent="0.3">
      <c r="A53">
        <f>A52+Parameters!$B$65</f>
        <v>49</v>
      </c>
      <c r="B53">
        <v>2074</v>
      </c>
      <c r="C53" s="74">
        <v>3.7035640041078598E-3</v>
      </c>
      <c r="D53" s="69">
        <v>8.3049309522924095E-2</v>
      </c>
      <c r="E53" s="75">
        <v>0.21739193158329501</v>
      </c>
      <c r="F53" s="7">
        <f>MAX((1-Parameters!$B$4)^Parameters!B$65*F52 + C52*Parameters!B$65 - IF(C52&gt;0,Parameters!$B$5,0)*C52^2/F52*Parameters!B$65, 0.0001)</f>
        <v>0.10554478905534527</v>
      </c>
      <c r="G53" s="7">
        <f>(1-Parameters!$B$4)^Parameters!B$65*G52+D52*Parameters!B$65-Parameters!$B$5*D52^2/G52*Parameters!B$65</f>
        <v>1.047258446373472</v>
      </c>
      <c r="H53" s="7">
        <f>(1-Parameters!$B$4)^Parameters!B$65*H52+E52*Parameters!B$65-Parameters!$B$5*E52^2/H52*Parameters!B$65</f>
        <v>3.3180974507814569</v>
      </c>
      <c r="I53" s="7">
        <f>I52 *(1-Parameters!$B$4)-C52*(C52&lt;0)*Parameters!B$65</f>
        <v>7.1915288872743122E-3</v>
      </c>
      <c r="J53" s="23">
        <f>J52*(1+Parameters!$B$51)^Parameters!B$65</f>
        <v>9.4040318870191477</v>
      </c>
      <c r="K53" s="23">
        <f>K52*(1+Parameters!$B$53)^Parameters!B$65</f>
        <v>23.888075580147589</v>
      </c>
      <c r="L53" s="23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11.28805684519482</v>
      </c>
      <c r="M53" s="8">
        <f>M52+L53*Parameters!B$65</f>
        <v>3310.9878606719121</v>
      </c>
      <c r="N53" s="7">
        <f>M53*Parameters!$B$45</f>
        <v>1.9865927164031472</v>
      </c>
      <c r="O53" s="9">
        <f>EXP(-Parameters!$B$46/2*N53^2)</f>
        <v>0.96111343955238659</v>
      </c>
      <c r="P53" s="7">
        <f>MAX((Parameters!$B$62 + Parameters!$B$31*'6states'!A53 - '6states'!M53 + Parameters!$B$47/Parameters!$B$45)/Parameters!B$62,1)</f>
        <v>32.91624278656176</v>
      </c>
      <c r="Q53" s="7">
        <f>Parameters!B$61*EXP(-Parameters!B$60*A53)</f>
        <v>0.13316754848380194</v>
      </c>
      <c r="R53" s="7">
        <f>(1-Parameters!B$61)*P53^-Parameters!B$63</f>
        <v>0.35255670503281417</v>
      </c>
      <c r="S53" s="7">
        <f>Parameters!B$61*EXP(-Parameters!B$60*A53)+(1-Parameters!B$61)*P53^-Parameters!B$63</f>
        <v>0.48572425351661608</v>
      </c>
      <c r="T53" s="7">
        <f>1-S53/Parameters!$B$12</f>
        <v>0.75713787324169202</v>
      </c>
      <c r="U53" s="7">
        <f t="shared" si="0"/>
        <v>4.1175625584271609</v>
      </c>
      <c r="V53" s="7">
        <f>(Parameters!$B$19*(F53+Parameters!$B$20)^T53+Parameters!$B$18*G53^T53)^(1/T53)</f>
        <v>0.34883030884495564</v>
      </c>
      <c r="W53" s="7">
        <f>(Parameters!$B$10*H53^Parameters!$B$9+Parameters!$B$11*V53^Parameters!$B$9)^(Parameters!$B$7/Parameters!$B$9)*O53</f>
        <v>1.3388900195784661</v>
      </c>
      <c r="X53" s="7">
        <f>W53 - D53 - E53 - LN(1+EXP(Parameters!$B$21*C53))/Parameters!$B$21 - IF(C53&gt;0, 0,Parameters!$B$6*C53^2/F53)</f>
        <v>1.0337966065957731</v>
      </c>
      <c r="Y53" s="7">
        <f>EXP(-Parameters!$B$55*A53)</f>
        <v>0.47716162929823552</v>
      </c>
      <c r="Z53" s="7">
        <f>IF(X53&gt;0,X53^(1-Parameters!$B$52)/(1-Parameters!$B$52)*Y53*Parameters!$B$65,-10+X53*1000)</f>
        <v>-1.3475509131994203</v>
      </c>
      <c r="AB53" s="9"/>
      <c r="AC53" s="23">
        <f t="shared" si="6"/>
        <v>0.83198426349719268</v>
      </c>
      <c r="AD53" s="23">
        <f t="shared" si="7"/>
        <v>18.65654773098073</v>
      </c>
      <c r="AE53" s="23">
        <f t="shared" si="8"/>
        <v>1.6155354296729614</v>
      </c>
      <c r="AF53" s="23">
        <f t="shared" si="9"/>
        <v>23.710027284739922</v>
      </c>
      <c r="AG53" s="23">
        <f t="shared" si="10"/>
        <v>235.26056151070429</v>
      </c>
      <c r="AH53" s="23">
        <f t="shared" si="11"/>
        <v>78.362714203930494</v>
      </c>
      <c r="AI53" s="23">
        <f t="shared" si="12"/>
        <v>192.85660568054848</v>
      </c>
      <c r="AJ53" s="23">
        <f t="shared" si="13"/>
        <v>300.77391010583182</v>
      </c>
      <c r="AK53" s="23">
        <f t="shared" si="14"/>
        <v>232.23643695383331</v>
      </c>
      <c r="AL53" s="9">
        <f t="shared" si="24"/>
        <v>2.2113772683523436E-2</v>
      </c>
      <c r="AM53" s="9">
        <f t="shared" si="25"/>
        <v>2.1931647336673521E-2</v>
      </c>
      <c r="AN53" s="9">
        <f t="shared" ref="AN53:AO53" si="84">AVERAGE(AL51:AL55)</f>
        <v>2.2098612514978022E-2</v>
      </c>
      <c r="AO53" s="9">
        <f t="shared" si="84"/>
        <v>2.1182142200699871E-2</v>
      </c>
      <c r="AP53" s="23"/>
      <c r="AQ53" s="8">
        <f t="shared" si="1"/>
        <v>300.77391010583182</v>
      </c>
      <c r="AR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0.23566445978338599</v>
      </c>
      <c r="AS53" s="32">
        <f>((C54-C52)/2-(F54-F52)/F53/2*C53)/(F53/2/Parameters!$B$5-C53)-((D54-D52)/D53-(G54-G52)/G53)/(G53/2/Parameters!$B$5/D53-1)</f>
        <v>-1.9152814492563459E-3</v>
      </c>
      <c r="AT53" s="32">
        <f>+Parameters!$B$5*C53^2/F53^2-Parameters!$B$5*D53^2/G53^2</f>
        <v>-5.0574433438932993E-3</v>
      </c>
      <c r="AU53" s="30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0.491497990858204</v>
      </c>
      <c r="AV53" s="30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110.4121849874756</v>
      </c>
      <c r="AW53" s="8">
        <f>1000*(AR53+AS53+AT53)/(EXP(-Parameters!$B$42*A53)*((C53&lt;0)*Parameters!$B$37*EXP(-Parameters!$B$38*AF53)+(C53&gt;=0)*Parameters!$B$41))</f>
        <v>409.91321700179617</v>
      </c>
      <c r="AX53" s="13">
        <f>1-W53/'6states,ExoDamages'!T53</f>
        <v>8.9469031644868524E-2</v>
      </c>
      <c r="AY53" s="21">
        <f>-Y53*W53*X53^(-Parameters!B$52)*Parameters!B$46*Parameters!B$45*N53</f>
        <v>-1.4634543357143237E-5</v>
      </c>
      <c r="AZ53" s="7">
        <f>1000*EXP(-(Parameters!$B$54)*'6states'!A53)*AQ53*Parameters!B$46*Parameters!B$45*N53</f>
        <v>1.2904857966586067</v>
      </c>
      <c r="BA53" s="7">
        <f>SUM(AZ53:AZ$204)*EXP(Parameters!$B$54*A53)</f>
        <v>573.78655462057736</v>
      </c>
      <c r="BB53" s="13">
        <f t="shared" si="77"/>
        <v>0.22716190326527594</v>
      </c>
      <c r="BC53" s="30">
        <f>IF(C53&lt;0,Parameters!$B$6*AC53^2/AF53,0)</f>
        <v>0</v>
      </c>
      <c r="BD53" s="30">
        <f>Parameters!$B$5*AD53^2/AG53</f>
        <v>1.4794947823098061</v>
      </c>
      <c r="BE53" s="30">
        <f t="shared" si="15"/>
        <v>0</v>
      </c>
      <c r="BF53" s="30">
        <f t="shared" si="16"/>
        <v>7.9301637347030898E-2</v>
      </c>
      <c r="BH53" s="5">
        <f t="shared" si="58"/>
        <v>-2.0650554200716863E-3</v>
      </c>
      <c r="BI53" s="2">
        <f>BH53/Parameters!$B$45</f>
        <v>-3.441759033452811</v>
      </c>
      <c r="BJ53" s="2">
        <f t="shared" si="27"/>
        <v>1.9196949803479413E-4</v>
      </c>
      <c r="BM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-0.22616274563660677</v>
      </c>
      <c r="BN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-50.806154598724547</v>
      </c>
      <c r="BO53" s="7">
        <f t="shared" si="59"/>
        <v>6.3790702220154552E-2</v>
      </c>
      <c r="BU53">
        <f>EXP(-Parameters!$B$56*A53)*BH53*BN53</f>
        <v>2.2960139738815006E-3</v>
      </c>
      <c r="BV53">
        <f>-EXP((Parameters!$B$56)*F53)*SUM(BU53:BU61)</f>
        <v>-7.1258536897906687E-3</v>
      </c>
      <c r="BW53">
        <f>X53^-Parameters!B$52/(1-2*Parameters!B$5*'6states'!D53/'6states'!G53)</f>
        <v>1.1363491580511489</v>
      </c>
      <c r="BX53">
        <f t="shared" si="61"/>
        <v>1.0036738187603031</v>
      </c>
      <c r="BY53">
        <f>$X53^-Parameters!$B$52/(1-2*Parameters!$B$5*'6states'!$E53/'6states'!$H53)</f>
        <v>1.1002968514704938</v>
      </c>
      <c r="BZ53">
        <f t="shared" si="62"/>
        <v>0.99997790474404313</v>
      </c>
      <c r="CA53" s="7">
        <f>($X53^-Parameters!$B$52*(1/(1+EXP(-C53)) + IF(C53&lt;0,2*Parameters!$B$6*C53/F53,0)) + BS53*(1/(1+EXP((C53-Parameters!$B$22)*Parameters!$B$21))))/(1-IF(C53&gt;0,2*Parameters!$B$5*C53/F53,0))</f>
        <v>0.51509482126298756</v>
      </c>
      <c r="CB53">
        <f t="shared" si="63"/>
        <v>1.0007311286983944</v>
      </c>
      <c r="CC53" s="7">
        <f t="shared" si="64"/>
        <v>3.7632546387311727E-4</v>
      </c>
      <c r="CD53">
        <f>(1/$T53-1/Parameters!$B$13) * LN(Parameters!$B$18) / LN(P53)</f>
        <v>0.23158788117041446</v>
      </c>
      <c r="CE53">
        <f>(Parameters!$B$18*'6states'!T53^+Parameters!$B$19*Parameters!$B$25^'6states'!T53)^((1-'6states'!T53)/'6states'!T53)*Parameters!$B$18*Parameters!$B$26^('6states'!T53-1)</f>
        <v>0.29058643190660655</v>
      </c>
      <c r="CF53">
        <f t="shared" si="65"/>
        <v>0.23080331275658234</v>
      </c>
      <c r="CG53">
        <f t="shared" si="66"/>
        <v>0.14830303208920692</v>
      </c>
      <c r="CH53">
        <f t="shared" si="67"/>
        <v>0.18243033767256955</v>
      </c>
    </row>
    <row r="54" spans="1:86" s="4" customFormat="1" x14ac:dyDescent="0.3">
      <c r="A54">
        <f>A53+Parameters!$B$65</f>
        <v>50</v>
      </c>
      <c r="B54">
        <v>2075</v>
      </c>
      <c r="C54" s="74">
        <v>3.65288951296354E-3</v>
      </c>
      <c r="D54" s="69">
        <v>8.3782697325095995E-2</v>
      </c>
      <c r="E54" s="75">
        <v>0.21552510041975401</v>
      </c>
      <c r="F54" s="7">
        <f>MAX((1-Parameters!$B$4)^Parameters!B$65*F53 + C53*Parameters!B$65 - IF(C53&gt;0,Parameters!$B$5,0)*C53^2/F53*Parameters!B$65, 0.0001)</f>
        <v>0.1024796278597402</v>
      </c>
      <c r="G54" s="7">
        <f>(1-Parameters!$B$4)^Parameters!B$65*G53+D53*Parameters!B$65-Parameters!$B$5*D53^2/G53*Parameters!B$65</f>
        <v>1.0578492533937964</v>
      </c>
      <c r="H54" s="7">
        <f>(1-Parameters!$B$4)^Parameters!B$65*H53+E53*Parameters!B$65-Parameters!$B$5*E53^2/H53*Parameters!B$65</f>
        <v>3.3125381762976751</v>
      </c>
      <c r="I54" s="7">
        <f>I53 *(1-Parameters!$B$4)-C53*(C53&lt;0)*Parameters!B$65</f>
        <v>6.7391817202647579E-3</v>
      </c>
      <c r="J54" s="23">
        <f>J53*(1+Parameters!$B$51)^Parameters!B$65</f>
        <v>9.4313035794915017</v>
      </c>
      <c r="K54" s="23">
        <f>K53*(1+Parameters!$B$53)^Parameters!B$65</f>
        <v>24.365837091750542</v>
      </c>
      <c r="L54" s="23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11.113419517875032</v>
      </c>
      <c r="M54" s="8">
        <f>M53+L54*Parameters!B$65</f>
        <v>3322.1012801897873</v>
      </c>
      <c r="N54" s="7">
        <f>M54*Parameters!$B$45</f>
        <v>1.9932607681138723</v>
      </c>
      <c r="O54" s="9">
        <f>EXP(-Parameters!$B$46/2*N54^2)</f>
        <v>0.96085713941317275</v>
      </c>
      <c r="P54" s="7">
        <f>MAX((Parameters!$B$62 + Parameters!$B$31*'6states'!A54 - '6states'!M54 + Parameters!$B$47/Parameters!$B$45)/Parameters!B$62,1)</f>
        <v>33.757974396204254</v>
      </c>
      <c r="Q54" s="7">
        <f>Parameters!B$61*EXP(-Parameters!B$60*A54)</f>
        <v>0.12962013032294575</v>
      </c>
      <c r="R54" s="7">
        <f>(1-Parameters!B$61)*P54^-Parameters!B$63</f>
        <v>0.3516676071647688</v>
      </c>
      <c r="S54" s="7">
        <f>Parameters!B$61*EXP(-Parameters!B$60*A54)+(1-Parameters!B$61)*P54^-Parameters!B$63</f>
        <v>0.48128773748771458</v>
      </c>
      <c r="T54" s="7">
        <f>1-S54/Parameters!$B$12</f>
        <v>0.75935613125614276</v>
      </c>
      <c r="U54" s="7">
        <f t="shared" si="0"/>
        <v>4.1555182985543082</v>
      </c>
      <c r="V54" s="7">
        <f>(Parameters!$B$19*(F54+Parameters!$B$20)^T54+Parameters!$B$18*G54^T54)^(1/T54)</f>
        <v>0.34894858365358877</v>
      </c>
      <c r="W54" s="7">
        <f>(Parameters!$B$10*H54^Parameters!$B$9+Parameters!$B$11*V54^Parameters!$B$9)^(Parameters!$B$7/Parameters!$B$9)*O54</f>
        <v>1.3381135502621622</v>
      </c>
      <c r="X54" s="7">
        <f>W54 - D54 - E54 - LN(1+EXP(Parameters!$B$21*C54))/Parameters!$B$21 - IF(C54&gt;0, 0,Parameters!$B$6*C54^2/F54)</f>
        <v>1.0341916325440079</v>
      </c>
      <c r="Y54" s="16">
        <f>EXP(-Parameters!$B$55*A54)</f>
        <v>0.4700106147305379</v>
      </c>
      <c r="Z54" s="7">
        <f>IF(X54&gt;0,X54^(1-Parameters!$B$52)/(1-Parameters!$B$52)*Y54*Parameters!$B$65,-10+X54*1000)</f>
        <v>-1.3271782779435846</v>
      </c>
      <c r="AA54"/>
      <c r="AB54" s="9"/>
      <c r="AC54" s="23">
        <f t="shared" si="6"/>
        <v>0.8394398787409354</v>
      </c>
      <c r="AD54" s="23">
        <f t="shared" si="7"/>
        <v>19.253398448974398</v>
      </c>
      <c r="AE54" s="23">
        <f t="shared" si="8"/>
        <v>1.5486747863563539</v>
      </c>
      <c r="AF54" s="23">
        <f t="shared" si="9"/>
        <v>23.549983123964012</v>
      </c>
      <c r="AG54" s="23">
        <f t="shared" si="10"/>
        <v>243.09545795012409</v>
      </c>
      <c r="AH54" s="23">
        <f t="shared" si="11"/>
        <v>80.188945137666238</v>
      </c>
      <c r="AI54" s="23">
        <f t="shared" si="12"/>
        <v>197.35109904575441</v>
      </c>
      <c r="AJ54" s="23">
        <f t="shared" si="13"/>
        <v>307.50064363769422</v>
      </c>
      <c r="AK54" s="23">
        <f t="shared" si="14"/>
        <v>237.65889867096479</v>
      </c>
      <c r="AL54" s="9">
        <f t="shared" si="24"/>
        <v>2.2118327081615874E-2</v>
      </c>
      <c r="AM54" s="9">
        <f t="shared" si="25"/>
        <v>2.3080469285954308E-2</v>
      </c>
      <c r="AN54" s="9">
        <f t="shared" ref="AN54:AO54" si="85">AVERAGE(AL52:AL56)</f>
        <v>2.214590792653013E-2</v>
      </c>
      <c r="AO54" s="9">
        <f t="shared" si="85"/>
        <v>2.2267649201732454E-2</v>
      </c>
      <c r="AP54" s="23"/>
      <c r="AQ54" s="8">
        <f t="shared" si="1"/>
        <v>307.50064363769422</v>
      </c>
      <c r="AR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0.23501097734855095</v>
      </c>
      <c r="AS54" s="32">
        <f>((C55-C53)/2-(F55-F53)/F54/2*C54)/(F54/2/Parameters!$B$5-C54)-((D55-D53)/D54-(G55-G53)/G54)/(G54/2/Parameters!$B$5/D54-1)</f>
        <v>1.5359343246095715E-3</v>
      </c>
      <c r="AT54" s="32">
        <f>+Parameters!$B$5*C54^2/F54^2-Parameters!$B$5*D54^2/G54^2</f>
        <v>-5.0022269619169777E-3</v>
      </c>
      <c r="AU54" s="30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0.48803808064325915</v>
      </c>
      <c r="AV54" s="30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112.15193500439861</v>
      </c>
      <c r="AW54" s="8">
        <f>1000*(AR54+AS54+AT54)/(EXP(-Parameters!$B$42*A54)*((C54&lt;0)*Parameters!$B$37*EXP(-Parameters!$B$38*AF54)+(C54&gt;=0)*Parameters!$B$41))</f>
        <v>419.19801071721668</v>
      </c>
      <c r="AX54" s="13">
        <f>1-W54/'6states,ExoDamages'!T54</f>
        <v>8.9726956091162546E-2</v>
      </c>
      <c r="AY54" s="21">
        <f>-Y54*W54*X54^(-Parameters!B$52)*Parameters!B$46*Parameters!B$45*N54</f>
        <v>-1.4447765529769969E-5</v>
      </c>
      <c r="AZ54" s="7">
        <f>1000*EXP(-(Parameters!$B$54)*'6states'!A54)*AQ54*Parameters!B$46*Parameters!B$45*N54</f>
        <v>1.2781170847478502</v>
      </c>
      <c r="BA54" s="7">
        <f>SUM(AZ54:AZ$204)*EXP(Parameters!$B$54*A54)</f>
        <v>586.82063288027234</v>
      </c>
      <c r="BB54" s="13">
        <f t="shared" si="77"/>
        <v>0.22640880304848399</v>
      </c>
      <c r="BC54" s="30">
        <f>IF(C54&lt;0,Parameters!$B$6*AC54^2/AF54,0)</f>
        <v>0</v>
      </c>
      <c r="BD54" s="30">
        <f>Parameters!$B$5*AD54^2/AG54</f>
        <v>1.524888021194641</v>
      </c>
      <c r="BE54" s="30">
        <f t="shared" si="15"/>
        <v>0</v>
      </c>
      <c r="BF54" s="30">
        <f t="shared" si="16"/>
        <v>7.9200979776942682E-2</v>
      </c>
      <c r="BG54" s="16"/>
      <c r="BH54" s="5">
        <f t="shared" si="58"/>
        <v>-2.0653377499398494E-3</v>
      </c>
      <c r="BI54" s="2">
        <f>BH54/Parameters!$B$45</f>
        <v>-3.4422295832330825</v>
      </c>
      <c r="BJ54" s="2">
        <f t="shared" si="27"/>
        <v>1.3669912738056844E-4</v>
      </c>
      <c r="BK54"/>
      <c r="BL54"/>
      <c r="BM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-0.24528651752589484</v>
      </c>
      <c r="BN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-56.367235800043922</v>
      </c>
      <c r="BO54" s="7">
        <f t="shared" si="59"/>
        <v>6.1703489959100612E-2</v>
      </c>
      <c r="BP54"/>
      <c r="BQ54"/>
      <c r="BR54"/>
      <c r="BS54"/>
      <c r="BU54">
        <f>EXP(-Parameters!$B$56*A54)*BH54*BN54</f>
        <v>2.3565102958541329E-3</v>
      </c>
      <c r="BV54">
        <f>-EXP((Parameters!$B$56)*F54)*SUM(BU54:BU62)</f>
        <v>-4.8097097215185815E-3</v>
      </c>
      <c r="BW54">
        <f>X54^-Parameters!B$52/(1-2*Parameters!B$5*'6states'!D54/'6states'!G54)</f>
        <v>1.1354915530945524</v>
      </c>
      <c r="BX54">
        <f t="shared" si="61"/>
        <v>0.99924529802260131</v>
      </c>
      <c r="BY54">
        <f>$X54^-Parameters!$B$52/(1-2*Parameters!$B$5*'6states'!$E54/'6states'!$H54)</f>
        <v>1.0985825693169302</v>
      </c>
      <c r="BZ54">
        <f t="shared" si="62"/>
        <v>0.99844198213302837</v>
      </c>
      <c r="CA54" s="7">
        <f>($X54^-Parameters!$B$52*(1/(1+EXP(-C54)) + IF(C54&lt;0,2*Parameters!$B$6*C54/F54,0)) + BS54*(1/(1+EXP((C54-Parameters!$B$22)*Parameters!$B$21))))/(1-IF(C54&gt;0,2*Parameters!$B$5*C54/F54,0))</f>
        <v>0.51543158186919102</v>
      </c>
      <c r="CB54">
        <f t="shared" si="63"/>
        <v>1.0006537837157394</v>
      </c>
      <c r="CC54" s="7">
        <f t="shared" si="64"/>
        <v>3.3676060620346782E-4</v>
      </c>
      <c r="CD54">
        <f>(1/$T54-1/Parameters!$B$13) * LN(Parameters!$B$18) / LN(P54)</f>
        <v>0.23123228249832001</v>
      </c>
      <c r="CE54">
        <f>(Parameters!$B$18*'6states'!T54^+Parameters!$B$19*Parameters!$B$25^'6states'!T54)^((1-'6states'!T54)/'6states'!T54)*Parameters!$B$18*Parameters!$B$26^('6states'!T54-1)</f>
        <v>0.29126675034331378</v>
      </c>
      <c r="CF54">
        <f t="shared" si="65"/>
        <v>0.22981177735530003</v>
      </c>
      <c r="CG54">
        <f t="shared" si="66"/>
        <v>0.14809307805846261</v>
      </c>
      <c r="CH54">
        <f t="shared" si="67"/>
        <v>0.18281578059470183</v>
      </c>
    </row>
    <row r="55" spans="1:86" x14ac:dyDescent="0.3">
      <c r="A55">
        <f>A54+Parameters!$B$65</f>
        <v>51</v>
      </c>
      <c r="B55">
        <v>2076</v>
      </c>
      <c r="C55" s="74">
        <v>3.5930298970660401E-3</v>
      </c>
      <c r="D55" s="69">
        <v>8.4525983291434001E-2</v>
      </c>
      <c r="E55" s="75">
        <v>0.218311381976593</v>
      </c>
      <c r="F55" s="7">
        <f>MAX((1-Parameters!$B$4)^Parameters!B$65*F54 + C54*Parameters!B$65 - IF(C54&gt;0,Parameters!$B$5,0)*C54^2/F54*Parameters!B$65, 0.0001)</f>
        <v>9.9556341420360045E-2</v>
      </c>
      <c r="G55" s="7">
        <f>(1-Parameters!$B$4)^Parameters!B$65*G54+D54*Parameters!B$65-Parameters!$B$5*D54^2/G54*Parameters!B$65</f>
        <v>1.06845756096392</v>
      </c>
      <c r="H55" s="7">
        <f>(1-Parameters!$B$4)^Parameters!B$65*H54+E54*Parameters!B$65-Parameters!$B$5*E54^2/H54*Parameters!B$65</f>
        <v>3.3056818228404534</v>
      </c>
      <c r="I55" s="7">
        <f>I54 *(1-Parameters!$B$4)-C54*(C54&lt;0)*Parameters!B$65</f>
        <v>6.315287190060105E-3</v>
      </c>
      <c r="J55" s="23">
        <f>J54*(1+Parameters!$B$51)^Parameters!B$65</f>
        <v>9.4586543598720265</v>
      </c>
      <c r="K55" s="23">
        <f>K54*(1+Parameters!$B$53)^Parameters!B$65</f>
        <v>24.853153833585555</v>
      </c>
      <c r="L55" s="23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10.948210101680266</v>
      </c>
      <c r="M55" s="8">
        <f>M54+L55*Parameters!B$65</f>
        <v>3333.0494902914675</v>
      </c>
      <c r="N55" s="7">
        <f>M55*Parameters!$B$45</f>
        <v>1.9998296941748803</v>
      </c>
      <c r="O55" s="9">
        <f>EXP(-Parameters!$B$46/2*N55^2)</f>
        <v>0.96060387675320347</v>
      </c>
      <c r="P55" s="7">
        <f>MAX((Parameters!$B$62 + Parameters!$B$31*'6states'!A55 - '6states'!M55 + Parameters!$B$47/Parameters!$B$45)/Parameters!B$62,1)</f>
        <v>34.603010194170658</v>
      </c>
      <c r="Q55" s="7">
        <f>Parameters!B$61*EXP(-Parameters!B$60*A55)</f>
        <v>0.12616721097768882</v>
      </c>
      <c r="R55" s="7">
        <f>(1-Parameters!B$61)*P55^-Parameters!B$63</f>
        <v>0.35079921775653716</v>
      </c>
      <c r="S55" s="7">
        <f>Parameters!B$61*EXP(-Parameters!B$60*A55)+(1-Parameters!B$61)*P55^-Parameters!B$63</f>
        <v>0.47696642873422601</v>
      </c>
      <c r="T55" s="7">
        <f>1-S55/Parameters!$B$12</f>
        <v>0.76151678563288705</v>
      </c>
      <c r="U55" s="7">
        <f t="shared" si="0"/>
        <v>4.193167232561005</v>
      </c>
      <c r="V55" s="7">
        <f>(Parameters!$B$19*(F55+Parameters!$B$20)^T55+Parameters!$B$18*G55^T55)^(1/T55)</f>
        <v>0.34919098050518144</v>
      </c>
      <c r="W55" s="7">
        <f>(Parameters!$B$10*H55^Parameters!$B$9+Parameters!$B$11*V55^Parameters!$B$9)^(Parameters!$B$7/Parameters!$B$9)*O55</f>
        <v>1.3372752943044595</v>
      </c>
      <c r="X55" s="7">
        <f>W55 - D55 - E55 - LN(1+EXP(Parameters!$B$21*C55))/Parameters!$B$21 - IF(C55&gt;0, 0,Parameters!$B$6*C55^2/F55)</f>
        <v>1.0298685717239175</v>
      </c>
      <c r="Y55" s="7">
        <f>EXP(-Parameters!$B$55*A55)</f>
        <v>0.46296676931938507</v>
      </c>
      <c r="Z55" s="7">
        <f>IF(X55&gt;0,X55^(1-Parameters!$B$52)/(1-Parameters!$B$52)*Y55*Parameters!$B$65,-10+X55*1000)</f>
        <v>-1.3092064714081231</v>
      </c>
      <c r="AB55" s="9"/>
      <c r="AC55" s="23">
        <f t="shared" si="6"/>
        <v>0.84464009709386789</v>
      </c>
      <c r="AD55" s="23">
        <f t="shared" si="7"/>
        <v>19.870147696942261</v>
      </c>
      <c r="AE55" s="23">
        <f t="shared" si="8"/>
        <v>1.4845812415153374</v>
      </c>
      <c r="AF55" s="23">
        <f t="shared" si="9"/>
        <v>23.403445084681298</v>
      </c>
      <c r="AG55" s="23">
        <f t="shared" si="10"/>
        <v>251.17021674942532</v>
      </c>
      <c r="AH55" s="23">
        <f t="shared" si="11"/>
        <v>82.086904959805395</v>
      </c>
      <c r="AI55" s="23">
        <f t="shared" si="12"/>
        <v>202.0221226662897</v>
      </c>
      <c r="AJ55" s="23">
        <f t="shared" si="13"/>
        <v>314.36318839007669</v>
      </c>
      <c r="AK55" s="23">
        <f t="shared" si="14"/>
        <v>242.09881780419391</v>
      </c>
      <c r="AL55" s="9">
        <f t="shared" si="24"/>
        <v>2.2071788051647445E-2</v>
      </c>
      <c r="AM55" s="9">
        <f t="shared" si="25"/>
        <v>1.8509534045112908E-2</v>
      </c>
      <c r="AN55" s="9">
        <f t="shared" ref="AN55:AO55" si="86">AVERAGE(AL53:AL57)</f>
        <v>2.198151080336732E-2</v>
      </c>
      <c r="AO55" s="9">
        <f t="shared" si="86"/>
        <v>2.1193342995765186E-2</v>
      </c>
      <c r="AP55" s="23"/>
      <c r="AQ55" s="8">
        <f t="shared" si="1"/>
        <v>314.36318839007669</v>
      </c>
      <c r="AR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0.23381346183276264</v>
      </c>
      <c r="AS55" s="32">
        <f>((C56-C54)/2-(F56-F54)/F55/2*C55)/(F55/2/Parameters!$B$5-C55)-((D56-D54)/D55-(G56-G54)/G55)/(G55/2/Parameters!$B$5/D55-1)</f>
        <v>-4.3454244123664332E-2</v>
      </c>
      <c r="AT55" s="32">
        <f>+Parameters!$B$5*C55^2/F55^2-Parameters!$B$5*D55^2/G55^2</f>
        <v>-4.955919146697847E-3</v>
      </c>
      <c r="AU55" s="30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0.48465337868090885</v>
      </c>
      <c r="AV55" s="30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113.93105221868126</v>
      </c>
      <c r="AW55" s="8">
        <f>1000*(AR55+AS55+AT55)/(EXP(-Parameters!$B$42*A55)*((C55&lt;0)*Parameters!$B$37*EXP(-Parameters!$B$38*AF55)+(C55&gt;=0)*Parameters!$B$41))</f>
        <v>339.03520607972126</v>
      </c>
      <c r="AX55" s="13">
        <f>1-W55/'6states,ExoDamages'!T55</f>
        <v>9.0008863452489707E-2</v>
      </c>
      <c r="AY55" s="21">
        <f>-Y55*W55*X55^(-Parameters!B$52)*Parameters!B$46*Parameters!B$45*N55</f>
        <v>-1.4350119720503085E-5</v>
      </c>
      <c r="AZ55" s="7">
        <f>1000*EXP(-(Parameters!$B$54)*'6states'!A55)*AQ55*Parameters!B$46*Parameters!B$45*N55</f>
        <v>1.2657311061609422</v>
      </c>
      <c r="BA55" s="7">
        <f>SUM(AZ55:AZ$204)*EXP(Parameters!$B$54*A55)</f>
        <v>600.12780119508932</v>
      </c>
      <c r="BB55" s="13">
        <f t="shared" si="77"/>
        <v>0.22914533489865521</v>
      </c>
      <c r="BC55" s="30">
        <f>IF(C55&lt;0,Parameters!$B$6*AC55^2/AF55,0)</f>
        <v>0</v>
      </c>
      <c r="BD55" s="30">
        <f>Parameters!$B$5*AD55^2/AG55</f>
        <v>1.571933068370867</v>
      </c>
      <c r="BE55" s="30">
        <f t="shared" si="15"/>
        <v>0</v>
      </c>
      <c r="BF55" s="30">
        <f t="shared" si="16"/>
        <v>7.9110286060569426E-2</v>
      </c>
      <c r="BH55" s="5">
        <f t="shared" si="58"/>
        <v>-2.0655540814548991E-3</v>
      </c>
      <c r="BI55" s="2">
        <f>BH55/Parameters!$B$45</f>
        <v>-3.4425901357581656</v>
      </c>
      <c r="BJ55" s="2">
        <f t="shared" si="27"/>
        <v>1.0473292226631514E-4</v>
      </c>
      <c r="BM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-0.26562953939867623</v>
      </c>
      <c r="BN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-62.443499324039578</v>
      </c>
      <c r="BO55" s="7">
        <f t="shared" si="59"/>
        <v>5.9650420730738986E-2</v>
      </c>
      <c r="BU55">
        <f>EXP(-Parameters!$B$56*A55)*BH55*BN55</f>
        <v>2.4149066878858439E-3</v>
      </c>
      <c r="BV55">
        <f>-EXP((Parameters!$B$56)*F55)*SUM(BU55:BU63)</f>
        <v>-2.4337323912204164E-3</v>
      </c>
      <c r="BW55">
        <f>X55^-Parameters!B$52/(1-2*Parameters!B$5*'6states'!D55/'6states'!G55)</f>
        <v>1.1416848952077523</v>
      </c>
      <c r="BX55">
        <f t="shared" si="61"/>
        <v>1.005454326891575</v>
      </c>
      <c r="BY55">
        <f>$X55^-Parameters!$B$52/(1-2*Parameters!$B$5*'6states'!$E55/'6states'!$H55)</f>
        <v>1.1073021028398282</v>
      </c>
      <c r="BZ55">
        <f t="shared" si="62"/>
        <v>1.0079370761619852</v>
      </c>
      <c r="CA55" s="7">
        <f>($X55^-Parameters!$B$52*(1/(1+EXP(-C55)) + IF(C55&lt;0,2*Parameters!$B$6*C55/F55,0)) + BS55*(1/(1+EXP((C55-Parameters!$B$22)*Parameters!$B$21))))/(1-IF(C55&gt;0,2*Parameters!$B$5*C55/F55,0))</f>
        <v>0.51883676625637898</v>
      </c>
      <c r="CB55">
        <f t="shared" si="63"/>
        <v>1.0066064721428967</v>
      </c>
      <c r="CC55" s="7">
        <f t="shared" si="64"/>
        <v>3.4051843871879539E-3</v>
      </c>
      <c r="CD55">
        <f>(1/$T55-1/Parameters!$B$13) * LN(Parameters!$B$18) / LN(P55)</f>
        <v>0.230875102855571</v>
      </c>
      <c r="CE55">
        <f>(Parameters!$B$18*'6states'!T55^+Parameters!$B$19*Parameters!$B$25^'6states'!T55)^((1-'6states'!T55)/'6states'!T55)*Parameters!$B$18*Parameters!$B$26^('6states'!T55-1)</f>
        <v>0.29191728910972442</v>
      </c>
      <c r="CF55">
        <f t="shared" si="65"/>
        <v>0.22883803695518218</v>
      </c>
      <c r="CG55">
        <f t="shared" si="66"/>
        <v>0.14788213848251874</v>
      </c>
      <c r="CH55">
        <f t="shared" si="67"/>
        <v>0.18318418151132954</v>
      </c>
    </row>
    <row r="56" spans="1:86" x14ac:dyDescent="0.3">
      <c r="A56">
        <f>A55+Parameters!$B$65</f>
        <v>52</v>
      </c>
      <c r="B56">
        <v>2077</v>
      </c>
      <c r="C56" s="74">
        <v>-3.1878901307771999E-4</v>
      </c>
      <c r="D56" s="69">
        <v>8.6673964950157403E-2</v>
      </c>
      <c r="E56" s="75">
        <v>0.21538006901182399</v>
      </c>
      <c r="F56" s="7">
        <f>MAX((1-Parameters!$B$4)^Parameters!B$65*F55 + C55*Parameters!B$65 - IF(C55&gt;0,Parameters!$B$5,0)*C55^2/F55*Parameters!B$65, 0.0001)</f>
        <v>9.6757603494077443E-2</v>
      </c>
      <c r="G56" s="7">
        <f>(1-Parameters!$B$4)^Parameters!B$65*G55+D55*Parameters!B$65-Parameters!$B$5*D55^2/G55*Parameters!B$65</f>
        <v>1.0790906889529872</v>
      </c>
      <c r="H56" s="7">
        <f>(1-Parameters!$B$4)^Parameters!B$65*H55+E55*Parameters!B$65-Parameters!$B$5*E55^2/H55*Parameters!B$65</f>
        <v>3.3016482601331014</v>
      </c>
      <c r="I56" s="7">
        <f>I55 *(1-Parameters!$B$4)-C55*(C55&lt;0)*Parameters!B$65</f>
        <v>5.9180556258053244E-3</v>
      </c>
      <c r="J56" s="23">
        <f>J55*(1+Parameters!$B$51)^Parameters!B$65</f>
        <v>9.4860844575156538</v>
      </c>
      <c r="K56" s="23">
        <f>K55*(1+Parameters!$B$53)^Parameters!B$65</f>
        <v>25.350216910257267</v>
      </c>
      <c r="L56" s="23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10.790933445456567</v>
      </c>
      <c r="M56" s="8">
        <f>M55+L56*Parameters!B$65</f>
        <v>3343.8404237369241</v>
      </c>
      <c r="N56" s="7">
        <f>M56*Parameters!$B$45</f>
        <v>2.0063042542421541</v>
      </c>
      <c r="O56" s="9">
        <f>EXP(-Parameters!$B$46/2*N56^2)</f>
        <v>0.96035350258275398</v>
      </c>
      <c r="P56" s="7">
        <f>MAX((Parameters!$B$62 + Parameters!$B$31*'6states'!A56 - '6states'!M56 + Parameters!$B$47/Parameters!$B$45)/Parameters!B$62,1)</f>
        <v>35.451191525261521</v>
      </c>
      <c r="Q56" s="7">
        <f>Parameters!B$61*EXP(-Parameters!B$60*A56)</f>
        <v>0.12280627311690613</v>
      </c>
      <c r="R56" s="7">
        <f>(1-Parameters!B$61)*P56^-Parameters!B$63</f>
        <v>0.34995074361028788</v>
      </c>
      <c r="S56" s="7">
        <f>Parameters!B$61*EXP(-Parameters!B$60*A56)+(1-Parameters!B$61)*P56^-Parameters!B$63</f>
        <v>0.472757016727194</v>
      </c>
      <c r="T56" s="7">
        <f>1-S56/Parameters!$B$12</f>
        <v>0.76362149163640303</v>
      </c>
      <c r="U56" s="7">
        <f t="shared" si="0"/>
        <v>4.2305030475181855</v>
      </c>
      <c r="V56" s="7">
        <f>(Parameters!$B$19*(F56+Parameters!$B$20)^T56+Parameters!$B$18*G56^T56)^(1/T56)</f>
        <v>0.34954435441687937</v>
      </c>
      <c r="W56" s="7">
        <f>(Parameters!$B$10*H56^Parameters!$B$9+Parameters!$B$11*V56^Parameters!$B$9)^(Parameters!$B$7/Parameters!$B$9)*O56</f>
        <v>1.3367141079854661</v>
      </c>
      <c r="X56" s="7">
        <f>W56 - D56 - E56 - LN(1+EXP(Parameters!$B$21*C56))/Parameters!$B$21 - IF(C56&gt;0, 0,Parameters!$B$6*C56^2/F56)</f>
        <v>1.0324999167889113</v>
      </c>
      <c r="Y56" s="7">
        <f>EXP(-Parameters!$B$55*A56)</f>
        <v>0.45602848696706794</v>
      </c>
      <c r="Z56" s="7">
        <f>IF(X56&gt;0,X56^(1-Parameters!$B$52)/(1-Parameters!$B$52)*Y56*Parameters!$B$65,-10+X56*1000)</f>
        <v>-1.2884347205059683</v>
      </c>
      <c r="AB56" s="9"/>
      <c r="AC56" s="23">
        <f t="shared" si="6"/>
        <v>-7.6660564329871617E-2</v>
      </c>
      <c r="AD56" s="23">
        <f t="shared" si="7"/>
        <v>20.84286093061392</v>
      </c>
      <c r="AE56" s="23">
        <f t="shared" si="8"/>
        <v>1.4231402758513554</v>
      </c>
      <c r="AF56" s="23">
        <f t="shared" si="9"/>
        <v>23.267716837071696</v>
      </c>
      <c r="AG56" s="23">
        <f t="shared" si="10"/>
        <v>259.49357658094112</v>
      </c>
      <c r="AH56" s="23">
        <f t="shared" si="11"/>
        <v>84.056433467441238</v>
      </c>
      <c r="AI56" s="23">
        <f t="shared" si="12"/>
        <v>206.86928227060406</v>
      </c>
      <c r="AJ56" s="23">
        <f t="shared" si="13"/>
        <v>321.44538758267697</v>
      </c>
      <c r="AK56" s="23">
        <f t="shared" si="14"/>
        <v>248.28969332229261</v>
      </c>
      <c r="AL56" s="9">
        <f t="shared" si="24"/>
        <v>2.2278693271811534E-2</v>
      </c>
      <c r="AM56" s="9">
        <f t="shared" si="25"/>
        <v>2.525020183750204E-2</v>
      </c>
      <c r="AN56" s="9">
        <f t="shared" ref="AN56:AO56" si="87">AVERAGE(AL54:AL58)</f>
        <v>2.1892738368082299E-2</v>
      </c>
      <c r="AO56" s="9">
        <f t="shared" si="87"/>
        <v>2.1667441341660522E-2</v>
      </c>
      <c r="AP56" s="23"/>
      <c r="AQ56" s="8">
        <f t="shared" si="1"/>
        <v>321.44538758267697</v>
      </c>
      <c r="AR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0.25909394798587082</v>
      </c>
      <c r="AS56" s="32">
        <f>((C57-C55)/2-(F57-F55)/F56/2*C56)/(F56/2/Parameters!$B$5-C56)-((D57-D55)/D56-(G57-G55)/G56)/(G56/2/Parameters!$B$5/D56-1)</f>
        <v>-3.456772667811564E-2</v>
      </c>
      <c r="AT56" s="32">
        <f>+Parameters!$B$5*C56^2/F56^2-Parameters!$B$5*D56^2/G56^2</f>
        <v>-6.4406557689184879E-3</v>
      </c>
      <c r="AU56" s="30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0.48133554399721373</v>
      </c>
      <c r="AV56" s="30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115.74882734699567</v>
      </c>
      <c r="AW56" s="8">
        <f>1000*(AR56+AS56+AT56)/(EXP(-Parameters!$B$42*A56)*((C56&lt;0)*Parameters!$B$37*EXP(-Parameters!$B$38*AF56)+(C56&gt;=0)*Parameters!$B$41))</f>
        <v>1394199104.1275737</v>
      </c>
      <c r="AX56" s="13">
        <f>1-W56/'6states,ExoDamages'!T56</f>
        <v>9.0109167447543048E-2</v>
      </c>
      <c r="AY56" s="21">
        <f>-Y56*W56*X56^(-Parameters!B$52)*Parameters!B$46*Parameters!B$45*N56</f>
        <v>-1.4126125886276516E-5</v>
      </c>
      <c r="AZ56" s="7">
        <f>1000*EXP(-(Parameters!$B$54)*'6states'!A56)*AQ56*Parameters!B$46*Parameters!B$45*N56</f>
        <v>1.2536520406477547</v>
      </c>
      <c r="BA56" s="7">
        <f>SUM(AZ56:AZ$204)*EXP(Parameters!$B$54*A56)</f>
        <v>613.71369126973946</v>
      </c>
      <c r="BB56" s="13">
        <f t="shared" si="77"/>
        <v>0.22572907934939251</v>
      </c>
      <c r="BC56" s="30">
        <f>IF(C56&lt;0,Parameters!$B$6*AC56^2/AF56,0)</f>
        <v>1.262874686959187E-3</v>
      </c>
      <c r="BD56" s="30">
        <f>Parameters!$B$5*AD56^2/AG56</f>
        <v>1.6741256469499026</v>
      </c>
      <c r="BE56" s="30">
        <f t="shared" si="15"/>
        <v>1.647358975241843E-2</v>
      </c>
      <c r="BF56" s="30">
        <f t="shared" si="16"/>
        <v>8.0321298142471062E-2</v>
      </c>
      <c r="BH56" s="5"/>
      <c r="BI56" s="5"/>
      <c r="BJ56" s="5"/>
      <c r="BM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-0.28714365183994583</v>
      </c>
      <c r="BN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-69.050668281418496</v>
      </c>
      <c r="BO56" s="7">
        <f t="shared" si="59"/>
        <v>5.7638350476966298E-2</v>
      </c>
      <c r="BU56">
        <f>EXP(-Parameters!$B$56*A56)*BH56*BN56</f>
        <v>0</v>
      </c>
      <c r="BV56">
        <f>-EXP((Parameters!$B$56)*F56)*SUM(BU56:BU64)</f>
        <v>0</v>
      </c>
      <c r="BW56">
        <f>X56^-Parameters!B$52/(1-2*Parameters!B$5*'6states'!D56/'6states'!G56)</f>
        <v>1.1410417630734764</v>
      </c>
      <c r="BX56">
        <f t="shared" si="61"/>
        <v>0.99943668157739896</v>
      </c>
      <c r="BY56">
        <f>$X56^-Parameters!$B$52/(1-2*Parameters!$B$5*'6states'!$E56/'6states'!$H56)</f>
        <v>1.1014454705658148</v>
      </c>
      <c r="BZ56">
        <f t="shared" si="62"/>
        <v>0.99471089934807011</v>
      </c>
      <c r="CA56" s="7">
        <f>($X56^-Parameters!$B$52*(1/(1+EXP(-C56)) + IF(C56&lt;0,2*Parameters!$B$6*C56/F56,0)) + BS56*(1/(1+EXP((C56-Parameters!$B$22)*Parameters!$B$21))))/(1-IF(C56&gt;0,2*Parameters!$B$5*C56/F56,0))</f>
        <v>0.4472397037876048</v>
      </c>
      <c r="CB56">
        <f t="shared" si="63"/>
        <v>0.86200464746286876</v>
      </c>
      <c r="CC56" s="7">
        <f t="shared" si="64"/>
        <v>-7.1597062468774175E-2</v>
      </c>
      <c r="CD56">
        <f>(1/$T56-1/Parameters!$B$13) * LN(Parameters!$B$18) / LN(P56)</f>
        <v>0.23051659090797708</v>
      </c>
      <c r="CE56">
        <f>(Parameters!$B$18*'6states'!T56^+Parameters!$B$19*Parameters!$B$25^'6states'!T56)^((1-'6states'!T56)/'6states'!T56)*Parameters!$B$18*Parameters!$B$26^('6states'!T56-1)</f>
        <v>0.29253953208366418</v>
      </c>
      <c r="CF56">
        <f t="shared" si="65"/>
        <v>0.22788172246459409</v>
      </c>
      <c r="CG56">
        <f t="shared" si="66"/>
        <v>0.14767035956423269</v>
      </c>
      <c r="CH56">
        <f t="shared" si="67"/>
        <v>0.18353640308143249</v>
      </c>
    </row>
    <row r="57" spans="1:86" x14ac:dyDescent="0.3">
      <c r="A57">
        <f>A56+Parameters!$B$65</f>
        <v>53</v>
      </c>
      <c r="B57">
        <v>2078</v>
      </c>
      <c r="C57" s="74">
        <v>-4.3250402685743299E-6</v>
      </c>
      <c r="D57" s="69">
        <v>8.5117479554838393E-2</v>
      </c>
      <c r="E57" s="75">
        <v>0.220620547287179</v>
      </c>
      <c r="F57" s="7">
        <f>MAX((1-Parameters!$B$4)^Parameters!B$65*F56 + C56*Parameters!B$65 - IF(C56&gt;0,Parameters!$B$5,0)*C56^2/F56*Parameters!B$65, 0.0001)</f>
        <v>9.0352761221222253E-2</v>
      </c>
      <c r="G57" s="7">
        <f>(1-Parameters!$B$4)^Parameters!B$65*G56+D56*Parameters!B$65-Parameters!$B$5*D56^2/G56*Parameters!B$65</f>
        <v>1.09092808418805</v>
      </c>
      <c r="H57" s="7">
        <f>(1-Parameters!$B$4)^Parameters!B$65*H56+E56*Parameters!B$65-Parameters!$B$5*E56^2/H56*Parameters!B$65</f>
        <v>3.2953045275628701</v>
      </c>
      <c r="I57" s="7">
        <f>I56 *(1-Parameters!$B$4)-C56*(C56&lt;0)*Parameters!B$65</f>
        <v>5.8645989400198896E-3</v>
      </c>
      <c r="J57" s="23">
        <f>J56*(1+Parameters!$B$51)^Parameters!B$65</f>
        <v>9.5135941024424486</v>
      </c>
      <c r="K57" s="23">
        <f>K56*(1+Parameters!$B$53)^Parameters!B$65</f>
        <v>25.857221248462412</v>
      </c>
      <c r="L57" s="23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10.183380380015151</v>
      </c>
      <c r="M57" s="8">
        <f>M56+L57*Parameters!B$65</f>
        <v>3354.0238041169391</v>
      </c>
      <c r="N57" s="7">
        <f>M57*Parameters!$B$45</f>
        <v>2.0124142824701634</v>
      </c>
      <c r="O57" s="9">
        <f>EXP(-Parameters!$B$46/2*N57^2)</f>
        <v>0.96011654292805415</v>
      </c>
      <c r="P57" s="7">
        <f>MAX((Parameters!$B$62 + Parameters!$B$31*'6states'!A57 - '6states'!M57 + Parameters!$B$47/Parameters!$B$45)/Parameters!B$62,1)</f>
        <v>36.311523917661226</v>
      </c>
      <c r="Q57" s="7">
        <f>Parameters!B$61*EXP(-Parameters!B$60*A57)</f>
        <v>0.11953486646804852</v>
      </c>
      <c r="R57" s="7">
        <f>(1-Parameters!B$61)*P57^-Parameters!B$63</f>
        <v>0.34911262678873861</v>
      </c>
      <c r="S57" s="7">
        <f>Parameters!B$61*EXP(-Parameters!B$60*A57)+(1-Parameters!B$61)*P57^-Parameters!B$63</f>
        <v>0.46864749325678712</v>
      </c>
      <c r="T57" s="7">
        <f>1-S57/Parameters!$B$12</f>
        <v>0.76567625337160639</v>
      </c>
      <c r="U57" s="7">
        <f t="shared" si="0"/>
        <v>4.2675999099052788</v>
      </c>
      <c r="V57" s="7">
        <f>(Parameters!$B$19*(F57+Parameters!$B$20)^T57+Parameters!$B$18*G57^T57)^(1/T57)</f>
        <v>0.34682313304385143</v>
      </c>
      <c r="W57" s="7">
        <f>(Parameters!$B$10*H57^Parameters!$B$9+Parameters!$B$11*V57^Parameters!$B$9)^(Parameters!$B$7/Parameters!$B$9)*O57</f>
        <v>1.334879448197287</v>
      </c>
      <c r="X57" s="7">
        <f>W57 - D57 - E57 - LN(1+EXP(Parameters!$B$21*C57))/Parameters!$B$21 - IF(C57&gt;0, 0,Parameters!$B$6*C57^2/F57)</f>
        <v>1.0268330915369002</v>
      </c>
      <c r="Y57" s="7">
        <f>EXP(-Parameters!$B$55*A57)</f>
        <v>0.44919418564576791</v>
      </c>
      <c r="Z57" s="7">
        <f>IF(X57&gt;0,X57^(1-Parameters!$B$52)/(1-Parameters!$B$52)*Y57*Parameters!$B$65,-10+X57*1000)</f>
        <v>-1.2715725151460768</v>
      </c>
      <c r="AB57" s="9"/>
      <c r="AC57" s="23">
        <f t="shared" si="6"/>
        <v>-1.0639387461338099E-3</v>
      </c>
      <c r="AD57" s="23">
        <f t="shared" si="7"/>
        <v>20.938483539598661</v>
      </c>
      <c r="AE57" s="23">
        <f t="shared" si="8"/>
        <v>1.4426626471339639</v>
      </c>
      <c r="AF57" s="23">
        <f t="shared" si="9"/>
        <v>22.226337216305769</v>
      </c>
      <c r="AG57" s="23">
        <f t="shared" si="10"/>
        <v>268.36297142634248</v>
      </c>
      <c r="AH57" s="23">
        <f t="shared" si="11"/>
        <v>85.316793922593575</v>
      </c>
      <c r="AI57" s="23">
        <f t="shared" si="12"/>
        <v>209.97112530633802</v>
      </c>
      <c r="AJ57" s="23">
        <f t="shared" si="13"/>
        <v>328.37381345884359</v>
      </c>
      <c r="AK57" s="23">
        <f t="shared" si="14"/>
        <v>252.59591681410905</v>
      </c>
      <c r="AL57" s="9">
        <f t="shared" si="24"/>
        <v>2.1324972928238317E-2</v>
      </c>
      <c r="AM57" s="9">
        <f t="shared" si="25"/>
        <v>1.719486247358315E-2</v>
      </c>
      <c r="AN57" s="9">
        <f t="shared" ref="AN57:AO57" si="88">AVERAGE(AL55:AL59)</f>
        <v>2.1924719695275742E-2</v>
      </c>
      <c r="AO57" s="9">
        <f t="shared" si="88"/>
        <v>2.1279619932300164E-2</v>
      </c>
      <c r="AP57" s="23"/>
      <c r="AQ57" s="8">
        <f t="shared" si="1"/>
        <v>328.37381345884353</v>
      </c>
      <c r="AR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0.26606143232989837</v>
      </c>
      <c r="AS57" s="32">
        <f>((C58-C56)/2-(F58-F56)/F57/2*C57)/(F57/2/Parameters!$B$5-C57)-((D58-D56)/D57-(G58-G56)/G57)/(G57/2/Parameters!$B$5/D57-1)</f>
        <v>4.1869167273802591E-2</v>
      </c>
      <c r="AT57" s="32">
        <f>+Parameters!$B$5*C57^2/F57^2-Parameters!$B$5*D57^2/G57^2</f>
        <v>-6.087585900364182E-3</v>
      </c>
      <c r="AU57" s="30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0.47413362267180315</v>
      </c>
      <c r="AV57" s="30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116.6345515140375</v>
      </c>
      <c r="AW57" s="8">
        <f>1000*(AR57+AS57+AT57)/(EXP(-Parameters!$B$42*A57)*((C57&lt;0)*Parameters!$B$37*EXP(-Parameters!$B$38*AF57)+(C57&gt;=0)*Parameters!$B$41))</f>
        <v>912263832.93518138</v>
      </c>
      <c r="AX57" s="13">
        <f>1-W57/'6states,ExoDamages'!T57</f>
        <v>9.1093150074798457E-2</v>
      </c>
      <c r="AY57" s="21">
        <f>-Y57*W57*X57^(-Parameters!B$52)*Parameters!B$46*Parameters!B$45*N57</f>
        <v>-1.404158281773434E-5</v>
      </c>
      <c r="AZ57" s="7">
        <f>1000*EXP(-(Parameters!$B$54)*'6states'!A57)*AQ57*Parameters!B$46*Parameters!B$45*N57</f>
        <v>1.2402670059120624</v>
      </c>
      <c r="BA57" s="7">
        <f>SUM(AZ57:AZ$204)*EXP(Parameters!$B$54*A57)</f>
        <v>627.5820078027823</v>
      </c>
      <c r="BB57" s="13">
        <f t="shared" si="77"/>
        <v>0.22903469089634471</v>
      </c>
      <c r="BC57" s="30">
        <f>IF(C57&lt;0,Parameters!$B$6*AC57^2/AF57,0)</f>
        <v>2.5464511865102687E-7</v>
      </c>
      <c r="BD57" s="30">
        <f>Parameters!$B$5*AD57^2/AG57</f>
        <v>1.6336832559568566</v>
      </c>
      <c r="BE57" s="30">
        <f t="shared" si="15"/>
        <v>2.3934189780790309E-4</v>
      </c>
      <c r="BF57" s="30">
        <f t="shared" si="16"/>
        <v>7.8022997838752287E-2</v>
      </c>
      <c r="BH57" s="5"/>
      <c r="BI57" s="5"/>
      <c r="BJ57" s="5"/>
      <c r="BM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-0.24598502205766973</v>
      </c>
      <c r="BN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-60.511111962895917</v>
      </c>
      <c r="BO57" s="7">
        <f t="shared" si="59"/>
        <v>6.0951567681673327E-2</v>
      </c>
      <c r="BU57">
        <f>EXP(-Parameters!$B$56*A57)*BH57*BN57</f>
        <v>0</v>
      </c>
      <c r="BV57">
        <f>-EXP((Parameters!$B$56)*F57)*SUM(BU57:BU65)</f>
        <v>0</v>
      </c>
      <c r="BW57">
        <f>X57^-Parameters!B$52/(1-2*Parameters!B$5*'6states'!D57/'6states'!G57)</f>
        <v>1.1432900295102801</v>
      </c>
      <c r="BX57">
        <f t="shared" si="61"/>
        <v>1.0019703629696672</v>
      </c>
      <c r="BY57">
        <f>$X57^-Parameters!$B$52/(1-2*Parameters!$B$5*'6states'!$E57/'6states'!$H57)</f>
        <v>1.1140562718976526</v>
      </c>
      <c r="BZ57">
        <f t="shared" si="62"/>
        <v>1.0114493197065486</v>
      </c>
      <c r="CA57" s="7">
        <f>($X57^-Parameters!$B$52*(1/(1+EXP(-C57)) + IF(C57&lt;0,2*Parameters!$B$6*C57/F57,0)) + BS57*(1/(1+EXP((C57-Parameters!$B$22)*Parameters!$B$21))))/(1-IF(C57&gt;0,2*Parameters!$B$5*C57/F57,0))</f>
        <v>0.48197918153236807</v>
      </c>
      <c r="CB57">
        <f t="shared" si="63"/>
        <v>1.0776752990634775</v>
      </c>
      <c r="CC57" s="7">
        <f t="shared" si="64"/>
        <v>3.473947774476327E-2</v>
      </c>
      <c r="CD57">
        <f>(1/$T57-1/Parameters!$B$13) * LN(Parameters!$B$18) / LN(P57)</f>
        <v>0.2301433062921843</v>
      </c>
      <c r="CE57">
        <f>(Parameters!$B$18*'6states'!T57^+Parameters!$B$19*Parameters!$B$25^'6states'!T57)^((1-'6states'!T57)/'6states'!T57)*Parameters!$B$18*Parameters!$B$26^('6states'!T57-1)</f>
        <v>0.29313614867999921</v>
      </c>
      <c r="CF57">
        <f t="shared" si="65"/>
        <v>0.22692773505419567</v>
      </c>
      <c r="CG57">
        <f t="shared" si="66"/>
        <v>0.14744979825526805</v>
      </c>
      <c r="CH57">
        <f t="shared" si="67"/>
        <v>0.18387397617250645</v>
      </c>
    </row>
    <row r="58" spans="1:86" x14ac:dyDescent="0.3">
      <c r="A58">
        <f>A57+Parameters!$B$65</f>
        <v>54</v>
      </c>
      <c r="B58">
        <v>2079</v>
      </c>
      <c r="C58" s="74">
        <v>3.3274404861992702E-3</v>
      </c>
      <c r="D58" s="69">
        <v>8.7665079582377806E-2</v>
      </c>
      <c r="E58" s="75">
        <v>0.21298773857304201</v>
      </c>
      <c r="F58" s="7">
        <f>MAX((1-Parameters!$B$4)^Parameters!B$65*F57 + C57*Parameters!B$65 - IF(C57&gt;0,Parameters!$B$5,0)*C57^2/F57*Parameters!B$65, 0.0001)</f>
        <v>8.4665247500138791E-2</v>
      </c>
      <c r="G58" s="7">
        <f>(1-Parameters!$B$4)^Parameters!B$65*G57+D57*Parameters!B$65-Parameters!$B$5*D57^2/G57*Parameters!B$65</f>
        <v>1.1007850663241128</v>
      </c>
      <c r="H58" s="7">
        <f>(1-Parameters!$B$4)^Parameters!B$65*H57+E57*Parameters!B$65-Parameters!$B$5*E57^2/H57*Parameters!B$65</f>
        <v>3.2938798805067449</v>
      </c>
      <c r="I58" s="7">
        <f>I57 *(1-Parameters!$B$4)-C57*(C57&lt;0)*Parameters!B$65</f>
        <v>5.500040706961213E-3</v>
      </c>
      <c r="J58" s="23">
        <f>J57*(1+Parameters!$B$51)^Parameters!B$65</f>
        <v>9.5411835253395303</v>
      </c>
      <c r="K58" s="23">
        <f>K57*(1+Parameters!$B$53)^Parameters!B$65</f>
        <v>26.374365673431662</v>
      </c>
      <c r="L58" s="23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9.6640219187343401</v>
      </c>
      <c r="M58" s="8">
        <f>M57+L58*Parameters!B$65</f>
        <v>3363.6878260356734</v>
      </c>
      <c r="N58" s="7">
        <f>M58*Parameters!$B$45</f>
        <v>2.0182126956214037</v>
      </c>
      <c r="O58" s="9">
        <f>EXP(-Parameters!$B$46/2*N58^2)</f>
        <v>0.9598910563085058</v>
      </c>
      <c r="P58" s="7">
        <f>MAX((Parameters!$B$62 + Parameters!$B$31*'6states'!A58 - '6states'!M58 + Parameters!$B$47/Parameters!$B$45)/Parameters!B$62,1)</f>
        <v>37.182243479286534</v>
      </c>
      <c r="Q58" s="7">
        <f>Parameters!B$61*EXP(-Parameters!B$60*A58)</f>
        <v>0.11635060603078554</v>
      </c>
      <c r="R58" s="7">
        <f>(1-Parameters!B$61)*P58^-Parameters!B$63</f>
        <v>0.34828634304180256</v>
      </c>
      <c r="S58" s="7">
        <f>Parameters!B$61*EXP(-Parameters!B$60*A58)+(1-Parameters!B$61)*P58^-Parameters!B$63</f>
        <v>0.46463694907258812</v>
      </c>
      <c r="T58" s="7">
        <f>1-S58/Parameters!$B$12</f>
        <v>0.76768152546370594</v>
      </c>
      <c r="U58" s="7">
        <f t="shared" si="0"/>
        <v>4.3044359773625089</v>
      </c>
      <c r="V58" s="7">
        <f>(Parameters!$B$19*(F58+Parameters!$B$20)^T58+Parameters!$B$18*G58^T58)^(1/T58)</f>
        <v>0.3442578472755079</v>
      </c>
      <c r="W58" s="7">
        <f>(Parameters!$B$10*H58^Parameters!$B$9+Parameters!$B$11*V58^Parameters!$B$9)^(Parameters!$B$7/Parameters!$B$9)*O58</f>
        <v>1.3335072039304756</v>
      </c>
      <c r="X58" s="7">
        <f>W58 - D58 - E58 - LN(1+EXP(Parameters!$B$21*C58))/Parameters!$B$21 - IF(C58&gt;0, 0,Parameters!$B$6*C58^2/F58)</f>
        <v>1.0284811538087111</v>
      </c>
      <c r="Y58" s="7">
        <f>EXP(-Parameters!$B$55*A58)</f>
        <v>0.4424623070368317</v>
      </c>
      <c r="Z58" s="7">
        <f>IF(X58&gt;0,X58^(1-Parameters!$B$52)/(1-Parameters!$B$52)*Y58*Parameters!$B$65,-10+X58*1000)</f>
        <v>-1.2518131713782468</v>
      </c>
      <c r="AB58" s="9"/>
      <c r="AC58" s="23">
        <f t="shared" si="6"/>
        <v>0.83732598576845385</v>
      </c>
      <c r="AD58" s="23">
        <f t="shared" si="7"/>
        <v>22.06027410053834</v>
      </c>
      <c r="AE58" s="23">
        <f t="shared" si="8"/>
        <v>1.3840448915085788</v>
      </c>
      <c r="AF58" s="23">
        <f t="shared" si="9"/>
        <v>21.30538836604704</v>
      </c>
      <c r="AG58" s="23">
        <f t="shared" si="10"/>
        <v>277.00448576072051</v>
      </c>
      <c r="AH58" s="23">
        <f t="shared" si="11"/>
        <v>86.629961534713303</v>
      </c>
      <c r="AI58" s="23">
        <f t="shared" si="12"/>
        <v>213.20293077576036</v>
      </c>
      <c r="AJ58" s="23">
        <f t="shared" si="13"/>
        <v>335.56730426629537</v>
      </c>
      <c r="AK58" s="23">
        <f t="shared" si="14"/>
        <v>258.80973665161531</v>
      </c>
      <c r="AL58" s="9">
        <f t="shared" si="24"/>
        <v>2.1669910507098322E-2</v>
      </c>
      <c r="AM58" s="9">
        <f t="shared" si="25"/>
        <v>2.4302139066150197E-2</v>
      </c>
      <c r="AN58" s="9">
        <f t="shared" ref="AN58:AO58" si="89">AVERAGE(AL56:AL60)</f>
        <v>2.1849105963387495E-2</v>
      </c>
      <c r="AO58" s="9">
        <f t="shared" si="89"/>
        <v>2.1481608548827146E-2</v>
      </c>
      <c r="AP58" s="23"/>
      <c r="AQ58" s="8">
        <f t="shared" si="1"/>
        <v>335.56730426629531</v>
      </c>
      <c r="AR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0.24910852736103647</v>
      </c>
      <c r="AS58" s="32">
        <f>((C59-C57)/2-(F59-F57)/F58/2*C58)/(F58/2/Parameters!$B$5-C58)-((D59-D57)/D58-(G59-G57)/G58)/(G58/2/Parameters!$B$5/D58-1)</f>
        <v>3.9207369746030538E-3</v>
      </c>
      <c r="AT58" s="32">
        <f>+Parameters!$B$5*C58^2/F58^2-Parameters!$B$5*D58^2/G58^2</f>
        <v>-4.7977414250099434E-3</v>
      </c>
      <c r="AU58" s="30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0.46938281530455478</v>
      </c>
      <c r="AV58" s="30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118.11674172919268</v>
      </c>
      <c r="AW58" s="8">
        <f>1000*(AR58+AS58+AT58)/(EXP(-Parameters!$B$42*A58)*((C58&lt;0)*Parameters!$B$37*EXP(-Parameters!$B$38*AF58)+(C58&gt;=0)*Parameters!$B$41))</f>
        <v>467.74925898941467</v>
      </c>
      <c r="AX58" s="13">
        <f>1-W58/'6states,ExoDamages'!T58</f>
        <v>9.1777161763562876E-2</v>
      </c>
      <c r="AY58" s="21">
        <f>-Y58*W58*X58^(-Parameters!B$52)*Parameters!B$46*Parameters!B$45*N58</f>
        <v>-1.3826772939107312E-5</v>
      </c>
      <c r="AZ58" s="7">
        <f>1000*EXP(-(Parameters!$B$54)*'6states'!A58)*AQ58*Parameters!B$46*Parameters!B$45*N58</f>
        <v>1.2272473971157407</v>
      </c>
      <c r="BA58" s="7">
        <f>SUM(AZ58:AZ$204)*EXP(Parameters!$B$54*A58)</f>
        <v>641.74705572182836</v>
      </c>
      <c r="BB58" s="13">
        <f t="shared" si="77"/>
        <v>0.22795546791621799</v>
      </c>
      <c r="BC58" s="30">
        <f>IF(C58&lt;0,Parameters!$B$6*AC58^2/AF58,0)</f>
        <v>0</v>
      </c>
      <c r="BD58" s="30">
        <f>Parameters!$B$5*AD58^2/AG58</f>
        <v>1.7568513089396725</v>
      </c>
      <c r="BE58" s="30">
        <f t="shared" si="15"/>
        <v>0</v>
      </c>
      <c r="BF58" s="30">
        <f t="shared" si="16"/>
        <v>7.9638689026842138E-2</v>
      </c>
      <c r="BH58" s="5"/>
      <c r="BI58" s="5"/>
      <c r="BJ58" s="5"/>
      <c r="BM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-0.24302770505594007</v>
      </c>
      <c r="BN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-61.156138944936643</v>
      </c>
      <c r="BO58" s="7">
        <f t="shared" si="59"/>
        <v>6.099953558988476E-2</v>
      </c>
      <c r="BU58">
        <f>EXP(-Parameters!$B$56*A58)*BH58*BN58</f>
        <v>0</v>
      </c>
      <c r="BV58">
        <f>-EXP((Parameters!$B$56)*F58)*SUM(BU58:BU66)</f>
        <v>0</v>
      </c>
      <c r="BW58">
        <f>X58^-Parameters!B$52/(1-2*Parameters!B$5*'6states'!D58/'6states'!G58)</f>
        <v>1.1452022966061277</v>
      </c>
      <c r="BX58">
        <f t="shared" si="61"/>
        <v>1.0016726001683638</v>
      </c>
      <c r="BY58">
        <f>$X58^-Parameters!$B$52/(1-2*Parameters!$B$5*'6states'!$E58/'6states'!$H58)</f>
        <v>1.1058036789152843</v>
      </c>
      <c r="BZ58">
        <f t="shared" si="62"/>
        <v>0.99259230149271449</v>
      </c>
      <c r="CA58" s="7">
        <f>($X58^-Parameters!$B$52*(1/(1+EXP(-C58)) + IF(C58&lt;0,2*Parameters!$B$6*C58/F58,0)) + BS58*(1/(1+EXP((C58-Parameters!$B$22)*Parameters!$B$21))))/(1-IF(C58&gt;0,2*Parameters!$B$5*C58/F58,0))</f>
        <v>0.52333496941730473</v>
      </c>
      <c r="CB58">
        <f t="shared" si="63"/>
        <v>1.085804095839686</v>
      </c>
      <c r="CC58" s="7">
        <f t="shared" si="64"/>
        <v>4.1355787884936657E-2</v>
      </c>
      <c r="CD58">
        <f>(1/$T58-1/Parameters!$B$13) * LN(Parameters!$B$18) / LN(P58)</f>
        <v>0.22975903764194189</v>
      </c>
      <c r="CE58">
        <f>(Parameters!$B$18*'6states'!T58^+Parameters!$B$19*Parameters!$B$25^'6states'!T58)^((1-'6states'!T58)/'6states'!T58)*Parameters!$B$18*Parameters!$B$26^('6states'!T58-1)</f>
        <v>0.29370808843311702</v>
      </c>
      <c r="CF58">
        <f t="shared" si="65"/>
        <v>0.22597965091485014</v>
      </c>
      <c r="CG58">
        <f t="shared" si="66"/>
        <v>0.14722268723049259</v>
      </c>
      <c r="CH58">
        <f t="shared" si="67"/>
        <v>0.18419745576578328</v>
      </c>
    </row>
    <row r="59" spans="1:86" x14ac:dyDescent="0.3">
      <c r="A59">
        <f>A58+Parameters!$B$65</f>
        <v>55</v>
      </c>
      <c r="B59">
        <v>2080</v>
      </c>
      <c r="C59" s="74">
        <v>2.2503139530203199E-4</v>
      </c>
      <c r="D59" s="69">
        <v>8.8182223789262895E-2</v>
      </c>
      <c r="E59" s="75">
        <v>0.215458872978713</v>
      </c>
      <c r="F59" s="7">
        <f>MAX((1-Parameters!$B$4)^Parameters!B$65*F58 + C58*Parameters!B$65 - IF(C58&gt;0,Parameters!$B$5,0)*C58^2/F58*Parameters!B$65, 0.0001)</f>
        <v>8.2536471724366123E-2</v>
      </c>
      <c r="G59" s="7">
        <f>(1-Parameters!$B$4)^Parameters!B$65*G58+D58*Parameters!B$65-Parameters!$B$5*D58^2/G58*Parameters!B$65</f>
        <v>1.1122292332233297</v>
      </c>
      <c r="H59" s="7">
        <f>(1-Parameters!$B$4)^Parameters!B$65*H58+E58*Parameters!B$65-Parameters!$B$5*E58^2/H58*Parameters!B$65</f>
        <v>3.2859104340115146</v>
      </c>
      <c r="I59" s="7">
        <f>I58 *(1-Parameters!$B$4)-C58*(C58&lt;0)*Parameters!B$65</f>
        <v>5.1540881464933533E-3</v>
      </c>
      <c r="J59" s="23">
        <f>J58*(1+Parameters!$B$51)^Parameters!B$65</f>
        <v>9.5688529575630135</v>
      </c>
      <c r="K59" s="23">
        <f>K58*(1+Parameters!$B$53)^Parameters!B$65</f>
        <v>26.901852986900295</v>
      </c>
      <c r="L59" s="23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9.5549372680885121</v>
      </c>
      <c r="M59" s="8">
        <f>M58+L59*Parameters!B$65</f>
        <v>3373.2427633037619</v>
      </c>
      <c r="N59" s="7">
        <f>M59*Parameters!$B$45</f>
        <v>2.023945657982257</v>
      </c>
      <c r="O59" s="9">
        <f>EXP(-Parameters!$B$46/2*N59^2)</f>
        <v>0.95966752938060862</v>
      </c>
      <c r="P59" s="7">
        <f>MAX((Parameters!$B$62 + Parameters!$B$31*'6states'!A59 - '6states'!M59 + Parameters!$B$47/Parameters!$B$45)/Parameters!B$62,1)</f>
        <v>38.055144733924763</v>
      </c>
      <c r="Q59" s="7">
        <f>Parameters!B$61*EXP(-Parameters!B$60*A59)</f>
        <v>0.1132511703382344</v>
      </c>
      <c r="R59" s="7">
        <f>(1-Parameters!B$61)*P59^-Parameters!B$63</f>
        <v>0.34747908283851719</v>
      </c>
      <c r="S59" s="7">
        <f>Parameters!B$61*EXP(-Parameters!B$60*A59)+(1-Parameters!B$61)*P59^-Parameters!B$63</f>
        <v>0.46073025317675159</v>
      </c>
      <c r="T59" s="7">
        <f>1-S59/Parameters!$B$12</f>
        <v>0.76963487341162418</v>
      </c>
      <c r="U59" s="7">
        <f t="shared" si="0"/>
        <v>4.3409348229466769</v>
      </c>
      <c r="V59" s="7">
        <f>(Parameters!$B$19*(F59+Parameters!$B$20)^T59+Parameters!$B$18*G59^T59)^(1/T59)</f>
        <v>0.34537778718561496</v>
      </c>
      <c r="W59" s="7">
        <f>(Parameters!$B$10*H59^Parameters!$B$9+Parameters!$B$11*V59^Parameters!$B$9)^(Parameters!$B$7/Parameters!$B$9)*O59</f>
        <v>1.3329469863254986</v>
      </c>
      <c r="X59" s="7">
        <f>W59 - D59 - E59 - LN(1+EXP(Parameters!$B$21*C59))/Parameters!$B$21 - IF(C59&gt;0, 0,Parameters!$B$6*C59^2/F59)</f>
        <v>1.0268809846511706</v>
      </c>
      <c r="Y59" s="7">
        <f>EXP(-Parameters!$B$55*A59)</f>
        <v>0.43583131617545234</v>
      </c>
      <c r="Z59" s="7">
        <f>IF(X59&gt;0,X59^(1-Parameters!$B$52)/(1-Parameters!$B$52)*Y59*Parameters!$B$65,-10+X59*1000)</f>
        <v>-1.2337249545095195</v>
      </c>
      <c r="AB59" s="9"/>
      <c r="AC59" s="23">
        <f t="shared" si="6"/>
        <v>5.792755376620682E-2</v>
      </c>
      <c r="AD59" s="23">
        <f t="shared" si="7"/>
        <v>22.699857070699515</v>
      </c>
      <c r="AE59" s="23">
        <f t="shared" si="8"/>
        <v>1.326764729077192</v>
      </c>
      <c r="AF59" s="23">
        <f t="shared" si="9"/>
        <v>21.246528276950411</v>
      </c>
      <c r="AG59" s="23">
        <f t="shared" si="10"/>
        <v>286.30991076341445</v>
      </c>
      <c r="AH59" s="23">
        <f t="shared" si="11"/>
        <v>88.907106983874229</v>
      </c>
      <c r="AI59" s="23">
        <f t="shared" si="12"/>
        <v>218.80715909311053</v>
      </c>
      <c r="AJ59" s="23">
        <f t="shared" si="13"/>
        <v>343.12704729150494</v>
      </c>
      <c r="AK59" s="23">
        <f t="shared" si="14"/>
        <v>264.33957524032184</v>
      </c>
      <c r="AL59" s="9">
        <f t="shared" si="24"/>
        <v>2.2278233717583085E-2</v>
      </c>
      <c r="AM59" s="9">
        <f t="shared" si="25"/>
        <v>2.1141362239152528E-2</v>
      </c>
      <c r="AN59" s="9">
        <f t="shared" ref="AN59:AO59" si="90">AVERAGE(AL57:AL61)</f>
        <v>2.1763714140532464E-2</v>
      </c>
      <c r="AO59" s="9">
        <f t="shared" si="90"/>
        <v>2.0633312732620014E-2</v>
      </c>
      <c r="AP59" s="23"/>
      <c r="AQ59" s="8">
        <f t="shared" si="1"/>
        <v>343.12704729150494</v>
      </c>
      <c r="AR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0.27049940032751307</v>
      </c>
      <c r="AS59" s="32">
        <f>((C60-C58)/2-(F60-F58)/F59/2*C59)/(F59/2/Parameters!$B$5-C59)-((D60-D58)/D59-(G60-G58)/G59)/(G59/2/Parameters!$B$5/D59-1)</f>
        <v>-3.2528495620092038E-2</v>
      </c>
      <c r="AT59" s="32">
        <f>+Parameters!$B$5*C59^2/F59^2-Parameters!$B$5*D59^2/G59^2</f>
        <v>-6.2785535337768969E-3</v>
      </c>
      <c r="AU59" s="30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0.46627527173807892</v>
      </c>
      <c r="AV59" s="30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120.02852240776365</v>
      </c>
      <c r="AW59" s="8">
        <f>1000*(AR59+AS59+AT59)/(EXP(-Parameters!$B$42*A59)*((C59&lt;0)*Parameters!$B$37*EXP(-Parameters!$B$38*AF59)+(C59&gt;=0)*Parameters!$B$41))</f>
        <v>440.97180064432405</v>
      </c>
      <c r="AX59" s="13">
        <f>1-W59/'6states,ExoDamages'!T59</f>
        <v>9.1913502733951824E-2</v>
      </c>
      <c r="AY59" s="21">
        <f>-Y59*W59*X59^(-Parameters!B$52)*Parameters!B$46*Parameters!B$45*N59</f>
        <v>-1.3681235366655084E-5</v>
      </c>
      <c r="AZ59" s="7">
        <f>1000*EXP(-(Parameters!$B$54)*'6states'!A59)*AQ59*Parameters!B$46*Parameters!B$45*N59</f>
        <v>1.2150540888943648</v>
      </c>
      <c r="BA59" s="7">
        <f>SUM(AZ59:AZ$204)*EXP(Parameters!$B$54*A59)</f>
        <v>656.21300074748638</v>
      </c>
      <c r="BB59" s="13">
        <f t="shared" si="77"/>
        <v>0.22796565150797032</v>
      </c>
      <c r="BC59" s="30">
        <f>IF(C59&lt;0,Parameters!$B$6*AC59^2/AF59,0)</f>
        <v>0</v>
      </c>
      <c r="BD59" s="30">
        <f>Parameters!$B$5*AD59^2/AG59</f>
        <v>1.7997403919977446</v>
      </c>
      <c r="BE59" s="30">
        <f t="shared" si="15"/>
        <v>0</v>
      </c>
      <c r="BF59" s="30">
        <f t="shared" si="16"/>
        <v>7.928421691785939E-2</v>
      </c>
      <c r="BH59" s="5"/>
      <c r="BI59" s="5"/>
      <c r="BJ59" s="5"/>
      <c r="BM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-0.26515136408698486</v>
      </c>
      <c r="BN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-68.255231136600443</v>
      </c>
      <c r="BO59" s="7">
        <f t="shared" si="59"/>
        <v>5.8775860868988623E-2</v>
      </c>
      <c r="BU59">
        <f>EXP(-Parameters!$B$56*A59)*BH59*BN59</f>
        <v>0</v>
      </c>
      <c r="BV59">
        <f>-EXP((Parameters!$B$56)*F59)*SUM(BU59:BU67)</f>
        <v>0</v>
      </c>
      <c r="BW59">
        <f>X59^-Parameters!B$52/(1-2*Parameters!B$5*'6states'!D59/'6states'!G59)</f>
        <v>1.1466451766392785</v>
      </c>
      <c r="BX59">
        <f t="shared" si="61"/>
        <v>1.0012599346311362</v>
      </c>
      <c r="BY59">
        <f>$X59^-Parameters!$B$52/(1-2*Parameters!$B$5*'6states'!$E59/'6states'!$H59)</f>
        <v>1.1104488793023566</v>
      </c>
      <c r="BZ59">
        <f t="shared" si="62"/>
        <v>1.0042007460055016</v>
      </c>
      <c r="CA59" s="7">
        <f>($X59^-Parameters!$B$52*(1/(1+EXP(-C59)) + IF(C59&lt;0,2*Parameters!$B$6*C59/F59,0)) + BS59*(1/(1+EXP((C59-Parameters!$B$22)*Parameters!$B$21))))/(1-IF(C59&gt;0,2*Parameters!$B$5*C59/F59,0))</f>
        <v>0.48511126353223788</v>
      </c>
      <c r="CB59">
        <f t="shared" si="63"/>
        <v>0.92696129989626685</v>
      </c>
      <c r="CC59" s="7">
        <f t="shared" si="64"/>
        <v>-3.822370588506685E-2</v>
      </c>
      <c r="CD59">
        <f>(1/$T59-1/Parameters!$B$13) * LN(Parameters!$B$18) / LN(P59)</f>
        <v>0.22937622123937798</v>
      </c>
      <c r="CE59">
        <f>(Parameters!$B$18*'6states'!T59^+Parameters!$B$19*Parameters!$B$25^'6states'!T59)^((1-'6states'!T59)/'6states'!T59)*Parameters!$B$18*Parameters!$B$26^('6states'!T59-1)</f>
        <v>0.2942554654594538</v>
      </c>
      <c r="CF59">
        <f t="shared" si="65"/>
        <v>0.2250503095402015</v>
      </c>
      <c r="CG59">
        <f t="shared" si="66"/>
        <v>0.14699637435768642</v>
      </c>
      <c r="CH59">
        <f t="shared" si="67"/>
        <v>0.18450692301638005</v>
      </c>
    </row>
    <row r="60" spans="1:86" x14ac:dyDescent="0.3">
      <c r="A60">
        <f>A59+Parameters!$B$65</f>
        <v>56</v>
      </c>
      <c r="B60">
        <v>2081</v>
      </c>
      <c r="C60" s="74">
        <v>2.2341349242358601E-4</v>
      </c>
      <c r="D60" s="69">
        <v>8.70998663993683E-2</v>
      </c>
      <c r="E60" s="75">
        <v>0.21846273600969701</v>
      </c>
      <c r="F60" s="7">
        <f>MAX((1-Parameters!$B$4)^Parameters!B$65*F59 + C59*Parameters!B$65 - IF(C59&gt;0,Parameters!$B$5,0)*C59^2/F59*Parameters!B$65, 0.0001)</f>
        <v>7.7569345511815935E-2</v>
      </c>
      <c r="G60" s="7">
        <f>(1-Parameters!$B$4)^Parameters!B$65*G59+D59*Parameters!B$65-Parameters!$B$5*D59^2/G59*Parameters!B$65</f>
        <v>1.123460779683638</v>
      </c>
      <c r="H60" s="7">
        <f>(1-Parameters!$B$4)^Parameters!B$65*H59+E59*Parameters!B$65-Parameters!$B$5*E59^2/H59*Parameters!B$65</f>
        <v>3.2805577892267275</v>
      </c>
      <c r="I60" s="7">
        <f>I59 *(1-Parameters!$B$4)-C59*(C59&lt;0)*Parameters!B$65</f>
        <v>4.8298960020789214E-3</v>
      </c>
      <c r="J60" s="23">
        <f>J59*(1+Parameters!$B$51)^Parameters!B$65</f>
        <v>9.5966026311399446</v>
      </c>
      <c r="K60" s="23">
        <f>K59*(1+Parameters!$B$53)^Parameters!B$65</f>
        <v>27.4398900466383</v>
      </c>
      <c r="L60" s="23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9.0956417406047319</v>
      </c>
      <c r="M60" s="8">
        <f>M59+L60*Parameters!B$65</f>
        <v>3382.3384050443665</v>
      </c>
      <c r="N60" s="7">
        <f>M60*Parameters!$B$45</f>
        <v>2.0294030430266199</v>
      </c>
      <c r="O60" s="9">
        <f>EXP(-Parameters!$B$46/2*N60^2)</f>
        <v>0.95945420664135195</v>
      </c>
      <c r="P60" s="7">
        <f>MAX((Parameters!$B$62 + Parameters!$B$31*'6states'!A60 - '6states'!M60 + Parameters!$B$47/Parameters!$B$45)/Parameters!B$62,1)</f>
        <v>38.937231899112675</v>
      </c>
      <c r="Q60" s="7">
        <f>Parameters!B$61*EXP(-Parameters!B$60*A60)</f>
        <v>0.11023429976450796</v>
      </c>
      <c r="R60" s="7">
        <f>(1-Parameters!B$61)*P60^-Parameters!B$63</f>
        <v>0.34668375908730908</v>
      </c>
      <c r="S60" s="7">
        <f>Parameters!B$61*EXP(-Parameters!B$60*A60)+(1-Parameters!B$61)*P60^-Parameters!B$63</f>
        <v>0.45691805885181702</v>
      </c>
      <c r="T60" s="7">
        <f>1-S60/Parameters!$B$12</f>
        <v>0.77154097057409143</v>
      </c>
      <c r="U60" s="7">
        <f t="shared" si="0"/>
        <v>4.3771524483531499</v>
      </c>
      <c r="V60" s="7">
        <f>(Parameters!$B$19*(F60+Parameters!$B$20)^T60+Parameters!$B$18*G60^T60)^(1/T60)</f>
        <v>0.34374992302050705</v>
      </c>
      <c r="W60" s="7">
        <f>(Parameters!$B$10*H60^Parameters!$B$9+Parameters!$B$11*V60^Parameters!$B$9)^(Parameters!$B$7/Parameters!$B$9)*O60</f>
        <v>1.3316084323471584</v>
      </c>
      <c r="X60" s="7">
        <f>W60 - D60 - E60 - LN(1+EXP(Parameters!$B$21*C60))/Parameters!$B$21 - IF(C60&gt;0, 0,Parameters!$B$6*C60^2/F60)</f>
        <v>1.0236217611806862</v>
      </c>
      <c r="Y60" s="7">
        <f>EXP(-Parameters!$B$55*A60)</f>
        <v>0.42929970110067539</v>
      </c>
      <c r="Z60" s="7">
        <f>IF(X60&gt;0,X60^(1-Parameters!$B$52)/(1-Parameters!$B$52)*Y60*Parameters!$B$65,-10+X60*1000)</f>
        <v>-1.2165885177918483</v>
      </c>
      <c r="AB60" s="9"/>
      <c r="AC60" s="23">
        <f t="shared" si="6"/>
        <v>5.8831412631953149E-2</v>
      </c>
      <c r="AD60" s="23">
        <f t="shared" si="7"/>
        <v>22.935983519804015</v>
      </c>
      <c r="AE60" s="23">
        <f t="shared" si="8"/>
        <v>1.271855166781896</v>
      </c>
      <c r="AF60" s="23">
        <f t="shared" si="9"/>
        <v>20.426314113311857</v>
      </c>
      <c r="AG60" s="23">
        <f t="shared" si="10"/>
        <v>295.8406136907343</v>
      </c>
      <c r="AH60" s="23">
        <f t="shared" si="11"/>
        <v>90.519571329554054</v>
      </c>
      <c r="AI60" s="23">
        <f t="shared" si="12"/>
        <v>222.77555661032054</v>
      </c>
      <c r="AJ60" s="23">
        <f t="shared" si="13"/>
        <v>350.65207699753705</v>
      </c>
      <c r="AK60" s="23">
        <f t="shared" si="14"/>
        <v>269.55003280146536</v>
      </c>
      <c r="AL60" s="9">
        <f t="shared" si="24"/>
        <v>2.1693719392206212E-2</v>
      </c>
      <c r="AM60" s="9">
        <f t="shared" si="25"/>
        <v>1.951947712774782E-2</v>
      </c>
      <c r="AN60" s="9">
        <f t="shared" ref="AN60:AO60" si="91">AVERAGE(AL58:AL62)</f>
        <v>2.199798405742719E-2</v>
      </c>
      <c r="AO60" s="9">
        <f t="shared" si="91"/>
        <v>2.2203429532301654E-2</v>
      </c>
      <c r="AP60" s="23"/>
      <c r="AQ60" s="8">
        <f t="shared" si="1"/>
        <v>350.65207699753705</v>
      </c>
      <c r="AR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0.27662172261921725</v>
      </c>
      <c r="AS60" s="32">
        <f>((C61-C59)/2-(F61-F59)/F60/2*C60)/(F60/2/Parameters!$B$5-C60)-((D61-D59)/D60-(G61-G59)/G60)/(G60/2/Parameters!$B$5/D60-1)</f>
        <v>4.0025139478854235E-2</v>
      </c>
      <c r="AT60" s="32">
        <f>+Parameters!$B$5*C60^2/F60^2-Parameters!$B$5*D60^2/G60^2</f>
        <v>-6.0023228361532985E-3</v>
      </c>
      <c r="AU60" s="30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0.46175060425403519</v>
      </c>
      <c r="AV60" s="30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121.59265779892065</v>
      </c>
      <c r="AW60" s="8">
        <f>1000*(AR60+AS60+AT60)/(EXP(-Parameters!$B$42*A60)*((C60&lt;0)*Parameters!$B$37*EXP(-Parameters!$B$38*AF60)+(C60&gt;=0)*Parameters!$B$41))</f>
        <v>597.18073608541897</v>
      </c>
      <c r="AX60" s="13">
        <f>1-W60/'6states,ExoDamages'!T60</f>
        <v>9.2593037995598704E-2</v>
      </c>
      <c r="AY60" s="21">
        <f>-Y60*W60*X60^(-Parameters!B$52)*Parameters!B$46*Parameters!B$45*N60</f>
        <v>-1.3557025075099538E-5</v>
      </c>
      <c r="AZ60" s="7">
        <f>1000*EXP(-(Parameters!$B$54)*'6states'!A60)*AQ60*Parameters!B$46*Parameters!B$45*N60</f>
        <v>1.2021060893314905</v>
      </c>
      <c r="BA60" s="7">
        <f>SUM(AZ60:AZ$204)*EXP(Parameters!$B$54*A60)</f>
        <v>670.98057099416928</v>
      </c>
      <c r="BB60" s="13">
        <f t="shared" si="77"/>
        <v>0.22963658720791927</v>
      </c>
      <c r="BC60" s="30">
        <f>IF(C60&lt;0,Parameters!$B$6*AC60^2/AF60,0)</f>
        <v>0</v>
      </c>
      <c r="BD60" s="30">
        <f>Parameters!$B$5*AD60^2/AG60</f>
        <v>1.7781849944735884</v>
      </c>
      <c r="BE60" s="30">
        <f t="shared" si="15"/>
        <v>0</v>
      </c>
      <c r="BF60" s="30">
        <f t="shared" si="16"/>
        <v>7.7528177195375955E-2</v>
      </c>
      <c r="BH60" s="5"/>
      <c r="BI60" s="5"/>
      <c r="BJ60" s="5"/>
      <c r="BM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-0.26435489879753071</v>
      </c>
      <c r="BN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-69.612501750560625</v>
      </c>
      <c r="BO60" s="7">
        <f t="shared" si="59"/>
        <v>5.8615782297758941E-2</v>
      </c>
      <c r="BU60">
        <f>EXP(-Parameters!$B$56*A60)*BH60*BN60</f>
        <v>0</v>
      </c>
      <c r="BV60">
        <f>-EXP((Parameters!$B$56)*F60)*SUM(BU60:BU68)</f>
        <v>0</v>
      </c>
      <c r="BW60">
        <f>X60^-Parameters!B$52/(1-2*Parameters!B$5*'6states'!D60/'6states'!G60)</f>
        <v>1.1467900530282644</v>
      </c>
      <c r="BX60">
        <f t="shared" si="61"/>
        <v>1.0001263480559963</v>
      </c>
      <c r="BY60">
        <f>$X60^-Parameters!$B$52/(1-2*Parameters!$B$5*'6states'!$E60/'6states'!$H60)</f>
        <v>1.1178561303417578</v>
      </c>
      <c r="BZ60">
        <f t="shared" si="62"/>
        <v>1.0066705016119741</v>
      </c>
      <c r="CA60" s="7">
        <f>($X60^-Parameters!$B$52*(1/(1+EXP(-C60)) + IF(C60&lt;0,2*Parameters!$B$6*C60/F60,0)) + BS60*(1/(1+EXP((C60-Parameters!$B$22)*Parameters!$B$21))))/(1-IF(C60&gt;0,2*Parameters!$B$5*C60/F60,0))</f>
        <v>0.48734790151726115</v>
      </c>
      <c r="CB60">
        <f t="shared" si="63"/>
        <v>1.0046105670042325</v>
      </c>
      <c r="CC60" s="7">
        <f t="shared" si="64"/>
        <v>2.2366379850232709E-3</v>
      </c>
      <c r="CD60">
        <f>(1/$T60-1/Parameters!$B$13) * LN(Parameters!$B$18) / LN(P60)</f>
        <v>0.22898514614150761</v>
      </c>
      <c r="CE60">
        <f>(Parameters!$B$18*'6states'!T60^+Parameters!$B$19*Parameters!$B$25^'6states'!T60)^((1-'6states'!T60)/'6states'!T60)*Parameters!$B$18*Parameters!$B$26^('6states'!T60-1)</f>
        <v>0.29478035734683083</v>
      </c>
      <c r="CF60">
        <f t="shared" si="65"/>
        <v>0.22412874169394043</v>
      </c>
      <c r="CG60">
        <f t="shared" si="66"/>
        <v>0.1467651171034785</v>
      </c>
      <c r="CH60">
        <f t="shared" si="67"/>
        <v>0.1848035677197104</v>
      </c>
    </row>
    <row r="61" spans="1:86" x14ac:dyDescent="0.3">
      <c r="A61">
        <f>A60+Parameters!$B$65</f>
        <v>57</v>
      </c>
      <c r="B61">
        <v>2082</v>
      </c>
      <c r="C61" s="74">
        <v>2.7387677108478801E-3</v>
      </c>
      <c r="D61" s="69">
        <v>8.6447137079346703E-2</v>
      </c>
      <c r="E61" s="75">
        <v>0.21818712135287399</v>
      </c>
      <c r="F61" s="7">
        <f>MAX((1-Parameters!$B$4)^Parameters!B$65*F60 + C60*Parameters!B$65 - IF(C60&gt;0,Parameters!$B$5,0)*C60^2/F60*Parameters!B$65, 0.0001)</f>
        <v>7.2913003701006895E-2</v>
      </c>
      <c r="G61" s="7">
        <f>(1-Parameters!$B$4)^Parameters!B$65*G60+D60*Parameters!B$65-Parameters!$B$5*D60^2/G60*Parameters!B$65</f>
        <v>1.1331422691650017</v>
      </c>
      <c r="H61" s="7">
        <f>(1-Parameters!$B$4)^Parameters!B$65*H60+E60*Parameters!B$65-Parameters!$B$5*E60^2/H60*Parameters!B$65</f>
        <v>3.2781253146120304</v>
      </c>
      <c r="I61" s="7">
        <f>I60 *(1-Parameters!$B$4)-C60*(C60&lt;0)*Parameters!B$65</f>
        <v>4.5260955435481578E-3</v>
      </c>
      <c r="J61" s="23">
        <f>J60*(1+Parameters!$B$51)^Parameters!B$65</f>
        <v>9.6244327787702488</v>
      </c>
      <c r="K61" s="23">
        <f>K60*(1+Parameters!$B$53)^Parameters!B$65</f>
        <v>27.988687847571068</v>
      </c>
      <c r="L61" s="23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8.6598883700708829</v>
      </c>
      <c r="M61" s="8">
        <f>M60+L61*Parameters!B$65</f>
        <v>3390.9982934144373</v>
      </c>
      <c r="N61" s="7">
        <f>M61*Parameters!$B$45</f>
        <v>2.0345989760486622</v>
      </c>
      <c r="O61" s="9">
        <f>EXP(-Parameters!$B$46/2*N61^2)</f>
        <v>0.95925061418113733</v>
      </c>
      <c r="P61" s="7">
        <f>MAX((Parameters!$B$62 + Parameters!$B$31*'6states'!A61 - '6states'!M61 + Parameters!$B$47/Parameters!$B$45)/Parameters!B$62,1)</f>
        <v>39.828034131711256</v>
      </c>
      <c r="Q61" s="7">
        <f>Parameters!B$61*EXP(-Parameters!B$60*A61)</f>
        <v>0.10729779487734739</v>
      </c>
      <c r="R61" s="7">
        <f>(1-Parameters!B$61)*P61^-Parameters!B$63</f>
        <v>0.34590044224337491</v>
      </c>
      <c r="S61" s="7">
        <f>Parameters!B$61*EXP(-Parameters!B$60*A61)+(1-Parameters!B$61)*P61^-Parameters!B$63</f>
        <v>0.45319823712072227</v>
      </c>
      <c r="T61" s="7">
        <f>1-S61/Parameters!$B$12</f>
        <v>0.77340088143963892</v>
      </c>
      <c r="U61" s="7">
        <f t="shared" si="0"/>
        <v>4.4130798317012063</v>
      </c>
      <c r="V61" s="7">
        <f>(Parameters!$B$19*(F61+Parameters!$B$20)^T61+Parameters!$B$18*G61^T61)^(1/T61)</f>
        <v>0.34202048604456864</v>
      </c>
      <c r="W61" s="7">
        <f>(Parameters!$B$10*H61^Parameters!$B$9+Parameters!$B$11*V61^Parameters!$B$9)^(Parameters!$B$7/Parameters!$B$9)*O61</f>
        <v>1.3304814416568547</v>
      </c>
      <c r="X61" s="7">
        <f>W61 - D61 - E61 - LN(1+EXP(Parameters!$B$21*C61))/Parameters!$B$21 - IF(C61&gt;0, 0,Parameters!$B$6*C61^2/F61)</f>
        <v>1.0218936001129963</v>
      </c>
      <c r="Y61" s="7">
        <f>EXP(-Parameters!$B$55*A61)</f>
        <v>0.42286597251064995</v>
      </c>
      <c r="Z61" s="7">
        <f>IF(X61&gt;0,X61^(1-Parameters!$B$52)/(1-Parameters!$B$52)*Y61*Parameters!$B$65,-10+X61*1000)</f>
        <v>-1.1990649474454169</v>
      </c>
      <c r="AB61" s="9"/>
      <c r="AC61" s="23">
        <f t="shared" si="6"/>
        <v>0.73775622243655115</v>
      </c>
      <c r="AD61" s="23">
        <f t="shared" si="7"/>
        <v>23.286718709112133</v>
      </c>
      <c r="AE61" s="23">
        <f t="shared" si="8"/>
        <v>1.2192180948274898</v>
      </c>
      <c r="AF61" s="23">
        <f t="shared" si="9"/>
        <v>19.64095821777596</v>
      </c>
      <c r="AG61" s="23">
        <f t="shared" si="10"/>
        <v>305.24047609848083</v>
      </c>
      <c r="AH61" s="23">
        <f t="shared" si="11"/>
        <v>92.131852139456313</v>
      </c>
      <c r="AI61" s="23">
        <f t="shared" si="12"/>
        <v>226.7435024320088</v>
      </c>
      <c r="AJ61" s="23">
        <f t="shared" si="13"/>
        <v>358.39876398820934</v>
      </c>
      <c r="AK61" s="23">
        <f t="shared" si="14"/>
        <v>275.2728386439365</v>
      </c>
      <c r="AL61" s="9">
        <f t="shared" si="24"/>
        <v>2.1851734157536384E-2</v>
      </c>
      <c r="AM61" s="9">
        <f t="shared" si="25"/>
        <v>2.1008722756466369E-2</v>
      </c>
      <c r="AN61" s="9">
        <f t="shared" ref="AN61:AO61" si="92">AVERAGE(AL59:AL63)</f>
        <v>2.2129316032390989E-2</v>
      </c>
      <c r="AO61" s="9">
        <f t="shared" si="92"/>
        <v>2.1211912578099935E-2</v>
      </c>
      <c r="AP61" s="23"/>
      <c r="AQ61" s="8">
        <f t="shared" si="1"/>
        <v>358.3987639882094</v>
      </c>
      <c r="AR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0.25905970362160297</v>
      </c>
      <c r="AS61" s="32">
        <f>((C62-C60)/2-(F62-F60)/F61/2*C61)/(F61/2/Parameters!$B$5-C61)-((D62-D60)/D61-(G62-G60)/G61)/(G61/2/Parameters!$B$5/D61-1)</f>
        <v>3.9133197408487919E-2</v>
      </c>
      <c r="AT61" s="32">
        <f>+Parameters!$B$5*C61^2/F61^2-Parameters!$B$5*D61^2/G61^2</f>
        <v>-4.4092119071348886E-3</v>
      </c>
      <c r="AU61" s="30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0.45727638637139945</v>
      </c>
      <c r="AV61" s="30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123.17893849944635</v>
      </c>
      <c r="AW61" s="8">
        <f>1000*(AR61+AS61+AT61)/(EXP(-Parameters!$B$42*A61)*((C61&lt;0)*Parameters!$B$37*EXP(-Parameters!$B$38*AF61)+(C61&gt;=0)*Parameters!$B$41))</f>
        <v>570.4435724192482</v>
      </c>
      <c r="AX61" s="13">
        <f>1-W61/'6states,ExoDamages'!T61</f>
        <v>9.3140777147979192E-2</v>
      </c>
      <c r="AY61" s="21">
        <f>-Y61*W61*X61^(-Parameters!B$52)*Parameters!B$46*Parameters!B$45*N61</f>
        <v>-1.3407259735470172E-5</v>
      </c>
      <c r="AZ61" s="7">
        <f>1000*EXP(-(Parameters!$B$54)*'6states'!A61)*AQ61*Parameters!B$46*Parameters!B$45*N61</f>
        <v>1.1893225755964516</v>
      </c>
      <c r="BA61" s="7">
        <f>SUM(AZ61:AZ$204)*EXP(Parameters!$B$54*A61)</f>
        <v>686.06154587988874</v>
      </c>
      <c r="BB61" s="13">
        <f t="shared" si="77"/>
        <v>0.23102391098390337</v>
      </c>
      <c r="BC61" s="30">
        <f>IF(C61&lt;0,Parameters!$B$6*AC61^2/AF61,0)</f>
        <v>0</v>
      </c>
      <c r="BD61" s="30">
        <f>Parameters!$B$5*AD61^2/AG61</f>
        <v>1.7765378798005744</v>
      </c>
      <c r="BE61" s="30">
        <f t="shared" si="15"/>
        <v>0</v>
      </c>
      <c r="BF61" s="30">
        <f t="shared" si="16"/>
        <v>7.6289747043898126E-2</v>
      </c>
      <c r="BH61" s="5"/>
      <c r="BI61" s="5"/>
      <c r="BJ61" s="5"/>
      <c r="BM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-0.26365916810875012</v>
      </c>
      <c r="BN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-71.023252941176182</v>
      </c>
      <c r="BO61" s="7">
        <f t="shared" si="59"/>
        <v>5.8447161546321826E-2</v>
      </c>
      <c r="BU61">
        <f>EXP(-Parameters!$B$56*A61)*BH61*BN61</f>
        <v>0</v>
      </c>
      <c r="BV61">
        <f>-EXP((Parameters!$B$56)*F61)*SUM(BU61:BU69)</f>
        <v>0</v>
      </c>
      <c r="BW61">
        <f>X61^-Parameters!B$52/(1-2*Parameters!B$5*'6states'!D61/'6states'!G61)</f>
        <v>1.1460494685880884</v>
      </c>
      <c r="BX61">
        <f t="shared" si="61"/>
        <v>0.9993542109663226</v>
      </c>
      <c r="BY61">
        <f>$X61^-Parameters!$B$52/(1-2*Parameters!$B$5*'6states'!$E61/'6states'!$H61)</f>
        <v>1.12031938854647</v>
      </c>
      <c r="BZ61">
        <f t="shared" si="62"/>
        <v>1.0022035556614599</v>
      </c>
      <c r="CA61" s="7">
        <f>($X61^-Parameters!$B$52*(1/(1+EXP(-C61)) + IF(C61&lt;0,2*Parameters!$B$6*C61/F61,0)) + BS61*(1/(1+EXP((C61-Parameters!$B$22)*Parameters!$B$21))))/(1-IF(C61&gt;0,2*Parameters!$B$5*C61/F61,0))</f>
        <v>0.52575481407496383</v>
      </c>
      <c r="CB61">
        <f t="shared" si="63"/>
        <v>1.0788079982249443</v>
      </c>
      <c r="CC61" s="7">
        <f t="shared" si="64"/>
        <v>3.8406912557702677E-2</v>
      </c>
      <c r="CD61">
        <f>(1/$T61-1/Parameters!$B$13) * LN(Parameters!$B$18) / LN(P61)</f>
        <v>0.22858712744340715</v>
      </c>
      <c r="CE61">
        <f>(Parameters!$B$18*'6states'!T61^+Parameters!$B$19*Parameters!$B$25^'6states'!T61)^((1-'6states'!T61)/'6states'!T61)*Parameters!$B$18*Parameters!$B$26^('6states'!T61-1)</f>
        <v>0.29528376121803507</v>
      </c>
      <c r="CF61">
        <f t="shared" si="65"/>
        <v>0.22321586687266232</v>
      </c>
      <c r="CG61">
        <f t="shared" si="66"/>
        <v>0.14652968946438294</v>
      </c>
      <c r="CH61">
        <f t="shared" si="67"/>
        <v>0.1850879670141955</v>
      </c>
    </row>
    <row r="62" spans="1:86" x14ac:dyDescent="0.3">
      <c r="A62">
        <f>A61+Parameters!$B$65</f>
        <v>58</v>
      </c>
      <c r="B62">
        <v>2083</v>
      </c>
      <c r="C62" s="74">
        <v>2.5848482971285399E-3</v>
      </c>
      <c r="D62" s="69">
        <v>8.8283730643611294E-2</v>
      </c>
      <c r="E62" s="75">
        <v>0.21378658806842599</v>
      </c>
      <c r="F62" s="7">
        <f>MAX((1-Parameters!$B$4)^Parameters!B$65*F61 + C61*Parameters!B$65 - IF(C61&gt;0,Parameters!$B$5,0)*C61^2/F61*Parameters!B$65, 0.0001)</f>
        <v>7.0962669530749825E-2</v>
      </c>
      <c r="G62" s="7">
        <f>(1-Parameters!$B$4)^Parameters!B$65*G61+D61*Parameters!B$65-Parameters!$B$5*D61^2/G61*Parameters!B$65</f>
        <v>1.1417197272934174</v>
      </c>
      <c r="H62" s="7">
        <f>(1-Parameters!$B$4)^Parameters!B$65*H61+E61*Parameters!B$65-Parameters!$B$5*E61^2/H61*Parameters!B$65</f>
        <v>3.2755961449877948</v>
      </c>
      <c r="I62" s="7">
        <f>I61 *(1-Parameters!$B$4)-C61*(C61&lt;0)*Parameters!B$65</f>
        <v>4.2414041338589793E-3</v>
      </c>
      <c r="J62" s="23">
        <f>J61*(1+Parameters!$B$51)^Parameters!B$65</f>
        <v>9.6523436338286821</v>
      </c>
      <c r="K62" s="23">
        <f>K61*(1+Parameters!$B$53)^Parameters!B$65</f>
        <v>28.54846160452249</v>
      </c>
      <c r="L62" s="23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8.5482666039336301</v>
      </c>
      <c r="M62" s="8">
        <f>M61+L62*Parameters!B$65</f>
        <v>3399.5465600183711</v>
      </c>
      <c r="N62" s="7">
        <f>M62*Parameters!$B$45</f>
        <v>2.0397279360110225</v>
      </c>
      <c r="O62" s="9">
        <f>EXP(-Parameters!$B$46/2*N62^2)</f>
        <v>0.95904917788576993</v>
      </c>
      <c r="P62" s="7">
        <f>MAX((Parameters!$B$62 + Parameters!$B$31*'6states'!A62 - '6states'!M62 + Parameters!$B$47/Parameters!$B$45)/Parameters!B$62,1)</f>
        <v>40.721068799632583</v>
      </c>
      <c r="Q62" s="7">
        <f>Parameters!B$61*EXP(-Parameters!B$60*A62)</f>
        <v>0.10443951483463847</v>
      </c>
      <c r="R62" s="7">
        <f>(1-Parameters!B$61)*P62^-Parameters!B$63</f>
        <v>0.34513427233169247</v>
      </c>
      <c r="S62" s="7">
        <f>Parameters!B$61*EXP(-Parameters!B$60*A62)+(1-Parameters!B$61)*P62^-Parameters!B$63</f>
        <v>0.44957378716633095</v>
      </c>
      <c r="T62" s="7">
        <f>1-S62/Parameters!$B$12</f>
        <v>0.7752131064168345</v>
      </c>
      <c r="U62" s="7">
        <f t="shared" si="0"/>
        <v>4.4486579446858414</v>
      </c>
      <c r="V62" s="7">
        <f>(Parameters!$B$19*(F62+Parameters!$B$20)^T62+Parameters!$B$18*G62^T62)^(1/T62)</f>
        <v>0.34261018887451528</v>
      </c>
      <c r="W62" s="7">
        <f>(Parameters!$B$10*H62^Parameters!$B$9+Parameters!$B$11*V62^Parameters!$B$9)^(Parameters!$B$7/Parameters!$B$9)*O62</f>
        <v>1.3302125680243464</v>
      </c>
      <c r="X62" s="7">
        <f>W62 - D62 - E62 - LN(1+EXP(Parameters!$B$21*C62))/Parameters!$B$21 - IF(C62&gt;0, 0,Parameters!$B$6*C62^2/F62)</f>
        <v>1.0242948175536393</v>
      </c>
      <c r="Y62" s="7">
        <f>EXP(-Parameters!$B$55*A62)</f>
        <v>0.41652866342304673</v>
      </c>
      <c r="Z62" s="7">
        <f>IF(X62&gt;0,X62^(1-Parameters!$B$52)/(1-Parameters!$B$52)*Y62*Parameters!$B$65,-10+X62*1000)</f>
        <v>-1.1801252618658307</v>
      </c>
      <c r="AB62" s="9"/>
      <c r="AC62" s="23">
        <f t="shared" si="6"/>
        <v>0.71227966362132267</v>
      </c>
      <c r="AD62" s="23">
        <f t="shared" si="7"/>
        <v>24.327426114686169</v>
      </c>
      <c r="AE62" s="23">
        <f t="shared" si="8"/>
        <v>1.1687594637964662</v>
      </c>
      <c r="AF62" s="23">
        <f t="shared" si="9"/>
        <v>19.554442107563283</v>
      </c>
      <c r="AG62" s="23">
        <f t="shared" si="10"/>
        <v>314.61178755046433</v>
      </c>
      <c r="AH62" s="23">
        <f t="shared" si="11"/>
        <v>94.409513454182488</v>
      </c>
      <c r="AI62" s="23">
        <f t="shared" si="12"/>
        <v>232.34900033378963</v>
      </c>
      <c r="AJ62" s="23">
        <f t="shared" si="13"/>
        <v>366.55279211154442</v>
      </c>
      <c r="AK62" s="23">
        <f t="shared" si="14"/>
        <v>282.25423089883151</v>
      </c>
      <c r="AL62" s="9">
        <f t="shared" si="24"/>
        <v>2.2496322512711941E-2</v>
      </c>
      <c r="AM62" s="9">
        <f t="shared" si="25"/>
        <v>2.5045446471991362E-2</v>
      </c>
      <c r="AN62" s="9">
        <f t="shared" ref="AN62:AO62" si="93">AVERAGE(AL60:AL64)</f>
        <v>2.2168344015827124E-2</v>
      </c>
      <c r="AO62" s="9">
        <f t="shared" si="93"/>
        <v>2.1258984467720586E-2</v>
      </c>
      <c r="AP62" s="23"/>
      <c r="AQ62" s="8">
        <f t="shared" si="1"/>
        <v>366.55279211154442</v>
      </c>
      <c r="AR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0.25878827327927778</v>
      </c>
      <c r="AS62" s="32">
        <f>((C63-C61)/2-(F63-F61)/F62/2*C62)/(F62/2/Parameters!$B$5-C62)-((D63-D61)/D62-(G63-G61)/G62)/(G62/2/Parameters!$B$5/D62-1)</f>
        <v>8.6541927958940683E-4</v>
      </c>
      <c r="AT62" s="32">
        <f>+Parameters!$B$5*C62^2/F62^2-Parameters!$B$5*D62^2/G62^2</f>
        <v>-4.652375294373505E-3</v>
      </c>
      <c r="AU62" s="30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0.45421441449318395</v>
      </c>
      <c r="AV62" s="30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125.16312494105051</v>
      </c>
      <c r="AW62" s="8">
        <f>1000*(AR62+AS62+AT62)/(EXP(-Parameters!$B$42*A62)*((C62&lt;0)*Parameters!$B$37*EXP(-Parameters!$B$38*AF62)+(C62&gt;=0)*Parameters!$B$41))</f>
        <v>500.11557466768494</v>
      </c>
      <c r="AX62" s="13">
        <f>1-W62/'6states,ExoDamages'!T62</f>
        <v>9.3108445644778715E-2</v>
      </c>
      <c r="AY62" s="21">
        <f>-Y62*W62*X62^(-Parameters!B$52)*Parameters!B$46*Parameters!B$45*N62</f>
        <v>-1.3195072311069558E-5</v>
      </c>
      <c r="AZ62" s="7">
        <f>1000*EXP(-(Parameters!$B$54)*'6states'!A62)*AQ62*Parameters!B$46*Parameters!B$45*N62</f>
        <v>1.1773873829086099</v>
      </c>
      <c r="BA62" s="7">
        <f>SUM(AZ62:AZ$204)*EXP(Parameters!$B$54*A62)</f>
        <v>701.46163188415028</v>
      </c>
      <c r="BB62" s="13">
        <f t="shared" si="77"/>
        <v>0.22902743090275016</v>
      </c>
      <c r="BC62" s="30">
        <f>IF(C62&lt;0,Parameters!$B$6*AC62^2/AF62,0)</f>
        <v>0</v>
      </c>
      <c r="BD62" s="30">
        <f>Parameters!$B$5*AD62^2/AG62</f>
        <v>1.8811236094279682</v>
      </c>
      <c r="BE62" s="30">
        <f t="shared" si="15"/>
        <v>0</v>
      </c>
      <c r="BF62" s="30">
        <f t="shared" si="16"/>
        <v>7.7325221359622456E-2</v>
      </c>
      <c r="BH62" s="5"/>
      <c r="BI62" s="5"/>
      <c r="BJ62" s="5"/>
      <c r="BM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-0.28546752264176062</v>
      </c>
      <c r="BN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-78.663305397057186</v>
      </c>
      <c r="BO62" s="7">
        <f t="shared" si="59"/>
        <v>5.6398595543834119E-2</v>
      </c>
      <c r="BU62">
        <f>EXP(-Parameters!$B$56*A62)*BH62*BN62</f>
        <v>0</v>
      </c>
      <c r="BV62">
        <f>-EXP((Parameters!$B$56)*F62)*SUM(BU62:BU70)</f>
        <v>0</v>
      </c>
      <c r="BW62">
        <f>X62^-Parameters!B$52/(1-2*Parameters!B$5*'6states'!D62/'6states'!G62)</f>
        <v>1.145222715485021</v>
      </c>
      <c r="BX62">
        <f t="shared" si="61"/>
        <v>0.9992786060936043</v>
      </c>
      <c r="BY62">
        <f>$X62^-Parameters!$B$52/(1-2*Parameters!$B$5*'6states'!$E62/'6states'!$H62)</f>
        <v>1.11345622350706</v>
      </c>
      <c r="BZ62">
        <f t="shared" si="62"/>
        <v>0.99387392103575534</v>
      </c>
      <c r="CA62" s="7">
        <f>($X62^-Parameters!$B$52*(1/(1+EXP(-C62)) + IF(C62&lt;0,2*Parameters!$B$6*C62/F62,0)) + BS62*(1/(1+EXP((C62-Parameters!$B$22)*Parameters!$B$21))))/(1-IF(C62&gt;0,2*Parameters!$B$5*C62/F62,0))</f>
        <v>0.52276638207404091</v>
      </c>
      <c r="CB62">
        <f t="shared" si="63"/>
        <v>0.99431592080391906</v>
      </c>
      <c r="CC62" s="7">
        <f t="shared" si="64"/>
        <v>-2.9884320009229137E-3</v>
      </c>
      <c r="CD62">
        <f>(1/$T62-1/Parameters!$B$13) * LN(Parameters!$B$18) / LN(P62)</f>
        <v>0.22819108816336703</v>
      </c>
      <c r="CE62">
        <f>(Parameters!$B$18*'6states'!T62^+Parameters!$B$19*Parameters!$B$25^'6states'!T62)^((1-'6states'!T62)/'6states'!T62)*Parameters!$B$18*Parameters!$B$26^('6states'!T62-1)</f>
        <v>0.29576595731545757</v>
      </c>
      <c r="CF62">
        <f t="shared" si="65"/>
        <v>0.22232072648769149</v>
      </c>
      <c r="CG62">
        <f t="shared" si="66"/>
        <v>0.14629536817274891</v>
      </c>
      <c r="CH62">
        <f t="shared" si="67"/>
        <v>0.1853602918855376</v>
      </c>
    </row>
    <row r="63" spans="1:86" s="4" customFormat="1" x14ac:dyDescent="0.3">
      <c r="A63">
        <f>A62+Parameters!$B$65</f>
        <v>59</v>
      </c>
      <c r="B63">
        <v>2084</v>
      </c>
      <c r="C63" s="74">
        <v>2.4360636941669002E-3</v>
      </c>
      <c r="D63" s="69">
        <v>8.6266312234745304E-2</v>
      </c>
      <c r="E63" s="75">
        <v>0.21884020103222901</v>
      </c>
      <c r="F63" s="7">
        <f>MAX((1-Parameters!$B$4)^Parameters!B$65*F62 + C62*Parameters!B$65 - IF(C62&gt;0,Parameters!$B$5,0)*C62^2/F62*Parameters!B$65, 0.0001)</f>
        <v>6.8989811610964666E-2</v>
      </c>
      <c r="G63" s="7">
        <f>(1-Parameters!$B$4)^Parameters!B$65*G62+D62*Parameters!B$65-Parameters!$B$5*D62^2/G62*Parameters!B$65</f>
        <v>1.1513627280758023</v>
      </c>
      <c r="H63" s="7">
        <f>(1-Parameters!$B$4)^Parameters!B$65*H62+E62*Parameters!B$65-Parameters!$B$5*E62^2/H62*Parameters!B$65</f>
        <v>3.2693946402173739</v>
      </c>
      <c r="I63" s="7">
        <f>I62 *(1-Parameters!$B$4)-C62*(C62&lt;0)*Parameters!B$65</f>
        <v>3.9746198138392499E-3</v>
      </c>
      <c r="J63" s="23">
        <f>J62*(1+Parameters!$B$51)^Parameters!B$65</f>
        <v>9.6803354303667835</v>
      </c>
      <c r="K63" s="23">
        <f>K62*(1+Parameters!$B$53)^Parameters!B$65</f>
        <v>29.119430836612942</v>
      </c>
      <c r="L63" s="23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8.4291904769364159</v>
      </c>
      <c r="M63" s="8">
        <f>M62+L63*Parameters!B$65</f>
        <v>3407.9757504953077</v>
      </c>
      <c r="N63" s="7">
        <f>M63*Parameters!$B$45</f>
        <v>2.0447854502971845</v>
      </c>
      <c r="O63" s="9">
        <f>EXP(-Parameters!$B$46/2*N63^2)</f>
        <v>0.95885009253694431</v>
      </c>
      <c r="P63" s="7">
        <f>MAX((Parameters!$B$62 + Parameters!$B$31*'6states'!A63 - '6states'!M63 + Parameters!$B$47/Parameters!$B$45)/Parameters!B$62,1)</f>
        <v>41.616484990093852</v>
      </c>
      <c r="Q63" s="7">
        <f>Parameters!B$61*EXP(-Parameters!B$60*A63)</f>
        <v>0.10165737582364309</v>
      </c>
      <c r="R63" s="7">
        <f>(1-Parameters!B$61)*P63^-Parameters!B$63</f>
        <v>0.34438439545570437</v>
      </c>
      <c r="S63" s="7">
        <f>Parameters!B$61*EXP(-Parameters!B$60*A63)+(1-Parameters!B$61)*P63^-Parameters!B$63</f>
        <v>0.44604177127934747</v>
      </c>
      <c r="T63" s="7">
        <f>1-S63/Parameters!$B$12</f>
        <v>0.7769791143603263</v>
      </c>
      <c r="U63" s="7">
        <f t="shared" si="0"/>
        <v>4.4838849829323237</v>
      </c>
      <c r="V63" s="7">
        <f>(Parameters!$B$19*(F63+Parameters!$B$20)^T63+Parameters!$B$18*G63^T63)^(1/T63)</f>
        <v>0.34341805403575748</v>
      </c>
      <c r="W63" s="7">
        <f>(Parameters!$B$10*H63^Parameters!$B$9+Parameters!$B$11*V63^Parameters!$B$9)^(Parameters!$B$7/Parameters!$B$9)*O63</f>
        <v>1.3297180071032495</v>
      </c>
      <c r="X63" s="7">
        <f>W63 - D63 - E63 - LN(1+EXP(Parameters!$B$21*C63))/Parameters!$B$21 - IF(C63&gt;0, 0,Parameters!$B$6*C63^2/F63)</f>
        <v>1.0208652140797152</v>
      </c>
      <c r="Y63" s="16">
        <f>EXP(-Parameters!$B$55*A63)</f>
        <v>0.41028632884056476</v>
      </c>
      <c r="Z63" s="7">
        <f>IF(X63&gt;0,X63^(1-Parameters!$B$52)/(1-Parameters!$B$52)*Y63*Parameters!$B$65,-10+X63*1000)</f>
        <v>-1.163804574169345</v>
      </c>
      <c r="AA63"/>
      <c r="AB63" s="9"/>
      <c r="AC63" s="23">
        <f t="shared" si="6"/>
        <v>0.68669190466979124</v>
      </c>
      <c r="AD63" s="23">
        <f t="shared" si="7"/>
        <v>24.317253444218693</v>
      </c>
      <c r="AE63" s="23">
        <f t="shared" si="8"/>
        <v>1.1203891166059849</v>
      </c>
      <c r="AF63" s="23">
        <f t="shared" si="9"/>
        <v>19.447252241959507</v>
      </c>
      <c r="AG63" s="23">
        <f t="shared" si="10"/>
        <v>324.55287051866867</v>
      </c>
      <c r="AH63" s="23">
        <f t="shared" si="11"/>
        <v>96.804692828220809</v>
      </c>
      <c r="AI63" s="23">
        <f t="shared" si="12"/>
        <v>238.2437191265943</v>
      </c>
      <c r="AJ63" s="23">
        <f t="shared" si="13"/>
        <v>374.82870138324483</v>
      </c>
      <c r="AK63" s="23">
        <f t="shared" si="14"/>
        <v>287.76746681382355</v>
      </c>
      <c r="AL63" s="9">
        <f t="shared" si="24"/>
        <v>2.2326570381917321E-2</v>
      </c>
      <c r="AM63" s="9">
        <f t="shared" si="25"/>
        <v>1.9344554295141592E-2</v>
      </c>
      <c r="AN63" s="9">
        <f t="shared" ref="AN63:AO63" si="94">AVERAGE(AL61:AL65)</f>
        <v>2.2234707148141197E-2</v>
      </c>
      <c r="AO63" s="9">
        <f t="shared" si="94"/>
        <v>2.1786103614418371E-2</v>
      </c>
      <c r="AP63" s="23"/>
      <c r="AQ63" s="25">
        <f t="shared" si="1"/>
        <v>374.82870138324489</v>
      </c>
      <c r="AR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0.25656904941423969</v>
      </c>
      <c r="AS63" s="32">
        <f>((C64-C62)/2-(F64-F62)/F63/2*C63)/(F63/2/Parameters!$B$5-C63)-((D64-D62)/D63-(G64-G62)/G63)/(G63/2/Parameters!$B$5/D63-1)</f>
        <v>-2.677165091125823E-2</v>
      </c>
      <c r="AT63" s="32">
        <f>+Parameters!$B$5*C63^2/F63^2-Parameters!$B$5*D63^2/G63^2</f>
        <v>-4.3669851358351204E-3</v>
      </c>
      <c r="AU63" s="30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0.45114948376306235</v>
      </c>
      <c r="AV63" s="30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127.17265933475434</v>
      </c>
      <c r="AW63" s="8">
        <f>1000*(AR63+AS63+AT63)/(EXP(-Parameters!$B$42*A63)*((C63&lt;0)*Parameters!$B$37*EXP(-Parameters!$B$38*AF63)+(C63&gt;=0)*Parameters!$B$41))</f>
        <v>446.56369017174103</v>
      </c>
      <c r="AX63" s="13">
        <f>1-W63/'6states,ExoDamages'!T63</f>
        <v>9.3234697680149026E-2</v>
      </c>
      <c r="AY63" s="21">
        <f>-Y63*W63*X63^(-Parameters!B$52)*Parameters!B$46*Parameters!B$45*N63</f>
        <v>-1.3083812227978199E-5</v>
      </c>
      <c r="AZ63" s="7">
        <f>1000*EXP(-(Parameters!$B$54)*'6states'!A63)*AQ63*Parameters!B$46*Parameters!B$45*N63</f>
        <v>1.1653260362699787</v>
      </c>
      <c r="BA63" s="7">
        <f>SUM(AZ63:AZ$204)*EXP(Parameters!$B$54*A63)</f>
        <v>717.18115126858947</v>
      </c>
      <c r="BB63" s="13">
        <f t="shared" si="77"/>
        <v>0.23128405821254797</v>
      </c>
      <c r="BC63" s="30">
        <f>IF(C63&lt;0,Parameters!$B$6*AC63^2/AF63,0)</f>
        <v>0</v>
      </c>
      <c r="BD63" s="30">
        <f>Parameters!$B$5*AD63^2/AG63</f>
        <v>1.8219799261838663</v>
      </c>
      <c r="BE63" s="30">
        <f t="shared" si="15"/>
        <v>0</v>
      </c>
      <c r="BF63" s="30">
        <f t="shared" si="16"/>
        <v>7.4925399382101396E-2</v>
      </c>
      <c r="BG63" s="16"/>
      <c r="BH63" s="5"/>
      <c r="BI63" s="5"/>
      <c r="BJ63" s="5"/>
      <c r="BK63"/>
      <c r="BL63"/>
      <c r="BM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-0.30741759941140157</v>
      </c>
      <c r="BN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-86.656673786612103</v>
      </c>
      <c r="BO63" s="7">
        <f t="shared" si="59"/>
        <v>5.4473388419882855E-2</v>
      </c>
      <c r="BP63"/>
      <c r="BQ63"/>
      <c r="BR63"/>
      <c r="BS63"/>
      <c r="BU63">
        <f>EXP(-Parameters!$B$56*A63)*BH63*BN63</f>
        <v>0</v>
      </c>
      <c r="BV63">
        <f>-EXP((Parameters!$B$56)*F63)*SUM(BU63:BU71)</f>
        <v>0</v>
      </c>
      <c r="BW63">
        <f>X63^-Parameters!B$52/(1-2*Parameters!B$5*'6states'!D63/'6states'!G63)</f>
        <v>1.1439248683823438</v>
      </c>
      <c r="BX63">
        <f t="shared" si="61"/>
        <v>0.99886672951459266</v>
      </c>
      <c r="BY63">
        <f>$X63^-Parameters!$B$52/(1-2*Parameters!$B$5*'6states'!$E63/'6states'!$H63)</f>
        <v>1.1228211235371062</v>
      </c>
      <c r="BZ63">
        <f t="shared" si="62"/>
        <v>1.0084106584815247</v>
      </c>
      <c r="CA63" s="7">
        <f>($X63^-Parameters!$B$52*(1/(1+EXP(-C63)) + IF(C63&lt;0,2*Parameters!$B$6*C63/F63,0)) + BS63*(1/(1+EXP((C63-Parameters!$B$22)*Parameters!$B$21))))/(1-IF(C63&gt;0,2*Parameters!$B$5*C63/F63,0))</f>
        <v>0.52383974942478828</v>
      </c>
      <c r="CB63">
        <f t="shared" si="63"/>
        <v>1.0020532447907013</v>
      </c>
      <c r="CC63" s="7">
        <f t="shared" si="64"/>
        <v>1.0733673507473673E-3</v>
      </c>
      <c r="CD63">
        <f>(1/$T63-1/Parameters!$B$13) * LN(Parameters!$B$18) / LN(P63)</f>
        <v>0.22779669053776785</v>
      </c>
      <c r="CE63">
        <f>(Parameters!$B$18*'6states'!T63^+Parameters!$B$19*Parameters!$B$25^'6states'!T63)^((1-'6states'!T63)/'6states'!T63)*Parameters!$B$18*Parameters!$B$26^('6states'!T63-1)</f>
        <v>0.29622800213271328</v>
      </c>
      <c r="CF63">
        <f t="shared" si="65"/>
        <v>0.22144244681868805</v>
      </c>
      <c r="CG63">
        <f t="shared" si="66"/>
        <v>0.14606195425153723</v>
      </c>
      <c r="CH63">
        <f t="shared" si="67"/>
        <v>0.18562115074824881</v>
      </c>
    </row>
    <row r="64" spans="1:86" s="38" customFormat="1" x14ac:dyDescent="0.3">
      <c r="A64" s="38">
        <f>A63+Parameters!$B$65</f>
        <v>60</v>
      </c>
      <c r="B64">
        <v>2085</v>
      </c>
      <c r="C64" s="74">
        <v>1.40503433203763E-4</v>
      </c>
      <c r="D64" s="69">
        <v>8.5071864305275705E-2</v>
      </c>
      <c r="E64" s="75">
        <v>0.22244861295496099</v>
      </c>
      <c r="F64" s="7">
        <f>MAX((1-Parameters!$B$4)^Parameters!B$65*F63 + C63*Parameters!B$65 - IF(C63&gt;0,Parameters!$B$5,0)*C63^2/F63*Parameters!B$65, 0.0001)</f>
        <v>6.7000397564759909E-2</v>
      </c>
      <c r="G64" s="39">
        <f>(1-Parameters!$B$4)^Parameters!B$65*G63+D63*Parameters!B$65-Parameters!$B$5*D63^2/G63*Parameters!B$65</f>
        <v>1.1587447868171703</v>
      </c>
      <c r="H64" s="39">
        <f>(1-Parameters!$B$4)^Parameters!B$65*H63+E63*Parameters!B$65-Parameters!$B$5*E63^2/H63*Parameters!B$65</f>
        <v>3.2679416305902853</v>
      </c>
      <c r="I64" s="7">
        <f>I63 *(1-Parameters!$B$4)-C63*(C63&lt;0)*Parameters!B$65</f>
        <v>3.7246162275487611E-3</v>
      </c>
      <c r="J64" s="41">
        <f>J63*(1+Parameters!$B$51)^Parameters!B$65</f>
        <v>9.7084084031148468</v>
      </c>
      <c r="K64" s="41">
        <f>K63*(1+Parameters!$B$53)^Parameters!B$65</f>
        <v>29.701819453345202</v>
      </c>
      <c r="L64" s="23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8.303101479849138</v>
      </c>
      <c r="M64" s="37">
        <f>M63+L64*Parameters!B$65</f>
        <v>3416.2788519751566</v>
      </c>
      <c r="N64" s="39">
        <f>M64*Parameters!$B$45</f>
        <v>2.0497673111850938</v>
      </c>
      <c r="O64" s="9">
        <f>EXP(-Parameters!$B$46/2*N64^2)</f>
        <v>0.95865354376767653</v>
      </c>
      <c r="P64" s="7">
        <f>MAX((Parameters!$B$62 + Parameters!$B$31*'6states'!A64 - '6states'!M64 + Parameters!$B$47/Parameters!$B$45)/Parameters!B$62,1)</f>
        <v>42.514422960496866</v>
      </c>
      <c r="Q64" s="7">
        <f>Parameters!B$61*EXP(-Parameters!B$60*A64)</f>
        <v>9.8949349541807355E-2</v>
      </c>
      <c r="R64" s="7">
        <f>(1-Parameters!B$61)*P64^-Parameters!B$63</f>
        <v>0.34365002152657581</v>
      </c>
      <c r="S64" s="7">
        <f>Parameters!B$61*EXP(-Parameters!B$60*A64)+(1-Parameters!B$61)*P64^-Parameters!B$63</f>
        <v>0.44259937106838315</v>
      </c>
      <c r="T64" s="39">
        <f>1-S64/Parameters!$B$12</f>
        <v>0.77870031446580845</v>
      </c>
      <c r="U64" s="39">
        <f t="shared" si="0"/>
        <v>4.5187592453469465</v>
      </c>
      <c r="V64" s="7">
        <f>(Parameters!$B$19*(F64+Parameters!$B$20)^T64+Parameters!$B$18*G64^T64)^(1/T64)</f>
        <v>0.343677656627567</v>
      </c>
      <c r="W64" s="39">
        <f>(Parameters!$B$10*H64^Parameters!$B$9+Parameters!$B$11*V64^Parameters!$B$9)^(Parameters!$B$7/Parameters!$B$9)*O64</f>
        <v>1.3294187787319325</v>
      </c>
      <c r="X64" s="7">
        <f>W64 - D64 - E64 - LN(1+EXP(Parameters!$B$21*C64))/Parameters!$B$21 - IF(C64&gt;0, 0,Parameters!$B$6*C64^2/F64)</f>
        <v>1.0195168189124719</v>
      </c>
      <c r="Y64" s="39">
        <f>EXP(-Parameters!$B$55*A64)</f>
        <v>0.40413754542145147</v>
      </c>
      <c r="Z64" s="39">
        <f>IF(X64&gt;0,X64^(1-Parameters!$B$52)/(1-Parameters!$B$52)*Y64*Parameters!$B$65,-10+X64*1000)</f>
        <v>-1.1468935673664893</v>
      </c>
      <c r="AB64" s="40"/>
      <c r="AC64" s="23">
        <f t="shared" si="6"/>
        <v>4.051520378608494E-2</v>
      </c>
      <c r="AD64" s="23">
        <f t="shared" si="7"/>
        <v>24.531101057095732</v>
      </c>
      <c r="AE64" s="23">
        <f t="shared" si="8"/>
        <v>1.074020627419483</v>
      </c>
      <c r="AF64" s="23">
        <f t="shared" si="9"/>
        <v>19.320060009837935</v>
      </c>
      <c r="AG64" s="23">
        <f t="shared" si="10"/>
        <v>334.13262653786785</v>
      </c>
      <c r="AH64" s="23">
        <f t="shared" si="11"/>
        <v>99.101993292908958</v>
      </c>
      <c r="AI64" s="23">
        <f t="shared" si="12"/>
        <v>243.89755047162805</v>
      </c>
      <c r="AJ64" s="23">
        <f t="shared" si="13"/>
        <v>383.34773399636663</v>
      </c>
      <c r="AK64" s="23">
        <f t="shared" si="14"/>
        <v>293.98521260100847</v>
      </c>
      <c r="AL64" s="9">
        <f t="shared" si="24"/>
        <v>2.247337363476376E-2</v>
      </c>
      <c r="AM64" s="9">
        <f t="shared" si="25"/>
        <v>2.1376721687255795E-2</v>
      </c>
      <c r="AN64" s="9">
        <f t="shared" ref="AN64:AO64" si="95">AVERAGE(AL62:AL66)</f>
        <v>2.2365145504152827E-2</v>
      </c>
      <c r="AO64" s="9">
        <f t="shared" si="95"/>
        <v>2.2567963749029651E-2</v>
      </c>
      <c r="AP64" s="23"/>
      <c r="AQ64" s="37">
        <f t="shared" si="1"/>
        <v>383.34773399636663</v>
      </c>
      <c r="AR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0.27971301040205904</v>
      </c>
      <c r="AS64" s="42">
        <f>((C65-C63)/2-(F65-F63)/F64/2*C64)/(F64/2/Parameters!$B$5-C64)-((D65-D63)/D64-(G65-G63)/G64)/(G64/2/Parameters!$B$5/D64-1)</f>
        <v>-2.0390598800979283E-3</v>
      </c>
      <c r="AT64" s="42">
        <f>+Parameters!$B$5*C64^2/F64^2-Parameters!$B$5*D64^2/G64^2</f>
        <v>-5.3856960536967273E-3</v>
      </c>
      <c r="AU64" s="30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0.4480771054164977</v>
      </c>
      <c r="AV64" s="30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129.20634623568944</v>
      </c>
      <c r="AW64" s="37">
        <f>1000*(AR64+AS64+AT64)/(EXP(-Parameters!$B$42*A64)*((C64&lt;0)*Parameters!$B$37*EXP(-Parameters!$B$38*AF64)+(C64&gt;=0)*Parameters!$B$41))</f>
        <v>544.80709309453096</v>
      </c>
      <c r="AX64" s="43">
        <f>1-W64/'6states,ExoDamages'!T64</f>
        <v>9.3232473073145306E-2</v>
      </c>
      <c r="AY64" s="21">
        <f>-Y64*W64*X64^(-Parameters!B$52)*Parameters!B$46*Parameters!B$45*N64</f>
        <v>-1.2939289995054594E-5</v>
      </c>
      <c r="AZ64" s="39">
        <f>1000*EXP(-(Parameters!$B$54)*'6states'!A64)*AQ64*Parameters!B$46*Parameters!B$45*N64</f>
        <v>1.1535079506239678</v>
      </c>
      <c r="BA64" s="39">
        <f>SUM(AZ64:AZ$204)*EXP(Parameters!$B$54*A64)</f>
        <v>733.22769188679615</v>
      </c>
      <c r="BB64" s="43">
        <f t="shared" si="77"/>
        <v>0.23142518039868762</v>
      </c>
      <c r="BC64" s="30">
        <f>IF(C64&lt;0,Parameters!$B$6*AC64^2/AF64,0)</f>
        <v>0</v>
      </c>
      <c r="BD64" s="30">
        <f>Parameters!$B$5*AD64^2/AG64</f>
        <v>1.801006161262265</v>
      </c>
      <c r="BE64" s="30">
        <f t="shared" si="15"/>
        <v>0</v>
      </c>
      <c r="BF64" s="30">
        <f t="shared" si="16"/>
        <v>7.3417257426417706E-2</v>
      </c>
      <c r="BG64" s="39"/>
      <c r="BH64" s="5"/>
      <c r="BI64" s="5"/>
      <c r="BJ64" s="5"/>
      <c r="BK64"/>
      <c r="BL64"/>
      <c r="BM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-0.32939319487939295</v>
      </c>
      <c r="BN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-94.982963134674293</v>
      </c>
      <c r="BO64" s="7">
        <f t="shared" si="59"/>
        <v>5.2663351024384145E-2</v>
      </c>
      <c r="BP64"/>
      <c r="BQ64"/>
      <c r="BR64"/>
      <c r="BS64"/>
      <c r="BU64">
        <f>EXP(-Parameters!$B$56*A64)*BH64*BN64</f>
        <v>0</v>
      </c>
      <c r="BV64">
        <f>-EXP((Parameters!$B$56)*F64)*SUM(BU64:BU72)</f>
        <v>0</v>
      </c>
      <c r="BW64">
        <f>X64^-Parameters!B$52/(1-2*Parameters!B$5*'6states'!D64/'6states'!G64)</f>
        <v>1.1419163452040919</v>
      </c>
      <c r="BX64">
        <f t="shared" si="61"/>
        <v>0.99824418260869519</v>
      </c>
      <c r="BY64">
        <f>$X64^-Parameters!$B$52/(1-2*Parameters!$B$5*'6states'!$E64/'6states'!$H64)</f>
        <v>1.1277793770614155</v>
      </c>
      <c r="BZ64">
        <f t="shared" si="62"/>
        <v>1.0044158890676103</v>
      </c>
      <c r="CA64" s="7">
        <f>($X64^-Parameters!$B$52*(1/(1+EXP(-C64)) + IF(C64&lt;0,2*Parameters!$B$6*C64/F64,0)) + BS64*(1/(1+EXP((C64-Parameters!$B$22)*Parameters!$B$21))))/(1-IF(C64&gt;0,2*Parameters!$B$5*C64/F64,0))</f>
        <v>0.48920781762102361</v>
      </c>
      <c r="CB64">
        <f t="shared" si="63"/>
        <v>0.93388830870167283</v>
      </c>
      <c r="CC64" s="7">
        <f t="shared" si="64"/>
        <v>-3.4631931803764671E-2</v>
      </c>
      <c r="CD64">
        <f>(1/$T64-1/Parameters!$B$13) * LN(Parameters!$B$18) / LN(P64)</f>
        <v>0.22740365261488563</v>
      </c>
      <c r="CE64">
        <f>(Parameters!$B$18*'6states'!T64^+Parameters!$B$19*Parameters!$B$25^'6states'!T64)^((1-'6states'!T64)/'6states'!T64)*Parameters!$B$18*Parameters!$B$26^('6states'!T64-1)</f>
        <v>0.29667089078377495</v>
      </c>
      <c r="CF64">
        <f t="shared" si="65"/>
        <v>0.22058023508092323</v>
      </c>
      <c r="CG64">
        <f t="shared" si="66"/>
        <v>0.14582928154609376</v>
      </c>
      <c r="CH64">
        <f t="shared" si="67"/>
        <v>0.18587111611413243</v>
      </c>
    </row>
    <row r="65" spans="1:86" x14ac:dyDescent="0.3">
      <c r="A65">
        <f>A64+Parameters!$B$65</f>
        <v>61</v>
      </c>
      <c r="B65">
        <v>2086</v>
      </c>
      <c r="C65" s="74">
        <v>2.1307106261536099E-3</v>
      </c>
      <c r="D65" s="69">
        <v>8.6084319911707702E-2</v>
      </c>
      <c r="E65" s="75">
        <v>0.21993392140374801</v>
      </c>
      <c r="F65" s="7">
        <f>MAX((1-Parameters!$B$4)^Parameters!B$65*F64 + C64*Parameters!B$65 - IF(C64&gt;0,Parameters!$B$5,0)*C64^2/F64*Parameters!B$65, 0.0001)</f>
        <v>6.2926281347892479E-2</v>
      </c>
      <c r="G65" s="7">
        <f>(1-Parameters!$B$4)^Parameters!B$65*G64+D64*Parameters!B$65-Parameters!$B$5*D64^2/G64*Parameters!B$65</f>
        <v>1.1646858610702002</v>
      </c>
      <c r="H65" s="7">
        <f>(1-Parameters!$B$4)^Parameters!B$65*H64+E64*Parameters!B$65-Parameters!$B$5*E64^2/H64*Parameters!B$65</f>
        <v>3.2696946497305062</v>
      </c>
      <c r="I65" s="7">
        <f>I64 *(1-Parameters!$B$4)-C64*(C64&lt;0)*Parameters!B$65</f>
        <v>3.4903378668359442E-3</v>
      </c>
      <c r="J65" s="23">
        <f>J64*(1+Parameters!$B$51)^Parameters!B$65</f>
        <v>9.7365627874838783</v>
      </c>
      <c r="K65" s="23">
        <f>K64*(1+Parameters!$B$53)^Parameters!B$65</f>
        <v>30.295855842412106</v>
      </c>
      <c r="L65" s="23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7.898619998830898</v>
      </c>
      <c r="M65" s="8">
        <f>M64+L65*Parameters!B$65</f>
        <v>3424.1774719739874</v>
      </c>
      <c r="N65" s="7">
        <f>M65*Parameters!$B$45</f>
        <v>2.0545064831843924</v>
      </c>
      <c r="O65" s="9">
        <f>EXP(-Parameters!$B$46/2*N65^2)</f>
        <v>0.95846616339781987</v>
      </c>
      <c r="P65" s="7">
        <f>MAX((Parameters!$B$62 + Parameters!$B$31*'6states'!A65 - '6states'!M65 + Parameters!$B$47/Parameters!$B$45)/Parameters!B$62,1)</f>
        <v>43.420450560520258</v>
      </c>
      <c r="Q65" s="7">
        <f>Parameters!B$61*EXP(-Parameters!B$60*A65)</f>
        <v>9.6313461718039159E-2</v>
      </c>
      <c r="R65" s="7">
        <f>(1-Parameters!B$61)*P65^-Parameters!B$63</f>
        <v>0.3429261247747214</v>
      </c>
      <c r="S65" s="7">
        <f>Parameters!B$61*EXP(-Parameters!B$60*A65)+(1-Parameters!B$61)*P65^-Parameters!B$63</f>
        <v>0.43923958649276057</v>
      </c>
      <c r="T65" s="7">
        <f>1-S65/Parameters!$B$12</f>
        <v>0.78038020675361974</v>
      </c>
      <c r="U65" s="7">
        <f t="shared" si="0"/>
        <v>4.5533236563889803</v>
      </c>
      <c r="V65" s="7">
        <f>(Parameters!$B$19*(F65+Parameters!$B$20)^T65+Parameters!$B$18*G65^T65)^(1/T65)</f>
        <v>0.34156233175168244</v>
      </c>
      <c r="W65" s="7">
        <f>(Parameters!$B$10*H65^Parameters!$B$9+Parameters!$B$11*V65^Parameters!$B$9)^(Parameters!$B$7/Parameters!$B$9)*O65</f>
        <v>1.328524519916678</v>
      </c>
      <c r="X65" s="7">
        <f>W65 - D65 - E65 - LN(1+EXP(Parameters!$B$21*C65))/Parameters!$B$21 - IF(C65&gt;0, 0,Parameters!$B$6*C65^2/F65)</f>
        <v>1.0189630072271598</v>
      </c>
      <c r="Y65" s="7">
        <f>EXP(-Parameters!$B$55*A65)</f>
        <v>0.39808091115496053</v>
      </c>
      <c r="Z65" s="7">
        <f>IF(X65&gt;0,X65^(1-Parameters!$B$52)/(1-Parameters!$B$52)*Y65*Parameters!$B$65,-10+X65*1000)</f>
        <v>-1.1299204328076538</v>
      </c>
      <c r="AC65" s="23">
        <f t="shared" si="6"/>
        <v>0.62851169928781958</v>
      </c>
      <c r="AD65" s="23">
        <f t="shared" si="7"/>
        <v>25.392937701453544</v>
      </c>
      <c r="AE65" s="23">
        <f t="shared" si="8"/>
        <v>1.0295711472250997</v>
      </c>
      <c r="AF65" s="23">
        <f t="shared" si="9"/>
        <v>18.561837320548495</v>
      </c>
      <c r="AG65" s="23">
        <f t="shared" si="10"/>
        <v>343.55612662390473</v>
      </c>
      <c r="AH65" s="23">
        <f t="shared" si="11"/>
        <v>100.75320360582987</v>
      </c>
      <c r="AI65" s="23">
        <f t="shared" si="12"/>
        <v>247.961304764083</v>
      </c>
      <c r="AJ65" s="23">
        <f t="shared" si="13"/>
        <v>391.88484504144418</v>
      </c>
      <c r="AK65" s="23">
        <f t="shared" si="14"/>
        <v>300.57116312405265</v>
      </c>
      <c r="AL65" s="9">
        <f t="shared" si="24"/>
        <v>2.2025535053776579E-2</v>
      </c>
      <c r="AM65" s="9">
        <f t="shared" si="25"/>
        <v>2.2155072861236746E-2</v>
      </c>
      <c r="AN65" s="9">
        <f t="shared" ref="AN65:AO65" si="96">AVERAGE(AL63:AL67)</f>
        <v>2.2335759377740062E-2</v>
      </c>
      <c r="AO65" s="9">
        <f t="shared" si="96"/>
        <v>2.1756461906637981E-2</v>
      </c>
      <c r="AP65" s="23"/>
      <c r="AQ65" s="25">
        <f t="shared" si="1"/>
        <v>391.88484504144418</v>
      </c>
      <c r="AR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0.2663183889073229</v>
      </c>
      <c r="AS65" s="32">
        <f>((C66-C64)/2-(F66-F64)/F65/2*C65)/(F65/2/Parameters!$B$5-C65)-((D66-D64)/D65-(G66-G64)/G65)/(G65/2/Parameters!$B$5/D65-1)</f>
        <v>2.6807897656918378E-2</v>
      </c>
      <c r="AT65" s="32">
        <f>+Parameters!$B$5*C65^2/F65^2-Parameters!$B$5*D65^2/G65^2</f>
        <v>-4.3164627981315722E-3</v>
      </c>
      <c r="AU65" s="30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0.44370679478794256</v>
      </c>
      <c r="AV65" s="30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130.88352221772635</v>
      </c>
      <c r="AW65" s="8">
        <f>1000*(AR65+AS65+AT65)/(EXP(-Parameters!$B$42*A65)*((C65&lt;0)*Parameters!$B$37*EXP(-Parameters!$B$38*AF65)+(C65&gt;=0)*Parameters!$B$41))</f>
        <v>583.67185478103454</v>
      </c>
      <c r="AX65" s="13">
        <f>1-W65/'6states,ExoDamages'!T65</f>
        <v>9.3633892035447808E-2</v>
      </c>
      <c r="AY65" s="21">
        <f>-Y65*W65*X65^(-Parameters!B$52)*Parameters!B$46*Parameters!B$45*N65</f>
        <v>-1.277561710839792E-5</v>
      </c>
      <c r="AZ65" s="7">
        <f>1000*EXP(-(Parameters!$B$54)*'6states'!A65)*AQ65*Parameters!B$46*Parameters!B$45*N65</f>
        <v>1.1411569443433054</v>
      </c>
      <c r="BA65" s="7">
        <f>SUM(AZ65:AZ$204)*EXP(Parameters!$B$54*A65)</f>
        <v>749.60602765713179</v>
      </c>
      <c r="BB65" s="13">
        <f t="shared" si="77"/>
        <v>0.23194826088790269</v>
      </c>
      <c r="BC65" s="30">
        <f>IF(C65&lt;0,Parameters!$B$6*AC65^2/AF65,0)</f>
        <v>0</v>
      </c>
      <c r="BD65" s="30">
        <f>Parameters!$B$5*AD65^2/AG65</f>
        <v>1.8768440878825399</v>
      </c>
      <c r="BE65" s="30">
        <f t="shared" si="15"/>
        <v>0</v>
      </c>
      <c r="BF65" s="30">
        <f t="shared" si="16"/>
        <v>7.391205026959545E-2</v>
      </c>
      <c r="BH65" s="5"/>
      <c r="BI65" s="5"/>
      <c r="BJ65" s="5"/>
      <c r="BM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-0.32770279640627958</v>
      </c>
      <c r="BN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-96.664952482305054</v>
      </c>
      <c r="BO65" s="7">
        <f t="shared" si="59"/>
        <v>5.2552176068334615E-2</v>
      </c>
      <c r="BU65">
        <f>EXP(-Parameters!$B$56*A65)*BH65*BN65</f>
        <v>0</v>
      </c>
      <c r="BV65">
        <f>-EXP((Parameters!$B$56)*F65)*SUM(BU65:BU73)</f>
        <v>0</v>
      </c>
      <c r="BW65">
        <f>X65^-Parameters!B$52/(1-2*Parameters!B$5*'6states'!D65/'6states'!G65)</f>
        <v>1.1440813040788729</v>
      </c>
      <c r="BX65">
        <f t="shared" si="61"/>
        <v>1.0018958997161864</v>
      </c>
      <c r="BY65">
        <f>$X65^-Parameters!$B$52/(1-2*Parameters!$B$5*'6states'!$E65/'6states'!$H65)</f>
        <v>1.1265059155960819</v>
      </c>
      <c r="BZ65">
        <f t="shared" si="62"/>
        <v>0.99887082394727611</v>
      </c>
      <c r="CA65" s="7">
        <f>($X65^-Parameters!$B$52*(1/(1+EXP(-C65)) + IF(C65&lt;0,2*Parameters!$B$6*C65/F65,0)) + BS65*(1/(1+EXP((C65-Parameters!$B$22)*Parameters!$B$21))))/(1-IF(C65&gt;0,2*Parameters!$B$5*C65/F65,0))</f>
        <v>0.52344686195568912</v>
      </c>
      <c r="CB65">
        <f t="shared" si="63"/>
        <v>1.0699887514086899</v>
      </c>
      <c r="CC65" s="7">
        <f t="shared" si="64"/>
        <v>3.4239044334665514E-2</v>
      </c>
      <c r="CD65">
        <f>(1/$T65-1/Parameters!$B$13) * LN(Parameters!$B$18) / LN(P65)</f>
        <v>0.22700531711152447</v>
      </c>
      <c r="CE65">
        <f>(Parameters!$B$18*'6states'!T65^+Parameters!$B$19*Parameters!$B$25^'6states'!T65)^((1-'6states'!T65)/'6states'!T65)*Parameters!$B$18*Parameters!$B$26^('6states'!T65-1)</f>
        <v>0.29709610018471183</v>
      </c>
      <c r="CF65">
        <f t="shared" si="65"/>
        <v>0.21972655535658117</v>
      </c>
      <c r="CG65">
        <f t="shared" si="66"/>
        <v>0.14559340806647703</v>
      </c>
      <c r="CH65">
        <f t="shared" si="67"/>
        <v>0.18611103115897609</v>
      </c>
    </row>
    <row r="66" spans="1:86" x14ac:dyDescent="0.3">
      <c r="A66">
        <f>A65+Parameters!$B$65</f>
        <v>62</v>
      </c>
      <c r="B66">
        <v>2087</v>
      </c>
      <c r="C66" s="74">
        <v>1.9937220289155898E-3</v>
      </c>
      <c r="D66" s="69">
        <v>9.0072829166021801E-2</v>
      </c>
      <c r="E66" s="75">
        <v>0.21351186853829901</v>
      </c>
      <c r="F66" s="7">
        <f>MAX((1-Parameters!$B$4)^Parameters!B$65*F65 + C65*Parameters!B$65 - IF(C65&gt;0,Parameters!$B$5,0)*C65^2/F65*Parameters!B$65, 0.0001)</f>
        <v>6.1026782110044017E-2</v>
      </c>
      <c r="G66" s="7">
        <f>(1-Parameters!$B$4)^Parameters!B$65*G65+D65*Parameters!B$65-Parameters!$B$5*D65^2/G65*Parameters!B$65</f>
        <v>1.1711487717398543</v>
      </c>
      <c r="H66" s="7">
        <f>(1-Parameters!$B$4)^Parameters!B$65*H65+E65*Parameters!B$65-Parameters!$B$5*E65^2/H65*Parameters!B$65</f>
        <v>3.2691710629723834</v>
      </c>
      <c r="I66" s="7">
        <f>I65 *(1-Parameters!$B$4)-C65*(C65&lt;0)*Parameters!B$65</f>
        <v>3.2707956150119636E-3</v>
      </c>
      <c r="J66" s="23">
        <f>J65*(1+Parameters!$B$51)^Parameters!B$65</f>
        <v>9.7647988195675808</v>
      </c>
      <c r="K66" s="23">
        <f>K65*(1+Parameters!$B$53)^Parameters!B$65</f>
        <v>30.901772959260349</v>
      </c>
      <c r="L66" s="23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7.7696832288382733</v>
      </c>
      <c r="M66" s="8">
        <f>M65+L66*Parameters!B$65</f>
        <v>3431.9471552028258</v>
      </c>
      <c r="N66" s="7">
        <f>M66*Parameters!$B$45</f>
        <v>2.0591682931216955</v>
      </c>
      <c r="O66" s="9">
        <f>EXP(-Parameters!$B$46/2*N66^2)</f>
        <v>0.95828145547931853</v>
      </c>
      <c r="P66" s="7">
        <f>MAX((Parameters!$B$62 + Parameters!$B$31*'6states'!A66 - '6states'!M66 + Parameters!$B$47/Parameters!$B$45)/Parameters!B$62,1)</f>
        <v>44.329056895943488</v>
      </c>
      <c r="Q66" s="7">
        <f>Parameters!B$61*EXP(-Parameters!B$60*A66)</f>
        <v>9.3747790673377282E-2</v>
      </c>
      <c r="R66" s="7">
        <f>(1-Parameters!B$61)*P66^-Parameters!B$63</f>
        <v>0.34221666539980489</v>
      </c>
      <c r="S66" s="7">
        <f>Parameters!B$61*EXP(-Parameters!B$60*A66)+(1-Parameters!B$61)*P66^-Parameters!B$63</f>
        <v>0.43596445607318218</v>
      </c>
      <c r="T66" s="7">
        <f>1-S66/Parameters!$B$12</f>
        <v>0.78201777196340894</v>
      </c>
      <c r="U66" s="7">
        <f t="shared" si="0"/>
        <v>4.5875299514423595</v>
      </c>
      <c r="V66" s="7">
        <f>(Parameters!$B$19*(F66+Parameters!$B$20)^T66+Parameters!$B$18*G66^T66)^(1/T66)</f>
        <v>0.34167239007291816</v>
      </c>
      <c r="W66" s="7">
        <f>(Parameters!$B$10*H66^Parameters!$B$9+Parameters!$B$11*V66^Parameters!$B$9)^(Parameters!$B$7/Parameters!$B$9)*O66</f>
        <v>1.3282661410869716</v>
      </c>
      <c r="X66" s="7">
        <f>W66 - D66 - E66 - LN(1+EXP(Parameters!$B$21*C66))/Parameters!$B$21 - IF(C66&gt;0, 0,Parameters!$B$6*C66^2/F66)</f>
        <v>1.0212272022731799</v>
      </c>
      <c r="Y66" s="7">
        <f>EXP(-Parameters!$B$55*A66)</f>
        <v>0.39211504504167288</v>
      </c>
      <c r="Z66" s="7">
        <f>IF(X66&gt;0,X66^(1-Parameters!$B$52)/(1-Parameters!$B$52)*Y66*Parameters!$B$65,-10+X66*1000)</f>
        <v>-1.1121225084649982</v>
      </c>
      <c r="AC66" s="23">
        <f t="shared" si="6"/>
        <v>0.60160481699111845</v>
      </c>
      <c r="AD66" s="23">
        <f t="shared" si="7"/>
        <v>27.179439821794254</v>
      </c>
      <c r="AE66" s="23">
        <f t="shared" si="8"/>
        <v>0.98696125580500105</v>
      </c>
      <c r="AF66" s="23">
        <f t="shared" si="9"/>
        <v>18.414806853911873</v>
      </c>
      <c r="AG66" s="23">
        <f t="shared" si="10"/>
        <v>353.39366886323262</v>
      </c>
      <c r="AH66" s="23">
        <f t="shared" si="11"/>
        <v>103.0995057081945</v>
      </c>
      <c r="AI66" s="23">
        <f t="shared" si="12"/>
        <v>253.73573287010288</v>
      </c>
      <c r="AJ66" s="23">
        <f t="shared" si="13"/>
        <v>400.80377160639705</v>
      </c>
      <c r="AK66" s="23">
        <f t="shared" si="14"/>
        <v>308.1548958277171</v>
      </c>
      <c r="AL66" s="9">
        <f t="shared" si="24"/>
        <v>2.2503925937594538E-2</v>
      </c>
      <c r="AM66" s="9">
        <f t="shared" si="25"/>
        <v>2.4918023429522762E-2</v>
      </c>
      <c r="AN66" s="9">
        <f t="shared" ref="AN66:AO66" si="97">AVERAGE(AL64:AL68)</f>
        <v>2.2352730946443522E-2</v>
      </c>
      <c r="AO66" s="9">
        <f t="shared" si="97"/>
        <v>2.2587524757227938E-2</v>
      </c>
      <c r="AP66" s="23"/>
      <c r="AQ66" s="25">
        <f t="shared" si="1"/>
        <v>400.80377160639711</v>
      </c>
      <c r="AR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0.26827720164582847</v>
      </c>
      <c r="AS66" s="32">
        <f>((C67-C65)/2-(F67-F65)/F66/2*C66)/(F66/2/Parameters!$B$5-C66)-((D67-D65)/D66-(G67-G65)/G66)/(G66/2/Parameters!$B$5/D66-1)</f>
        <v>-5.2663542294503381E-3</v>
      </c>
      <c r="AT66" s="32">
        <f>+Parameters!$B$5*C66^2/F66^2-Parameters!$B$5*D66^2/G66^2</f>
        <v>-4.8478144922416968E-3</v>
      </c>
      <c r="AU66" s="30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0.4406403908806637</v>
      </c>
      <c r="AV66" s="30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132.96305998025366</v>
      </c>
      <c r="AW66" s="8">
        <f>1000*(AR66+AS66+AT66)/(EXP(-Parameters!$B$42*A66)*((C66&lt;0)*Parameters!$B$37*EXP(-Parameters!$B$38*AF66)+(C66&gt;=0)*Parameters!$B$41))</f>
        <v>526.97958311169975</v>
      </c>
      <c r="AX66" s="13">
        <f>1-W66/'6states,ExoDamages'!T66</f>
        <v>9.3606884448105054E-2</v>
      </c>
      <c r="AY66" s="21">
        <f>-Y66*W66*X66^(-Parameters!B$52)*Parameters!B$46*Parameters!B$45*N66</f>
        <v>-1.2572526300257282E-5</v>
      </c>
      <c r="AZ66" s="7">
        <f>1000*EXP(-(Parameters!$B$54)*'6states'!A66)*AQ66*Parameters!B$46*Parameters!B$45*N66</f>
        <v>1.1294299453710281</v>
      </c>
      <c r="BA66" s="7">
        <f>SUM(AZ66:AZ$204)*EXP(Parameters!$B$54*A66)</f>
        <v>766.32767511374016</v>
      </c>
      <c r="BB66" s="13">
        <f t="shared" si="77"/>
        <v>0.23005812636552622</v>
      </c>
      <c r="BC66" s="30">
        <f>IF(C66&lt;0,Parameters!$B$6*AC66^2/AF66,0)</f>
        <v>0</v>
      </c>
      <c r="BD66" s="30">
        <f>Parameters!$B$5*AD66^2/AG66</f>
        <v>2.0903655444728102</v>
      </c>
      <c r="BE66" s="30">
        <f t="shared" si="15"/>
        <v>0</v>
      </c>
      <c r="BF66" s="30">
        <f t="shared" si="16"/>
        <v>7.6909809700957052E-2</v>
      </c>
      <c r="BH66" s="5"/>
      <c r="BI66" s="5"/>
      <c r="BJ66" s="5"/>
      <c r="BM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-0.34917729468548558</v>
      </c>
      <c r="BN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-105.36410764391928</v>
      </c>
      <c r="BO66" s="7">
        <f t="shared" si="59"/>
        <v>5.0869655292432182E-2</v>
      </c>
      <c r="BU66">
        <f>EXP(-Parameters!$B$56*A66)*BH66*BN66</f>
        <v>0</v>
      </c>
      <c r="BV66">
        <f>-EXP((Parameters!$B$56)*F66)*SUM(BU66:BU74)</f>
        <v>0</v>
      </c>
      <c r="BW66">
        <f>X66^-Parameters!B$52/(1-2*Parameters!B$5*'6states'!D66/'6states'!G66)</f>
        <v>1.1487402617836389</v>
      </c>
      <c r="BX66">
        <f t="shared" si="61"/>
        <v>1.0040722260630917</v>
      </c>
      <c r="BY66">
        <f>$X66^-Parameters!$B$52/(1-2*Parameters!$B$5*'6states'!$E66/'6states'!$H66)</f>
        <v>1.1180876596616411</v>
      </c>
      <c r="BZ66">
        <f t="shared" si="62"/>
        <v>0.99252710898549845</v>
      </c>
      <c r="CA66" s="7">
        <f>($X66^-Parameters!$B$52*(1/(1+EXP(-C66)) + IF(C66&lt;0,2*Parameters!$B$6*C66/F66,0)) + BS66*(1/(1+EXP((C66-Parameters!$B$22)*Parameters!$B$21))))/(1-IF(C66&gt;0,2*Parameters!$B$5*C66/F66,0))</f>
        <v>0.52051530990624717</v>
      </c>
      <c r="CB66">
        <f t="shared" si="63"/>
        <v>0.994399523117802</v>
      </c>
      <c r="CC66" s="7">
        <f t="shared" si="64"/>
        <v>-2.9315520494419545E-3</v>
      </c>
      <c r="CD66">
        <f>(1/$T66-1/Parameters!$B$13) * LN(Parameters!$B$18) / LN(P66)</f>
        <v>0.22660848741095851</v>
      </c>
      <c r="CE66">
        <f>(Parameters!$B$18*'6states'!T66^+Parameters!$B$19*Parameters!$B$25^'6states'!T66)^((1-'6states'!T66)/'6states'!T66)*Parameters!$B$18*Parameters!$B$26^('6states'!T66-1)</f>
        <v>0.29750391605121268</v>
      </c>
      <c r="CF66">
        <f t="shared" si="65"/>
        <v>0.21888819308979937</v>
      </c>
      <c r="CG66">
        <f t="shared" si="66"/>
        <v>0.14535836147865122</v>
      </c>
      <c r="CH66">
        <f t="shared" si="67"/>
        <v>0.1863410658631558</v>
      </c>
    </row>
    <row r="67" spans="1:86" x14ac:dyDescent="0.3">
      <c r="A67">
        <f>A66+Parameters!$B$65</f>
        <v>63</v>
      </c>
      <c r="B67">
        <v>2088</v>
      </c>
      <c r="C67" s="74">
        <v>1.8814012068322601E-3</v>
      </c>
      <c r="D67" s="69">
        <v>8.8835365685437304E-2</v>
      </c>
      <c r="E67" s="75">
        <v>0.216103143549118</v>
      </c>
      <c r="F67" s="7">
        <f>MAX((1-Parameters!$B$4)^Parameters!B$65*F66 + C66*Parameters!B$65 - IF(C66&gt;0,Parameters!$B$5,0)*C66^2/F66*Parameters!B$65, 0.0001)</f>
        <v>5.9116785395079925E-2</v>
      </c>
      <c r="G67" s="7">
        <f>(1-Parameters!$B$4)^Parameters!B$65*G66+D66*Parameters!B$65-Parameters!$B$5*D66^2/G66*Parameters!B$65</f>
        <v>1.1806288590130538</v>
      </c>
      <c r="H67" s="7">
        <f>(1-Parameters!$B$4)^Parameters!B$65*H66+E66*Parameters!B$65-Parameters!$B$5*E66^2/H66*Parameters!B$65</f>
        <v>3.2631074608818551</v>
      </c>
      <c r="I67" s="7">
        <f>I66 *(1-Parameters!$B$4)-C66*(C66&lt;0)*Parameters!B$65</f>
        <v>3.0650625708277114E-3</v>
      </c>
      <c r="J67" s="23">
        <f>J66*(1+Parameters!$B$51)^Parameters!B$65</f>
        <v>9.7931167361443254</v>
      </c>
      <c r="K67" s="23">
        <f>K66*(1+Parameters!$B$53)^Parameters!B$65</f>
        <v>31.519808418445557</v>
      </c>
      <c r="L67" s="23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7.6341131640472506</v>
      </c>
      <c r="M67" s="8">
        <f>M66+L67*Parameters!B$65</f>
        <v>3439.5812683668732</v>
      </c>
      <c r="N67" s="7">
        <f>M67*Parameters!$B$45</f>
        <v>2.0637487610201237</v>
      </c>
      <c r="O67" s="9">
        <f>EXP(-Parameters!$B$46/2*N67^2)</f>
        <v>0.95809959749437767</v>
      </c>
      <c r="P67" s="7">
        <f>MAX((Parameters!$B$62 + Parameters!$B$31*'6states'!A67 - '6states'!M67 + Parameters!$B$47/Parameters!$B$45)/Parameters!B$62,1)</f>
        <v>45.240374632662544</v>
      </c>
      <c r="Q67" s="7">
        <f>Parameters!B$61*EXP(-Parameters!B$60*A67)</f>
        <v>9.1250465920002147E-2</v>
      </c>
      <c r="R67" s="7">
        <f>(1-Parameters!B$61)*P67^-Parameters!B$63</f>
        <v>0.34152097768799461</v>
      </c>
      <c r="S67" s="7">
        <f>Parameters!B$61*EXP(-Parameters!B$60*A67)+(1-Parameters!B$61)*P67^-Parameters!B$63</f>
        <v>0.43277144360799674</v>
      </c>
      <c r="T67" s="7">
        <f>1-S67/Parameters!$B$12</f>
        <v>0.7836142781960016</v>
      </c>
      <c r="U67" s="7">
        <f t="shared" si="0"/>
        <v>4.6213770098278353</v>
      </c>
      <c r="V67" s="7">
        <f>(Parameters!$B$19*(F67+Parameters!$B$20)^T67+Parameters!$B$18*G67^T67)^(1/T67)</f>
        <v>0.34246445550115134</v>
      </c>
      <c r="W67" s="7">
        <f>(Parameters!$B$10*H67^Parameters!$B$9+Parameters!$B$11*V67^Parameters!$B$9)^(Parameters!$B$7/Parameters!$B$9)*O67</f>
        <v>1.327802605929403</v>
      </c>
      <c r="X67" s="7">
        <f>W67 - D67 - E67 - LN(1+EXP(Parameters!$B$21*C67))/Parameters!$B$21 - IF(C67&gt;0, 0,Parameters!$B$6*C67^2/F67)</f>
        <v>1.0194818932360723</v>
      </c>
      <c r="Y67" s="7">
        <f>EXP(-Parameters!$B$55*A67)</f>
        <v>0.38623858677860945</v>
      </c>
      <c r="Z67" s="7">
        <f>IF(X67&gt;0,X67^(1-Parameters!$B$52)/(1-Parameters!$B$52)*Y67*Parameters!$B$65,-10+X67*1000)</f>
        <v>-1.0961116259618464</v>
      </c>
      <c r="AC67" s="23">
        <f t="shared" si="6"/>
        <v>0.5807455876345935</v>
      </c>
      <c r="AD67" s="23">
        <f t="shared" si="7"/>
        <v>27.42144868429595</v>
      </c>
      <c r="AE67" s="23">
        <f t="shared" si="8"/>
        <v>0.94611481983111012</v>
      </c>
      <c r="AF67" s="23">
        <f t="shared" si="9"/>
        <v>18.248001621694911</v>
      </c>
      <c r="AG67" s="23">
        <f t="shared" si="10"/>
        <v>364.43316716072752</v>
      </c>
      <c r="AH67" s="23">
        <f t="shared" si="11"/>
        <v>105.71095666981208</v>
      </c>
      <c r="AI67" s="23">
        <f t="shared" si="12"/>
        <v>260.16271250544463</v>
      </c>
      <c r="AJ67" s="23">
        <f t="shared" si="13"/>
        <v>409.86234187738876</v>
      </c>
      <c r="AK67" s="23">
        <f t="shared" si="14"/>
        <v>314.69077888339893</v>
      </c>
      <c r="AL67" s="9">
        <f t="shared" si="24"/>
        <v>2.2349391880648106E-2</v>
      </c>
      <c r="AM67" s="9">
        <f t="shared" si="25"/>
        <v>2.0987937260033007E-2</v>
      </c>
      <c r="AN67" s="9">
        <f t="shared" ref="AN67:AO67" si="98">AVERAGE(AL65:AL69)</f>
        <v>2.2258004284030797E-2</v>
      </c>
      <c r="AO67" s="9">
        <f t="shared" si="98"/>
        <v>2.1805072998272834E-2</v>
      </c>
      <c r="AP67" s="23"/>
      <c r="AQ67" s="25">
        <f t="shared" si="1"/>
        <v>409.86234187738881</v>
      </c>
      <c r="AR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0.26612153704469249</v>
      </c>
      <c r="AS67" s="32">
        <f>((C68-C66)/2-(F68-F66)/F67/2*C67)/(F67/2/Parameters!$B$5-C67)-((D68-D66)/D67-(G68-G66)/G67)/(G67/2/Parameters!$B$5/D67-1)</f>
        <v>-2.3343598259077739E-2</v>
      </c>
      <c r="AT67" s="32">
        <f>+Parameters!$B$5*C67^2/F67^2-Parameters!$B$5*D67^2/G67^2</f>
        <v>-4.6488349621880351E-3</v>
      </c>
      <c r="AU67" s="30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0.43755561908156837</v>
      </c>
      <c r="AV67" s="30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135.06342730277589</v>
      </c>
      <c r="AW67" s="8">
        <f>1000*(AR67+AS67+AT67)/(EXP(-Parameters!$B$42*A67)*((C67&lt;0)*Parameters!$B$37*EXP(-Parameters!$B$38*AF67)+(C67&gt;=0)*Parameters!$B$41))</f>
        <v>490.9702276449575</v>
      </c>
      <c r="AX67" s="13">
        <f>1-W67/'6states,ExoDamages'!T67</f>
        <v>9.3725179297179162E-2</v>
      </c>
      <c r="AY67" s="21">
        <f>-Y67*W67*X67^(-Parameters!B$52)*Parameters!B$46*Parameters!B$45*N67</f>
        <v>-1.2436007110916129E-5</v>
      </c>
      <c r="AZ67" s="7">
        <f>1000*EXP(-(Parameters!$B$54)*'6states'!A67)*AQ67*Parameters!B$46*Parameters!B$45*N67</f>
        <v>1.1176009511420109</v>
      </c>
      <c r="BA67" s="7">
        <f>SUM(AZ67:AZ$204)*EXP(Parameters!$B$54*A67)</f>
        <v>783.3944541156917</v>
      </c>
      <c r="BB67" s="13">
        <f t="shared" si="77"/>
        <v>0.23107343596951838</v>
      </c>
      <c r="BC67" s="30">
        <f>IF(C67&lt;0,Parameters!$B$6*AC67^2/AF67,0)</f>
        <v>0</v>
      </c>
      <c r="BD67" s="30">
        <f>Parameters!$B$5*AD67^2/AG67</f>
        <v>2.0633024535163855</v>
      </c>
      <c r="BE67" s="30">
        <f t="shared" si="15"/>
        <v>0</v>
      </c>
      <c r="BF67" s="30">
        <f t="shared" si="16"/>
        <v>7.5244108262523077E-2</v>
      </c>
      <c r="BH67" s="5"/>
      <c r="BI67" s="5"/>
      <c r="BJ67" s="5"/>
      <c r="BM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-0.37035936356802795</v>
      </c>
      <c r="BN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-114.32147776360215</v>
      </c>
      <c r="BO67" s="7">
        <f t="shared" si="59"/>
        <v>4.9291918318480808E-2</v>
      </c>
      <c r="BU67">
        <f>EXP(-Parameters!$B$56*A67)*BH67*BN67</f>
        <v>0</v>
      </c>
      <c r="BV67">
        <f>-EXP((Parameters!$B$56)*F67)*SUM(BU67:BU75)</f>
        <v>0</v>
      </c>
      <c r="BW67">
        <f>X67^-Parameters!B$52/(1-2*Parameters!B$5*'6states'!D67/'6states'!G67)</f>
        <v>1.1468807017507698</v>
      </c>
      <c r="BX67">
        <f t="shared" si="61"/>
        <v>0.99838121802226931</v>
      </c>
      <c r="BY67">
        <f>$X67^-Parameters!$B$52/(1-2*Parameters!$B$5*'6states'!$E67/'6states'!$H67)</f>
        <v>1.1230376598105309</v>
      </c>
      <c r="BZ67">
        <f t="shared" si="62"/>
        <v>1.004427202202006</v>
      </c>
      <c r="CA67" s="7">
        <f>($X67^-Parameters!$B$52*(1/(1+EXP(-C67)) + IF(C67&lt;0,2*Parameters!$B$6*C67/F67,0)) + BS67*(1/(1+EXP((C67-Parameters!$B$22)*Parameters!$B$21))))/(1-IF(C67&gt;0,2*Parameters!$B$5*C67/F67,0))</f>
        <v>0.52074839493335634</v>
      </c>
      <c r="CB67">
        <f t="shared" si="63"/>
        <v>1.0004477966789318</v>
      </c>
      <c r="CC67" s="7">
        <f t="shared" si="64"/>
        <v>2.3308502710917001E-4</v>
      </c>
      <c r="CD67">
        <f>(1/$T67-1/Parameters!$B$13) * LN(Parameters!$B$18) / LN(P67)</f>
        <v>0.22621294934845546</v>
      </c>
      <c r="CE67">
        <f>(Parameters!$B$18*'6states'!T67^+Parameters!$B$19*Parameters!$B$25^'6states'!T67)^((1-'6states'!T67)/'6states'!T67)*Parameters!$B$18*Parameters!$B$26^('6states'!T67-1)</f>
        <v>0.29789518024122003</v>
      </c>
      <c r="CF67">
        <f t="shared" si="65"/>
        <v>0.21806448008707918</v>
      </c>
      <c r="CG67">
        <f t="shared" si="66"/>
        <v>0.14512401559647004</v>
      </c>
      <c r="CH67">
        <f t="shared" si="67"/>
        <v>0.18656170323216592</v>
      </c>
    </row>
    <row r="68" spans="1:86" x14ac:dyDescent="0.3">
      <c r="A68">
        <f>A67+Parameters!$B$65</f>
        <v>64</v>
      </c>
      <c r="B68">
        <v>2089</v>
      </c>
      <c r="C68" s="74">
        <v>2.9673729294583002E-4</v>
      </c>
      <c r="D68" s="69">
        <v>8.8809899155820493E-2</v>
      </c>
      <c r="E68" s="75">
        <v>0.21585024665708299</v>
      </c>
      <c r="F68" s="7">
        <f>MAX((1-Parameters!$B$4)^Parameters!B$65*F67 + C67*Parameters!B$65 - IF(C67&gt;0,Parameters!$B$5,0)*C67^2/F67*Parameters!B$65, 0.0001)</f>
        <v>5.7219864904444945E-2</v>
      </c>
      <c r="G68" s="7">
        <f>(1-Parameters!$B$4)^Parameters!B$65*G67+D67*Parameters!B$65-Parameters!$B$5*D67^2/G67*Parameters!B$65</f>
        <v>1.1885183315933943</v>
      </c>
      <c r="H68" s="7">
        <f>(1-Parameters!$B$4)^Parameters!B$65*H67+E67*Parameters!B$65-Parameters!$B$5*E67^2/H67*Parameters!B$65</f>
        <v>3.2596494593598817</v>
      </c>
      <c r="I68" s="7">
        <f>I67 *(1-Parameters!$B$4)-C67*(C67&lt;0)*Parameters!B$65</f>
        <v>2.8722701351226484E-3</v>
      </c>
      <c r="J68" s="23">
        <f>J67*(1+Parameters!$B$51)^Parameters!B$65</f>
        <v>9.821516774679143</v>
      </c>
      <c r="K68" s="23">
        <f>K67*(1+Parameters!$B$53)^Parameters!B$65</f>
        <v>32.150204586814468</v>
      </c>
      <c r="L68" s="23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7.4948801794775406</v>
      </c>
      <c r="M68" s="8">
        <f>M67+L68*Parameters!B$65</f>
        <v>3447.0761485463509</v>
      </c>
      <c r="N68" s="7">
        <f>M68*Parameters!$B$45</f>
        <v>2.0682456891278105</v>
      </c>
      <c r="O68" s="9">
        <f>EXP(-Parameters!$B$46/2*N68^2)</f>
        <v>0.95792069687518255</v>
      </c>
      <c r="P68" s="7">
        <f>MAX((Parameters!$B$62 + Parameters!$B$31*'6states'!A68 - '6states'!M68 + Parameters!$B$47/Parameters!$B$45)/Parameters!B$62,1)</f>
        <v>46.154477029072986</v>
      </c>
      <c r="Q68" s="7">
        <f>Parameters!B$61*EXP(-Parameters!B$60*A68)</f>
        <v>8.8819666797567476E-2</v>
      </c>
      <c r="R68" s="7">
        <f>(1-Parameters!B$61)*P68^-Parameters!B$63</f>
        <v>0.34083848081133516</v>
      </c>
      <c r="S68" s="7">
        <f>Parameters!B$61*EXP(-Parameters!B$60*A68)+(1-Parameters!B$61)*P68^-Parameters!B$63</f>
        <v>0.42965814760890264</v>
      </c>
      <c r="T68" s="7">
        <f>1-S68/Parameters!$B$12</f>
        <v>0.78517092619554862</v>
      </c>
      <c r="U68" s="7">
        <f t="shared" si="0"/>
        <v>4.6548634330111769</v>
      </c>
      <c r="V68" s="7">
        <f>(Parameters!$B$19*(F68+Parameters!$B$20)^T68+Parameters!$B$18*G68^T68)^(1/T68)</f>
        <v>0.34289111947174133</v>
      </c>
      <c r="W68" s="7">
        <f>(Parameters!$B$10*H68^Parameters!$B$9+Parameters!$B$11*V68^Parameters!$B$9)^(Parameters!$B$7/Parameters!$B$9)*O68</f>
        <v>1.3274215783636989</v>
      </c>
      <c r="X68" s="7">
        <f>W68 - D68 - E68 - LN(1+EXP(Parameters!$B$21*C68))/Parameters!$B$21 - IF(C68&gt;0, 0,Parameters!$B$6*C68^2/F68)</f>
        <v>1.0202992724039046</v>
      </c>
      <c r="Y68" s="7">
        <f>EXP(-Parameters!$B$55*A68)</f>
        <v>0.38045019644906247</v>
      </c>
      <c r="Z68" s="7">
        <f>IF(X68&gt;0,X68^(1-Parameters!$B$52)/(1-Parameters!$B$52)*Y68*Parameters!$B$65,-10+X68*1000)</f>
        <v>-1.0793818633110692</v>
      </c>
      <c r="AC68" s="23">
        <f t="shared" si="6"/>
        <v>9.3698887405861603E-2</v>
      </c>
      <c r="AD68" s="23">
        <f t="shared" si="7"/>
        <v>28.042948895696213</v>
      </c>
      <c r="AE68" s="23">
        <f t="shared" si="8"/>
        <v>0.90695885683369715</v>
      </c>
      <c r="AF68" s="23">
        <f t="shared" si="9"/>
        <v>18.067960470472244</v>
      </c>
      <c r="AG68" s="23">
        <f t="shared" si="10"/>
        <v>375.29103344654914</v>
      </c>
      <c r="AH68" s="23">
        <f t="shared" si="11"/>
        <v>108.27259383847534</v>
      </c>
      <c r="AI68" s="23">
        <f t="shared" si="12"/>
        <v>266.46709660382942</v>
      </c>
      <c r="AJ68" s="23">
        <f t="shared" si="13"/>
        <v>419.15164682019514</v>
      </c>
      <c r="AK68" s="23">
        <f t="shared" si="14"/>
        <v>322.17354851554876</v>
      </c>
      <c r="AL68" s="9">
        <f t="shared" si="24"/>
        <v>2.2411428225434626E-2</v>
      </c>
      <c r="AM68" s="9">
        <f t="shared" si="25"/>
        <v>2.3499868548091385E-2</v>
      </c>
      <c r="AN68" s="9">
        <f t="shared" ref="AN68:AO68" si="99">AVERAGE(AL66:AL70)</f>
        <v>2.2373264552895657E-2</v>
      </c>
      <c r="AO68" s="9">
        <f t="shared" si="99"/>
        <v>2.2403855629351453E-2</v>
      </c>
      <c r="AP68" s="23"/>
      <c r="AQ68" s="25">
        <f t="shared" ref="AQ68:AQ131" si="100">W68*K68*J68</f>
        <v>419.15164682019508</v>
      </c>
      <c r="AR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0.28435446702214401</v>
      </c>
      <c r="AS68" s="32">
        <f>((C69-C67)/2-(F69-F67)/F68/2*C68)/(F68/2/Parameters!$B$5-C68)-((D69-D67)/D68-(G69-G67)/G68)/(G68/2/Parameters!$B$5/D68-1)</f>
        <v>2.5680378248228619E-3</v>
      </c>
      <c r="AT68" s="32">
        <f>+Parameters!$B$5*C68^2/F68^2-Parameters!$B$5*D68^2/G68^2</f>
        <v>-5.5566636898611733E-3</v>
      </c>
      <c r="AU68" s="30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0.43446290221346734</v>
      </c>
      <c r="AV68" s="30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137.18764551766327</v>
      </c>
      <c r="AW68" s="8">
        <f>1000*(AR68+AS68+AT68)/(EXP(-Parameters!$B$42*A68)*((C68&lt;0)*Parameters!$B$37*EXP(-Parameters!$B$38*AF68)+(C68&gt;=0)*Parameters!$B$41))</f>
        <v>585.94519337990232</v>
      </c>
      <c r="AX68" s="13">
        <f>1-W68/'6states,ExoDamages'!T68</f>
        <v>9.3792410012546346E-2</v>
      </c>
      <c r="AY68" s="21">
        <f>-Y68*W68*X68^(-Parameters!B$52)*Parameters!B$46*Parameters!B$45*N68</f>
        <v>-1.2259532028746405E-5</v>
      </c>
      <c r="AZ68" s="7">
        <f>1000*EXP(-(Parameters!$B$54)*'6states'!A68)*AQ68*Parameters!B$46*Parameters!B$45*N68</f>
        <v>1.1059143370056608</v>
      </c>
      <c r="BA68" s="7">
        <f>SUM(AZ68:AZ$204)*EXP(Parameters!$B$54*A68)</f>
        <v>800.81447176293091</v>
      </c>
      <c r="BB68" s="13">
        <f t="shared" si="77"/>
        <v>0.22973627073455222</v>
      </c>
      <c r="BC68" s="30">
        <f>IF(C68&lt;0,Parameters!$B$6*AC68^2/AF68,0)</f>
        <v>0</v>
      </c>
      <c r="BD68" s="30">
        <f>Parameters!$B$5*AD68^2/AG68</f>
        <v>2.095459024279176</v>
      </c>
      <c r="BE68" s="30">
        <f t="shared" si="15"/>
        <v>0</v>
      </c>
      <c r="BF68" s="30">
        <f t="shared" si="16"/>
        <v>7.4723205183345354E-2</v>
      </c>
      <c r="BH68" s="5"/>
      <c r="BI68" s="5"/>
      <c r="BJ68" s="5"/>
      <c r="BM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-0.39139411995082796</v>
      </c>
      <c r="BN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-123.58808430352461</v>
      </c>
      <c r="BO68" s="7">
        <f t="shared" ref="BO68:BO99" si="101">I68/(F68+I68)</f>
        <v>4.7797771426017828E-2</v>
      </c>
      <c r="BU68">
        <f>EXP(-Parameters!$B$56*A68)*BH68*BN68</f>
        <v>0</v>
      </c>
      <c r="BV68">
        <f>-EXP((Parameters!$B$56)*F68)*SUM(BU68:BU76)</f>
        <v>0</v>
      </c>
      <c r="BW68">
        <f>X68^-Parameters!B$52/(1-2*Parameters!B$5*'6states'!D68/'6states'!G68)</f>
        <v>1.1442372696429062</v>
      </c>
      <c r="BX68">
        <f t="shared" si="61"/>
        <v>0.99769511152831469</v>
      </c>
      <c r="BY68">
        <f>$X68^-Parameters!$B$52/(1-2*Parameters!$B$5*'6states'!$E68/'6states'!$H68)</f>
        <v>1.1218043045800057</v>
      </c>
      <c r="BZ68">
        <f t="shared" si="62"/>
        <v>0.99890176859186242</v>
      </c>
      <c r="CA68" s="7">
        <f>($X68^-Parameters!$B$52*(1/(1+EXP(-C68)) + IF(C68&lt;0,2*Parameters!$B$6*C68/F68,0)) + BS68*(1/(1+EXP((C68-Parameters!$B$22)*Parameters!$B$21))))/(1-IF(C68&gt;0,2*Parameters!$B$5*C68/F68,0))</f>
        <v>0.49179052396281486</v>
      </c>
      <c r="CB68">
        <f t="shared" si="63"/>
        <v>0.94439181905832392</v>
      </c>
      <c r="CC68" s="7">
        <f t="shared" si="64"/>
        <v>-2.8957870970541477E-2</v>
      </c>
      <c r="CD68">
        <f>(1/$T68-1/Parameters!$B$13) * LN(Parameters!$B$18) / LN(P68)</f>
        <v>0.22581858215549219</v>
      </c>
      <c r="CE68">
        <f>(Parameters!$B$18*'6states'!T68^+Parameters!$B$19*Parameters!$B$25^'6states'!T68)^((1-'6states'!T68)/'6states'!T68)*Parameters!$B$18*Parameters!$B$26^('6states'!T68-1)</f>
        <v>0.29827068282087038</v>
      </c>
      <c r="CF68">
        <f t="shared" si="65"/>
        <v>0.2172548639901388</v>
      </c>
      <c r="CG68">
        <f t="shared" si="66"/>
        <v>0.14489029945020548</v>
      </c>
      <c r="CH68">
        <f t="shared" si="67"/>
        <v>0.18677339622535571</v>
      </c>
    </row>
    <row r="69" spans="1:86" s="4" customFormat="1" x14ac:dyDescent="0.3">
      <c r="A69" s="4">
        <f>A68+Parameters!$B$65</f>
        <v>65</v>
      </c>
      <c r="B69">
        <v>2090</v>
      </c>
      <c r="C69" s="74">
        <v>1.67431971180878E-3</v>
      </c>
      <c r="D69" s="69">
        <v>8.7073350543434999E-2</v>
      </c>
      <c r="E69" s="75">
        <v>0.22119639633979701</v>
      </c>
      <c r="F69" s="7">
        <f>MAX((1-Parameters!$B$4)^Parameters!B$65*F68 + C68*Parameters!B$65 - IF(C68&gt;0,Parameters!$B$5,0)*C68^2/F68*Parameters!B$65, 0.0001)</f>
        <v>5.3915933840848113E-2</v>
      </c>
      <c r="G69" s="16">
        <f>(1-Parameters!$B$4)^Parameters!B$65*G68+D68*Parameters!B$65-Parameters!$B$5*D68^2/G68*Parameters!B$65</f>
        <v>1.1959342673750579</v>
      </c>
      <c r="H69" s="16">
        <f>(1-Parameters!$B$4)^Parameters!B$65*H68+E68*Parameters!B$65-Parameters!$B$5*E68^2/H68*Parameters!B$65</f>
        <v>3.2561743993839767</v>
      </c>
      <c r="I69" s="7">
        <f>I68 *(1-Parameters!$B$4)-C68*(C68&lt;0)*Parameters!B$65</f>
        <v>2.6916043436234342E-3</v>
      </c>
      <c r="J69" s="44">
        <f>J68*(1+Parameters!$B$51)^Parameters!B$65</f>
        <v>9.8499991733257115</v>
      </c>
      <c r="K69" s="44">
        <f>K68*(1+Parameters!$B$53)^Parameters!B$65</f>
        <v>32.793208678550755</v>
      </c>
      <c r="L69" s="23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7.1542329485202147</v>
      </c>
      <c r="M69" s="25">
        <f>M68+L69*Parameters!B$65</f>
        <v>3454.2303814948709</v>
      </c>
      <c r="N69" s="16">
        <f>M69*Parameters!$B$45</f>
        <v>2.0725382288969225</v>
      </c>
      <c r="O69" s="9">
        <f>EXP(-Parameters!$B$46/2*N69^2)</f>
        <v>0.95774959541150351</v>
      </c>
      <c r="P69" s="7">
        <f>MAX((Parameters!$B$62 + Parameters!$B$31*'6states'!A69 - '6states'!M69 + Parameters!$B$47/Parameters!$B$45)/Parameters!B$62,1)</f>
        <v>47.075392370102584</v>
      </c>
      <c r="Q69" s="7">
        <f>Parameters!B$61*EXP(-Parameters!B$60*A69)</f>
        <v>8.6453621145858195E-2</v>
      </c>
      <c r="R69" s="7">
        <f>(1-Parameters!B$61)*P69^-Parameters!B$63</f>
        <v>0.34016576995096137</v>
      </c>
      <c r="S69" s="7">
        <f>Parameters!B$61*EXP(-Parameters!B$60*A69)+(1-Parameters!B$61)*P69^-Parameters!B$63</f>
        <v>0.42661939109681957</v>
      </c>
      <c r="T69" s="16">
        <f>1-S69/Parameters!$B$12</f>
        <v>0.78669030445159027</v>
      </c>
      <c r="U69" s="16">
        <f t="shared" ref="U69:U132" si="102">1/(1-T69)</f>
        <v>4.6880194424779642</v>
      </c>
      <c r="V69" s="7">
        <f>(Parameters!$B$19*(F69+Parameters!$B$20)^T69+Parameters!$B$18*G69^T69)^(1/T69)</f>
        <v>0.34180090182225631</v>
      </c>
      <c r="W69" s="16">
        <f>(Parameters!$B$10*H69^Parameters!$B$9+Parameters!$B$11*V69^Parameters!$B$9)^(Parameters!$B$7/Parameters!$B$9)*O69</f>
        <v>1.3264944459944246</v>
      </c>
      <c r="X69" s="7">
        <f>W69 - D69 - E69 - LN(1+EXP(Parameters!$B$21*C69))/Parameters!$B$21 - IF(C69&gt;0, 0,Parameters!$B$6*C69^2/F69)</f>
        <v>1.0149730100570256</v>
      </c>
      <c r="Y69" s="16">
        <f>EXP(-Parameters!$B$55*A69)</f>
        <v>0.37474855421707526</v>
      </c>
      <c r="Z69" s="16">
        <f>IF(X69&gt;0,X69^(1-Parameters!$B$52)/(1-Parameters!$B$52)*Y69*Parameters!$B$65,-10+X69*1000)</f>
        <v>-1.0651550944248311</v>
      </c>
      <c r="AC69" s="23">
        <f t="shared" ref="AC69:AC132" si="103">C69*$J69*$K69</f>
        <v>0.54082716429432987</v>
      </c>
      <c r="AD69" s="23">
        <f t="shared" ref="AD69:AD132" si="104">D69*$J69*$K69</f>
        <v>28.125831003410134</v>
      </c>
      <c r="AE69" s="23">
        <f t="shared" ref="AE69:AE132" si="105">I69*J69*K69</f>
        <v>0.86942340479977231</v>
      </c>
      <c r="AF69" s="23">
        <f t="shared" ref="AF69:AF132" si="106">F69*J69*K69</f>
        <v>17.41555176336405</v>
      </c>
      <c r="AG69" s="23">
        <f t="shared" ref="AG69:AG132" si="107">G69*J69*K69</f>
        <v>386.30240923827711</v>
      </c>
      <c r="AH69" s="23">
        <f t="shared" ref="AH69:AH132" si="108">V69*J69*K69</f>
        <v>110.40616148876076</v>
      </c>
      <c r="AI69" s="23">
        <f t="shared" ref="AI69:AI132" si="109">AH69/AH$4*100</f>
        <v>271.71796902707212</v>
      </c>
      <c r="AJ69" s="23">
        <f t="shared" ref="AJ69:AJ132" si="110">W69*J69*K69</f>
        <v>428.47505444723316</v>
      </c>
      <c r="AK69" s="23">
        <f t="shared" ref="AK69:AK132" si="111">X69*J69*K69</f>
        <v>327.84955644547352</v>
      </c>
      <c r="AL69" s="9">
        <f t="shared" si="24"/>
        <v>2.1999740322700134E-2</v>
      </c>
      <c r="AM69" s="9">
        <f t="shared" si="25"/>
        <v>1.746446289248027E-2</v>
      </c>
      <c r="AN69" s="9">
        <f t="shared" ref="AN69:AO69" si="112">AVERAGE(AL67:AL71)</f>
        <v>2.2361809239474263E-2</v>
      </c>
      <c r="AO69" s="9">
        <f t="shared" si="112"/>
        <v>2.1957204900741267E-2</v>
      </c>
      <c r="AP69" s="23"/>
      <c r="AQ69" s="25">
        <f t="shared" si="100"/>
        <v>428.47505444723322</v>
      </c>
      <c r="AR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0.27020747855191884</v>
      </c>
      <c r="AS69" s="42">
        <f>((C70-C68)/2-(F70-F68)/F69/2*C69)/(F69/2/Parameters!$B$5-C69)-((D70-D68)/D69-(G70-G68)/G69)/(G69/2/Parameters!$B$5/D69-1)</f>
        <v>2.7454806060563761E-2</v>
      </c>
      <c r="AT69" s="42">
        <f>+Parameters!$B$5*C69^2/F69^2-Parameters!$B$5*D69^2/G69^2</f>
        <v>-4.3366092736412468E-3</v>
      </c>
      <c r="AU69" s="30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0.43035219417722981</v>
      </c>
      <c r="AV69" s="30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139.00938702637421</v>
      </c>
      <c r="AW69" s="25">
        <f>1000*(AR69+AS69+AT69)/(EXP(-Parameters!$B$42*A69)*((C69&lt;0)*Parameters!$B$37*EXP(-Parameters!$B$38*AF69)+(C69&gt;=0)*Parameters!$B$41))</f>
        <v>616.99074378424234</v>
      </c>
      <c r="AX69" s="43">
        <f>1-W69/'6states,ExoDamages'!T69</f>
        <v>9.4242185989537486E-2</v>
      </c>
      <c r="AY69" s="21">
        <f>-Y69*W69*X69^(-Parameters!B$52)*Parameters!B$46*Parameters!B$45*N69</f>
        <v>-1.2178160494279468E-5</v>
      </c>
      <c r="AZ69" s="16">
        <f>1000*EXP(-(Parameters!$B$54)*'6states'!A69)*AQ69*Parameters!B$46*Parameters!B$45*N69</f>
        <v>1.0937864526959613</v>
      </c>
      <c r="BA69" s="16">
        <f>SUM(AZ69:AZ$204)*EXP(Parameters!$B$54*A69)</f>
        <v>818.59378666194311</v>
      </c>
      <c r="BB69" s="43">
        <f t="shared" si="77"/>
        <v>0.23365651287193068</v>
      </c>
      <c r="BC69" s="30">
        <f>IF(C69&lt;0,Parameters!$B$6*AC69^2/AF69,0)</f>
        <v>0</v>
      </c>
      <c r="BD69" s="30">
        <f>Parameters!$B$5*AD69^2/AG69</f>
        <v>2.0477800570600313</v>
      </c>
      <c r="BE69" s="30">
        <f t="shared" ref="BE69:BE132" si="113">ABS(BC69/AC69)</f>
        <v>0</v>
      </c>
      <c r="BF69" s="30">
        <f t="shared" ref="BF69:BF132" si="114">BD69/AD69</f>
        <v>7.2807806347543899E-2</v>
      </c>
      <c r="BG69" s="16"/>
      <c r="BH69" s="5"/>
      <c r="BI69" s="5"/>
      <c r="BJ69" s="5"/>
      <c r="BK69"/>
      <c r="BL69"/>
      <c r="BM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-0.39174004722022104</v>
      </c>
      <c r="BN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-126.53715857514523</v>
      </c>
      <c r="BO69" s="7">
        <f t="shared" si="101"/>
        <v>4.7548514384287234E-2</v>
      </c>
      <c r="BP69"/>
      <c r="BQ69"/>
      <c r="BR69"/>
      <c r="BS69"/>
      <c r="BU69">
        <f>EXP(-Parameters!$B$56*A69)*BH69*BN69</f>
        <v>0</v>
      </c>
      <c r="BV69">
        <f>-EXP((Parameters!$B$56)*F69)*SUM(BU69:BU77)</f>
        <v>0</v>
      </c>
      <c r="BW69">
        <f>X69^-Parameters!B$52/(1-2*Parameters!B$5*'6states'!D69/'6states'!G69)</f>
        <v>1.1471841285172963</v>
      </c>
      <c r="BX69">
        <f t="shared" ref="BX69:BX100" si="115">BW69/BW68</f>
        <v>1.0025753914442148</v>
      </c>
      <c r="BY69">
        <f>$X69^-Parameters!$B$52/(1-2*Parameters!$B$5*'6states'!$E69/'6states'!$H69)</f>
        <v>1.1342367237382895</v>
      </c>
      <c r="BZ69">
        <f t="shared" ref="BZ69:BZ100" si="116">BY69/BY68</f>
        <v>1.0110825204605882</v>
      </c>
      <c r="CA69" s="7">
        <f>($X69^-Parameters!$B$52*(1/(1+EXP(-C69)) + IF(C69&lt;0,2*Parameters!$B$6*C69/F69,0)) + BS69*(1/(1+EXP((C69-Parameters!$B$22)*Parameters!$B$21))))/(1-IF(C69&gt;0,2*Parameters!$B$5*C69/F69,0))</f>
        <v>0.522958557151047</v>
      </c>
      <c r="CB69">
        <f t="shared" ref="CB69:CB100" si="117">CA69/CA68</f>
        <v>1.0633766444645623</v>
      </c>
      <c r="CC69" s="7">
        <f t="shared" ref="CC69:CC100" si="118">CA69-CA68</f>
        <v>3.1168033188232136E-2</v>
      </c>
      <c r="CD69">
        <f>(1/$T69-1/Parameters!$B$13) * LN(Parameters!$B$18) / LN(P69)</f>
        <v>0.22542108059164431</v>
      </c>
      <c r="CE69">
        <f>(Parameters!$B$18*'6states'!T69^+Parameters!$B$19*Parameters!$B$25^'6states'!T69)^((1-'6states'!T69)/'6states'!T69)*Parameters!$B$18*Parameters!$B$26^('6states'!T69-1)</f>
        <v>0.29863150775868141</v>
      </c>
      <c r="CF69">
        <f t="shared" ref="CF69:CF88" si="119">(LN(CE69)-LN(CE$4))/ LN(P69)</f>
        <v>0.21645439900668911</v>
      </c>
      <c r="CG69">
        <f t="shared" ref="CG69:CG80" si="120">1-2^-CD69</f>
        <v>0.1446546611033962</v>
      </c>
      <c r="CH69">
        <f t="shared" ref="CH69:CH80" si="121">1-2^-CE69</f>
        <v>0.18697676266042884</v>
      </c>
    </row>
    <row r="70" spans="1:86" s="38" customFormat="1" x14ac:dyDescent="0.3">
      <c r="A70" s="38">
        <f>A69+Parameters!$B$65</f>
        <v>66</v>
      </c>
      <c r="B70">
        <v>2091</v>
      </c>
      <c r="C70" s="74">
        <v>1.59418125758827E-3</v>
      </c>
      <c r="D70" s="69">
        <v>9.0424496622490705E-2</v>
      </c>
      <c r="E70" s="75">
        <v>0.21527652662418401</v>
      </c>
      <c r="F70" s="7">
        <f>MAX((1-Parameters!$B$4)^Parameters!B$65*F69 + C69*Parameters!B$65 - IF(C69&gt;0,Parameters!$B$5,0)*C69^2/F69*Parameters!B$65, 0.0001)</f>
        <v>5.214694654558915E-2</v>
      </c>
      <c r="G70" s="39">
        <f>(1-Parameters!$B$4)^Parameters!B$65*G69+D69*Parameters!B$65-Parameters!$B$5*D69^2/G69*Parameters!B$65</f>
        <v>1.2014437328562033</v>
      </c>
      <c r="H70" s="39">
        <f>(1-Parameters!$B$4)^Parameters!B$65*H69+E69*Parameters!B$65-Parameters!$B$5*E69^2/H69*Parameters!B$65</f>
        <v>3.2575312511873862</v>
      </c>
      <c r="I70" s="7">
        <f>I69 *(1-Parameters!$B$4)-C69*(C69&lt;0)*Parameters!B$65</f>
        <v>2.5223024304095202E-3</v>
      </c>
      <c r="J70" s="41">
        <f>J69*(1+Parameters!$B$51)^Parameters!B$65</f>
        <v>9.8785641709283549</v>
      </c>
      <c r="K70" s="41">
        <f>K69*(1+Parameters!$B$53)^Parameters!B$65</f>
        <v>33.449072852121773</v>
      </c>
      <c r="L70" s="23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7.0186343574140393</v>
      </c>
      <c r="M70" s="37">
        <f>M69+L70*Parameters!B$65</f>
        <v>3461.2490158522851</v>
      </c>
      <c r="N70" s="39">
        <f>M70*Parameters!$B$45</f>
        <v>2.076749409511371</v>
      </c>
      <c r="O70" s="9">
        <f>EXP(-Parameters!$B$46/2*N70^2)</f>
        <v>0.9575814220065203</v>
      </c>
      <c r="P70" s="7">
        <f>MAX((Parameters!$B$62 + Parameters!$B$31*'6states'!A70 - '6states'!M70 + Parameters!$B$47/Parameters!$B$45)/Parameters!B$62,1)</f>
        <v>47.999019682954305</v>
      </c>
      <c r="Q70" s="7">
        <f>Parameters!B$61*EXP(-Parameters!B$60*A70)</f>
        <v>8.415060401280719E-2</v>
      </c>
      <c r="R70" s="7">
        <f>(1-Parameters!B$61)*P70^-Parameters!B$63</f>
        <v>0.33950546350905408</v>
      </c>
      <c r="S70" s="7">
        <f>Parameters!B$61*EXP(-Parameters!B$60*A70)+(1-Parameters!B$61)*P70^-Parameters!B$63</f>
        <v>0.42365606752186125</v>
      </c>
      <c r="T70" s="39">
        <f>1-S70/Parameters!$B$12</f>
        <v>0.78817196623906938</v>
      </c>
      <c r="U70" s="39">
        <f t="shared" si="102"/>
        <v>4.7208104718028077</v>
      </c>
      <c r="V70" s="7">
        <f>(Parameters!$B$19*(F70+Parameters!$B$20)^T70+Parameters!$B$18*G70^T70)^(1/T70)</f>
        <v>0.34177755316182212</v>
      </c>
      <c r="W70" s="39">
        <f>(Parameters!$B$10*H70^Parameters!$B$9+Parameters!$B$11*V70^Parameters!$B$9)^(Parameters!$B$7/Parameters!$B$9)*O70</f>
        <v>1.3263663207646701</v>
      </c>
      <c r="X70" s="7">
        <f>W70 - D70 - E70 - LN(1+EXP(Parameters!$B$21*C70))/Parameters!$B$21 - IF(C70&gt;0, 0,Parameters!$B$6*C70^2/F70)</f>
        <v>1.0174633079196846</v>
      </c>
      <c r="Y70" s="39">
        <f>EXP(-Parameters!$B$55*A70)</f>
        <v>0.36913236002650052</v>
      </c>
      <c r="Z70" s="39">
        <f>IF(X70&gt;0,X70^(1-Parameters!$B$52)/(1-Parameters!$B$52)*Y70*Parameters!$B$65,-10+X70*1000)</f>
        <v>-1.0482925761618826</v>
      </c>
      <c r="AC70" s="23">
        <f t="shared" si="103"/>
        <v>0.52676342005829335</v>
      </c>
      <c r="AD70" s="23">
        <f t="shared" si="104"/>
        <v>29.878859051430915</v>
      </c>
      <c r="AE70" s="23">
        <f t="shared" si="105"/>
        <v>0.83344139716828669</v>
      </c>
      <c r="AF70" s="23">
        <f t="shared" si="106"/>
        <v>17.230853629221382</v>
      </c>
      <c r="AG70" s="23">
        <f t="shared" si="107"/>
        <v>396.99162608671787</v>
      </c>
      <c r="AH70" s="23">
        <f t="shared" si="108"/>
        <v>112.93315107407601</v>
      </c>
      <c r="AI70" s="23">
        <f t="shared" si="109"/>
        <v>277.93708278499696</v>
      </c>
      <c r="AJ70" s="23">
        <f t="shared" si="110"/>
        <v>438.26964847969731</v>
      </c>
      <c r="AK70" s="23">
        <f t="shared" si="111"/>
        <v>336.19919272819652</v>
      </c>
      <c r="AL70" s="9">
        <f t="shared" ref="AL70:AL133" si="122">LN(AJ70)-LN(AJ69)</f>
        <v>2.2601836398100872E-2</v>
      </c>
      <c r="AM70" s="9">
        <f t="shared" ref="AM70:AM133" si="123">LN(AK70)-LN(AK69)</f>
        <v>2.5148986016629848E-2</v>
      </c>
      <c r="AN70" s="9">
        <f t="shared" ref="AN70:AO70" si="124">AVERAGE(AL68:AL72)</f>
        <v>2.2330726508034894E-2</v>
      </c>
      <c r="AO70" s="9">
        <f t="shared" si="124"/>
        <v>2.2231975054797459E-2</v>
      </c>
      <c r="AP70" s="23"/>
      <c r="AQ70" s="37">
        <f t="shared" si="100"/>
        <v>438.26964847969731</v>
      </c>
      <c r="AR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0.27245813935354413</v>
      </c>
      <c r="AS70" s="42">
        <f>((C71-C69)/2-(F71-F69)/F70/2*C70)/(F70/2/Parameters!$B$5-C70)-((D71-D69)/D70-(G71-G69)/G70)/(G70/2/Parameters!$B$5/D70-1)</f>
        <v>-2.4321331839659781E-2</v>
      </c>
      <c r="AT70" s="42">
        <f>+Parameters!$B$5*C70^2/F70^2-Parameters!$B$5*D70^2/G70^2</f>
        <v>-4.7299663862971518E-3</v>
      </c>
      <c r="AU70" s="30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0.42728114701851405</v>
      </c>
      <c r="AV70" s="30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141.18600206754746</v>
      </c>
      <c r="AW70" s="37">
        <f>1000*(AR70+AS70+AT70)/(EXP(-Parameters!$B$42*A70)*((C70&lt;0)*Parameters!$B$37*EXP(-Parameters!$B$38*AF70)+(C70&gt;=0)*Parameters!$B$41))</f>
        <v>517.13543158064829</v>
      </c>
      <c r="AX70" s="43">
        <f>1-W70/'6states,ExoDamages'!T70</f>
        <v>9.4151313359980393E-2</v>
      </c>
      <c r="AY70" s="21">
        <f>-Y70*W70*X70^(-Parameters!B$52)*Parameters!B$46*Parameters!B$45*N70</f>
        <v>-1.1979168869887636E-5</v>
      </c>
      <c r="AZ70" s="39">
        <f>1000*EXP(-(Parameters!$B$54)*'6states'!A70)*AQ70*Parameters!B$46*Parameters!B$45*N70</f>
        <v>1.0823960585507231</v>
      </c>
      <c r="BA70" s="39">
        <f>SUM(AZ70:AZ$204)*EXP(Parameters!$B$54*A70)</f>
        <v>836.74440148114275</v>
      </c>
      <c r="BB70" s="43">
        <f t="shared" si="77"/>
        <v>0.23168200194279862</v>
      </c>
      <c r="BC70" s="30">
        <f>IF(C70&lt;0,Parameters!$B$6*AC70^2/AF70,0)</f>
        <v>0</v>
      </c>
      <c r="BD70" s="30">
        <f>Parameters!$B$5*AD70^2/AG70</f>
        <v>2.2487784616904385</v>
      </c>
      <c r="BE70" s="30">
        <f t="shared" si="113"/>
        <v>0</v>
      </c>
      <c r="BF70" s="30">
        <f t="shared" si="114"/>
        <v>7.5263197226493272E-2</v>
      </c>
      <c r="BG70" s="39"/>
      <c r="BH70" s="5"/>
      <c r="BI70" s="5"/>
      <c r="BJ70" s="5"/>
      <c r="BK70"/>
      <c r="BL70"/>
      <c r="BM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-0.41248796442778685</v>
      </c>
      <c r="BN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-136.29790830910807</v>
      </c>
      <c r="BO70" s="7">
        <f t="shared" si="101"/>
        <v>4.6137499191124462E-2</v>
      </c>
      <c r="BP70"/>
      <c r="BQ70"/>
      <c r="BR70"/>
      <c r="BS70"/>
      <c r="BU70">
        <f>EXP(-Parameters!$B$56*A70)*BH70*BN70</f>
        <v>0</v>
      </c>
      <c r="BV70">
        <f>-EXP((Parameters!$B$56)*F70)*SUM(BU70:BU78)</f>
        <v>0</v>
      </c>
      <c r="BW70">
        <f>X70^-Parameters!B$52/(1-2*Parameters!B$5*'6states'!D70/'6states'!G70)</f>
        <v>1.1500051612635576</v>
      </c>
      <c r="BX70">
        <f t="shared" si="115"/>
        <v>1.0024590932494049</v>
      </c>
      <c r="BY70">
        <f>$X70^-Parameters!$B$52/(1-2*Parameters!$B$5*'6states'!$E70/'6states'!$H70)</f>
        <v>1.1256822299506744</v>
      </c>
      <c r="BZ70">
        <f t="shared" si="116"/>
        <v>0.99245792910017872</v>
      </c>
      <c r="CA70" s="7">
        <f>($X70^-Parameters!$B$52*(1/(1+EXP(-C70)) + IF(C70&lt;0,2*Parameters!$B$6*C70/F70,0)) + BS70*(1/(1+EXP((C70-Parameters!$B$22)*Parameters!$B$21))))/(1-IF(C70&gt;0,2*Parameters!$B$5*C70/F70,0))</f>
        <v>0.52067383246964405</v>
      </c>
      <c r="CB70">
        <f t="shared" si="117"/>
        <v>0.99563115537519919</v>
      </c>
      <c r="CC70" s="7">
        <f t="shared" si="118"/>
        <v>-2.2847246814029498E-3</v>
      </c>
      <c r="CD70">
        <f>(1/$T70-1/Parameters!$B$13) * LN(Parameters!$B$18) / LN(P70)</f>
        <v>0.22502500050613397</v>
      </c>
      <c r="CE70">
        <f>(Parameters!$B$18*'6states'!T70^+Parameters!$B$19*Parameters!$B$25^'6states'!T70)^((1-'6states'!T70)/'6states'!T70)*Parameters!$B$18*Parameters!$B$26^('6states'!T70-1)</f>
        <v>0.29897798312659374</v>
      </c>
      <c r="CF70">
        <f t="shared" si="119"/>
        <v>0.21566750478066812</v>
      </c>
      <c r="CG70">
        <f t="shared" si="120"/>
        <v>0.14441980082109118</v>
      </c>
      <c r="CH70">
        <f t="shared" si="121"/>
        <v>0.18717199359599512</v>
      </c>
    </row>
    <row r="71" spans="1:86" x14ac:dyDescent="0.3">
      <c r="A71">
        <f>A70+Parameters!$B$65</f>
        <v>67</v>
      </c>
      <c r="B71">
        <v>2092</v>
      </c>
      <c r="C71" s="74">
        <v>5.1445913262837095E-4</v>
      </c>
      <c r="D71" s="69">
        <v>8.9531958675376097E-2</v>
      </c>
      <c r="E71" s="75">
        <v>0.21647340601492901</v>
      </c>
      <c r="F71" s="7">
        <f>MAX((1-Parameters!$B$4)^Parameters!B$65*F70 + C70*Parameters!B$65 - IF(C70&gt;0,Parameters!$B$5,0)*C70^2/F70*Parameters!B$65, 0.0001)</f>
        <v>5.0412349243330511E-2</v>
      </c>
      <c r="G71" s="7">
        <f>(1-Parameters!$B$4)^Parameters!B$65*G70+D70*Parameters!B$65-Parameters!$B$5*D70^2/G70*Parameters!B$65</f>
        <v>1.2094917819586342</v>
      </c>
      <c r="H71" s="7">
        <f>(1-Parameters!$B$4)^Parameters!B$65*H70+E70*Parameters!B$65-Parameters!$B$5*E70^2/H70*Parameters!B$65</f>
        <v>3.2536823427524055</v>
      </c>
      <c r="I71" s="7">
        <f>I70 *(1-Parameters!$B$4)-C70*(C70&lt;0)*Parameters!B$65</f>
        <v>2.3636496075367616E-3</v>
      </c>
      <c r="J71" s="23">
        <f>J70*(1+Parameters!$B$51)^Parameters!B$65</f>
        <v>9.9072120070240466</v>
      </c>
      <c r="K71" s="23">
        <f>K70*(1+Parameters!$B$53)^Parameters!B$65</f>
        <v>34.118054309164208</v>
      </c>
      <c r="L71" s="23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6.8825083932240139</v>
      </c>
      <c r="M71" s="8">
        <f>M70+L71*Parameters!B$65</f>
        <v>3468.1315242455089</v>
      </c>
      <c r="N71" s="7">
        <f>M71*Parameters!$B$45</f>
        <v>2.0808789145473052</v>
      </c>
      <c r="O71" s="9">
        <f>EXP(-Parameters!$B$46/2*N71^2)</f>
        <v>0.95741620757959356</v>
      </c>
      <c r="P71" s="7">
        <f>MAX((Parameters!$B$62 + Parameters!$B$31*'6states'!A71 - '6states'!M71 + Parameters!$B$47/Parameters!$B$45)/Parameters!B$62,1)</f>
        <v>48.925369515089827</v>
      </c>
      <c r="Q71" s="7">
        <f>Parameters!B$61*EXP(-Parameters!B$60*A71)</f>
        <v>8.1908936396928839E-2</v>
      </c>
      <c r="R71" s="7">
        <f>(1-Parameters!B$61)*P71^-Parameters!B$63</f>
        <v>0.3388571024538784</v>
      </c>
      <c r="S71" s="7">
        <f>Parameters!B$61*EXP(-Parameters!B$60*A71)+(1-Parameters!B$61)*P71^-Parameters!B$63</f>
        <v>0.42076603885080721</v>
      </c>
      <c r="T71" s="7">
        <f>1-S71/Parameters!$B$12</f>
        <v>0.78961698057459639</v>
      </c>
      <c r="U71" s="7">
        <f t="shared" si="102"/>
        <v>4.7532353263642282</v>
      </c>
      <c r="V71" s="7">
        <f>(Parameters!$B$19*(F71+Parameters!$B$20)^T71+Parameters!$B$18*G71^T71)^(1/T71)</f>
        <v>0.3423703471530069</v>
      </c>
      <c r="W71" s="7">
        <f>(Parameters!$B$10*H71^Parameters!$B$9+Parameters!$B$11*V71^Parameters!$B$9)^(Parameters!$B$7/Parameters!$B$9)*O71</f>
        <v>1.3260324089141344</v>
      </c>
      <c r="X71" s="7">
        <f>W71 - D71 - E71 - LN(1+EXP(Parameters!$B$21*C71))/Parameters!$B$21 - IF(C71&gt;0, 0,Parameters!$B$6*C71^2/F71)</f>
        <v>1.0174494088332426</v>
      </c>
      <c r="Y71" s="7">
        <f>EXP(-Parameters!$B$55*A71)</f>
        <v>0.3636003333045692</v>
      </c>
      <c r="Z71" s="7">
        <f>IF(X71&gt;0,X71^(1-Parameters!$B$52)/(1-Parameters!$B$52)*Y71*Parameters!$B$65,-10+X71*1000)</f>
        <v>-1.0325872065966117</v>
      </c>
      <c r="AC71" s="23">
        <f t="shared" si="103"/>
        <v>0.1738947994386541</v>
      </c>
      <c r="AD71" s="23">
        <f t="shared" si="104"/>
        <v>30.263126864249973</v>
      </c>
      <c r="AE71" s="23">
        <f t="shared" si="105"/>
        <v>0.7989485429987907</v>
      </c>
      <c r="AF71" s="23">
        <f t="shared" si="106"/>
        <v>17.040120011306996</v>
      </c>
      <c r="AG71" s="23">
        <f t="shared" si="107"/>
        <v>408.82611952450009</v>
      </c>
      <c r="AH71" s="23">
        <f t="shared" si="108"/>
        <v>115.7262434972104</v>
      </c>
      <c r="AI71" s="23">
        <f t="shared" si="109"/>
        <v>284.8110958861248</v>
      </c>
      <c r="AJ71" s="23">
        <f t="shared" si="110"/>
        <v>448.2185759230166</v>
      </c>
      <c r="AK71" s="23">
        <f t="shared" si="111"/>
        <v>343.91295569796398</v>
      </c>
      <c r="AL71" s="9">
        <f t="shared" si="122"/>
        <v>2.244664937048757E-2</v>
      </c>
      <c r="AM71" s="9">
        <f t="shared" si="123"/>
        <v>2.2684769786471826E-2</v>
      </c>
      <c r="AN71" s="9">
        <f t="shared" ref="AN71:AO71" si="125">AVERAGE(AL69:AL73)</f>
        <v>2.2334278087344651E-2</v>
      </c>
      <c r="AO71" s="9">
        <f t="shared" si="125"/>
        <v>2.1518300422840041E-2</v>
      </c>
      <c r="AP71" s="23"/>
      <c r="AQ71" s="25">
        <f t="shared" si="100"/>
        <v>448.21857592301666</v>
      </c>
      <c r="AR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0.28569662608175345</v>
      </c>
      <c r="AS71" s="32">
        <f>((C72-C70)/2-(F72-F70)/F71/2*C71)/(F71/2/Parameters!$B$5-C71)-((D72-D70)/D71-(G72-G70)/G71)/(G71/2/Parameters!$B$5/D71-1)</f>
        <v>3.0144520082649876E-3</v>
      </c>
      <c r="AT71" s="32">
        <f>+Parameters!$B$5*C71^2/F71^2-Parameters!$B$5*D71^2/G71^2</f>
        <v>-5.3754760796734802E-3</v>
      </c>
      <c r="AU71" s="30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0.42421129640009886</v>
      </c>
      <c r="AV71" s="30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143.38969536846463</v>
      </c>
      <c r="AW71" s="8">
        <f>1000*(AR71+AS71+AT71)/(EXP(-Parameters!$B$42*A71)*((C71&lt;0)*Parameters!$B$37*EXP(-Parameters!$B$38*AF71)+(C71&gt;=0)*Parameters!$B$41))</f>
        <v>608.01683944486967</v>
      </c>
      <c r="AX71" s="13">
        <f>1-W71/'6states,ExoDamages'!T71</f>
        <v>9.4205716412773977E-2</v>
      </c>
      <c r="AY71" s="21">
        <f>-Y71*W71*X71^(-Parameters!B$52)*Parameters!B$46*Parameters!B$45*N71</f>
        <v>-1.1820346741984343E-5</v>
      </c>
      <c r="AZ71" s="7">
        <f>1000*EXP(-(Parameters!$B$54)*'6states'!A71)*AQ71*Parameters!B$46*Parameters!B$45*N71</f>
        <v>1.0709116316910197</v>
      </c>
      <c r="BA71" s="7">
        <f>SUM(AZ71:AZ$204)*EXP(Parameters!$B$54*A71)</f>
        <v>855.2668026658796</v>
      </c>
      <c r="BB71" s="43">
        <f t="shared" si="77"/>
        <v>0.23115560506845936</v>
      </c>
      <c r="BC71" s="30">
        <f>IF(C71&lt;0,Parameters!$B$6*AC71^2/AF71,0)</f>
        <v>0</v>
      </c>
      <c r="BD71" s="30">
        <f>Parameters!$B$5*AD71^2/AG71</f>
        <v>2.2402111897031154</v>
      </c>
      <c r="BE71" s="30">
        <f t="shared" si="113"/>
        <v>0</v>
      </c>
      <c r="BF71" s="30">
        <f t="shared" si="114"/>
        <v>7.4024445648063264E-2</v>
      </c>
      <c r="BH71" s="5"/>
      <c r="BI71" s="5"/>
      <c r="BJ71" s="5"/>
      <c r="BM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-0.4331981209787617</v>
      </c>
      <c r="BN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-146.42737505686435</v>
      </c>
      <c r="BO71" s="7">
        <f t="shared" si="101"/>
        <v>4.4786449503606496E-2</v>
      </c>
      <c r="BU71">
        <f>EXP(-Parameters!$B$56*A71)*BH71*BN71</f>
        <v>0</v>
      </c>
      <c r="BV71">
        <f>-EXP((Parameters!$B$56)*F71)*SUM(BU71:BU79)</f>
        <v>0</v>
      </c>
      <c r="BW71">
        <f>X71^-Parameters!B$52/(1-2*Parameters!B$5*'6states'!D71/'6states'!G71)</f>
        <v>1.1466820533910378</v>
      </c>
      <c r="BX71">
        <f t="shared" si="115"/>
        <v>0.9971103539493088</v>
      </c>
      <c r="BY71">
        <f>$X71^-Parameters!$B$52/(1-2*Parameters!$B$5*'6states'!$E71/'6states'!$H71)</f>
        <v>1.1268613135183889</v>
      </c>
      <c r="BZ71">
        <f t="shared" si="116"/>
        <v>1.0010474390874646</v>
      </c>
      <c r="CA71" s="7">
        <f>($X71^-Parameters!$B$52*(1/(1+EXP(-C71)) + IF(C71&lt;0,2*Parameters!$B$6*C71/F71,0)) + BS71*(1/(1+EXP((C71-Parameters!$B$22)*Parameters!$B$21))))/(1-IF(C71&gt;0,2*Parameters!$B$5*C71/F71,0))</f>
        <v>0.49876396376678395</v>
      </c>
      <c r="CB71">
        <f t="shared" si="117"/>
        <v>0.9579201654922086</v>
      </c>
      <c r="CC71" s="7">
        <f t="shared" si="118"/>
        <v>-2.1909868702860102E-2</v>
      </c>
      <c r="CD71">
        <f>(1/$T71-1/Parameters!$B$13) * LN(Parameters!$B$18) / LN(P71)</f>
        <v>0.22463030402228432</v>
      </c>
      <c r="CE71">
        <f>(Parameters!$B$18*'6states'!T71^+Parameters!$B$19*Parameters!$B$25^'6states'!T71)^((1-'6states'!T71)/'6states'!T71)*Parameters!$B$18*Parameters!$B$26^('6states'!T71-1)</f>
        <v>0.29931077698364006</v>
      </c>
      <c r="CF71">
        <f t="shared" si="119"/>
        <v>0.21489375860629042</v>
      </c>
      <c r="CG71">
        <f t="shared" si="120"/>
        <v>0.14418569681116311</v>
      </c>
      <c r="CH71">
        <f t="shared" si="121"/>
        <v>0.18735947117289697</v>
      </c>
    </row>
    <row r="72" spans="1:86" x14ac:dyDescent="0.3">
      <c r="A72">
        <f>A71+Parameters!$B$65</f>
        <v>68</v>
      </c>
      <c r="B72">
        <v>2093</v>
      </c>
      <c r="C72" s="74">
        <v>1.4648781325280499E-3</v>
      </c>
      <c r="D72" s="69">
        <v>8.9091612366460904E-2</v>
      </c>
      <c r="E72" s="75">
        <v>0.21604233501136999</v>
      </c>
      <c r="F72" s="7">
        <f>MAX((1-Parameters!$B$4)^Parameters!B$65*F71 + C71*Parameters!B$65 - IF(C71&gt;0,Parameters!$B$5,0)*C71^2/F71*Parameters!B$65, 0.0001)</f>
        <v>4.7750621541791632E-2</v>
      </c>
      <c r="G72" s="7">
        <f>(1-Parameters!$B$4)^Parameters!B$65*G71+D71*Parameters!B$65-Parameters!$B$5*D71^2/G71*Parameters!B$65</f>
        <v>1.2163191539400819</v>
      </c>
      <c r="H72" s="7">
        <f>(1-Parameters!$B$4)^Parameters!B$65*H71+E71*Parameters!B$65-Parameters!$B$5*E71^2/H71*Parameters!B$65</f>
        <v>3.2510967598541898</v>
      </c>
      <c r="I72" s="7">
        <f>I71 *(1-Parameters!$B$4)-C71*(C71&lt;0)*Parameters!B$65</f>
        <v>2.2149760472226993E-3</v>
      </c>
      <c r="J72" s="23">
        <f>J71*(1+Parameters!$B$51)^Parameters!B$65</f>
        <v>9.9359429218444149</v>
      </c>
      <c r="K72" s="23">
        <f>K71*(1+Parameters!$B$53)^Parameters!B$65</f>
        <v>34.800415395347493</v>
      </c>
      <c r="L72" s="23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6.6060045345978597</v>
      </c>
      <c r="M72" s="8">
        <f>M71+L72*Parameters!B$65</f>
        <v>3474.7375287801069</v>
      </c>
      <c r="N72" s="7">
        <f>M72*Parameters!$B$45</f>
        <v>2.084842517268064</v>
      </c>
      <c r="O72" s="9">
        <f>EXP(-Parameters!$B$46/2*N72^2)</f>
        <v>0.95725734882741842</v>
      </c>
      <c r="P72" s="7">
        <f>MAX((Parameters!$B$62 + Parameters!$B$31*'6states'!A72 - '6states'!M72 + Parameters!$B$47/Parameters!$B$45)/Parameters!B$62,1)</f>
        <v>49.857249424397871</v>
      </c>
      <c r="Q72" s="7">
        <f>Parameters!B$61*EXP(-Parameters!B$60*A72)</f>
        <v>7.9726984023252581E-2</v>
      </c>
      <c r="R72" s="7">
        <f>(1-Parameters!B$61)*P72^-Parameters!B$63</f>
        <v>0.33821835491577412</v>
      </c>
      <c r="S72" s="7">
        <f>Parameters!B$61*EXP(-Parameters!B$60*A72)+(1-Parameters!B$61)*P72^-Parameters!B$63</f>
        <v>0.41794533893902669</v>
      </c>
      <c r="T72" s="7">
        <f>1-S72/Parameters!$B$12</f>
        <v>0.79102733053048668</v>
      </c>
      <c r="U72" s="7">
        <f t="shared" si="102"/>
        <v>4.7853147616793414</v>
      </c>
      <c r="V72" s="7">
        <f>(Parameters!$B$19*(F72+Parameters!$B$20)^T72+Parameters!$B$18*G72^T72)^(1/T72)</f>
        <v>0.3417354067346916</v>
      </c>
      <c r="W72" s="7">
        <f>(Parameters!$B$10*H72^Parameters!$B$9+Parameters!$B$11*V72^Parameters!$B$9)^(Parameters!$B$7/Parameters!$B$9)*O72</f>
        <v>1.3253636576591004</v>
      </c>
      <c r="X72" s="7">
        <f>W72 - D72 - E72 - LN(1+EXP(Parameters!$B$21*C72))/Parameters!$B$21 - IF(C72&gt;0, 0,Parameters!$B$6*C72^2/F72)</f>
        <v>1.0171069498911995</v>
      </c>
      <c r="Y72" s="7">
        <f>EXP(-Parameters!$B$55*A72)</f>
        <v>0.35815121266990152</v>
      </c>
      <c r="Z72" s="7">
        <f>IF(X72&gt;0,X72^(1-Parameters!$B$52)/(1-Parameters!$B$52)*Y72*Parameters!$B$65,-10+X72*1000)</f>
        <v>-1.0172321177299679</v>
      </c>
      <c r="AC72" s="23">
        <f t="shared" si="103"/>
        <v>0.50651814988318344</v>
      </c>
      <c r="AD72" s="23">
        <f t="shared" si="104"/>
        <v>30.805647011803849</v>
      </c>
      <c r="AE72" s="23">
        <f t="shared" si="105"/>
        <v>0.76588321209943755</v>
      </c>
      <c r="AF72" s="23">
        <f t="shared" si="106"/>
        <v>16.510968347503304</v>
      </c>
      <c r="AG72" s="23">
        <f t="shared" si="107"/>
        <v>420.57268372078198</v>
      </c>
      <c r="AH72" s="23">
        <f t="shared" si="108"/>
        <v>118.16354010972219</v>
      </c>
      <c r="AI72" s="23">
        <f t="shared" si="109"/>
        <v>290.80946840934388</v>
      </c>
      <c r="AJ72" s="23">
        <f t="shared" si="110"/>
        <v>458.27754056328757</v>
      </c>
      <c r="AK72" s="23">
        <f t="shared" si="111"/>
        <v>351.69009561438941</v>
      </c>
      <c r="AL72" s="9">
        <f t="shared" si="122"/>
        <v>2.2193978223451261E-2</v>
      </c>
      <c r="AM72" s="9">
        <f t="shared" si="123"/>
        <v>2.2361788030313967E-2</v>
      </c>
      <c r="AN72" s="9">
        <f t="shared" ref="AN72:AO72" si="126">AVERAGE(AL70:AL74)</f>
        <v>2.2413746859296424E-2</v>
      </c>
      <c r="AO72" s="9">
        <f t="shared" si="126"/>
        <v>2.2162380125505442E-2</v>
      </c>
      <c r="AP72" s="23"/>
      <c r="AQ72" s="25">
        <f t="shared" si="100"/>
        <v>458.27754056328763</v>
      </c>
      <c r="AR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0.27401452761354517</v>
      </c>
      <c r="AS72" s="32">
        <f>((C73-C71)/2-(F73-F71)/F72/2*C72)/(F72/2/Parameters!$B$5-C72)-((D73-D71)/D72-(G73-G71)/G72)/(G72/2/Parameters!$B$5/D72-1)</f>
        <v>9.1645075733085141E-3</v>
      </c>
      <c r="AT72" s="32">
        <f>+Parameters!$B$5*C72^2/F72^2-Parameters!$B$5*D72^2/G72^2</f>
        <v>-4.423989102239451E-3</v>
      </c>
      <c r="AU72" s="30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0.420392900526873</v>
      </c>
      <c r="AV72" s="30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145.36133038686037</v>
      </c>
      <c r="AW72" s="8">
        <f>1000*(AR72+AS72+AT72)/(EXP(-Parameters!$B$42*A72)*((C72&lt;0)*Parameters!$B$37*EXP(-Parameters!$B$38*AF72)+(C72&gt;=0)*Parameters!$B$41))</f>
        <v>604.19919421650786</v>
      </c>
      <c r="AX72" s="13">
        <f>1-W72/'6states,ExoDamages'!T72</f>
        <v>9.4496723267054827E-2</v>
      </c>
      <c r="AY72" s="21">
        <f>-Y72*W72*X72^(-Parameters!B$52)*Parameters!B$46*Parameters!B$45*N72</f>
        <v>-1.1664794906279759E-5</v>
      </c>
      <c r="AZ72" s="7">
        <f>1000*EXP(-(Parameters!$B$54)*'6states'!A72)*AQ72*Parameters!B$46*Parameters!B$45*N72</f>
        <v>1.0591929156396225</v>
      </c>
      <c r="BA72" s="7">
        <f>SUM(AZ72:AZ$204)*EXP(Parameters!$B$54*A72)</f>
        <v>874.1696869260378</v>
      </c>
      <c r="BB72" s="43">
        <f t="shared" si="77"/>
        <v>0.2313318489899471</v>
      </c>
      <c r="BC72" s="30">
        <f>IF(C72&lt;0,Parameters!$B$6*AC72^2/AF72,0)</f>
        <v>0</v>
      </c>
      <c r="BD72" s="30">
        <f>Parameters!$B$5*AD72^2/AG72</f>
        <v>2.2564182709638176</v>
      </c>
      <c r="BE72" s="30">
        <f t="shared" si="113"/>
        <v>0</v>
      </c>
      <c r="BF72" s="30">
        <f t="shared" si="114"/>
        <v>7.3246904052988143E-2</v>
      </c>
      <c r="BH72" s="5"/>
      <c r="BI72" s="5"/>
      <c r="BJ72" s="5"/>
      <c r="BM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-0.43752015218860751</v>
      </c>
      <c r="BN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-151.28350482011095</v>
      </c>
      <c r="BO72" s="7">
        <f t="shared" si="101"/>
        <v>4.4330022137265383E-2</v>
      </c>
      <c r="BU72">
        <f>EXP(-Parameters!$B$56*A72)*BH72*BN72</f>
        <v>0</v>
      </c>
      <c r="BV72">
        <f>-EXP((Parameters!$B$56)*F72)*SUM(BU72:BU80)</f>
        <v>0</v>
      </c>
      <c r="BW72">
        <f>X72^-Parameters!B$52/(1-2*Parameters!B$5*'6states'!D72/'6states'!G72)</f>
        <v>1.1451131036494953</v>
      </c>
      <c r="BX72">
        <f t="shared" si="115"/>
        <v>0.99863174823666012</v>
      </c>
      <c r="BY72">
        <f>$X72^-Parameters!$B$52/(1-2*Parameters!$B$5*'6states'!$E72/'6states'!$H72)</f>
        <v>1.127166355956172</v>
      </c>
      <c r="BZ72">
        <f t="shared" si="116"/>
        <v>1.0002707009586038</v>
      </c>
      <c r="CA72" s="7">
        <f>($X72^-Parameters!$B$52*(1/(1+EXP(-C72)) + IF(C72&lt;0,2*Parameters!$B$6*C72/F72,0)) + BS72*(1/(1+EXP((C72-Parameters!$B$22)*Parameters!$B$21))))/(1-IF(C72&gt;0,2*Parameters!$B$5*C72/F72,0))</f>
        <v>0.5210049326885472</v>
      </c>
      <c r="CB72">
        <f t="shared" si="117"/>
        <v>1.0445921729264362</v>
      </c>
      <c r="CC72" s="7">
        <f t="shared" si="118"/>
        <v>2.2240968921763249E-2</v>
      </c>
      <c r="CD72">
        <f>(1/$T72-1/Parameters!$B$13) * LN(Parameters!$B$18) / LN(P72)</f>
        <v>0.22423420578723011</v>
      </c>
      <c r="CE72">
        <f>(Parameters!$B$18*'6states'!T72^+Parameters!$B$19*Parameters!$B$25^'6states'!T72)^((1-'6states'!T72)/'6states'!T72)*Parameters!$B$18*Parameters!$B$26^('6states'!T72-1)</f>
        <v>0.29963073589618905</v>
      </c>
      <c r="CF72">
        <f t="shared" si="119"/>
        <v>0.21412986958160415</v>
      </c>
      <c r="CG72">
        <f t="shared" si="120"/>
        <v>0.14395069699152319</v>
      </c>
      <c r="CH72">
        <f t="shared" si="121"/>
        <v>0.18753967748272349</v>
      </c>
    </row>
    <row r="73" spans="1:86" x14ac:dyDescent="0.3">
      <c r="A73">
        <f>A72+Parameters!$B$65</f>
        <v>69</v>
      </c>
      <c r="B73">
        <v>2094</v>
      </c>
      <c r="C73" s="74">
        <v>6.7850428580923502E-4</v>
      </c>
      <c r="D73" s="69">
        <v>8.9126930463475001E-2</v>
      </c>
      <c r="E73" s="75">
        <v>0.21891638089978399</v>
      </c>
      <c r="F73" s="7">
        <f>MAX((1-Parameters!$B$4)^Parameters!B$65*F72 + C72*Parameters!B$65 - IF(C72&gt;0,Parameters!$B$5,0)*C72^2/F72*Parameters!B$65, 0.0001)</f>
        <v>4.6167046521505252E-2</v>
      </c>
      <c r="G73" s="7">
        <f>(1-Parameters!$B$4)^Parameters!B$65*G72+D72*Parameters!B$65-Parameters!$B$5*D72^2/G72*Parameters!B$65</f>
        <v>1.2223786067407796</v>
      </c>
      <c r="H73" s="7">
        <f>(1-Parameters!$B$4)^Parameters!B$65*H72+E72*Parameters!B$65-Parameters!$B$5*E72^2/H72*Parameters!B$65</f>
        <v>3.2482886333133947</v>
      </c>
      <c r="I73" s="7">
        <f>I72 *(1-Parameters!$B$4)-C72*(C72&lt;0)*Parameters!B$65</f>
        <v>2.0756540538523914E-3</v>
      </c>
      <c r="J73" s="23">
        <f>J72*(1+Parameters!$B$51)^Parameters!B$65</f>
        <v>9.9647571563177628</v>
      </c>
      <c r="K73" s="23">
        <f>K72*(1+Parameters!$B$53)^Parameters!B$65</f>
        <v>35.496423703254443</v>
      </c>
      <c r="L73" s="23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6.4789323408516735</v>
      </c>
      <c r="M73" s="8">
        <f>M72+L73*Parameters!B$65</f>
        <v>3481.2164611209587</v>
      </c>
      <c r="N73" s="7">
        <f>M73*Parameters!$B$45</f>
        <v>2.0887298766725748</v>
      </c>
      <c r="O73" s="9">
        <f>EXP(-Parameters!$B$46/2*N73^2)</f>
        <v>0.95710127790004684</v>
      </c>
      <c r="P73" s="7">
        <f>MAX((Parameters!$B$62 + Parameters!$B$31*'6states'!A73 - '6states'!M73 + Parameters!$B$47/Parameters!$B$45)/Parameters!B$62,1)</f>
        <v>50.791670777580833</v>
      </c>
      <c r="Q73" s="7">
        <f>Parameters!B$61*EXP(-Parameters!B$60*A73)</f>
        <v>7.7603156151864111E-2</v>
      </c>
      <c r="R73" s="7">
        <f>(1-Parameters!B$61)*P73^-Parameters!B$63</f>
        <v>0.33759091790344997</v>
      </c>
      <c r="S73" s="7">
        <f>Parameters!B$61*EXP(-Parameters!B$60*A73)+(1-Parameters!B$61)*P73^-Parameters!B$63</f>
        <v>0.41519407405531406</v>
      </c>
      <c r="T73" s="7">
        <f>1-S73/Parameters!$B$12</f>
        <v>0.79240296297234303</v>
      </c>
      <c r="U73" s="7">
        <f t="shared" si="102"/>
        <v>4.8170244350201186</v>
      </c>
      <c r="V73" s="7">
        <f>(Parameters!$B$19*(F73+Parameters!$B$20)^T73+Parameters!$B$18*G73^T73)^(1/T73)</f>
        <v>0.34199558390438006</v>
      </c>
      <c r="W73" s="7">
        <f>(Parameters!$B$10*H73^Parameters!$B$9+Parameters!$B$11*V73^Parameters!$B$9)^(Parameters!$B$7/Parameters!$B$9)*O73</f>
        <v>1.325006859102251</v>
      </c>
      <c r="X73" s="7">
        <f>W73 - D73 - E73 - LN(1+EXP(Parameters!$B$21*C73))/Parameters!$B$21 - IF(C73&gt;0, 0,Parameters!$B$6*C73^2/F73)</f>
        <v>1.0142965709135721</v>
      </c>
      <c r="Y73" s="7">
        <f>EXP(-Parameters!$B$55*A73)</f>
        <v>0.35278375564489362</v>
      </c>
      <c r="Z73" s="7">
        <f>IF(X73&gt;0,X73^(1-Parameters!$B$52)/(1-Parameters!$B$52)*Y73*Parameters!$B$65,-10+X73*1000)</f>
        <v>-1.0029581226058131</v>
      </c>
      <c r="AC73" s="23">
        <f t="shared" si="103"/>
        <v>0.23999595072636928</v>
      </c>
      <c r="AD73" s="23">
        <f t="shared" si="104"/>
        <v>31.525375534501229</v>
      </c>
      <c r="AE73" s="23">
        <f t="shared" si="105"/>
        <v>0.73418632490908708</v>
      </c>
      <c r="AF73" s="23">
        <f t="shared" si="106"/>
        <v>16.329895704258448</v>
      </c>
      <c r="AG73" s="23">
        <f t="shared" si="107"/>
        <v>432.37150008925573</v>
      </c>
      <c r="AH73" s="23">
        <f t="shared" si="108"/>
        <v>120.96836677377748</v>
      </c>
      <c r="AI73" s="23">
        <f t="shared" si="109"/>
        <v>297.71236037074641</v>
      </c>
      <c r="AJ73" s="23">
        <f t="shared" si="110"/>
        <v>468.67247196521237</v>
      </c>
      <c r="AK73" s="23">
        <f t="shared" si="111"/>
        <v>358.77012856974011</v>
      </c>
      <c r="AL73" s="9">
        <f t="shared" si="122"/>
        <v>2.2429186121983413E-2</v>
      </c>
      <c r="AM73" s="9">
        <f t="shared" si="123"/>
        <v>1.9931495388304299E-2</v>
      </c>
      <c r="AN73" s="9">
        <f t="shared" ref="AN73:AO73" si="127">AVERAGE(AL71:AL75)</f>
        <v>2.2396863492761376E-2</v>
      </c>
      <c r="AO73" s="9">
        <f t="shared" si="127"/>
        <v>2.2954785205956084E-2</v>
      </c>
      <c r="AP73" s="23"/>
      <c r="AQ73" s="25">
        <f t="shared" si="100"/>
        <v>468.67247196521242</v>
      </c>
      <c r="AR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0.28538400516837165</v>
      </c>
      <c r="AS73" s="32">
        <f>((C74-C72)/2-(F74-F72)/F73/2*C73)/(F73/2/Parameters!$B$5-C73)-((D74-D72)/D73-(G74-G72)/G73)/(G73/2/Parameters!$B$5/D73-1)</f>
        <v>-1.4240097568911874E-2</v>
      </c>
      <c r="AT73" s="32">
        <f>+Parameters!$B$5*C73^2/F73^2-Parameters!$B$5*D73^2/G73^2</f>
        <v>-5.1002688546101793E-3</v>
      </c>
      <c r="AU73" s="30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0.41736945848480944</v>
      </c>
      <c r="AV73" s="30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147.62910432281959</v>
      </c>
      <c r="AW73" s="8">
        <f>1000*(AR73+AS73+AT73)/(EXP(-Parameters!$B$42*A73)*((C73&lt;0)*Parameters!$B$37*EXP(-Parameters!$B$38*AF73)+(C73&gt;=0)*Parameters!$B$41))</f>
        <v>582.44272878066806</v>
      </c>
      <c r="AX73" s="13">
        <f>1-W73/'6states,ExoDamages'!T73</f>
        <v>9.4578978747033693E-2</v>
      </c>
      <c r="AY73" s="21">
        <f>-Y73*W73*X73^(-Parameters!B$52)*Parameters!B$46*Parameters!B$45*N73</f>
        <v>-1.1551372798950725E-5</v>
      </c>
      <c r="AZ73" s="7">
        <f>1000*EXP(-(Parameters!$B$54)*'6states'!A73)*AQ73*Parameters!B$46*Parameters!B$45*N73</f>
        <v>1.0478068332734374</v>
      </c>
      <c r="BA73" s="7">
        <f>SUM(AZ73:AZ$204)*EXP(Parameters!$B$54*A73)</f>
        <v>893.4637039320229</v>
      </c>
      <c r="BB73" s="43">
        <f t="shared" si="77"/>
        <v>0.23299639056830276</v>
      </c>
      <c r="BC73" s="30">
        <f>IF(C73&lt;0,Parameters!$B$6*AC73^2/AF73,0)</f>
        <v>0</v>
      </c>
      <c r="BD73" s="30">
        <f>Parameters!$B$5*AD73^2/AG73</f>
        <v>2.2986003989304691</v>
      </c>
      <c r="BE73" s="30">
        <f t="shared" si="113"/>
        <v>0</v>
      </c>
      <c r="BF73" s="30">
        <f t="shared" si="114"/>
        <v>7.291270476429032E-2</v>
      </c>
      <c r="BH73" s="5"/>
      <c r="BI73" s="5"/>
      <c r="BJ73" s="5"/>
      <c r="BM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-0.45855850882237548</v>
      </c>
      <c r="BN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-162.19821685759246</v>
      </c>
      <c r="BO73" s="7">
        <f t="shared" si="101"/>
        <v>4.3025245873416856E-2</v>
      </c>
      <c r="BU73">
        <f>EXP(-Parameters!$B$56*A73)*BH73*BN73</f>
        <v>0</v>
      </c>
      <c r="BV73">
        <f>-EXP((Parameters!$B$56)*F73)*SUM(BU73:BU81)</f>
        <v>0</v>
      </c>
      <c r="BW73">
        <f>X73^-Parameters!B$52/(1-2*Parameters!B$5*'6states'!D73/'6states'!G73)</f>
        <v>1.1484991010344332</v>
      </c>
      <c r="BX73">
        <f t="shared" si="115"/>
        <v>1.0029569108712029</v>
      </c>
      <c r="BY73">
        <f>$X73^-Parameters!$B$52/(1-2*Parameters!$B$5*'6states'!$E73/'6states'!$H73)</f>
        <v>1.1338488124513593</v>
      </c>
      <c r="BZ73">
        <f t="shared" si="116"/>
        <v>1.0059285450278708</v>
      </c>
      <c r="CA73" s="7">
        <f>($X73^-Parameters!$B$52*(1/(1+EXP(-C73)) + IF(C73&lt;0,2*Parameters!$B$6*C73/F73,0)) + BS73*(1/(1+EXP((C73-Parameters!$B$22)*Parameters!$B$21))))/(1-IF(C73&gt;0,2*Parameters!$B$5*C73/F73,0))</f>
        <v>0.505535202477296</v>
      </c>
      <c r="CB73">
        <f t="shared" si="117"/>
        <v>0.97030790067298867</v>
      </c>
      <c r="CC73" s="7">
        <f t="shared" si="118"/>
        <v>-1.5469730211251198E-2</v>
      </c>
      <c r="CD73">
        <f>(1/$T73-1/Parameters!$B$13) * LN(Parameters!$B$18) / LN(P73)</f>
        <v>0.22383976742024497</v>
      </c>
      <c r="CE73">
        <f>(Parameters!$B$18*'6states'!T73^+Parameters!$B$19*Parameters!$B$25^'6states'!T73)^((1-'6states'!T73)/'6states'!T73)*Parameters!$B$18*Parameters!$B$26^('6states'!T73-1)</f>
        <v>0.29993821645739072</v>
      </c>
      <c r="CF73">
        <f t="shared" si="119"/>
        <v>0.21337870032888503</v>
      </c>
      <c r="CG73">
        <f t="shared" si="120"/>
        <v>0.14371661782554246</v>
      </c>
      <c r="CH73">
        <f t="shared" si="121"/>
        <v>0.18771281811827478</v>
      </c>
    </row>
    <row r="74" spans="1:86" s="4" customFormat="1" x14ac:dyDescent="0.3">
      <c r="A74" s="4">
        <f>A73+Parameters!$B$65</f>
        <v>70</v>
      </c>
      <c r="B74">
        <v>2095</v>
      </c>
      <c r="C74" s="74">
        <v>7.2532417947116803E-4</v>
      </c>
      <c r="D74" s="69">
        <v>8.9423899088235795E-2</v>
      </c>
      <c r="E74" s="75">
        <v>0.220234622280222</v>
      </c>
      <c r="F74" s="7">
        <f>MAX((1-Parameters!$B$4)^Parameters!B$65*F73 + C73*Parameters!B$65 - IF(C73&gt;0,Parameters!$B$5,0)*C73^2/F73*Parameters!B$65, 0.0001)</f>
        <v>4.3931671791696013E-2</v>
      </c>
      <c r="G74" s="16">
        <f>(1-Parameters!$B$4)^Parameters!B$65*G73+D73*Parameters!B$65-Parameters!$B$5*D73^2/G73*Parameters!B$65</f>
        <v>1.2281194372728288</v>
      </c>
      <c r="H74" s="16">
        <f>(1-Parameters!$B$4)^Parameters!B$65*H73+E73*Parameters!B$65-Parameters!$B$5*E73^2/H73*Parameters!B$65</f>
        <v>3.248133926601553</v>
      </c>
      <c r="I74" s="7">
        <f>I73 *(1-Parameters!$B$4)-C73*(C73&lt;0)*Parameters!B$65</f>
        <v>1.9450954138650761E-3</v>
      </c>
      <c r="J74" s="44">
        <f>J73*(1+Parameters!$B$51)^Parameters!B$65</f>
        <v>9.9936549520710827</v>
      </c>
      <c r="K74" s="44">
        <f>K73*(1+Parameters!$B$53)^Parameters!B$65</f>
        <v>36.20635217731953</v>
      </c>
      <c r="L74" s="23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6.2490207247455993</v>
      </c>
      <c r="M74" s="25">
        <f>M73+L74*Parameters!B$65</f>
        <v>3487.4654818457043</v>
      </c>
      <c r="N74" s="16">
        <f>M74*Parameters!$B$45</f>
        <v>2.0924792891074224</v>
      </c>
      <c r="O74" s="9">
        <f>EXP(-Parameters!$B$46/2*N74^2)</f>
        <v>0.95695049404073529</v>
      </c>
      <c r="P74" s="7">
        <f>MAX((Parameters!$B$62 + Parameters!$B$31*'6states'!A74 - '6states'!M74 + Parameters!$B$47/Parameters!$B$45)/Parameters!B$62,1)</f>
        <v>51.730690363085913</v>
      </c>
      <c r="Q74" s="7">
        <f>Parameters!B$61*EXP(-Parameters!B$60*A74)</f>
        <v>7.5535904418185432E-2</v>
      </c>
      <c r="R74" s="7">
        <f>(1-Parameters!B$61)*P74^-Parameters!B$63</f>
        <v>0.33697305628477731</v>
      </c>
      <c r="S74" s="7">
        <f>Parameters!B$61*EXP(-Parameters!B$60*A74)+(1-Parameters!B$61)*P74^-Parameters!B$63</f>
        <v>0.41250896070296272</v>
      </c>
      <c r="T74" s="16">
        <f>1-S74/Parameters!$B$12</f>
        <v>0.79374551964851858</v>
      </c>
      <c r="U74" s="16">
        <f t="shared" si="102"/>
        <v>4.8483795275423089</v>
      </c>
      <c r="V74" s="7">
        <f>(Parameters!$B$19*(F74+Parameters!$B$20)^T74+Parameters!$B$18*G74^T74)^(1/T74)</f>
        <v>0.34150917361197408</v>
      </c>
      <c r="W74" s="16">
        <f>(Parameters!$B$10*H74^Parameters!$B$9+Parameters!$B$11*V74^Parameters!$B$9)^(Parameters!$B$7/Parameters!$B$9)*O74</f>
        <v>1.3246076334417669</v>
      </c>
      <c r="X74" s="7">
        <f>W74 - D74 - E74 - LN(1+EXP(Parameters!$B$21*C74))/Parameters!$B$21 - IF(C74&gt;0, 0,Parameters!$B$6*C74^2/F74)</f>
        <v>1.0122562696122304</v>
      </c>
      <c r="Y74" s="16">
        <f>EXP(-Parameters!$B$55*A74)</f>
        <v>0.34749673837241518</v>
      </c>
      <c r="Z74" s="16">
        <f>IF(X74&gt;0,X74^(1-Parameters!$B$52)/(1-Parameters!$B$52)*Y74*Parameters!$B$65,-10+X74*1000)</f>
        <v>-0.98862371010599082</v>
      </c>
      <c r="AC74" s="23">
        <f t="shared" si="103"/>
        <v>0.2624467973685724</v>
      </c>
      <c r="AD74" s="23">
        <f t="shared" si="104"/>
        <v>32.356588389248358</v>
      </c>
      <c r="AE74" s="23">
        <f t="shared" si="105"/>
        <v>0.7038012469367555</v>
      </c>
      <c r="AF74" s="23">
        <f t="shared" si="106"/>
        <v>15.895963337640508</v>
      </c>
      <c r="AG74" s="23">
        <f t="shared" si="107"/>
        <v>444.37511146167355</v>
      </c>
      <c r="AH74" s="23">
        <f t="shared" si="108"/>
        <v>123.56955885821689</v>
      </c>
      <c r="AI74" s="23">
        <f t="shared" si="109"/>
        <v>304.11409212830893</v>
      </c>
      <c r="AJ74" s="23">
        <f t="shared" si="110"/>
        <v>479.28780124249869</v>
      </c>
      <c r="AK74" s="23">
        <f t="shared" si="111"/>
        <v>366.26852322734157</v>
      </c>
      <c r="AL74" s="9">
        <f t="shared" si="122"/>
        <v>2.2397084182459004E-2</v>
      </c>
      <c r="AM74" s="9">
        <f t="shared" si="123"/>
        <v>2.0684861405807276E-2</v>
      </c>
      <c r="AN74" s="9">
        <f t="shared" ref="AN74:AO74" si="128">AVERAGE(AL72:AL76)</f>
        <v>2.2342248774930695E-2</v>
      </c>
      <c r="AO74" s="9">
        <f t="shared" si="128"/>
        <v>2.2685406718397517E-2</v>
      </c>
      <c r="AP74" s="23"/>
      <c r="AQ74" s="25">
        <f t="shared" si="100"/>
        <v>479.28780124249863</v>
      </c>
      <c r="AR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0.28742442504674359</v>
      </c>
      <c r="AS74" s="42">
        <f>((C75-C73)/2-(F75-F73)/F74/2*C74)/(F74/2/Parameters!$B$5-C74)-((D75-D73)/D74-(G75-G73)/G74)/(G74/2/Parameters!$B$5/D74-1)</f>
        <v>5.7221764714773795E-3</v>
      </c>
      <c r="AT74" s="42">
        <f>+Parameters!$B$5*C74^2/F74^2-Parameters!$B$5*D74^2/G74^2</f>
        <v>-5.0292430674048726E-3</v>
      </c>
      <c r="AU74" s="30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0.41377866376258249</v>
      </c>
      <c r="AV74" s="30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149.71910243377434</v>
      </c>
      <c r="AW74" s="25">
        <f>1000*(AR74+AS74+AT74)/(EXP(-Parameters!$B$42*A74)*((C74&lt;0)*Parameters!$B$37*EXP(-Parameters!$B$38*AF74)+(C74&gt;=0)*Parameters!$B$41))</f>
        <v>637.10750048832949</v>
      </c>
      <c r="AX74" s="43">
        <f>1-W74/'6states,ExoDamages'!T74</f>
        <v>9.4696814417536523E-2</v>
      </c>
      <c r="AY74" s="21">
        <f>-Y74*W74*X74^(-Parameters!B$52)*Parameters!B$46*Parameters!B$45*N74</f>
        <v>-1.1426265743322657E-5</v>
      </c>
      <c r="AZ74" s="16">
        <f>1000*EXP(-(Parameters!$B$54)*'6states'!A74)*AQ74*Parameters!B$46*Parameters!B$45*N74</f>
        <v>1.0364379566812307</v>
      </c>
      <c r="BA74" s="16">
        <f>SUM(AZ74:AZ$204)*EXP(Parameters!$B$54*A74)</f>
        <v>913.15351087400381</v>
      </c>
      <c r="BB74" s="43">
        <f t="shared" si="77"/>
        <v>0.23432134747815814</v>
      </c>
      <c r="BC74" s="30">
        <f>IF(C74&lt;0,Parameters!$B$6*AC74^2/AF74,0)</f>
        <v>0</v>
      </c>
      <c r="BD74" s="30">
        <f>Parameters!$B$5*AD74^2/AG74</f>
        <v>2.3560023619404231</v>
      </c>
      <c r="BE74" s="30">
        <f t="shared" si="113"/>
        <v>0</v>
      </c>
      <c r="BF74" s="30">
        <f t="shared" si="114"/>
        <v>7.2813682752885342E-2</v>
      </c>
      <c r="BG74" s="16"/>
      <c r="BH74" s="5"/>
      <c r="BI74" s="5"/>
      <c r="BJ74" s="5"/>
      <c r="BK74"/>
      <c r="BL74"/>
      <c r="BM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-0.46659443380014498</v>
      </c>
      <c r="BN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-168.82963271696377</v>
      </c>
      <c r="BO74" s="7">
        <f t="shared" si="101"/>
        <v>4.239826675558115E-2</v>
      </c>
      <c r="BP74"/>
      <c r="BQ74"/>
      <c r="BR74"/>
      <c r="BS74"/>
      <c r="BU74">
        <f>EXP(-Parameters!$B$56*A74)*BH74*BN74</f>
        <v>0</v>
      </c>
      <c r="BV74">
        <f>-EXP((Parameters!$B$56)*F74)*SUM(BU74:BU82)</f>
        <v>0</v>
      </c>
      <c r="BW74">
        <f>X74^-Parameters!B$52/(1-2*Parameters!B$5*'6states'!D74/'6states'!G74)</f>
        <v>1.151358386758971</v>
      </c>
      <c r="BX74">
        <f t="shared" si="115"/>
        <v>1.0024895846430897</v>
      </c>
      <c r="BY74">
        <f>$X74^-Parameters!$B$52/(1-2*Parameters!$B$5*'6states'!$E74/'6states'!$H74)</f>
        <v>1.138011228100517</v>
      </c>
      <c r="BZ74">
        <f t="shared" si="116"/>
        <v>1.0036710499701973</v>
      </c>
      <c r="CA74" s="7">
        <f>($X74^-Parameters!$B$52*(1/(1+EXP(-C74)) + IF(C74&lt;0,2*Parameters!$B$6*C74/F74,0)) + BS74*(1/(1+EXP((C74-Parameters!$B$22)*Parameters!$B$21))))/(1-IF(C74&gt;0,2*Parameters!$B$5*C74/F74,0))</f>
        <v>0.50882459497794219</v>
      </c>
      <c r="CB74">
        <f t="shared" si="117"/>
        <v>1.0065067526149061</v>
      </c>
      <c r="CC74" s="7">
        <f t="shared" si="118"/>
        <v>3.2893925006461933E-3</v>
      </c>
      <c r="CD74">
        <f>(1/$T74-1/Parameters!$B$13) * LN(Parameters!$B$18) / LN(P74)</f>
        <v>0.22344503132093885</v>
      </c>
      <c r="CE74">
        <f>(Parameters!$B$18*'6states'!T74^+Parameters!$B$19*Parameters!$B$25^'6states'!T74)^((1-'6states'!T74)/'6states'!T74)*Parameters!$B$18*Parameters!$B$26^('6states'!T74-1)</f>
        <v>0.30023393575786572</v>
      </c>
      <c r="CF74">
        <f t="shared" si="119"/>
        <v>0.21263785745519881</v>
      </c>
      <c r="CG74">
        <f t="shared" si="120"/>
        <v>0.14348229789114286</v>
      </c>
      <c r="CH74">
        <f t="shared" si="121"/>
        <v>0.18787930124424801</v>
      </c>
    </row>
    <row r="75" spans="1:86" s="38" customFormat="1" x14ac:dyDescent="0.3">
      <c r="A75" s="38">
        <f>A74+Parameters!$B$65</f>
        <v>71</v>
      </c>
      <c r="B75">
        <v>2096</v>
      </c>
      <c r="C75" s="74">
        <v>7.8347952647060801E-4</v>
      </c>
      <c r="D75" s="69">
        <v>8.9125503403936698E-2</v>
      </c>
      <c r="E75" s="75">
        <v>0.21374888471706799</v>
      </c>
      <c r="F75" s="7">
        <f>MAX((1-Parameters!$B$4)^Parameters!B$65*F74 + C74*Parameters!B$65 - IF(C74&gt;0,Parameters!$B$5,0)*C74^2/F74*Parameters!B$65, 0.0001)</f>
        <v>4.188171851055008E-2</v>
      </c>
      <c r="G75" s="39">
        <f>(1-Parameters!$B$4)^Parameters!B$65*G74+D74*Parameters!B$65-Parameters!$B$5*D74^2/G74*Parameters!B$65</f>
        <v>1.2337833403378669</v>
      </c>
      <c r="H75" s="39">
        <f>(1-Parameters!$B$4)^Parameters!B$65*H74+E74*Parameters!B$65-Parameters!$B$5*E74^2/H74*Parameters!B$65</f>
        <v>3.249128262038278</v>
      </c>
      <c r="I75" s="7">
        <f>I74 *(1-Parameters!$B$4)-C74*(C74&lt;0)*Parameters!B$65</f>
        <v>1.822748912332963E-3</v>
      </c>
      <c r="J75" s="41">
        <f>J74*(1+Parameters!$B$51)^Parameters!B$65</f>
        <v>10.022636551432088</v>
      </c>
      <c r="K75" s="41">
        <f>K74*(1+Parameters!$B$53)^Parameters!B$65</f>
        <v>36.930479220865919</v>
      </c>
      <c r="L75" s="23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6.0390421342453342</v>
      </c>
      <c r="M75" s="37">
        <f>M74+L75*Parameters!B$65</f>
        <v>3493.5045239799497</v>
      </c>
      <c r="N75" s="39">
        <f>M75*Parameters!$B$45</f>
        <v>2.0961027143879698</v>
      </c>
      <c r="O75" s="9">
        <f>EXP(-Parameters!$B$46/2*N75^2)</f>
        <v>0.95680454247969304</v>
      </c>
      <c r="P75" s="7">
        <f>MAX((Parameters!$B$62 + Parameters!$B$31*'6states'!A75 - '6states'!M75 + Parameters!$B$47/Parameters!$B$45)/Parameters!B$62,1)</f>
        <v>52.673909520401011</v>
      </c>
      <c r="Q75" s="7">
        <f>Parameters!B$61*EXP(-Parameters!B$60*A75)</f>
        <v>7.3523721704148601E-2</v>
      </c>
      <c r="R75" s="7">
        <f>(1-Parameters!B$61)*P75^-Parameters!B$63</f>
        <v>0.33636472848565396</v>
      </c>
      <c r="S75" s="7">
        <f>Parameters!B$61*EXP(-Parameters!B$60*A75)+(1-Parameters!B$61)*P75^-Parameters!B$63</f>
        <v>0.40988845018980258</v>
      </c>
      <c r="T75" s="39">
        <f>1-S75/Parameters!$B$12</f>
        <v>0.79505577490509871</v>
      </c>
      <c r="U75" s="39">
        <f t="shared" si="102"/>
        <v>4.8793763256170841</v>
      </c>
      <c r="V75" s="7">
        <f>(Parameters!$B$19*(F75+Parameters!$B$20)^T75+Parameters!$B$18*G75^T75)^(1/T75)</f>
        <v>0.34117901231860065</v>
      </c>
      <c r="W75" s="39">
        <f>(Parameters!$B$10*H75^Parameters!$B$9+Parameters!$B$11*V75^Parameters!$B$9)^(Parameters!$B$7/Parameters!$B$9)*O75</f>
        <v>1.3243678867967115</v>
      </c>
      <c r="X75" s="7">
        <f>W75 - D75 - E75 - LN(1+EXP(Parameters!$B$21*C75))/Parameters!$B$21 - IF(C75&gt;0, 0,Parameters!$B$6*C75^2/F75)</f>
        <v>1.018768302097415</v>
      </c>
      <c r="Y75" s="39">
        <f>EXP(-Parameters!$B$55*A75)</f>
        <v>0.34228895533675241</v>
      </c>
      <c r="Z75" s="39">
        <f>IF(X75&gt;0,X75^(1-Parameters!$B$52)/(1-Parameters!$B$52)*Y75*Parameters!$B$65,-10+X75*1000)</f>
        <v>-0.97162446871485209</v>
      </c>
      <c r="AC75" s="23">
        <f t="shared" si="103"/>
        <v>0.28999771591294526</v>
      </c>
      <c r="AD75" s="23">
        <f t="shared" si="104"/>
        <v>32.988982536868726</v>
      </c>
      <c r="AE75" s="23">
        <f t="shared" si="105"/>
        <v>0.67467368756979829</v>
      </c>
      <c r="AF75" s="23">
        <f t="shared" si="106"/>
        <v>15.502131576151761</v>
      </c>
      <c r="AG75" s="23">
        <f t="shared" si="107"/>
        <v>456.6735167174121</v>
      </c>
      <c r="AH75" s="23">
        <f t="shared" si="108"/>
        <v>126.28426263483293</v>
      </c>
      <c r="AI75" s="23">
        <f t="shared" si="109"/>
        <v>310.79518480235618</v>
      </c>
      <c r="AJ75" s="23">
        <f t="shared" si="110"/>
        <v>490.20255057540214</v>
      </c>
      <c r="AK75" s="23">
        <f t="shared" si="111"/>
        <v>377.08768470779313</v>
      </c>
      <c r="AL75" s="9">
        <f t="shared" si="122"/>
        <v>2.2517419565425634E-2</v>
      </c>
      <c r="AM75" s="9">
        <f t="shared" si="123"/>
        <v>2.9111011418883059E-2</v>
      </c>
      <c r="AN75" s="9">
        <f t="shared" ref="AN75:AO75" si="129">AVERAGE(AL73:AL77)</f>
        <v>2.235299638266568E-2</v>
      </c>
      <c r="AO75" s="9">
        <f t="shared" si="129"/>
        <v>2.2012178882130761E-2</v>
      </c>
      <c r="AP75" s="23"/>
      <c r="AQ75" s="37">
        <f t="shared" si="100"/>
        <v>490.20255057540214</v>
      </c>
      <c r="AU75" s="39"/>
      <c r="AV75" s="39"/>
      <c r="AX75" s="43">
        <f>1-W75/'6states,ExoDamages'!T75</f>
        <v>9.470934478216475E-2</v>
      </c>
      <c r="AY75" s="21">
        <f>-Y75*W75*X75^(-Parameters!B$52)*Parameters!B$46*Parameters!B$45*N75</f>
        <v>-1.1175309849710326E-5</v>
      </c>
      <c r="AZ75" s="39">
        <f>1000*EXP(-(Parameters!$B$54)*'6states'!A75)*AQ75*Parameters!B$46*Parameters!B$45*N75</f>
        <v>1.0252508934583215</v>
      </c>
      <c r="BA75" s="39">
        <f>SUM(AZ75:AZ$204)*EXP(Parameters!$B$54*A75)</f>
        <v>933.24730216062369</v>
      </c>
      <c r="BB75" s="43">
        <f t="shared" si="77"/>
        <v>0.22928513343972853</v>
      </c>
      <c r="BC75" s="30">
        <f>IF(C75&lt;0,Parameters!$B$6*AC75^2/AF75,0)</f>
        <v>0</v>
      </c>
      <c r="BD75" s="30">
        <f>Parameters!$B$5*AD75^2/AG75</f>
        <v>2.3830437478406461</v>
      </c>
      <c r="BE75" s="30">
        <f t="shared" si="113"/>
        <v>0</v>
      </c>
      <c r="BF75" s="30">
        <f t="shared" si="114"/>
        <v>7.2237564319461475E-2</v>
      </c>
      <c r="BG75" s="39"/>
      <c r="BH75" s="5"/>
      <c r="BI75" s="5"/>
      <c r="BJ75" s="5"/>
      <c r="BK75"/>
      <c r="BL75"/>
      <c r="BM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-0.47612116841080127</v>
      </c>
      <c r="BN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-176.23185631783693</v>
      </c>
      <c r="BO75" s="7">
        <f t="shared" si="101"/>
        <v>4.1706237824524942E-2</v>
      </c>
      <c r="BP75"/>
      <c r="BQ75"/>
      <c r="BR75"/>
      <c r="BS75"/>
      <c r="BU75">
        <f>EXP(-Parameters!$B$56*A75)*BH75*BN75</f>
        <v>0</v>
      </c>
      <c r="BV75">
        <f>-EXP((Parameters!$B$56)*F75)*SUM(BU75:BU83)</f>
        <v>0</v>
      </c>
      <c r="BW75">
        <f>X75^-Parameters!B$52/(1-2*Parameters!B$5*'6states'!D75/'6states'!G75)</f>
        <v>1.139896809550073</v>
      </c>
      <c r="BX75">
        <f t="shared" si="115"/>
        <v>0.9900451698266064</v>
      </c>
      <c r="BY75">
        <f>$X75^-Parameters!$B$52/(1-2*Parameters!$B$5*'6states'!$E75/'6states'!$H75)</f>
        <v>1.1229615686993397</v>
      </c>
      <c r="BZ75">
        <f t="shared" si="116"/>
        <v>0.98677547371277075</v>
      </c>
      <c r="CA75" s="7">
        <f>($X75^-Parameters!$B$52*(1/(1+EXP(-C75)) + IF(C75&lt;0,2*Parameters!$B$6*C75/F75,0)) + BS75*(1/(1+EXP((C75-Parameters!$B$22)*Parameters!$B$21))))/(1-IF(C75&gt;0,2*Parameters!$B$5*C75/F75,0))</f>
        <v>0.5067557671032914</v>
      </c>
      <c r="CB75">
        <f t="shared" si="117"/>
        <v>0.99593410402116966</v>
      </c>
      <c r="CC75" s="7">
        <f t="shared" si="118"/>
        <v>-2.0688278746507915E-3</v>
      </c>
      <c r="CD75">
        <f>(1/$T75-1/Parameters!$B$13) * LN(Parameters!$B$18) / LN(P75)</f>
        <v>0.22305047806385717</v>
      </c>
      <c r="CE75">
        <f>(Parameters!$B$18*'6states'!T75^+Parameters!$B$19*Parameters!$B$25^'6states'!T75)^((1-'6states'!T75)/'6states'!T75)*Parameters!$B$18*Parameters!$B$26^('6states'!T75-1)</f>
        <v>0.3005183927389492</v>
      </c>
      <c r="CF75">
        <f t="shared" si="119"/>
        <v>0.21190751714392472</v>
      </c>
      <c r="CG75">
        <f t="shared" si="120"/>
        <v>0.14324802241746004</v>
      </c>
      <c r="CH75">
        <f t="shared" si="121"/>
        <v>0.18803941174762751</v>
      </c>
    </row>
    <row r="76" spans="1:86" x14ac:dyDescent="0.3">
      <c r="A76">
        <f>A75+Parameters!$B$65</f>
        <v>72</v>
      </c>
      <c r="B76">
        <v>2097</v>
      </c>
      <c r="C76" s="74">
        <v>8.0027530770316897E-4</v>
      </c>
      <c r="D76" s="69">
        <v>8.9768315954792496E-2</v>
      </c>
      <c r="E76" s="75">
        <v>0.21378690902904299</v>
      </c>
      <c r="F76" s="7">
        <f>MAX((1-Parameters!$B$4)^Parameters!B$65*F75 + C75*Parameters!B$65 - IF(C75&gt;0,Parameters!$B$5,0)*C75^2/F75*Parameters!B$65, 0.0001)</f>
        <v>4.0016181424535703E-2</v>
      </c>
      <c r="G76" s="7">
        <f>(1-Parameters!$B$4)^Parameters!B$65*G75+D75*Parameters!B$65-Parameters!$B$5*D75^2/G75*Parameters!B$65</f>
        <v>1.2388656623499055</v>
      </c>
      <c r="H76" s="7">
        <f>(1-Parameters!$B$4)^Parameters!B$65*H75+E75*Parameters!B$65-Parameters!$B$5*E75^2/H75*Parameters!B$65</f>
        <v>3.2444451809435906</v>
      </c>
      <c r="I76" s="7">
        <f>I75 *(1-Parameters!$B$4)-C75*(C75&lt;0)*Parameters!B$65</f>
        <v>1.7080980057472197E-3</v>
      </c>
      <c r="J76" s="23">
        <f>J75*(1+Parameters!$B$51)^Parameters!B$65</f>
        <v>10.05170219743124</v>
      </c>
      <c r="K76" s="23">
        <f>K75*(1+Parameters!$B$53)^Parameters!B$65</f>
        <v>37.669088805283238</v>
      </c>
      <c r="L76" s="23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5.8498562221678929</v>
      </c>
      <c r="M76" s="8">
        <f>M75+L76*Parameters!B$65</f>
        <v>3499.3543802021177</v>
      </c>
      <c r="N76" s="7">
        <f>M76*Parameters!$B$45</f>
        <v>2.0996126281212706</v>
      </c>
      <c r="O76" s="9">
        <f>EXP(-Parameters!$B$46/2*N76^2)</f>
        <v>0.9566629436673475</v>
      </c>
      <c r="P76" s="7">
        <f>MAX((Parameters!$B$62 + Parameters!$B$31*'6states'!A76 - '6states'!M76 + Parameters!$B$47/Parameters!$B$45)/Parameters!B$62,1)</f>
        <v>53.620912395957646</v>
      </c>
      <c r="Q76" s="7">
        <f>Parameters!B$61*EXP(-Parameters!B$60*A76)</f>
        <v>7.1565141039439908E-2</v>
      </c>
      <c r="R76" s="7">
        <f>(1-Parameters!B$61)*P76^-Parameters!B$63</f>
        <v>0.33576589751980035</v>
      </c>
      <c r="S76" s="7">
        <f>Parameters!B$61*EXP(-Parameters!B$60*A76)+(1-Parameters!B$61)*P76^-Parameters!B$63</f>
        <v>0.40733103855924024</v>
      </c>
      <c r="T76" s="7">
        <f>1-S76/Parameters!$B$12</f>
        <v>0.79633448072037982</v>
      </c>
      <c r="U76" s="7">
        <f t="shared" si="102"/>
        <v>4.9100112946809702</v>
      </c>
      <c r="V76" s="7">
        <f>(Parameters!$B$19*(F76+Parameters!$B$20)^T76+Parameters!$B$18*G76^T76)^(1/T76)</f>
        <v>0.34088855317781491</v>
      </c>
      <c r="W76" s="7">
        <f>(Parameters!$B$10*H76^Parameters!$B$9+Parameters!$B$11*V76^Parameters!$B$9)^(Parameters!$B$7/Parameters!$B$9)*O76</f>
        <v>1.3236729685651245</v>
      </c>
      <c r="X76" s="7">
        <f>W76 - D76 - E76 - LN(1+EXP(Parameters!$B$21*C76))/Parameters!$B$21 - IF(C76&gt;0, 0,Parameters!$B$6*C76^2/F76)</f>
        <v>1.0173831562629201</v>
      </c>
      <c r="Y76" s="7">
        <f>EXP(-Parameters!$B$55*A76)</f>
        <v>0.33715921908873309</v>
      </c>
      <c r="Z76" s="7">
        <f>IF(X76&gt;0,X76^(1-Parameters!$B$52)/(1-Parameters!$B$52)*Y76*Parameters!$B$65,-10+X76*1000)</f>
        <v>-0.95751900969056336</v>
      </c>
      <c r="AC76" s="23">
        <f t="shared" si="103"/>
        <v>0.30301501226094107</v>
      </c>
      <c r="AD76" s="23">
        <f t="shared" si="104"/>
        <v>33.989737154022869</v>
      </c>
      <c r="AE76" s="23">
        <f t="shared" si="105"/>
        <v>0.64675160307002588</v>
      </c>
      <c r="AF76" s="23">
        <f t="shared" si="106"/>
        <v>15.151665418482729</v>
      </c>
      <c r="AG76" s="23">
        <f t="shared" si="107"/>
        <v>469.08218990789317</v>
      </c>
      <c r="AH76" s="23">
        <f t="shared" si="108"/>
        <v>129.07351773385352</v>
      </c>
      <c r="AI76" s="23">
        <f t="shared" si="109"/>
        <v>317.65975395669119</v>
      </c>
      <c r="AJ76" s="23">
        <f t="shared" si="110"/>
        <v>501.19349796058845</v>
      </c>
      <c r="AK76" s="23">
        <f t="shared" si="111"/>
        <v>385.22039428389945</v>
      </c>
      <c r="AL76" s="9">
        <f t="shared" si="122"/>
        <v>2.2173575781334165E-2</v>
      </c>
      <c r="AM76" s="9">
        <f t="shared" si="123"/>
        <v>2.133787734867898E-2</v>
      </c>
      <c r="AN76" s="9">
        <f t="shared" ref="AN76:AO76" si="130">AVERAGE(AL74:AL78)</f>
        <v>2.2356835143796872E-2</v>
      </c>
      <c r="AO76" s="9">
        <f t="shared" si="130"/>
        <v>2.2441656644540231E-2</v>
      </c>
      <c r="AP76" s="23"/>
      <c r="AQ76" s="25">
        <f t="shared" si="100"/>
        <v>501.19349796058845</v>
      </c>
      <c r="AR76" s="4"/>
      <c r="AS76" s="4"/>
      <c r="AT76" s="4"/>
      <c r="AU76" s="16"/>
      <c r="AV76" s="16"/>
      <c r="AX76" s="13">
        <f>1-W76/'6states,ExoDamages'!T76</f>
        <v>9.5038678739549409E-2</v>
      </c>
      <c r="AY76" s="21">
        <f>-Y76*W76*X76^(-Parameters!B$52)*Parameters!B$46*Parameters!B$45*N76</f>
        <v>-1.1040737640312504E-5</v>
      </c>
      <c r="AZ76" s="7">
        <f>1000*EXP(-(Parameters!$B$54)*'6states'!A76)*AQ76*Parameters!B$46*Parameters!B$45*N76</f>
        <v>1.0137780820526934</v>
      </c>
      <c r="BA76" s="7">
        <f>SUM(AZ76:AZ$204)*EXP(Parameters!$B$54*A76)</f>
        <v>953.75144665769653</v>
      </c>
      <c r="BB76" s="43">
        <f t="shared" si="77"/>
        <v>0.22993254944343486</v>
      </c>
      <c r="BC76" s="30">
        <f>IF(C76&lt;0,Parameters!$B$6*AC76^2/AF76,0)</f>
        <v>0</v>
      </c>
      <c r="BD76" s="30">
        <f>Parameters!$B$5*AD76^2/AG76</f>
        <v>2.462899373831295</v>
      </c>
      <c r="BE76" s="30">
        <f t="shared" si="113"/>
        <v>0</v>
      </c>
      <c r="BF76" s="30">
        <f t="shared" si="114"/>
        <v>7.2460088840075002E-2</v>
      </c>
      <c r="BH76" s="5"/>
      <c r="BI76" s="5"/>
      <c r="BJ76" s="5"/>
      <c r="BM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-0.4874665985928075</v>
      </c>
      <c r="BN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-184.57360351818576</v>
      </c>
      <c r="BO76" s="7">
        <f t="shared" si="101"/>
        <v>4.0937747255798143E-2</v>
      </c>
      <c r="BU76">
        <f>EXP(-Parameters!$B$56*A76)*BH76*BN76</f>
        <v>0</v>
      </c>
      <c r="BV76">
        <f>-EXP((Parameters!$B$56)*F76)*SUM(BU76:BU84)</f>
        <v>0</v>
      </c>
      <c r="BW76">
        <f>X76^-Parameters!B$52/(1-2*Parameters!B$5*'6states'!D76/'6states'!G76)</f>
        <v>1.1425868154947625</v>
      </c>
      <c r="BX76">
        <f t="shared" si="115"/>
        <v>1.0023598679478287</v>
      </c>
      <c r="BY76">
        <f>$X76^-Parameters!$B$52/(1-2*Parameters!$B$5*'6states'!$E76/'6states'!$H76)</f>
        <v>1.1253025230736906</v>
      </c>
      <c r="BZ76">
        <f t="shared" si="116"/>
        <v>1.0020846255469475</v>
      </c>
      <c r="CA76" s="7">
        <f>($X76^-Parameters!$B$52*(1/(1+EXP(-C76)) + IF(C76&lt;0,2*Parameters!$B$6*C76/F76,0)) + BS76*(1/(1+EXP((C76-Parameters!$B$22)*Parameters!$B$21))))/(1-IF(C76&gt;0,2*Parameters!$B$5*C76/F76,0))</f>
        <v>0.50905802500223885</v>
      </c>
      <c r="CB76">
        <f t="shared" si="117"/>
        <v>1.0045431311262771</v>
      </c>
      <c r="CC76" s="7">
        <f t="shared" si="118"/>
        <v>2.3022578989474463E-3</v>
      </c>
      <c r="CD76">
        <f>(1/$T76-1/Parameters!$B$13) * LN(Parameters!$B$18) / LN(P76)</f>
        <v>0.22265656498822475</v>
      </c>
      <c r="CE76">
        <f>(Parameters!$B$18*'6states'!T76^+Parameters!$B$19*Parameters!$B$25^'6states'!T76)^((1-'6states'!T76)/'6states'!T76)*Parameters!$B$18*Parameters!$B$26^('6states'!T76-1)</f>
        <v>0.30079206247400447</v>
      </c>
      <c r="CF76">
        <f t="shared" si="119"/>
        <v>0.21118783951287287</v>
      </c>
      <c r="CG76">
        <f t="shared" si="120"/>
        <v>0.14301406314353926</v>
      </c>
      <c r="CH76">
        <f t="shared" si="121"/>
        <v>0.18819342070884459</v>
      </c>
    </row>
    <row r="77" spans="1:86" x14ac:dyDescent="0.3">
      <c r="A77">
        <f>A76+Parameters!$B$65</f>
        <v>73</v>
      </c>
      <c r="B77">
        <v>2098</v>
      </c>
      <c r="C77" s="74">
        <v>7.9462814931163795E-4</v>
      </c>
      <c r="D77" s="69">
        <v>9.0113533843307295E-2</v>
      </c>
      <c r="E77" s="75">
        <v>0.21660856889159799</v>
      </c>
      <c r="F77" s="7">
        <f>MAX((1-Parameters!$B$4)^Parameters!B$65*F76 + C76*Parameters!B$65 - IF(C76&gt;0,Parameters!$B$5,0)*C76^2/F76*Parameters!B$65, 0.0001)</f>
        <v>3.8283434380838921E-2</v>
      </c>
      <c r="G77" s="7">
        <f>(1-Parameters!$B$4)^Parameters!B$65*G76+D76*Parameters!B$65-Parameters!$B$5*D76^2/G76*Parameters!B$65</f>
        <v>1.2442047079937808</v>
      </c>
      <c r="H77" s="7">
        <f>(1-Parameters!$B$4)^Parameters!B$65*H76+E76*Parameters!B$65-Parameters!$B$5*E76^2/H76*Parameters!B$65</f>
        <v>3.2400693823079441</v>
      </c>
      <c r="I77" s="7">
        <f>I76 *(1-Parameters!$B$4)-C76*(C76&lt;0)*Parameters!B$65</f>
        <v>1.6006586411857196E-3</v>
      </c>
      <c r="J77" s="23">
        <f>J76*(1+Parameters!$B$51)^Parameters!B$65</f>
        <v>10.08085213380379</v>
      </c>
      <c r="K77" s="23">
        <f>K76*(1+Parameters!$B$53)^Parameters!B$65</f>
        <v>38.4224705813889</v>
      </c>
      <c r="L77" s="23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5.6744403255606821</v>
      </c>
      <c r="M77" s="8">
        <f>M76+L77*Parameters!B$65</f>
        <v>3505.0288205276784</v>
      </c>
      <c r="N77" s="7">
        <f>M77*Parameters!$B$45</f>
        <v>2.1030172923166068</v>
      </c>
      <c r="O77" s="9">
        <f>EXP(-Parameters!$B$46/2*N77^2)</f>
        <v>0.95652538460091174</v>
      </c>
      <c r="P77" s="7">
        <f>MAX((Parameters!$B$62 + Parameters!$B$31*'6states'!A77 - '6states'!M77 + Parameters!$B$47/Parameters!$B$45)/Parameters!B$62,1)</f>
        <v>54.571423589446439</v>
      </c>
      <c r="Q77" s="7">
        <f>Parameters!B$61*EXP(-Parameters!B$60*A77)</f>
        <v>6.9658734532013489E-2</v>
      </c>
      <c r="R77" s="7">
        <f>(1-Parameters!B$61)*P77^-Parameters!B$63</f>
        <v>0.33517643391815999</v>
      </c>
      <c r="S77" s="7">
        <f>Parameters!B$61*EXP(-Parameters!B$60*A77)+(1-Parameters!B$61)*P77^-Parameters!B$63</f>
        <v>0.40483516845017348</v>
      </c>
      <c r="T77" s="7">
        <f>1-S77/Parameters!$B$12</f>
        <v>0.79758241577491329</v>
      </c>
      <c r="U77" s="7">
        <f t="shared" si="102"/>
        <v>4.9402822577311669</v>
      </c>
      <c r="V77" s="7">
        <f>(Parameters!$B$19*(F77+Parameters!$B$20)^T77+Parameters!$B$18*G77^T77)^(1/T77)</f>
        <v>0.34078243843376876</v>
      </c>
      <c r="W77" s="7">
        <f>(Parameters!$B$10*H77^Parameters!$B$9+Parameters!$B$11*V77^Parameters!$B$9)^(Parameters!$B$7/Parameters!$B$9)*O77</f>
        <v>1.3230765048608208</v>
      </c>
      <c r="X77" s="7">
        <f>W77 - D77 - E77 - LN(1+EXP(Parameters!$B$21*C77))/Parameters!$B$21 - IF(C77&gt;0, 0,Parameters!$B$6*C77^2/F77)</f>
        <v>1.0136229745352163</v>
      </c>
      <c r="Y77" s="7">
        <f>EXP(-Parameters!$B$55*A77)</f>
        <v>0.33210635997497118</v>
      </c>
      <c r="Z77" s="7">
        <f>IF(X77&gt;0,X77^(1-Parameters!$B$52)/(1-Parameters!$B$52)*Y77*Parameters!$B$65,-10+X77*1000)</f>
        <v>-0.94439220179541195</v>
      </c>
      <c r="AC77" s="23">
        <f t="shared" si="103"/>
        <v>0.30778431002448536</v>
      </c>
      <c r="AD77" s="23">
        <f t="shared" si="104"/>
        <v>34.903787214003039</v>
      </c>
      <c r="AE77" s="23">
        <f t="shared" si="105"/>
        <v>0.61998510358442649</v>
      </c>
      <c r="AF77" s="23">
        <f t="shared" si="106"/>
        <v>14.828370284241069</v>
      </c>
      <c r="AG77" s="23">
        <f t="shared" si="107"/>
        <v>481.91935801773081</v>
      </c>
      <c r="AH77" s="23">
        <f t="shared" si="108"/>
        <v>131.99568599811118</v>
      </c>
      <c r="AI77" s="23">
        <f t="shared" si="109"/>
        <v>324.85143252981396</v>
      </c>
      <c r="AJ77" s="23">
        <f t="shared" si="110"/>
        <v>512.46886925785293</v>
      </c>
      <c r="AK77" s="23">
        <f t="shared" si="111"/>
        <v>392.60784822755693</v>
      </c>
      <c r="AL77" s="9">
        <f t="shared" si="122"/>
        <v>2.2247716262126183E-2</v>
      </c>
      <c r="AM77" s="9">
        <f t="shared" si="123"/>
        <v>1.8995648848980196E-2</v>
      </c>
      <c r="AN77" s="9">
        <f t="shared" ref="AN77:AO77" si="131">AVERAGE(AL75:AL79)</f>
        <v>2.2373404653815144E-2</v>
      </c>
      <c r="AO77" s="9">
        <f t="shared" si="131"/>
        <v>2.3333582700647604E-2</v>
      </c>
      <c r="AP77" s="23"/>
      <c r="AQ77" s="25">
        <f t="shared" si="100"/>
        <v>512.46886925785282</v>
      </c>
      <c r="AR77" s="4"/>
      <c r="AS77" s="4"/>
      <c r="AT77" s="4"/>
      <c r="AU77" s="16"/>
      <c r="AV77" s="16"/>
      <c r="AX77" s="13">
        <f>1-W77/'6states,ExoDamages'!T77</f>
        <v>9.5306000732989893E-2</v>
      </c>
      <c r="AY77" s="21">
        <f>-Y77*W77*X77^(-Parameters!B$52)*Parameters!B$46*Parameters!B$45*N77</f>
        <v>-1.0942564114489048E-5</v>
      </c>
      <c r="AZ77" s="7">
        <f>1000*EXP(-(Parameters!$B$54)*'6states'!A77)*AQ77*Parameters!B$46*Parameters!B$45*N77</f>
        <v>1.0024550065550706</v>
      </c>
      <c r="BA77" s="7">
        <f>SUM(AZ77:AZ$204)*EXP(Parameters!$B$54*A77)</f>
        <v>974.67832768143512</v>
      </c>
      <c r="BB77" s="43">
        <f t="shared" si="77"/>
        <v>0.23242550960162786</v>
      </c>
      <c r="BC77" s="30">
        <f>IF(C77&lt;0,Parameters!$B$6*AC77^2/AF77,0)</f>
        <v>0</v>
      </c>
      <c r="BD77" s="30">
        <f>Parameters!$B$5*AD77^2/AG77</f>
        <v>2.5279631158447451</v>
      </c>
      <c r="BE77" s="30">
        <f t="shared" si="113"/>
        <v>0</v>
      </c>
      <c r="BF77" s="30">
        <f t="shared" si="114"/>
        <v>7.2426613775325568E-2</v>
      </c>
      <c r="BH77" s="5"/>
      <c r="BI77" s="5"/>
      <c r="BJ77" s="5"/>
      <c r="BM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-0.49987789169491859</v>
      </c>
      <c r="BN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-193.61832591142715</v>
      </c>
      <c r="BO77" s="7">
        <f t="shared" si="101"/>
        <v>4.0132757696202594E-2</v>
      </c>
      <c r="BU77">
        <f>EXP(-Parameters!$B$56*A77)*BH77*BN77</f>
        <v>0</v>
      </c>
      <c r="BV77">
        <f>-EXP((Parameters!$B$56)*F77)*SUM(BU77:BU85)</f>
        <v>0</v>
      </c>
      <c r="BW77">
        <f>X77^-Parameters!B$52/(1-2*Parameters!B$5*'6states'!D77/'6states'!G77)</f>
        <v>1.1482227238912281</v>
      </c>
      <c r="BX77">
        <f t="shared" si="115"/>
        <v>1.0049325865833882</v>
      </c>
      <c r="BY77">
        <f>$X77^-Parameters!$B$52/(1-2*Parameters!$B$5*'6states'!$E77/'6states'!$H77)</f>
        <v>1.133447886799416</v>
      </c>
      <c r="BZ77">
        <f t="shared" si="116"/>
        <v>1.0072383768441902</v>
      </c>
      <c r="CA77" s="7">
        <f>($X77^-Parameters!$B$52*(1/(1+EXP(-C77)) + IF(C77&lt;0,2*Parameters!$B$6*C77/F77,0)) + BS77*(1/(1+EXP((C77-Parameters!$B$22)*Parameters!$B$21))))/(1-IF(C77&gt;0,2*Parameters!$B$5*C77/F77,0))</f>
        <v>0.51241643021678973</v>
      </c>
      <c r="CB77">
        <f t="shared" si="117"/>
        <v>1.0065972935296248</v>
      </c>
      <c r="CC77" s="7">
        <f t="shared" si="118"/>
        <v>3.3584052145508858E-3</v>
      </c>
      <c r="CD77">
        <f>(1/$T77-1/Parameters!$B$13) * LN(Parameters!$B$18) / LN(P77)</f>
        <v>0.22226358967141127</v>
      </c>
      <c r="CE77">
        <f>(Parameters!$B$18*'6states'!T77^+Parameters!$B$19*Parameters!$B$25^'6states'!T77)^((1-'6states'!T77)/'6states'!T77)*Parameters!$B$18*Parameters!$B$26^('6states'!T77-1)</f>
        <v>0.30105540753724591</v>
      </c>
      <c r="CF77">
        <f t="shared" si="119"/>
        <v>0.21047882632854525</v>
      </c>
      <c r="CG77">
        <f t="shared" si="120"/>
        <v>0.14278059717769542</v>
      </c>
      <c r="CH77">
        <f t="shared" si="121"/>
        <v>0.18834159183180832</v>
      </c>
    </row>
    <row r="78" spans="1:86" x14ac:dyDescent="0.3">
      <c r="A78">
        <f>A77+Parameters!$B$65</f>
        <v>74</v>
      </c>
      <c r="B78">
        <v>2099</v>
      </c>
      <c r="C78" s="74">
        <v>7.9044804511728504E-4</v>
      </c>
      <c r="D78" s="69">
        <v>9.0570897380902696E-2</v>
      </c>
      <c r="E78" s="75">
        <v>0.216450539929567</v>
      </c>
      <c r="F78" s="7">
        <f>MAX((1-Parameters!$B$4)^Parameters!B$65*F77 + C77*Parameters!B$65 - IF(C77&gt;0,Parameters!$B$5,0)*C77^2/F77*Parameters!B$65, 0.0001)</f>
        <v>3.6653540849022823E-2</v>
      </c>
      <c r="G78" s="7">
        <f>(1-Parameters!$B$4)^Parameters!B$65*G77+D77*Parameters!B$65-Parameters!$B$5*D77^2/G77*Parameters!B$65</f>
        <v>1.2495311475926802</v>
      </c>
      <c r="H78" s="7">
        <f>(1-Parameters!$B$4)^Parameters!B$65*H77+E77*Parameters!B$65-Parameters!$B$5*E77^2/H77*Parameters!B$65</f>
        <v>3.238396640325286</v>
      </c>
      <c r="I78" s="7">
        <f>I77 *(1-Parameters!$B$4)-C77*(C77&lt;0)*Parameters!B$65</f>
        <v>1.4999772126551379E-3</v>
      </c>
      <c r="J78" s="23">
        <f>J77*(1+Parameters!$B$51)^Parameters!B$65</f>
        <v>10.110086604991819</v>
      </c>
      <c r="K78" s="23">
        <f>K77*(1+Parameters!$B$53)^Parameters!B$65</f>
        <v>39.190919993016678</v>
      </c>
      <c r="L78" s="23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5.508778216596526</v>
      </c>
      <c r="M78" s="8">
        <f>M77+L78*Parameters!B$65</f>
        <v>3510.5375987442749</v>
      </c>
      <c r="N78" s="7">
        <f>M78*Parameters!$B$45</f>
        <v>2.1063225592465646</v>
      </c>
      <c r="O78" s="9">
        <f>EXP(-Parameters!$B$46/2*N78^2)</f>
        <v>0.95639164724618431</v>
      </c>
      <c r="P78" s="7">
        <f>MAX((Parameters!$B$62 + Parameters!$B$31*'6states'!A78 - '6states'!M78 + Parameters!$B$47/Parameters!$B$45)/Parameters!B$62,1)</f>
        <v>55.525248025114507</v>
      </c>
      <c r="Q78" s="7">
        <f>Parameters!B$61*EXP(-Parameters!B$60*A78)</f>
        <v>6.780311232709485E-2</v>
      </c>
      <c r="R78" s="7">
        <f>(1-Parameters!B$61)*P78^-Parameters!B$63</f>
        <v>0.33459616088905675</v>
      </c>
      <c r="S78" s="7">
        <f>Parameters!B$61*EXP(-Parameters!B$60*A78)+(1-Parameters!B$61)*P78^-Parameters!B$63</f>
        <v>0.4023992732161516</v>
      </c>
      <c r="T78" s="7">
        <f>1-S78/Parameters!$B$12</f>
        <v>0.79880036339192417</v>
      </c>
      <c r="U78" s="7">
        <f t="shared" si="102"/>
        <v>4.9701879032114595</v>
      </c>
      <c r="V78" s="7">
        <f>(Parameters!$B$19*(F78+Parameters!$B$20)^T78+Parameters!$B$18*G78^T78)^(1/T78)</f>
        <v>0.3407682125160364</v>
      </c>
      <c r="W78" s="7">
        <f>(Parameters!$B$10*H78^Parameters!$B$9+Parameters!$B$11*V78^Parameters!$B$9)^(Parameters!$B$7/Parameters!$B$9)*O78</f>
        <v>1.3227457103043483</v>
      </c>
      <c r="X78" s="7">
        <f>W78 - D78 - E78 - LN(1+EXP(Parameters!$B$21*C78))/Parameters!$B$21 - IF(C78&gt;0, 0,Parameters!$B$6*C78^2/F78)</f>
        <v>1.012995182758238</v>
      </c>
      <c r="Y78" s="7">
        <f>EXP(-Parameters!$B$55*A78)</f>
        <v>0.32712922587116899</v>
      </c>
      <c r="Z78" s="7">
        <f>IF(X78&gt;0,X78^(1-Parameters!$B$52)/(1-Parameters!$B$52)*Y78*Parameters!$B$65,-10+X78*1000)</f>
        <v>-0.93044074109317176</v>
      </c>
      <c r="AC78" s="23">
        <f t="shared" si="103"/>
        <v>0.31319416630158492</v>
      </c>
      <c r="AD78" s="23">
        <f t="shared" si="104"/>
        <v>35.8863265860684</v>
      </c>
      <c r="AE78" s="23">
        <f t="shared" si="105"/>
        <v>0.59432636400434835</v>
      </c>
      <c r="AF78" s="23">
        <f t="shared" si="106"/>
        <v>14.522997734161592</v>
      </c>
      <c r="AG78" s="23">
        <f t="shared" si="107"/>
        <v>495.09372368690606</v>
      </c>
      <c r="AH78" s="23">
        <f t="shared" si="108"/>
        <v>135.02040631298604</v>
      </c>
      <c r="AI78" s="23">
        <f t="shared" si="109"/>
        <v>332.29549950714829</v>
      </c>
      <c r="AJ78" s="23">
        <f t="shared" si="110"/>
        <v>524.10306094981706</v>
      </c>
      <c r="AK78" s="23">
        <f t="shared" si="111"/>
        <v>401.37259329221695</v>
      </c>
      <c r="AL78" s="9">
        <f t="shared" si="122"/>
        <v>2.2448379927639373E-2</v>
      </c>
      <c r="AM78" s="9">
        <f t="shared" si="123"/>
        <v>2.2078884200351645E-2</v>
      </c>
      <c r="AN78" s="9">
        <f t="shared" ref="AN78:AO78" si="132">AVERAGE(AL76:AL80)</f>
        <v>2.233862595280307E-2</v>
      </c>
      <c r="AO78" s="9">
        <f t="shared" si="132"/>
        <v>2.1754905263360592E-2</v>
      </c>
      <c r="AP78" s="23"/>
      <c r="AQ78" s="25">
        <f t="shared" si="100"/>
        <v>524.10306094981706</v>
      </c>
      <c r="AR78" s="4"/>
      <c r="AS78" s="4"/>
      <c r="AT78" s="4"/>
      <c r="AU78" s="16"/>
      <c r="AV78" s="16"/>
      <c r="AX78" s="13">
        <f>1-W78/'6states,ExoDamages'!T78</f>
        <v>9.5396614662149881E-2</v>
      </c>
      <c r="AY78" s="21">
        <f>-Y78*W78*X78^(-Parameters!B$52)*Parameters!B$46*Parameters!B$45*N78</f>
        <v>-1.0801844761849765E-5</v>
      </c>
      <c r="AZ78" s="7">
        <f>1000*EXP(-(Parameters!$B$54)*'6states'!A78)*AQ78*Parameters!B$46*Parameters!B$45*N78</f>
        <v>0.99140794701039781</v>
      </c>
      <c r="BA78" s="7">
        <f>SUM(AZ78:AZ$204)*EXP(Parameters!$B$54*A78)</f>
        <v>996.0352850208709</v>
      </c>
      <c r="BB78" s="43">
        <f t="shared" si="77"/>
        <v>0.23270677270596712</v>
      </c>
      <c r="BC78" s="30">
        <f>IF(C78&lt;0,Parameters!$B$6*AC78^2/AF78,0)</f>
        <v>0</v>
      </c>
      <c r="BD78" s="30">
        <f>Parameters!$B$5*AD78^2/AG78</f>
        <v>2.6011810980992633</v>
      </c>
      <c r="BE78" s="30">
        <f t="shared" si="113"/>
        <v>0</v>
      </c>
      <c r="BF78" s="30">
        <f t="shared" si="114"/>
        <v>7.2483905307518443E-2</v>
      </c>
      <c r="BH78" s="5"/>
      <c r="BI78" s="5"/>
      <c r="BJ78" s="5"/>
      <c r="BM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-0.51290723944507377</v>
      </c>
      <c r="BN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-203.22595044714407</v>
      </c>
      <c r="BO78" s="7">
        <f t="shared" si="101"/>
        <v>3.9314256950835166E-2</v>
      </c>
      <c r="BU78">
        <f>EXP(-Parameters!$B$56*A78)*BH78*BN78</f>
        <v>0</v>
      </c>
      <c r="BV78">
        <f>-EXP((Parameters!$B$56)*F78)*SUM(BU78:BU86)</f>
        <v>0</v>
      </c>
      <c r="BW78">
        <f>X78^-Parameters!B$52/(1-2*Parameters!B$5*'6states'!D78/'6states'!G78)</f>
        <v>1.1493374869641773</v>
      </c>
      <c r="BX78">
        <f t="shared" si="115"/>
        <v>1.0009708596161302</v>
      </c>
      <c r="BY78">
        <f>$X78^-Parameters!$B$52/(1-2*Parameters!$B$5*'6states'!$E78/'6states'!$H78)</f>
        <v>1.1343589222839436</v>
      </c>
      <c r="BZ78">
        <f t="shared" si="116"/>
        <v>1.0008037735965967</v>
      </c>
      <c r="CA78" s="7">
        <f>($X78^-Parameters!$B$52*(1/(1+EXP(-C78)) + IF(C78&lt;0,2*Parameters!$B$6*C78/F78,0)) + BS78*(1/(1+EXP((C78-Parameters!$B$22)*Parameters!$B$21))))/(1-IF(C78&gt;0,2*Parameters!$B$5*C78/F78,0))</f>
        <v>0.51371124181418726</v>
      </c>
      <c r="CB78">
        <f t="shared" si="117"/>
        <v>1.0025268736930424</v>
      </c>
      <c r="CC78" s="7">
        <f t="shared" si="118"/>
        <v>1.2948115973975272E-3</v>
      </c>
      <c r="CD78">
        <f>(1/$T78-1/Parameters!$B$13) * LN(Parameters!$B$18) / LN(P78)</f>
        <v>0.22187175822523408</v>
      </c>
      <c r="CE78">
        <f>(Parameters!$B$18*'6states'!T78^+Parameters!$B$19*Parameters!$B$25^'6states'!T78)^((1-'6states'!T78)/'6states'!T78)*Parameters!$B$18*Parameters!$B$26^('6states'!T78-1)</f>
        <v>0.30130887377461146</v>
      </c>
      <c r="CF78">
        <f t="shared" si="119"/>
        <v>0.20978039288203973</v>
      </c>
      <c r="CG78">
        <f t="shared" si="120"/>
        <v>0.1425477474585003</v>
      </c>
      <c r="CH78">
        <f t="shared" si="121"/>
        <v>0.18848417909097059</v>
      </c>
    </row>
    <row r="79" spans="1:86" s="85" customFormat="1" x14ac:dyDescent="0.3">
      <c r="A79" s="85">
        <f>A78+Parameters!$B$65</f>
        <v>75</v>
      </c>
      <c r="B79" s="53">
        <v>2100</v>
      </c>
      <c r="C79" s="76">
        <v>8.0092478662672595E-4</v>
      </c>
      <c r="D79" s="77">
        <v>8.8624019747088903E-2</v>
      </c>
      <c r="E79" s="78">
        <v>0.215621689068144</v>
      </c>
      <c r="F79" s="54">
        <f>MAX((1-Parameters!$B$4)^Parameters!B$65*F78 + C78*Parameters!B$65 - IF(C78&gt;0,Parameters!$B$5,0)*C78^2/F78*Parameters!B$65, 0.0001)</f>
        <v>3.5121434851310321E-2</v>
      </c>
      <c r="G79" s="86">
        <f>(1-Parameters!$B$4)^Parameters!B$65*G78+D78*Parameters!B$65-Parameters!$B$5*D78^2/G78*Parameters!B$65</f>
        <v>1.2549416034406291</v>
      </c>
      <c r="H79" s="86">
        <f>(1-Parameters!$B$4)^Parameters!B$65*H78+E78*Parameters!B$65-Parameters!$B$5*E78^2/H78*Parameters!B$65</f>
        <v>3.2366847375933374</v>
      </c>
      <c r="I79" s="54">
        <f>I78 *(1-Parameters!$B$4)-C78*(C78&lt;0)*Parameters!B$65</f>
        <v>1.4056286459791297E-3</v>
      </c>
      <c r="J79" s="101">
        <f>J78*(1+Parameters!$B$51)^Parameters!B$65</f>
        <v>10.139405856146295</v>
      </c>
      <c r="K79" s="101">
        <f>K78*(1+Parameters!$B$53)^Parameters!B$65</f>
        <v>39.974738392877015</v>
      </c>
      <c r="L79" s="56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5.3526033830137143</v>
      </c>
      <c r="M79" s="84">
        <f>M78+L79*Parameters!B$65</f>
        <v>3515.8902021272884</v>
      </c>
      <c r="N79" s="86">
        <f>M79*Parameters!$B$45</f>
        <v>2.109534121276373</v>
      </c>
      <c r="O79" s="55">
        <f>EXP(-Parameters!$B$46/2*N79^2)</f>
        <v>0.95626151814140903</v>
      </c>
      <c r="P79" s="54">
        <f>MAX((Parameters!$B$62 + Parameters!$B$31*'6states'!A79 - '6states'!M79 + Parameters!$B$47/Parameters!$B$45)/Parameters!B$62,1)</f>
        <v>56.48219595745423</v>
      </c>
      <c r="Q79" s="54">
        <f>Parameters!B$61*EXP(-Parameters!B$60*A79)</f>
        <v>6.5996921593915112E-2</v>
      </c>
      <c r="R79" s="54">
        <f>(1-Parameters!B$61)*P79^-Parameters!B$63</f>
        <v>0.33402490335912038</v>
      </c>
      <c r="S79" s="54">
        <f>Parameters!B$61*EXP(-Parameters!B$60*A79)+(1-Parameters!B$61)*P79^-Parameters!B$63</f>
        <v>0.40002182495303551</v>
      </c>
      <c r="T79" s="86">
        <f>1-S79/Parameters!$B$12</f>
        <v>0.7999890875234823</v>
      </c>
      <c r="U79" s="86">
        <f t="shared" si="102"/>
        <v>4.9997272029715134</v>
      </c>
      <c r="V79" s="54">
        <f>(Parameters!$B$19*(F79+Parameters!$B$20)^T79+Parameters!$B$18*G79^T79)^(1/T79)</f>
        <v>0.34086429682786173</v>
      </c>
      <c r="W79" s="86">
        <f>(Parameters!$B$10*H79^Parameters!$B$9+Parameters!$B$11*V79^Parameters!$B$9)^(Parameters!$B$7/Parameters!$B$9)*O79</f>
        <v>1.3224567236911635</v>
      </c>
      <c r="X79" s="54">
        <f>W79 - D79 - E79 - LN(1+EXP(Parameters!$B$21*C79))/Parameters!$B$21 - IF(C79&gt;0, 0,Parameters!$B$6*C79^2/F79)</f>
        <v>1.0154760640065317</v>
      </c>
      <c r="Y79" s="86">
        <f>EXP(-Parameters!$B$55*A79)</f>
        <v>0.32222668191941661</v>
      </c>
      <c r="Z79" s="86">
        <f>IF(X79&gt;0,X79^(1-Parameters!$B$52)/(1-Parameters!$B$52)*Y79*Parameters!$B$65,-10+X79*1000)</f>
        <v>-0.91571233225255089</v>
      </c>
      <c r="AC79" s="56">
        <f t="shared" si="103"/>
        <v>0.3246309118517634</v>
      </c>
      <c r="AD79" s="56">
        <f t="shared" si="104"/>
        <v>35.921096241306074</v>
      </c>
      <c r="AE79" s="56">
        <f t="shared" si="105"/>
        <v>0.56972953851386998</v>
      </c>
      <c r="AF79" s="56">
        <f t="shared" si="106"/>
        <v>14.235423365211552</v>
      </c>
      <c r="AG79" s="56">
        <f t="shared" si="107"/>
        <v>508.65305188202706</v>
      </c>
      <c r="AH79" s="56">
        <f t="shared" si="108"/>
        <v>138.1591497036664</v>
      </c>
      <c r="AI79" s="56">
        <f t="shared" si="109"/>
        <v>340.02018595501136</v>
      </c>
      <c r="AJ79" s="56">
        <f t="shared" si="110"/>
        <v>536.01828694114272</v>
      </c>
      <c r="AK79" s="56">
        <f t="shared" si="111"/>
        <v>411.59285631612863</v>
      </c>
      <c r="AL79" s="55">
        <f t="shared" si="122"/>
        <v>2.2479931732550362E-2</v>
      </c>
      <c r="AM79" s="55">
        <f t="shared" si="123"/>
        <v>2.5144491686344139E-2</v>
      </c>
      <c r="AN79" s="55">
        <f t="shared" ref="AN79:AO79" si="133">AVERAGE(AL77:AL81)</f>
        <v>2.238797308116016E-2</v>
      </c>
      <c r="AO79" s="55">
        <f t="shared" si="133"/>
        <v>2.1427217651723573E-2</v>
      </c>
      <c r="AP79" s="56"/>
      <c r="AQ79" s="84">
        <f t="shared" si="100"/>
        <v>536.01828694114272</v>
      </c>
      <c r="AU79" s="86"/>
      <c r="AV79" s="86"/>
      <c r="AX79" s="102">
        <f>1-W79/'6states,ExoDamages'!T79</f>
        <v>9.5463259836809256E-2</v>
      </c>
      <c r="AY79" s="61">
        <f>-Y79*W79*X79^(-Parameters!B$52)*Parameters!B$46*Parameters!B$45*N79</f>
        <v>-1.0618734140622714E-5</v>
      </c>
      <c r="AZ79" s="86">
        <f>1000*EXP(-(Parameters!$B$54)*'6states'!A79)*AQ79*Parameters!B$46*Parameters!B$45*N79</f>
        <v>0.98046759607369627</v>
      </c>
      <c r="BA79" s="86">
        <f>SUM(AZ79:AZ$204)*EXP(Parameters!$B$54*A79)</f>
        <v>1017.8279331932229</v>
      </c>
      <c r="BB79" s="102">
        <f t="shared" si="77"/>
        <v>0.23066662835698049</v>
      </c>
      <c r="BC79" s="59">
        <f>IF(C79&lt;0,Parameters!$B$6*AC79^2/AF79,0)</f>
        <v>0</v>
      </c>
      <c r="BD79" s="59">
        <f>Parameters!$B$5*AD79^2/AG79</f>
        <v>2.536749067764251</v>
      </c>
      <c r="BE79" s="59">
        <f t="shared" si="113"/>
        <v>0</v>
      </c>
      <c r="BF79" s="59">
        <f t="shared" si="114"/>
        <v>7.0620034831988629E-2</v>
      </c>
      <c r="BG79" s="86"/>
      <c r="BH79" s="62"/>
      <c r="BI79" s="62"/>
      <c r="BJ79" s="62"/>
      <c r="BK79" s="53"/>
      <c r="BL79" s="53"/>
      <c r="BM79" s="53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-0.52659557714804861</v>
      </c>
      <c r="BN79" s="53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-213.43977017700681</v>
      </c>
      <c r="BO79" s="54">
        <f t="shared" si="101"/>
        <v>3.8481840898144923E-2</v>
      </c>
      <c r="BP79" s="53"/>
      <c r="BQ79" s="53"/>
      <c r="BR79" s="53"/>
      <c r="BS79" s="53"/>
      <c r="BU79" s="53">
        <f>EXP(-Parameters!$B$56*A79)*BH79*BN79</f>
        <v>0</v>
      </c>
      <c r="BV79" s="53">
        <f>-EXP((Parameters!$B$56)*F79)*SUM(BU79:BU87)</f>
        <v>0</v>
      </c>
      <c r="BW79" s="53">
        <f>X79^-Parameters!B$52/(1-2*Parameters!B$5*'6states'!D79/'6states'!G79)</f>
        <v>1.1405757796854405</v>
      </c>
      <c r="BX79" s="53">
        <f t="shared" si="115"/>
        <v>0.99237673235397583</v>
      </c>
      <c r="BY79" s="53">
        <f>$X79^-Parameters!$B$52/(1-2*Parameters!$B$5*'6states'!$E79/'6states'!$H79)</f>
        <v>1.1300433963222782</v>
      </c>
      <c r="BZ79" s="53">
        <f t="shared" si="116"/>
        <v>0.99619562567288977</v>
      </c>
      <c r="CA79" s="54">
        <f>($X79^-Parameters!$B$52*(1/(1+EXP(-C79)) + IF(C79&lt;0,2*Parameters!$B$6*C79/F79,0)) + BS79*(1/(1+EXP((C79-Parameters!$B$22)*Parameters!$B$21))))/(1-IF(C79&gt;0,2*Parameters!$B$5*C79/F79,0))</f>
        <v>0.51334982562903586</v>
      </c>
      <c r="CB79" s="53">
        <f t="shared" si="117"/>
        <v>0.99929646043198306</v>
      </c>
      <c r="CC79" s="54">
        <f t="shared" si="118"/>
        <v>-3.6141618515139751E-4</v>
      </c>
      <c r="CD79" s="53">
        <f>(1/$T79-1/Parameters!$B$13) * LN(Parameters!$B$18) / LN(P79)</f>
        <v>0.22148125739232366</v>
      </c>
      <c r="CE79" s="53">
        <f>(Parameters!$B$18*'6states'!T79^+Parameters!$B$19*Parameters!$B$25^'6states'!T79)^((1-'6states'!T79)/'6states'!T79)*Parameters!$B$18*Parameters!$B$26^('6states'!T79-1)</f>
        <v>0.30155288605480285</v>
      </c>
      <c r="CF79" s="53">
        <f t="shared" si="119"/>
        <v>0.20909244320171064</v>
      </c>
      <c r="CG79" s="53">
        <f t="shared" si="120"/>
        <v>0.14231562554141908</v>
      </c>
      <c r="CH79" s="53">
        <f t="shared" si="121"/>
        <v>0.18862142436805351</v>
      </c>
    </row>
    <row r="80" spans="1:86" x14ac:dyDescent="0.3">
      <c r="A80">
        <f>A79+Parameters!$B$65</f>
        <v>76</v>
      </c>
      <c r="B80">
        <v>2101</v>
      </c>
      <c r="C80" s="74">
        <v>7.9159900782336298E-4</v>
      </c>
      <c r="D80" s="69">
        <v>8.9288445847213002E-2</v>
      </c>
      <c r="E80" s="75">
        <v>0.215995828206614</v>
      </c>
      <c r="F80" s="7">
        <f>MAX((1-Parameters!$B$4)^Parameters!B$65*F79 + C79*Parameters!B$65 - IF(C79&gt;0,Parameters!$B$5,0)*C79^2/F79*Parameters!B$65, 0.0001)</f>
        <v>3.3694956741518997E-2</v>
      </c>
      <c r="G80" s="7">
        <f>(1-Parameters!$B$4)^Parameters!B$65*G79+D79*Parameters!B$65-Parameters!$B$5*D79^2/G79*Parameters!B$65</f>
        <v>1.2583711649698122</v>
      </c>
      <c r="H80" s="7">
        <f>(1-Parameters!$B$4)^Parameters!B$65*H79+E79*Parameters!B$65-Parameters!$B$5*E79^2/H79*Parameters!B$65</f>
        <v>3.2343546559808538</v>
      </c>
      <c r="I80" s="7">
        <f>I79 *(1-Parameters!$B$4)-C79*(C79&lt;0)*Parameters!B$65</f>
        <v>1.3172146041470424E-3</v>
      </c>
      <c r="J80" s="23">
        <f>J79*(1+Parameters!$B$51)^Parameters!B$65</f>
        <v>10.168810133129119</v>
      </c>
      <c r="K80" s="23">
        <f>K79*(1+Parameters!$B$53)^Parameters!B$65</f>
        <v>40.774233160734553</v>
      </c>
      <c r="L80" s="23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5.2077288470472096</v>
      </c>
      <c r="M80" s="8">
        <f>M79+L80*Parameters!B$65</f>
        <v>3521.0979309743357</v>
      </c>
      <c r="N80" s="7">
        <f>M80*Parameters!$B$45</f>
        <v>2.1126587585846011</v>
      </c>
      <c r="O80" s="9">
        <f>EXP(-Parameters!$B$46/2*N80^2)</f>
        <v>0.95613473788282821</v>
      </c>
      <c r="P80" s="7">
        <f>MAX((Parameters!$B$62 + Parameters!$B$31*'6states'!A80 - '6states'!M80 + Parameters!$B$47/Parameters!$B$45)/Parameters!B$62,1)</f>
        <v>57.442041380513295</v>
      </c>
      <c r="Q80" s="7">
        <f>Parameters!B$61*EXP(-Parameters!B$60*A80)</f>
        <v>6.4238845539437511E-2</v>
      </c>
      <c r="R80" s="7">
        <f>(1-Parameters!B$61)*P80^-Parameters!B$63</f>
        <v>0.33346251227829615</v>
      </c>
      <c r="S80" s="7">
        <f>Parameters!B$61*EXP(-Parameters!B$60*A80)+(1-Parameters!B$61)*P80^-Parameters!B$63</f>
        <v>0.39770135781773364</v>
      </c>
      <c r="T80" s="7">
        <f>1-S80/Parameters!$B$12</f>
        <v>0.80114932109113313</v>
      </c>
      <c r="U80" s="7">
        <f t="shared" si="102"/>
        <v>5.0288990989982958</v>
      </c>
      <c r="V80" s="7">
        <f>(Parameters!$B$19*(F80+Parameters!$B$20)^T80+Parameters!$B$18*G80^T80)^(1/T80)</f>
        <v>0.34059616846152885</v>
      </c>
      <c r="W80" s="7">
        <f>(Parameters!$B$10*H80^Parameters!$B$9+Parameters!$B$11*V80^Parameters!$B$9)^(Parameters!$B$7/Parameters!$B$9)*O80</f>
        <v>1.3219874613266485</v>
      </c>
      <c r="X80" s="7">
        <f>W80 - D80 - E80 - LN(1+EXP(Parameters!$B$21*C80))/Parameters!$B$21 - IF(C80&gt;0, 0,Parameters!$B$6*C80^2/F80)</f>
        <v>1.0139734535915843</v>
      </c>
      <c r="Y80" s="7">
        <f>EXP(-Parameters!$B$55*A80)</f>
        <v>0.31739761026942775</v>
      </c>
      <c r="Z80" s="7">
        <f>IF(X80&gt;0,X80^(1-Parameters!$B$52)/(1-Parameters!$B$52)*Y80*Parameters!$B$65,-10+X80*1000)</f>
        <v>-0.90245655428607641</v>
      </c>
      <c r="AC80" s="23">
        <f t="shared" si="103"/>
        <v>0.32821708322986964</v>
      </c>
      <c r="AD80" s="23">
        <f t="shared" si="104"/>
        <v>37.021260729826167</v>
      </c>
      <c r="AE80" s="23">
        <f t="shared" si="105"/>
        <v>0.54615067867467582</v>
      </c>
      <c r="AF80" s="23">
        <f t="shared" si="106"/>
        <v>13.970786107561365</v>
      </c>
      <c r="AG80" s="23">
        <f t="shared" si="107"/>
        <v>521.75269208918178</v>
      </c>
      <c r="AH80" s="23">
        <f t="shared" si="108"/>
        <v>141.2198346219466</v>
      </c>
      <c r="AI80" s="23">
        <f t="shared" si="109"/>
        <v>347.55276455943596</v>
      </c>
      <c r="AJ80" s="23">
        <f t="shared" si="110"/>
        <v>548.12962666056387</v>
      </c>
      <c r="AK80" s="23">
        <f t="shared" si="111"/>
        <v>420.41918461399723</v>
      </c>
      <c r="AL80" s="9">
        <f t="shared" si="122"/>
        <v>2.2343526060365271E-2</v>
      </c>
      <c r="AM80" s="9">
        <f t="shared" si="123"/>
        <v>2.1217624232447996E-2</v>
      </c>
      <c r="AN80" s="9">
        <f t="shared" ref="AN80:AO80" si="134">AVERAGE(AL78:AL82)</f>
        <v>2.2454278034488694E-2</v>
      </c>
      <c r="AO80" s="9">
        <f t="shared" si="134"/>
        <v>2.2508647736411369E-2</v>
      </c>
      <c r="AP80" s="23"/>
      <c r="AQ80" s="25">
        <f t="shared" si="100"/>
        <v>548.12962666056387</v>
      </c>
      <c r="AR80" s="4"/>
      <c r="AS80" s="4"/>
      <c r="AT80" s="4"/>
      <c r="AU80" s="16"/>
      <c r="AV80" s="16"/>
      <c r="AX80" s="13">
        <f>1-W80/'6states,ExoDamages'!T80</f>
        <v>9.5657513136849337E-2</v>
      </c>
      <c r="AY80" s="21">
        <f>-Y80*W80*X80^(-Parameters!B$52)*Parameters!B$46*Parameters!B$45*N80</f>
        <v>-1.0492325643250174E-5</v>
      </c>
      <c r="AZ80" s="7">
        <f>1000*EXP(-(Parameters!$B$54)*'6states'!A80)*AQ80*Parameters!B$46*Parameters!B$45*N80</f>
        <v>0.96947358149576535</v>
      </c>
      <c r="BA80" s="7">
        <f>SUM(AZ80:AZ$204)*EXP(Parameters!$B$54*A80)</f>
        <v>1040.0640977075111</v>
      </c>
      <c r="BB80" s="43">
        <f t="shared" si="77"/>
        <v>0.23152706210578983</v>
      </c>
      <c r="BC80" s="30">
        <f>IF(C80&lt;0,Parameters!$B$6*AC80^2/AF80,0)</f>
        <v>0</v>
      </c>
      <c r="BD80" s="30">
        <f>Parameters!$B$5*AD80^2/AG80</f>
        <v>2.6268647326720469</v>
      </c>
      <c r="BE80" s="30">
        <f t="shared" si="113"/>
        <v>0</v>
      </c>
      <c r="BF80" s="30">
        <f t="shared" si="114"/>
        <v>7.0955572038520945E-2</v>
      </c>
      <c r="BH80" s="5"/>
      <c r="BI80" s="5"/>
      <c r="BJ80" s="5"/>
      <c r="BM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-0.54130540530537163</v>
      </c>
      <c r="BN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-224.43898932417025</v>
      </c>
      <c r="BO80" s="7">
        <f t="shared" si="101"/>
        <v>3.7621619954458868E-2</v>
      </c>
      <c r="BU80">
        <f>EXP(-Parameters!$B$56*A80)*BH80*BN80</f>
        <v>0</v>
      </c>
      <c r="BV80">
        <f>-EXP((Parameters!$B$56)*F80)*SUM(BU80:BU88)</f>
        <v>0</v>
      </c>
      <c r="BW80">
        <f>X80^-Parameters!B$52/(1-2*Parameters!B$5*'6states'!D80/'6states'!G80)</f>
        <v>1.1437519522718567</v>
      </c>
      <c r="BX80">
        <f t="shared" si="115"/>
        <v>1.0027847098307594</v>
      </c>
      <c r="BY80">
        <f>$X80^-Parameters!$B$52/(1-2*Parameters!$B$5*'6states'!$E80/'6states'!$H80)</f>
        <v>1.1327324957808258</v>
      </c>
      <c r="BZ80">
        <f t="shared" si="116"/>
        <v>1.0023796426467331</v>
      </c>
      <c r="CA80" s="7">
        <f>($X80^-Parameters!$B$52*(1/(1+EXP(-C80)) + IF(C80&lt;0,2*Parameters!$B$6*C80/F80,0)) + BS80*(1/(1+EXP((C80-Parameters!$B$22)*Parameters!$B$21))))/(1-IF(C80&gt;0,2*Parameters!$B$5*C80/F80,0))</f>
        <v>0.51511807024528</v>
      </c>
      <c r="CB80">
        <f t="shared" si="117"/>
        <v>1.0034445217042343</v>
      </c>
      <c r="CC80" s="7">
        <f t="shared" si="118"/>
        <v>1.7682446162441412E-3</v>
      </c>
      <c r="CD80">
        <f>(1/$T80-1/Parameters!$B$13) * LN(Parameters!$B$18) / LN(P80)</f>
        <v>0.22109229009611781</v>
      </c>
      <c r="CE80">
        <f>(Parameters!$B$18*'6states'!T80^+Parameters!$B$19*Parameters!$B$25^'6states'!T80)^((1-'6states'!T80)/'6states'!T80)*Parameters!$B$18*Parameters!$B$26^('6states'!T80-1)</f>
        <v>0.30178784687932375</v>
      </c>
      <c r="CF80">
        <f t="shared" si="119"/>
        <v>0.20841490675745733</v>
      </c>
      <c r="CG80">
        <f t="shared" si="120"/>
        <v>0.14208435272253839</v>
      </c>
      <c r="CH80">
        <f t="shared" si="121"/>
        <v>0.18875355669702421</v>
      </c>
    </row>
    <row r="81" spans="1:84" x14ac:dyDescent="0.3">
      <c r="A81">
        <f>A80+Parameters!$B$65</f>
        <v>77</v>
      </c>
      <c r="B81">
        <v>2102</v>
      </c>
      <c r="C81" s="74">
        <v>7.68520473313617E-4</v>
      </c>
      <c r="D81" s="69">
        <v>8.90300480692615E-2</v>
      </c>
      <c r="E81" s="75">
        <v>0.21893583275569201</v>
      </c>
      <c r="F81" s="7">
        <f>MAX((1-Parameters!$B$4)^Parameters!B$65*F80 + C80*Parameters!B$65 - IF(C80&gt;0,Parameters!$B$5,0)*C80^2/F80*Parameters!B$65, 0.0001)</f>
        <v>3.2348545855189682E-2</v>
      </c>
      <c r="G81" s="7">
        <f>(1-Parameters!$B$4)^Parameters!B$65*G80+D80*Parameters!B$65-Parameters!$B$5*D80^2/G80*Parameters!B$65</f>
        <v>1.2621725517889046</v>
      </c>
      <c r="H81" s="7">
        <f>(1-Parameters!$B$4)^Parameters!B$65*H80+E80*Parameters!B$65-Parameters!$B$5*E80^2/H80*Parameters!B$65</f>
        <v>3.2324849993194218</v>
      </c>
      <c r="I81" s="7">
        <f>I80 *(1-Parameters!$B$4)-C80*(C80&lt;0)*Parameters!B$65</f>
        <v>1.2343618055461936E-3</v>
      </c>
      <c r="J81" s="23">
        <f>J80*(1+Parameters!$B$51)^Parameters!B$65</f>
        <v>10.198299682515193</v>
      </c>
      <c r="K81" s="23">
        <f>K80*(1+Parameters!$B$53)^Parameters!B$65</f>
        <v>41.589717823949243</v>
      </c>
      <c r="L81" s="23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5.0705267407899415</v>
      </c>
      <c r="M81" s="8">
        <f>M80+L81*Parameters!B$65</f>
        <v>3526.1684577151254</v>
      </c>
      <c r="N81" s="7">
        <f>M81*Parameters!$B$45</f>
        <v>2.115701074629075</v>
      </c>
      <c r="O81" s="9">
        <f>EXP(-Parameters!$B$46/2*N81^2)</f>
        <v>0.95601113364753287</v>
      </c>
      <c r="P81" s="7">
        <f>MAX((Parameters!$B$62 + Parameters!$B$31*'6states'!A81 - '6states'!M81 + Parameters!$B$47/Parameters!$B$45)/Parameters!B$62,1)</f>
        <v>58.404630845697504</v>
      </c>
      <c r="Q81" s="7">
        <f>Parameters!B$61*EXP(-Parameters!B$60*A81)</f>
        <v>6.2527602448356992E-2</v>
      </c>
      <c r="R81" s="7">
        <f>(1-Parameters!B$61)*P81^-Parameters!B$63</f>
        <v>0.33290880054149902</v>
      </c>
      <c r="S81" s="7">
        <f>Parameters!B$61*EXP(-Parameters!B$60*A81)+(1-Parameters!B$61)*P81^-Parameters!B$63</f>
        <v>0.395436402989856</v>
      </c>
      <c r="T81" s="7">
        <f>1-S81/Parameters!$B$12</f>
        <v>0.80228179850507197</v>
      </c>
      <c r="U81" s="7">
        <f t="shared" si="102"/>
        <v>5.0577032991353228</v>
      </c>
      <c r="V81" s="7">
        <f>(Parameters!$B$19*(F81+Parameters!$B$20)^T81+Parameters!$B$18*G81^T81)^(1/T81)</f>
        <v>0.34048861446547513</v>
      </c>
      <c r="W81" s="7">
        <f>(Parameters!$B$10*H81^Parameters!$B$9+Parameters!$B$11*V81^Parameters!$B$9)^(Parameters!$B$7/Parameters!$B$9)*O81</f>
        <v>1.3216198426388455</v>
      </c>
      <c r="X81" s="7">
        <f>W81 - D81 - E81 - LN(1+EXP(Parameters!$B$21*C81))/Parameters!$B$21 - IF(C81&gt;0, 0,Parameters!$B$6*C81^2/F81)</f>
        <v>1.0109371114679224</v>
      </c>
      <c r="Y81" s="7">
        <f>EXP(-Parameters!$B$55*A81)</f>
        <v>0.31264090982365395</v>
      </c>
      <c r="Z81" s="7">
        <f>IF(X81&gt;0,X81^(1-Parameters!$B$52)/(1-Parameters!$B$52)*Y81*Parameters!$B$65,-10+X81*1000)</f>
        <v>-0.88986538336884013</v>
      </c>
      <c r="AC81" s="23">
        <f t="shared" si="103"/>
        <v>0.32596365971383084</v>
      </c>
      <c r="AD81" s="23">
        <f t="shared" si="104"/>
        <v>37.761596861599912</v>
      </c>
      <c r="AE81" s="23">
        <f t="shared" si="105"/>
        <v>0.52354765490107624</v>
      </c>
      <c r="AF81" s="23">
        <f t="shared" si="106"/>
        <v>13.720454769297129</v>
      </c>
      <c r="AG81" s="23">
        <f t="shared" si="107"/>
        <v>535.3434273488291</v>
      </c>
      <c r="AH81" s="23">
        <f t="shared" si="108"/>
        <v>144.41634115941952</v>
      </c>
      <c r="AI81" s="23">
        <f t="shared" si="109"/>
        <v>355.4196105092638</v>
      </c>
      <c r="AJ81" s="23">
        <f t="shared" si="110"/>
        <v>560.55766321943497</v>
      </c>
      <c r="AK81" s="23">
        <f t="shared" si="111"/>
        <v>428.78332072766938</v>
      </c>
      <c r="AL81" s="9">
        <f t="shared" si="122"/>
        <v>2.2420311423119621E-2</v>
      </c>
      <c r="AM81" s="9">
        <f t="shared" si="123"/>
        <v>1.9699439290493892E-2</v>
      </c>
      <c r="AN81" s="9">
        <f t="shared" ref="AN81:AO81" si="135">AVERAGE(AL79:AL83)</f>
        <v>2.2460659889045508E-2</v>
      </c>
      <c r="AO81" s="9">
        <f t="shared" si="135"/>
        <v>2.1885082637031594E-2</v>
      </c>
      <c r="AP81" s="23"/>
      <c r="AQ81" s="25">
        <f t="shared" si="100"/>
        <v>560.55766321943497</v>
      </c>
      <c r="AR81" s="4"/>
      <c r="AS81" s="4"/>
      <c r="AT81" s="4"/>
      <c r="AU81" s="16"/>
      <c r="AV81" s="16"/>
      <c r="AX81" s="13">
        <f>1-W81/'6states,ExoDamages'!T81</f>
        <v>9.5786297845456669E-2</v>
      </c>
      <c r="AY81" s="21">
        <f>-Y81*W81*X81^(-Parameters!B$52)*Parameters!B$46*Parameters!B$45*N81</f>
        <v>-1.0389063053820337E-5</v>
      </c>
      <c r="AZ81" s="7">
        <f>1000*EXP(-(Parameters!$B$54)*'6states'!A81)*AQ81*Parameters!B$46*Parameters!B$45*N81</f>
        <v>0.95863705531392585</v>
      </c>
      <c r="BA81" s="7">
        <f>SUM(AZ81:AZ$204)*EXP(Parameters!$B$54*A81)</f>
        <v>1062.7540861706152</v>
      </c>
      <c r="BB81" s="43">
        <f t="shared" si="77"/>
        <v>0.23360303117258352</v>
      </c>
      <c r="BC81" s="30">
        <f>IF(C81&lt;0,Parameters!$B$6*AC81^2/AF81,0)</f>
        <v>0</v>
      </c>
      <c r="BD81" s="30">
        <f>Parameters!$B$5*AD81^2/AG81</f>
        <v>2.6635952263384248</v>
      </c>
      <c r="BE81" s="30">
        <f t="shared" si="113"/>
        <v>0</v>
      </c>
      <c r="BF81" s="30">
        <f t="shared" si="114"/>
        <v>7.0537144816750511E-2</v>
      </c>
      <c r="BH81" s="5"/>
      <c r="BI81" s="5"/>
      <c r="BJ81" s="5"/>
      <c r="BM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-0.55656517208435974</v>
      </c>
      <c r="BN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-236.06400435846587</v>
      </c>
      <c r="BO81" s="7">
        <f t="shared" si="101"/>
        <v>3.6755656121741122E-2</v>
      </c>
      <c r="BU81">
        <f>EXP(-Parameters!$B$56*A81)*BH81*BN81</f>
        <v>0</v>
      </c>
      <c r="BV81">
        <f>-EXP((Parameters!$B$56)*F81)*SUM(BU81:BU89)</f>
        <v>0</v>
      </c>
      <c r="BW81">
        <f>X81^-Parameters!B$52/(1-2*Parameters!B$5*'6states'!D81/'6states'!G81)</f>
        <v>1.1472730939702673</v>
      </c>
      <c r="BX81">
        <f t="shared" si="115"/>
        <v>1.0030785885798197</v>
      </c>
      <c r="BY81">
        <f>$X81^-Parameters!$B$52/(1-2*Parameters!$B$5*'6states'!$E81/'6states'!$H81)</f>
        <v>1.139822439541625</v>
      </c>
      <c r="BZ81">
        <f t="shared" si="116"/>
        <v>1.0062591510239245</v>
      </c>
      <c r="CA81" s="7">
        <f>($X81^-Parameters!$B$52*(1/(1+EXP(-C81)) + IF(C81&lt;0,2*Parameters!$B$6*C81/F81,0)) + BS81*(1/(1+EXP((C81-Parameters!$B$22)*Parameters!$B$21))))/(1-IF(C81&gt;0,2*Parameters!$B$5*C81/F81,0))</f>
        <v>0.51748899411730864</v>
      </c>
      <c r="CB81">
        <f t="shared" si="117"/>
        <v>1.0046026804512986</v>
      </c>
      <c r="CC81" s="7">
        <f t="shared" si="118"/>
        <v>2.3709238720286407E-3</v>
      </c>
      <c r="CE81">
        <f>(Parameters!$B$18*'6states'!T81^+Parameters!$B$19*Parameters!$B$25^'6states'!T81)^((1-'6states'!T81)/'6states'!T81)*Parameters!$B$18*Parameters!$B$26^('6states'!T81-1)</f>
        <v>0.302014143902684</v>
      </c>
      <c r="CF81">
        <f t="shared" si="119"/>
        <v>0.20774764555170827</v>
      </c>
    </row>
    <row r="82" spans="1:84" x14ac:dyDescent="0.3">
      <c r="A82">
        <f>A81+Parameters!$B$65</f>
        <v>78</v>
      </c>
      <c r="B82">
        <v>2103</v>
      </c>
      <c r="C82" s="74">
        <v>7.5399374074230398E-4</v>
      </c>
      <c r="D82" s="69">
        <v>8.9629475817958507E-2</v>
      </c>
      <c r="E82" s="75">
        <v>0.21646250162540201</v>
      </c>
      <c r="F82" s="7">
        <f>MAX((1-Parameters!$B$4)^Parameters!B$65*F81 + C81*Parameters!B$65 - IF(C81&gt;0,Parameters!$B$5,0)*C81^2/F81*Parameters!B$65, 0.0001)</f>
        <v>3.1064084671557881E-2</v>
      </c>
      <c r="G82" s="7">
        <f>(1-Parameters!$B$4)^Parameters!B$65*G81+D81*Parameters!B$65-Parameters!$B$5*D81^2/G81*Parameters!B$65</f>
        <v>1.2655320209569403</v>
      </c>
      <c r="H82" s="7">
        <f>(1-Parameters!$B$4)^Parameters!B$65*H81+E81*Parameters!B$65-Parameters!$B$5*E81^2/H81*Parameters!B$65</f>
        <v>3.2332690271486273</v>
      </c>
      <c r="I82" s="7">
        <f>I81 *(1-Parameters!$B$4)-C81*(C81&lt;0)*Parameters!B$65</f>
        <v>1.1567204479773381E-3</v>
      </c>
      <c r="J82" s="23">
        <f>J81*(1+Parameters!$B$51)^Parameters!B$65</f>
        <v>10.227874751594486</v>
      </c>
      <c r="K82" s="23">
        <f>K81*(1+Parameters!$B$53)^Parameters!B$65</f>
        <v>42.42151218042823</v>
      </c>
      <c r="L82" s="23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4.9383910497384722</v>
      </c>
      <c r="M82" s="8">
        <f>M81+L82*Parameters!B$65</f>
        <v>3531.106848764864</v>
      </c>
      <c r="N82" s="7">
        <f>M82*Parameters!$B$45</f>
        <v>2.1186641092589182</v>
      </c>
      <c r="O82" s="9">
        <f>EXP(-Parameters!$B$46/2*N82^2)</f>
        <v>0.95589059490163153</v>
      </c>
      <c r="P82" s="7">
        <f>MAX((Parameters!$B$62 + Parameters!$B$31*'6states'!A82 - '6states'!M82 + Parameters!$B$47/Parameters!$B$45)/Parameters!B$62,1)</f>
        <v>59.369863024702724</v>
      </c>
      <c r="Q82" s="7">
        <f>Parameters!B$61*EXP(-Parameters!B$60*A82)</f>
        <v>6.0861944748672944E-2</v>
      </c>
      <c r="R82" s="7">
        <f>(1-Parameters!B$61)*P82^-Parameters!B$63</f>
        <v>0.33236355810304219</v>
      </c>
      <c r="S82" s="7">
        <f>Parameters!B$61*EXP(-Parameters!B$60*A82)+(1-Parameters!B$61)*P82^-Parameters!B$63</f>
        <v>0.39322550285171515</v>
      </c>
      <c r="T82" s="7">
        <f>1-S82/Parameters!$B$12</f>
        <v>0.80338724857414245</v>
      </c>
      <c r="U82" s="7">
        <f t="shared" si="102"/>
        <v>5.0861401040771197</v>
      </c>
      <c r="V82" s="7">
        <f>(Parameters!$B$19*(F82+Parameters!$B$20)^T82+Parameters!$B$18*G82^T82)^(1/T82)</f>
        <v>0.34033252619504378</v>
      </c>
      <c r="W82" s="7">
        <f>(Parameters!$B$10*H82^Parameters!$B$9+Parameters!$B$11*V82^Parameters!$B$9)^(Parameters!$B$7/Parameters!$B$9)*O82</f>
        <v>1.3214623289771152</v>
      </c>
      <c r="X82" s="7">
        <f>W82 - D82 - E82 - LN(1+EXP(Parameters!$B$21*C82))/Parameters!$B$21 - IF(C82&gt;0, 0,Parameters!$B$6*C82^2/F82)</f>
        <v>1.0126615903610037</v>
      </c>
      <c r="Y82" s="7">
        <f>EXP(-Parameters!$B$55*A82)</f>
        <v>0.30795549598621846</v>
      </c>
      <c r="Z82" s="7">
        <f>IF(X82&gt;0,X82^(1-Parameters!$B$52)/(1-Parameters!$B$52)*Y82*Parameters!$B$65,-10+X82*1000)</f>
        <v>-0.87600663713149951</v>
      </c>
      <c r="AC82" s="23">
        <f t="shared" si="103"/>
        <v>0.3271442468907082</v>
      </c>
      <c r="AD82" s="23">
        <f t="shared" si="104"/>
        <v>38.888608460871055</v>
      </c>
      <c r="AE82" s="23">
        <f t="shared" si="105"/>
        <v>0.50188008118486671</v>
      </c>
      <c r="AF82" s="23">
        <f t="shared" si="106"/>
        <v>13.478144493906695</v>
      </c>
      <c r="AG82" s="23">
        <f t="shared" si="107"/>
        <v>549.09145466438679</v>
      </c>
      <c r="AH82" s="23">
        <f t="shared" si="108"/>
        <v>147.6641276423305</v>
      </c>
      <c r="AI82" s="23">
        <f t="shared" si="109"/>
        <v>363.41266030893451</v>
      </c>
      <c r="AJ82" s="23">
        <f t="shared" si="110"/>
        <v>573.35860372269576</v>
      </c>
      <c r="AK82" s="23">
        <f t="shared" si="111"/>
        <v>439.37554840660505</v>
      </c>
      <c r="AL82" s="9">
        <f t="shared" si="122"/>
        <v>2.2579241028768848E-2</v>
      </c>
      <c r="AM82" s="9">
        <f t="shared" si="123"/>
        <v>2.4402799272419173E-2</v>
      </c>
      <c r="AN82" s="9">
        <f t="shared" ref="AN82:AO82" si="136">AVERAGE(AL80:AL84)</f>
        <v>2.2499975962957563E-2</v>
      </c>
      <c r="AO82" s="9">
        <f t="shared" si="136"/>
        <v>2.2523244383185315E-2</v>
      </c>
      <c r="AP82" s="23"/>
      <c r="AQ82" s="25">
        <f t="shared" si="100"/>
        <v>573.35860372269576</v>
      </c>
      <c r="AR82" s="4"/>
      <c r="AS82" s="4"/>
      <c r="AT82" s="4"/>
      <c r="AU82" s="16"/>
      <c r="AV82" s="16"/>
      <c r="AX82" s="13">
        <f>1-W82/'6states,ExoDamages'!T82</f>
        <v>9.5775187357473701E-2</v>
      </c>
      <c r="AY82" s="21">
        <f>-Y82*W82*X82^(-Parameters!B$52)*Parameters!B$46*Parameters!B$45*N82</f>
        <v>-1.0222928134812193E-5</v>
      </c>
      <c r="AZ82" s="7">
        <f>1000*EXP(-(Parameters!$B$54)*'6states'!A82)*AQ82*Parameters!B$46*Parameters!B$45*N82</f>
        <v>0.94803488551998194</v>
      </c>
      <c r="BA82" s="7">
        <f>SUM(AZ82:AZ$204)*EXP(Parameters!$B$54*A82)</f>
        <v>1085.9053720413142</v>
      </c>
      <c r="BB82" s="43">
        <f t="shared" si="77"/>
        <v>0.23220183009047149</v>
      </c>
      <c r="BC82" s="30">
        <f>IF(C82&lt;0,Parameters!$B$6*AC82^2/AF82,0)</f>
        <v>0</v>
      </c>
      <c r="BD82" s="30">
        <f>Parameters!$B$5*AD82^2/AG82</f>
        <v>2.754229473389433</v>
      </c>
      <c r="BE82" s="30">
        <f t="shared" si="113"/>
        <v>0</v>
      </c>
      <c r="BF82" s="30">
        <f t="shared" si="114"/>
        <v>7.0823554310529876E-2</v>
      </c>
      <c r="BH82" s="5"/>
      <c r="BI82" s="5"/>
      <c r="BJ82" s="5"/>
      <c r="BM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-0.57200222090306574</v>
      </c>
      <c r="BN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-248.18141804853695</v>
      </c>
      <c r="BO82" s="7">
        <f t="shared" si="101"/>
        <v>3.5899799638340744E-2</v>
      </c>
      <c r="BU82">
        <f>EXP(-Parameters!$B$56*A82)*BH82*BN82</f>
        <v>0</v>
      </c>
      <c r="BV82">
        <f>-EXP((Parameters!$B$56)*F82)*SUM(BU82:BU90)</f>
        <v>0</v>
      </c>
      <c r="BW82">
        <f>X82^-Parameters!B$52/(1-2*Parameters!B$5*'6states'!D82/'6states'!G82)</f>
        <v>1.1454002395489871</v>
      </c>
      <c r="BX82">
        <f t="shared" si="115"/>
        <v>0.99836756005948069</v>
      </c>
      <c r="BY82">
        <f>$X82^-Parameters!$B$52/(1-2*Parameters!$B$5*'6states'!$E82/'6states'!$H82)</f>
        <v>1.1351509006372242</v>
      </c>
      <c r="BZ82">
        <f t="shared" si="116"/>
        <v>0.99590152049798264</v>
      </c>
      <c r="CA82" s="7">
        <f>($X82^-Parameters!$B$52*(1/(1+EXP(-C82)) + IF(C82&lt;0,2*Parameters!$B$6*C82/F82,0)) + BS82*(1/(1+EXP((C82-Parameters!$B$22)*Parameters!$B$21))))/(1-IF(C82&gt;0,2*Parameters!$B$5*C82/F82,0))</f>
        <v>0.51685452218561878</v>
      </c>
      <c r="CB82">
        <f t="shared" si="117"/>
        <v>0.9987739412066684</v>
      </c>
      <c r="CC82" s="7">
        <f t="shared" si="118"/>
        <v>-6.3447193168986171E-4</v>
      </c>
      <c r="CE82">
        <f>(Parameters!$B$18*'6states'!T82^+Parameters!$B$19*Parameters!$B$25^'6states'!T82)^((1-'6states'!T82)/'6states'!T82)*Parameters!$B$18*Parameters!$B$26^('6states'!T82-1)</f>
        <v>0.30223214913380197</v>
      </c>
      <c r="CF82">
        <f t="shared" si="119"/>
        <v>0.2070904784251282</v>
      </c>
    </row>
    <row r="83" spans="1:84" x14ac:dyDescent="0.3">
      <c r="A83">
        <f>A82+Parameters!$B$65</f>
        <v>79</v>
      </c>
      <c r="B83">
        <v>2104</v>
      </c>
      <c r="C83" s="74">
        <v>7.17520551805002E-4</v>
      </c>
      <c r="D83" s="69">
        <v>8.8569023267695599E-2</v>
      </c>
      <c r="E83" s="75">
        <v>0.221032590514535</v>
      </c>
      <c r="F83" s="7">
        <f>MAX((1-Parameters!$B$4)^Parameters!B$65*F82 + C82*Parameters!B$65 - IF(C82&gt;0,Parameters!$B$5,0)*C82^2/F82*Parameters!B$65, 0.0001)</f>
        <v>2.9845846398012861E-2</v>
      </c>
      <c r="G83" s="7">
        <f>(1-Parameters!$B$4)^Parameters!B$65*G82+D82*Parameters!B$65-Parameters!$B$5*D82^2/G82*Parameters!B$65</f>
        <v>1.2692116546082899</v>
      </c>
      <c r="H83" s="7">
        <f>(1-Parameters!$B$4)^Parameters!B$65*H82+E82*Parameters!B$65-Parameters!$B$5*E82^2/H82*Parameters!B$65</f>
        <v>3.2318670678349961</v>
      </c>
      <c r="I83" s="7">
        <f>I82 *(1-Parameters!$B$4)-C82*(C82&lt;0)*Parameters!B$65</f>
        <v>1.0839627317995636E-3</v>
      </c>
      <c r="J83" s="23">
        <f>J82*(1+Parameters!$B$51)^Parameters!B$65</f>
        <v>10.257535588374109</v>
      </c>
      <c r="K83" s="23">
        <f>K82*(1+Parameters!$B$53)^Parameters!B$65</f>
        <v>43.269942424036799</v>
      </c>
      <c r="L83" s="23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4.8123728043460785</v>
      </c>
      <c r="M83" s="8">
        <f>M82+L83*Parameters!B$65</f>
        <v>3535.9192215692101</v>
      </c>
      <c r="N83" s="7">
        <f>M83*Parameters!$B$45</f>
        <v>2.1215515329415258</v>
      </c>
      <c r="O83" s="9">
        <f>EXP(-Parameters!$B$46/2*N83^2)</f>
        <v>0.9557729844304933</v>
      </c>
      <c r="P83" s="7">
        <f>MAX((Parameters!$B$62 + Parameters!$B$31*'6states'!A83 - '6states'!M83 + Parameters!$B$47/Parameters!$B$45)/Parameters!B$62,1)</f>
        <v>60.337615568615803</v>
      </c>
      <c r="Q83" s="7">
        <f>Parameters!B$61*EXP(-Parameters!B$60*A83)</f>
        <v>5.9240658102153877E-2</v>
      </c>
      <c r="R83" s="7">
        <f>(1-Parameters!B$61)*P83^-Parameters!B$63</f>
        <v>0.33182659451403662</v>
      </c>
      <c r="S83" s="7">
        <f>Parameters!B$61*EXP(-Parameters!B$60*A83)+(1-Parameters!B$61)*P83^-Parameters!B$63</f>
        <v>0.39106725261619052</v>
      </c>
      <c r="T83" s="7">
        <f>1-S83/Parameters!$B$12</f>
        <v>0.80446637369190477</v>
      </c>
      <c r="U83" s="7">
        <f t="shared" si="102"/>
        <v>5.1142098619105871</v>
      </c>
      <c r="V83" s="7">
        <f>(Parameters!$B$19*(F83+Parameters!$B$20)^T83+Parameters!$B$18*G83^T83)^(1/T83)</f>
        <v>0.34031172650598507</v>
      </c>
      <c r="W83" s="7">
        <f>(Parameters!$B$10*H83^Parameters!$B$9+Parameters!$B$11*V83^Parameters!$B$9)^(Parameters!$B$7/Parameters!$B$9)*O83</f>
        <v>1.3211740950276281</v>
      </c>
      <c r="X83" s="7">
        <f>W83 - D83 - E83 - LN(1+EXP(Parameters!$B$21*C83))/Parameters!$B$21 - IF(C83&gt;0, 0,Parameters!$B$6*C83^2/F83)</f>
        <v>1.0088839611860363</v>
      </c>
      <c r="Y83" s="7">
        <f>EXP(-Parameters!$B$55*A83)</f>
        <v>0.30334030041561322</v>
      </c>
      <c r="Z83" s="7">
        <f>IF(X83&gt;0,X83^(1-Parameters!$B$52)/(1-Parameters!$B$52)*Y83*Parameters!$B$65,-10+X83*1000)</f>
        <v>-0.86400775774777405</v>
      </c>
      <c r="AC83" s="23">
        <f t="shared" si="103"/>
        <v>0.31846645584990457</v>
      </c>
      <c r="AD83" s="23">
        <f t="shared" si="104"/>
        <v>39.31073871988027</v>
      </c>
      <c r="AE83" s="23">
        <f t="shared" si="105"/>
        <v>0.4811092429355292</v>
      </c>
      <c r="AF83" s="23">
        <f t="shared" si="106"/>
        <v>13.246869236435346</v>
      </c>
      <c r="AG83" s="23">
        <f t="shared" si="107"/>
        <v>563.33067582479998</v>
      </c>
      <c r="AH83" s="23">
        <f t="shared" si="108"/>
        <v>151.04496888888633</v>
      </c>
      <c r="AI83" s="23">
        <f t="shared" si="109"/>
        <v>371.7331680118549</v>
      </c>
      <c r="AJ83" s="23">
        <f t="shared" si="110"/>
        <v>586.39383993352055</v>
      </c>
      <c r="AK83" s="23">
        <f t="shared" si="111"/>
        <v>447.78605807802285</v>
      </c>
      <c r="AL83" s="9">
        <f t="shared" si="122"/>
        <v>2.2480289200423442E-2</v>
      </c>
      <c r="AM83" s="9">
        <f t="shared" si="123"/>
        <v>1.8961058703452771E-2</v>
      </c>
      <c r="AN83" s="9">
        <f t="shared" ref="AN83:AO83" si="137">AVERAGE(AL81:AL85)</f>
        <v>2.2503485039235115E-2</v>
      </c>
      <c r="AO83" s="9">
        <f t="shared" si="137"/>
        <v>2.2544443231107002E-2</v>
      </c>
      <c r="AP83" s="23"/>
      <c r="AQ83" s="25">
        <f t="shared" si="100"/>
        <v>586.39383993352055</v>
      </c>
      <c r="AR83" s="4"/>
      <c r="AS83" s="4"/>
      <c r="AT83" s="4"/>
      <c r="AU83" s="16"/>
      <c r="AV83" s="16"/>
      <c r="AX83" s="13">
        <f>1-W83/'6states,ExoDamages'!T83</f>
        <v>9.5857167090289797E-2</v>
      </c>
      <c r="AY83" s="21">
        <f>-Y83*W83*X83^(-Parameters!B$52)*Parameters!B$46*Parameters!B$45*N83</f>
        <v>-1.0132238669130028E-5</v>
      </c>
      <c r="AZ83" s="7">
        <f>1000*EXP(-(Parameters!$B$54)*'6states'!A83)*AQ83*Parameters!B$46*Parameters!B$45*N83</f>
        <v>0.93742196129797584</v>
      </c>
      <c r="BA83" s="7">
        <f>SUM(AZ83:AZ$204)*EXP(Parameters!$B$54*A83)</f>
        <v>1109.524188762924</v>
      </c>
      <c r="BB83" s="43">
        <f t="shared" si="77"/>
        <v>0.23488133433886793</v>
      </c>
      <c r="BC83" s="30">
        <f>IF(C83&lt;0,Parameters!$B$6*AC83^2/AF83,0)</f>
        <v>0</v>
      </c>
      <c r="BD83" s="30">
        <f>Parameters!$B$5*AD83^2/AG83</f>
        <v>2.7432097079394699</v>
      </c>
      <c r="BE83" s="30">
        <f t="shared" si="113"/>
        <v>0</v>
      </c>
      <c r="BF83" s="30">
        <f t="shared" si="114"/>
        <v>6.9782705623696942E-2</v>
      </c>
      <c r="BH83" s="5"/>
      <c r="BI83" s="5"/>
      <c r="BJ83" s="5"/>
      <c r="BM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-0.58781695979711357</v>
      </c>
      <c r="BN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-260.89842779294673</v>
      </c>
      <c r="BO83" s="7">
        <f t="shared" si="101"/>
        <v>3.5045891400434175E-2</v>
      </c>
      <c r="BU83">
        <f>EXP(-Parameters!$B$56*A83)*BH83*BN83</f>
        <v>0</v>
      </c>
      <c r="BV83">
        <f>-EXP((Parameters!$B$56)*F83)*SUM(BU83:BU91)</f>
        <v>0</v>
      </c>
      <c r="BW83">
        <f>X83^-Parameters!B$52/(1-2*Parameters!B$5*'6states'!D83/'6states'!G83)</f>
        <v>1.148408757191659</v>
      </c>
      <c r="BX83">
        <f t="shared" si="115"/>
        <v>1.0026266081835784</v>
      </c>
      <c r="BY83">
        <f>$X83^-Parameters!$B$52/(1-2*Parameters!$B$5*'6states'!$E83/'6states'!$H83)</f>
        <v>1.1447073765277482</v>
      </c>
      <c r="BZ83">
        <f t="shared" si="116"/>
        <v>1.0084186832650703</v>
      </c>
      <c r="CA83" s="7">
        <f>($X83^-Parameters!$B$52*(1/(1+EXP(-C83)) + IF(C83&lt;0,2*Parameters!$B$6*C83/F83,0)) + BS83*(1/(1+EXP((C83-Parameters!$B$22)*Parameters!$B$21))))/(1-IF(C83&gt;0,2*Parameters!$B$5*C83/F83,0))</f>
        <v>0.51920694809729839</v>
      </c>
      <c r="CB83">
        <f t="shared" si="117"/>
        <v>1.0045514275501197</v>
      </c>
      <c r="CC83" s="7">
        <f t="shared" si="118"/>
        <v>2.352425911679612E-3</v>
      </c>
      <c r="CE83">
        <f>(Parameters!$B$18*'6states'!T83^+Parameters!$B$19*Parameters!$B$25^'6states'!T83)^((1-'6states'!T83)/'6states'!T83)*Parameters!$B$18*Parameters!$B$26^('6states'!T83-1)</f>
        <v>0.30244221557082274</v>
      </c>
      <c r="CF83">
        <f t="shared" si="119"/>
        <v>0.20644324404177017</v>
      </c>
    </row>
    <row r="84" spans="1:84" s="4" customFormat="1" x14ac:dyDescent="0.3">
      <c r="A84" s="4">
        <f>A83+Parameters!$B$65</f>
        <v>80</v>
      </c>
      <c r="B84">
        <v>2105</v>
      </c>
      <c r="C84" s="74">
        <v>7.0406318989971704E-4</v>
      </c>
      <c r="D84" s="69">
        <v>9.1890858635875802E-2</v>
      </c>
      <c r="E84" s="75">
        <v>0.211986234749064</v>
      </c>
      <c r="F84" s="7">
        <f>MAX((1-Parameters!$B$4)^Parameters!B$65*F83 + C83*Parameters!B$65 - IF(C83&gt;0,Parameters!$B$5,0)*C83^2/F83*Parameters!B$65, 0.0001)</f>
        <v>2.8668813382532403E-2</v>
      </c>
      <c r="G84" s="16">
        <f>(1-Parameters!$B$4)^Parameters!B$65*G83+D83*Parameters!B$65-Parameters!$B$5*D83^2/G83*Parameters!B$65</f>
        <v>1.2717666787230562</v>
      </c>
      <c r="H84" s="16">
        <f>(1-Parameters!$B$4)^Parameters!B$65*H83+E83*Parameters!B$65-Parameters!$B$5*E83^2/H83*Parameters!B$65</f>
        <v>3.2344984451616878</v>
      </c>
      <c r="I84" s="7">
        <f>I83 *(1-Parameters!$B$4)-C83*(C83&lt;0)*Parameters!B$65</f>
        <v>1.015781475969371E-3</v>
      </c>
      <c r="J84" s="44">
        <f>J83*(1+Parameters!$B$51)^Parameters!B$65</f>
        <v>10.287282441580393</v>
      </c>
      <c r="K84" s="44">
        <f>K83*(1+Parameters!$B$53)^Parameters!B$65</f>
        <v>44.135341272517536</v>
      </c>
      <c r="L84" s="23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4.6885036516101266</v>
      </c>
      <c r="M84" s="25">
        <f>M83+L84*Parameters!B$65</f>
        <v>3540.6077252208202</v>
      </c>
      <c r="N84" s="16">
        <f>M84*Parameters!$B$45</f>
        <v>2.1243646351324919</v>
      </c>
      <c r="O84" s="9">
        <f>EXP(-Parameters!$B$46/2*N84^2)</f>
        <v>0.9556582611199872</v>
      </c>
      <c r="P84" s="7">
        <f>MAX((Parameters!$B$62 + Parameters!$B$31*'6states'!A84 - '6states'!M84 + Parameters!$B$47/Parameters!$B$45)/Parameters!B$62,1)</f>
        <v>61.307845495583599</v>
      </c>
      <c r="Q84" s="7">
        <f>Parameters!B$61*EXP(-Parameters!B$60*A84)</f>
        <v>5.7662560519031257E-2</v>
      </c>
      <c r="R84" s="7">
        <f>(1-Parameters!B$61)*P84^-Parameters!B$63</f>
        <v>0.33129768326578357</v>
      </c>
      <c r="S84" s="7">
        <f>Parameters!B$61*EXP(-Parameters!B$60*A84)+(1-Parameters!B$61)*P84^-Parameters!B$63</f>
        <v>0.38896024378481481</v>
      </c>
      <c r="T84" s="16">
        <f>1-S84/Parameters!$B$12</f>
        <v>0.80551987810759262</v>
      </c>
      <c r="U84" s="16">
        <f t="shared" si="102"/>
        <v>5.141913683873728</v>
      </c>
      <c r="V84" s="7">
        <f>(Parameters!$B$19*(F84+Parameters!$B$20)^T84+Parameters!$B$18*G84^T84)^(1/T84)</f>
        <v>0.34006079451111082</v>
      </c>
      <c r="W84" s="16">
        <f>(Parameters!$B$10*H84^Parameters!$B$9+Parameters!$B$11*V84^Parameters!$B$9)^(Parameters!$B$7/Parameters!$B$9)*O84</f>
        <v>1.3211451374467609</v>
      </c>
      <c r="X84" s="7">
        <f>W84 - D84 - E84 - LN(1+EXP(Parameters!$B$21*C84))/Parameters!$B$21 - IF(C84&gt;0, 0,Parameters!$B$6*C84^2/F84)</f>
        <v>1.0145869673808574</v>
      </c>
      <c r="Y84" s="16">
        <f>EXP(-Parameters!$B$55*A84)</f>
        <v>0.29879427078110121</v>
      </c>
      <c r="Z84" s="16">
        <f>IF(X84&gt;0,X84^(1-Parameters!$B$52)/(1-Parameters!$B$52)*Y84*Parameters!$B$65,-10+X84*1000)</f>
        <v>-0.84938184448664833</v>
      </c>
      <c r="AC84" s="23">
        <f t="shared" si="103"/>
        <v>0.31966772609558219</v>
      </c>
      <c r="AD84" s="23">
        <f t="shared" si="104"/>
        <v>41.721456611422852</v>
      </c>
      <c r="AE84" s="23">
        <f t="shared" si="105"/>
        <v>0.46119802780684133</v>
      </c>
      <c r="AF84" s="23">
        <f t="shared" si="106"/>
        <v>13.01657935725637</v>
      </c>
      <c r="AG84" s="23">
        <f t="shared" si="107"/>
        <v>577.42368603226646</v>
      </c>
      <c r="AH84" s="23">
        <f t="shared" si="108"/>
        <v>154.39872794813687</v>
      </c>
      <c r="AI84" s="23">
        <f t="shared" si="109"/>
        <v>379.98702438995633</v>
      </c>
      <c r="AJ84" s="23">
        <f t="shared" si="110"/>
        <v>599.84312202147009</v>
      </c>
      <c r="AK84" s="23">
        <f t="shared" si="111"/>
        <v>460.65568182175133</v>
      </c>
      <c r="AL84" s="9">
        <f t="shared" si="122"/>
        <v>2.2676512102110635E-2</v>
      </c>
      <c r="AM84" s="9">
        <f t="shared" si="123"/>
        <v>2.8335300417112741E-2</v>
      </c>
      <c r="AN84" s="9">
        <f t="shared" ref="AN84:AO84" si="138">AVERAGE(AL82:AL86)</f>
        <v>2.2505277041216586E-2</v>
      </c>
      <c r="AO84" s="9">
        <f t="shared" si="138"/>
        <v>2.2136281825590843E-2</v>
      </c>
      <c r="AP84" s="23"/>
      <c r="AQ84" s="25">
        <f t="shared" si="100"/>
        <v>599.84312202147009</v>
      </c>
      <c r="AU84" s="16"/>
      <c r="AV84" s="16"/>
      <c r="AX84" s="43">
        <f>1-W84/'6states,ExoDamages'!T84</f>
        <v>9.5765238322514823E-2</v>
      </c>
      <c r="AY84" s="21">
        <f>-Y84*W84*X84^(-Parameters!B$52)*Parameters!B$46*Parameters!B$45*N84</f>
        <v>-9.9176468582240555E-6</v>
      </c>
      <c r="AZ84" s="16">
        <f>1000*EXP(-(Parameters!$B$54)*'6states'!A84)*AQ84*Parameters!B$46*Parameters!B$45*N84</f>
        <v>0.92707559613238633</v>
      </c>
      <c r="BA84" s="16">
        <f>SUM(AZ84:AZ$204)*EXP(Parameters!$B$54*A84)</f>
        <v>1133.6206353002619</v>
      </c>
      <c r="BB84" s="43">
        <f t="shared" si="77"/>
        <v>0.23054329758460276</v>
      </c>
      <c r="BC84" s="30">
        <f>IF(C84&lt;0,Parameters!$B$6*AC84^2/AF84,0)</f>
        <v>0</v>
      </c>
      <c r="BD84" s="30">
        <f>Parameters!$B$5*AD84^2/AG84</f>
        <v>3.0145627619466415</v>
      </c>
      <c r="BE84" s="30">
        <f t="shared" si="113"/>
        <v>0</v>
      </c>
      <c r="BF84" s="30">
        <f t="shared" si="114"/>
        <v>7.2254494612282769E-2</v>
      </c>
      <c r="BG84" s="16"/>
      <c r="BH84" s="5"/>
      <c r="BI84" s="5"/>
      <c r="BJ84" s="5"/>
      <c r="BK84"/>
      <c r="BL84"/>
      <c r="BM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-0.60335269293536342</v>
      </c>
      <c r="BN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-273.94186509277012</v>
      </c>
      <c r="BO84" s="7">
        <f t="shared" si="101"/>
        <v>3.4219145681836635E-2</v>
      </c>
      <c r="BP84"/>
      <c r="BQ84"/>
      <c r="BR84"/>
      <c r="BS84"/>
      <c r="BU84">
        <f>EXP(-Parameters!$B$56*A84)*BH84*BN84</f>
        <v>0</v>
      </c>
      <c r="BV84">
        <f>-EXP((Parameters!$B$56)*F84)*SUM(BU84:BU92)</f>
        <v>0</v>
      </c>
      <c r="BW84">
        <f>X84^-Parameters!B$52/(1-2*Parameters!B$5*'6states'!D84/'6states'!G84)</f>
        <v>1.1462887294068302</v>
      </c>
      <c r="BX84">
        <f t="shared" si="115"/>
        <v>0.99815394320919915</v>
      </c>
      <c r="BY84">
        <f>$X84^-Parameters!$B$52/(1-2*Parameters!$B$5*'6states'!$E84/'6states'!$H84)</f>
        <v>1.128570817186292</v>
      </c>
      <c r="BZ84">
        <f t="shared" si="116"/>
        <v>0.9859033324390698</v>
      </c>
      <c r="CA84" s="7">
        <f>($X84^-Parameters!$B$52*(1/(1+EXP(-C84)) + IF(C84&lt;0,2*Parameters!$B$6*C84/F84,0)) + BS84*(1/(1+EXP((C84-Parameters!$B$22)*Parameters!$B$21))))/(1-IF(C84&gt;0,2*Parameters!$B$5*C84/F84,0))</f>
        <v>0.51582840881869085</v>
      </c>
      <c r="CB84">
        <f t="shared" si="117"/>
        <v>0.99349288507985378</v>
      </c>
      <c r="CC84" s="7">
        <f t="shared" si="118"/>
        <v>-3.3785392786075397E-3</v>
      </c>
      <c r="CE84">
        <f>(Parameters!$B$18*'6states'!T84^+Parameters!$B$19*Parameters!$B$25^'6states'!T84)^((1-'6states'!T84)/'6states'!T84)*Parameters!$B$18*Parameters!$B$26^('6states'!T84-1)</f>
        <v>0.30264468348878609</v>
      </c>
      <c r="CF84">
        <f t="shared" si="119"/>
        <v>0.20580572133540209</v>
      </c>
    </row>
    <row r="85" spans="1:84" x14ac:dyDescent="0.3">
      <c r="A85">
        <f>A84+Parameters!$B$65</f>
        <v>81</v>
      </c>
      <c r="B85">
        <v>2106</v>
      </c>
      <c r="C85" s="74">
        <v>6.9204335444467005E-4</v>
      </c>
      <c r="D85" s="69">
        <v>9.2129649038219394E-2</v>
      </c>
      <c r="E85" s="75">
        <v>0.21270236414773799</v>
      </c>
      <c r="F85" s="7">
        <f>MAX((1-Parameters!$B$4)^Parameters!B$65*F84 + C84*Parameters!B$65 - IF(C84&gt;0,Parameters!$B$5,0)*C84^2/F84*Parameters!B$65, 0.0001)</f>
        <v>2.75523174714708E-2</v>
      </c>
      <c r="G85" s="7">
        <f>(1-Parameters!$B$4)^Parameters!B$65*G84+D84*Parameters!B$65-Parameters!$B$5*D84^2/G84*Parameters!B$65</f>
        <v>1.2770238857170277</v>
      </c>
      <c r="H85" s="7">
        <f>(1-Parameters!$B$4)^Parameters!B$65*H84+E84*Parameters!B$65-Parameters!$B$5*E84^2/H84*Parameters!B$65</f>
        <v>3.2291413329581675</v>
      </c>
      <c r="I85" s="7">
        <f>I84 *(1-Parameters!$B$4)-C84*(C84&lt;0)*Parameters!B$65</f>
        <v>9.5188882113089767E-4</v>
      </c>
      <c r="J85" s="23">
        <f>J84*(1+Parameters!$B$51)^Parameters!B$65</f>
        <v>10.317115560660975</v>
      </c>
      <c r="K85" s="23">
        <f>K84*(1+Parameters!$B$53)^Parameters!B$65</f>
        <v>45.018048097967885</v>
      </c>
      <c r="L85" s="23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4.5703685606409366</v>
      </c>
      <c r="M85" s="8">
        <f>M84+L85*Parameters!B$65</f>
        <v>3545.178093781461</v>
      </c>
      <c r="N85" s="7">
        <f>M85*Parameters!$B$45</f>
        <v>2.1271068562688766</v>
      </c>
      <c r="O85" s="9">
        <f>EXP(-Parameters!$B$46/2*N85^2)</f>
        <v>0.95554629542428926</v>
      </c>
      <c r="P85" s="7">
        <f>MAX((Parameters!$B$62 + Parameters!$B$31*'6states'!A85 - '6states'!M85 + Parameters!$B$47/Parameters!$B$45)/Parameters!B$62,1)</f>
        <v>62.280438124370775</v>
      </c>
      <c r="Q85" s="7">
        <f>Parameters!B$61*EXP(-Parameters!B$60*A85)</f>
        <v>5.6126501496276487E-2</v>
      </c>
      <c r="R85" s="7">
        <f>(1-Parameters!B$61)*P85^-Parameters!B$63</f>
        <v>0.33077664538624096</v>
      </c>
      <c r="S85" s="7">
        <f>Parameters!B$61*EXP(-Parameters!B$60*A85)+(1-Parameters!B$61)*P85^-Parameters!B$63</f>
        <v>0.38690314688251748</v>
      </c>
      <c r="T85" s="7">
        <f>1-S85/Parameters!$B$12</f>
        <v>0.80654842655874126</v>
      </c>
      <c r="U85" s="7">
        <f t="shared" si="102"/>
        <v>5.1692523467825318</v>
      </c>
      <c r="V85" s="7">
        <f>(Parameters!$B$19*(F85+Parameters!$B$20)^T85+Parameters!$B$18*G85^T85)^(1/T85)</f>
        <v>0.34050038171847724</v>
      </c>
      <c r="W85" s="7">
        <f>(Parameters!$B$10*H85^Parameters!$B$9+Parameters!$B$11*V85^Parameters!$B$9)^(Parameters!$B$7/Parameters!$B$9)*O85</f>
        <v>1.3206995124606773</v>
      </c>
      <c r="X85" s="7">
        <f>W85 - D85 - E85 - LN(1+EXP(Parameters!$B$21*C85))/Parameters!$B$21 - IF(C85&gt;0, 0,Parameters!$B$6*C85^2/F85)</f>
        <v>1.0131930595079848</v>
      </c>
      <c r="Y85" s="7">
        <f>EXP(-Parameters!$B$55*A85)</f>
        <v>0.29431637052277015</v>
      </c>
      <c r="Z85" s="7">
        <f>IF(X85&gt;0,X85^(1-Parameters!$B$52)/(1-Parameters!$B$52)*Y85*Parameters!$B$65,-10+X85*1000)</f>
        <v>-0.83705520768194763</v>
      </c>
      <c r="AC85" s="23">
        <f t="shared" si="103"/>
        <v>0.3214239681926454</v>
      </c>
      <c r="AD85" s="23">
        <f t="shared" si="104"/>
        <v>42.790205544019564</v>
      </c>
      <c r="AE85" s="23">
        <f t="shared" si="105"/>
        <v>0.44211085938630212</v>
      </c>
      <c r="AF85" s="23">
        <f t="shared" si="106"/>
        <v>12.796850309602602</v>
      </c>
      <c r="AG85" s="23">
        <f t="shared" si="107"/>
        <v>593.12192247454891</v>
      </c>
      <c r="AH85" s="23">
        <f t="shared" si="108"/>
        <v>158.1475830381863</v>
      </c>
      <c r="AI85" s="23">
        <f t="shared" si="109"/>
        <v>389.21324217988217</v>
      </c>
      <c r="AJ85" s="23">
        <f t="shared" si="110"/>
        <v>613.40734703802843</v>
      </c>
      <c r="AK85" s="23">
        <f t="shared" si="111"/>
        <v>470.58400552611761</v>
      </c>
      <c r="AL85" s="9">
        <f t="shared" si="122"/>
        <v>2.2361071441753033E-2</v>
      </c>
      <c r="AM85" s="9">
        <f t="shared" si="123"/>
        <v>2.1323618472056438E-2</v>
      </c>
      <c r="AN85" s="9">
        <f t="shared" ref="AN85:AO85" si="139">AVERAGE(AL83:AL87)</f>
        <v>2.2530305481518197E-2</v>
      </c>
      <c r="AO85" s="9">
        <f t="shared" si="139"/>
        <v>2.1550009279196834E-2</v>
      </c>
      <c r="AP85" s="23"/>
      <c r="AQ85" s="25">
        <f t="shared" si="100"/>
        <v>613.40734703802843</v>
      </c>
      <c r="AR85" s="4"/>
      <c r="AS85" s="4"/>
      <c r="AT85" s="4"/>
      <c r="AU85" s="16"/>
      <c r="AV85" s="16"/>
      <c r="AX85" s="13">
        <f>1-W85/'6states,ExoDamages'!T85</f>
        <v>9.5968949684999028E-2</v>
      </c>
      <c r="AY85" s="21">
        <f>-Y85*W85*X85^(-Parameters!B$52)*Parameters!B$46*Parameters!B$45*N85</f>
        <v>-9.796491672424358E-6</v>
      </c>
      <c r="AZ85" s="7">
        <f>1000*EXP(-(Parameters!$B$54)*'6states'!A85)*AQ85*Parameters!B$46*Parameters!B$45*N85</f>
        <v>0.91652211190017829</v>
      </c>
      <c r="BA85" s="7">
        <f>SUM(AZ85:AZ$204)*EXP(Parameters!$B$54*A85)</f>
        <v>1158.2004036285314</v>
      </c>
      <c r="BB85" s="43">
        <f t="shared" si="77"/>
        <v>0.23133502636883782</v>
      </c>
      <c r="BC85" s="30">
        <f>IF(C85&lt;0,Parameters!$B$6*AC85^2/AF85,0)</f>
        <v>0</v>
      </c>
      <c r="BD85" s="30">
        <f>Parameters!$B$5*AD85^2/AG85</f>
        <v>3.0870578562673372</v>
      </c>
      <c r="BE85" s="30">
        <f t="shared" si="113"/>
        <v>0</v>
      </c>
      <c r="BF85" s="30">
        <f t="shared" si="114"/>
        <v>7.214402962125499E-2</v>
      </c>
      <c r="BH85" s="5"/>
      <c r="BI85" s="5"/>
      <c r="BJ85" s="5"/>
      <c r="BM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-0.61923694909758542</v>
      </c>
      <c r="BN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-287.60856693750168</v>
      </c>
      <c r="BO85" s="7">
        <f t="shared" si="101"/>
        <v>3.3394679064540786E-2</v>
      </c>
      <c r="BU85">
        <f>EXP(-Parameters!$B$56*A85)*BH85*BN85</f>
        <v>0</v>
      </c>
      <c r="BV85">
        <f>-EXP((Parameters!$B$56)*F85)*SUM(BU85:BU93)</f>
        <v>0</v>
      </c>
      <c r="BW85">
        <f>X85^-Parameters!B$52/(1-2*Parameters!B$5*'6states'!D85/'6states'!G85)</f>
        <v>1.1481217107138395</v>
      </c>
      <c r="BX85">
        <f t="shared" si="115"/>
        <v>1.0015990572531912</v>
      </c>
      <c r="BY85">
        <f>$X85^-Parameters!$B$52/(1-2*Parameters!$B$5*'6states'!$E85/'6states'!$H85)</f>
        <v>1.1315281522993987</v>
      </c>
      <c r="BZ85">
        <f t="shared" si="116"/>
        <v>1.002620424937515</v>
      </c>
      <c r="CA85" s="7">
        <f>($X85^-Parameters!$B$52*(1/(1+EXP(-C85)) + IF(C85&lt;0,2*Parameters!$B$6*C85/F85,0)) + BS85*(1/(1+EXP((C85-Parameters!$B$22)*Parameters!$B$21))))/(1-IF(C85&gt;0,2*Parameters!$B$5*C85/F85,0))</f>
        <v>0.51739180826268194</v>
      </c>
      <c r="CB85">
        <f t="shared" si="117"/>
        <v>1.0030308517663296</v>
      </c>
      <c r="CC85" s="7">
        <f t="shared" si="118"/>
        <v>1.563399443991087E-3</v>
      </c>
      <c r="CE85">
        <f>(Parameters!$B$18*'6states'!T85^+Parameters!$B$19*Parameters!$B$25^'6states'!T85)^((1-'6states'!T85)/'6states'!T85)*Parameters!$B$18*Parameters!$B$26^('6states'!T85-1)</f>
        <v>0.30283987314562472</v>
      </c>
      <c r="CF85">
        <f t="shared" si="119"/>
        <v>0.20517775072072378</v>
      </c>
    </row>
    <row r="86" spans="1:84" x14ac:dyDescent="0.3">
      <c r="A86">
        <f>A85+Parameters!$B$65</f>
        <v>82</v>
      </c>
      <c r="B86">
        <v>2107</v>
      </c>
      <c r="C86" s="74">
        <v>6.7928927101012799E-4</v>
      </c>
      <c r="D86" s="69">
        <v>8.5991735015418402E-2</v>
      </c>
      <c r="E86" s="75">
        <v>0.223585321255546</v>
      </c>
      <c r="F86" s="7">
        <f>MAX((1-Parameters!$B$4)^Parameters!B$65*F85 + C85*Parameters!B$65 - IF(C85&gt;0,Parameters!$B$5,0)*C85^2/F85*Parameters!B$65, 0.0001)</f>
        <v>2.6493937707728284E-2</v>
      </c>
      <c r="G86" s="7">
        <f>(1-Parameters!$B$4)^Parameters!B$65*G85+D85*Parameters!B$65-Parameters!$B$5*D85^2/G85*Parameters!B$65</f>
        <v>1.282182128214437</v>
      </c>
      <c r="H86" s="7">
        <f>(1-Parameters!$B$4)^Parameters!B$65*H85+E85*Parameters!B$65-Parameters!$B$5*E85^2/H85*Parameters!B$65</f>
        <v>3.2247200799631663</v>
      </c>
      <c r="I86" s="7">
        <f>I85 *(1-Parameters!$B$4)-C85*(C85&lt;0)*Parameters!B$65</f>
        <v>8.9201501428176426E-4</v>
      </c>
      <c r="J86" s="23">
        <f>J85*(1+Parameters!$B$51)^Parameters!B$65</f>
        <v>10.347035195786891</v>
      </c>
      <c r="K86" s="23">
        <f>K85*(1+Parameters!$B$53)^Parameters!B$65</f>
        <v>45.918409059927242</v>
      </c>
      <c r="L86" s="23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4.4578805814915734</v>
      </c>
      <c r="M86" s="8">
        <f>M85+L86*Parameters!B$65</f>
        <v>3549.6359743629528</v>
      </c>
      <c r="N86" s="7">
        <f>M86*Parameters!$B$45</f>
        <v>2.1297815846177715</v>
      </c>
      <c r="O86" s="9">
        <f>EXP(-Parameters!$B$46/2*N86^2)</f>
        <v>0.95543695899246406</v>
      </c>
      <c r="P86" s="7">
        <f>MAX((Parameters!$B$62 + Parameters!$B$31*'6states'!A86 - '6states'!M86 + Parameters!$B$47/Parameters!$B$45)/Parameters!B$62,1)</f>
        <v>63.255280512740953</v>
      </c>
      <c r="Q86" s="7">
        <f>Parameters!B$61*EXP(-Parameters!B$60*A86)</f>
        <v>5.4631361178833215E-2</v>
      </c>
      <c r="R86" s="7">
        <f>(1-Parameters!B$61)*P86^-Parameters!B$63</f>
        <v>0.33026330735193438</v>
      </c>
      <c r="S86" s="7">
        <f>Parameters!B$61*EXP(-Parameters!B$60*A86)+(1-Parameters!B$61)*P86^-Parameters!B$63</f>
        <v>0.38489466853076759</v>
      </c>
      <c r="T86" s="7">
        <f>1-S86/Parameters!$B$12</f>
        <v>0.80755266573461615</v>
      </c>
      <c r="U86" s="7">
        <f t="shared" si="102"/>
        <v>5.1962268213131253</v>
      </c>
      <c r="V86" s="7">
        <f>(Parameters!$B$19*(F86+Parameters!$B$20)^T86+Parameters!$B$18*G86^T86)^(1/T86)</f>
        <v>0.34097043805778204</v>
      </c>
      <c r="W86" s="7">
        <f>(Parameters!$B$10*H86^Parameters!$B$9+Parameters!$B$11*V86^Parameters!$B$9)^(Parameters!$B$7/Parameters!$B$9)*O86</f>
        <v>1.3203440821691572</v>
      </c>
      <c r="X86" s="7">
        <f>W86 - D86 - E86 - LN(1+EXP(Parameters!$B$21*C86))/Parameters!$B$21 - IF(C86&gt;0, 0,Parameters!$B$6*C86^2/F86)</f>
        <v>1.0080996167484715</v>
      </c>
      <c r="Y86" s="7">
        <f>EXP(-Parameters!$B$55*A86)</f>
        <v>0.28990557861518201</v>
      </c>
      <c r="Z86" s="7">
        <f>IF(X86&gt;0,X86^(1-Parameters!$B$52)/(1-Parameters!$B$52)*Y86*Parameters!$B$65,-10+X86*1000)</f>
        <v>-0.82596628596408483</v>
      </c>
      <c r="AC86" s="23">
        <f t="shared" si="103"/>
        <v>0.32274350725332479</v>
      </c>
      <c r="AD86" s="23">
        <f t="shared" si="104"/>
        <v>40.856341087802754</v>
      </c>
      <c r="AE86" s="23">
        <f t="shared" si="105"/>
        <v>0.42381363362888863</v>
      </c>
      <c r="AF86" s="23">
        <f t="shared" si="106"/>
        <v>12.587783646322084</v>
      </c>
      <c r="AG86" s="23">
        <f t="shared" si="107"/>
        <v>609.18959662368889</v>
      </c>
      <c r="AH86" s="23">
        <f t="shared" si="108"/>
        <v>162.00166813297182</v>
      </c>
      <c r="AI86" s="23">
        <f t="shared" si="109"/>
        <v>398.69843902298805</v>
      </c>
      <c r="AJ86" s="23">
        <f t="shared" si="110"/>
        <v>627.32108108637033</v>
      </c>
      <c r="AK86" s="23">
        <f t="shared" si="111"/>
        <v>478.96767968426121</v>
      </c>
      <c r="AL86" s="9">
        <f t="shared" si="122"/>
        <v>2.2429271433026976E-2</v>
      </c>
      <c r="AM86" s="9">
        <f t="shared" si="123"/>
        <v>1.7658632262913088E-2</v>
      </c>
      <c r="AN86" s="9">
        <f t="shared" ref="AN86:AO86" si="140">AVERAGE(AL84:AL88)</f>
        <v>2.2587779576802091E-2</v>
      </c>
      <c r="AO86" s="9">
        <f t="shared" si="140"/>
        <v>2.3815585457007415E-2</v>
      </c>
      <c r="AP86" s="23"/>
      <c r="AQ86" s="25">
        <f t="shared" si="100"/>
        <v>627.32108108637033</v>
      </c>
      <c r="AR86" s="4"/>
      <c r="AS86" s="4"/>
      <c r="AT86" s="4"/>
      <c r="AU86" s="16"/>
      <c r="AV86" s="16"/>
      <c r="AX86" s="13">
        <f>1-W86/'6states,ExoDamages'!T86</f>
        <v>9.6113718341759302E-2</v>
      </c>
      <c r="AY86" s="21">
        <f>-Y86*W86*X86^(-Parameters!B$52)*Parameters!B$46*Parameters!B$45*N86</f>
        <v>-9.72515236318406E-6</v>
      </c>
      <c r="AZ86" s="7">
        <f>1000*EXP(-(Parameters!$B$54)*'6states'!A86)*AQ86*Parameters!B$46*Parameters!B$45*N86</f>
        <v>0.90612034100212591</v>
      </c>
      <c r="BA86" s="7">
        <f>SUM(AZ86:AZ$204)*EXP(Parameters!$B$54*A86)</f>
        <v>1183.2773034561267</v>
      </c>
      <c r="BB86" s="43">
        <f t="shared" si="77"/>
        <v>0.23498143380342409</v>
      </c>
      <c r="BC86" s="30">
        <f>IF(C86&lt;0,Parameters!$B$6*AC86^2/AF86,0)</f>
        <v>0</v>
      </c>
      <c r="BD86" s="30">
        <f>Parameters!$B$5*AD86^2/AG86</f>
        <v>2.7401003174287784</v>
      </c>
      <c r="BE86" s="30">
        <f t="shared" si="113"/>
        <v>0</v>
      </c>
      <c r="BF86" s="30">
        <f t="shared" si="114"/>
        <v>6.7066708483271578E-2</v>
      </c>
      <c r="BH86" s="5"/>
      <c r="BI86" s="5"/>
      <c r="BJ86" s="5"/>
      <c r="BM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-0.63548955682116348</v>
      </c>
      <c r="BN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-301.9334135608118</v>
      </c>
      <c r="BO86" s="7">
        <f t="shared" si="101"/>
        <v>3.257199131746303E-2</v>
      </c>
      <c r="BU86">
        <f>EXP(-Parameters!$B$56*A86)*BH86*BN86</f>
        <v>0</v>
      </c>
      <c r="BV86">
        <f>-EXP((Parameters!$B$56)*F86)*SUM(BU86:BU94)</f>
        <v>0</v>
      </c>
      <c r="BW86">
        <f>X86^-Parameters!B$52/(1-2*Parameters!B$5*'6states'!D86/'6states'!G86)</f>
        <v>1.1424030766300894</v>
      </c>
      <c r="BX86">
        <f t="shared" si="115"/>
        <v>0.99501913949506748</v>
      </c>
      <c r="BY86">
        <f>$X86^-Parameters!$B$52/(1-2*Parameters!$B$5*'6states'!$E86/'6states'!$H86)</f>
        <v>1.1484195240533102</v>
      </c>
      <c r="BZ86">
        <f t="shared" si="116"/>
        <v>1.0149279288540778</v>
      </c>
      <c r="CA86" s="7">
        <f>($X86^-Parameters!$B$52*(1/(1+EXP(-C86)) + IF(C86&lt;0,2*Parameters!$B$6*C86/F86,0)) + BS86*(1/(1+EXP((C86-Parameters!$B$22)*Parameters!$B$21))))/(1-IF(C86&gt;0,2*Parameters!$B$5*C86/F86,0))</f>
        <v>0.52149391297419279</v>
      </c>
      <c r="CB86">
        <f t="shared" si="117"/>
        <v>1.0079284299557913</v>
      </c>
      <c r="CC86" s="7">
        <f t="shared" si="118"/>
        <v>4.1021047115108455E-3</v>
      </c>
      <c r="CE86">
        <f>(Parameters!$B$18*'6states'!T86^+Parameters!$B$19*Parameters!$B$25^'6states'!T86)^((1-'6states'!T86)/'6states'!T86)*Parameters!$B$18*Parameters!$B$26^('6states'!T86-1)</f>
        <v>0.30302808975012252</v>
      </c>
      <c r="CF86">
        <f t="shared" si="119"/>
        <v>0.20455917348412017</v>
      </c>
    </row>
    <row r="87" spans="1:84" x14ac:dyDescent="0.3">
      <c r="A87">
        <f>A86+Parameters!$B$65</f>
        <v>83</v>
      </c>
      <c r="B87">
        <v>2108</v>
      </c>
      <c r="C87" s="74">
        <v>6.4705265581689803E-4</v>
      </c>
      <c r="D87" s="69">
        <v>9.0572907156980506E-2</v>
      </c>
      <c r="E87" s="75">
        <v>0.22026589883057199</v>
      </c>
      <c r="F87" s="7">
        <f>MAX((1-Parameters!$B$4)^Parameters!B$65*F86 + C86*Parameters!B$65 - IF(C86&gt;0,Parameters!$B$5,0)*C86^2/F86*Parameters!B$65, 0.0001)</f>
        <v>2.548934171208694E-2</v>
      </c>
      <c r="G87" s="7">
        <f>(1-Parameters!$B$4)^Parameters!B$65*G86+D86*Parameters!B$65-Parameters!$B$5*D86^2/G86*Parameters!B$65</f>
        <v>1.2817574247409176</v>
      </c>
      <c r="H87" s="7">
        <f>(1-Parameters!$B$4)^Parameters!B$65*H86+E86*Parameters!B$65-Parameters!$B$5*E86^2/H86*Parameters!B$65</f>
        <v>3.2299682646946062</v>
      </c>
      <c r="I87" s="7">
        <f>I86 *(1-Parameters!$B$4)-C86*(C86&lt;0)*Parameters!B$65</f>
        <v>8.3590726988344132E-4</v>
      </c>
      <c r="J87" s="23">
        <f>J86*(1+Parameters!$B$51)^Parameters!B$65</f>
        <v>10.377041597854671</v>
      </c>
      <c r="K87" s="23">
        <f>K86*(1+Parameters!$B$53)^Parameters!B$65</f>
        <v>46.836777241125787</v>
      </c>
      <c r="L87" s="23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4.3505933256746454</v>
      </c>
      <c r="M87" s="8">
        <f>M86+L87*Parameters!B$65</f>
        <v>3553.9865676886275</v>
      </c>
      <c r="N87" s="7">
        <f>M87*Parameters!$B$45</f>
        <v>2.1323919406131764</v>
      </c>
      <c r="O87" s="9">
        <f>EXP(-Parameters!$B$46/2*N87^2)</f>
        <v>0.9553301335536224</v>
      </c>
      <c r="P87" s="7">
        <f>MAX((Parameters!$B$62 + Parameters!$B$31*'6states'!A87 - '6states'!M87 + Parameters!$B$47/Parameters!$B$45)/Parameters!B$62,1)</f>
        <v>64.232268646227453</v>
      </c>
      <c r="Q87" s="7">
        <f>Parameters!B$61*EXP(-Parameters!B$60*A87)</f>
        <v>5.3176049543193549E-2</v>
      </c>
      <c r="R87" s="7">
        <f>(1-Parameters!B$61)*P87^-Parameters!B$63</f>
        <v>0.32975749718025926</v>
      </c>
      <c r="S87" s="7">
        <f>Parameters!B$61*EXP(-Parameters!B$60*A87)+(1-Parameters!B$61)*P87^-Parameters!B$63</f>
        <v>0.38293354672345281</v>
      </c>
      <c r="T87" s="7">
        <f>1-S87/Parameters!$B$12</f>
        <v>0.80853322663827365</v>
      </c>
      <c r="U87" s="7">
        <f t="shared" si="102"/>
        <v>5.2228383151930062</v>
      </c>
      <c r="V87" s="7">
        <f>(Parameters!$B$19*(F87+Parameters!$B$20)^T87+Parameters!$B$18*G87^T87)^(1/T87)</f>
        <v>0.34017436454977479</v>
      </c>
      <c r="W87" s="7">
        <f>(Parameters!$B$10*H87^Parameters!$B$9+Parameters!$B$11*V87^Parameters!$B$9)^(Parameters!$B$7/Parameters!$B$9)*O87</f>
        <v>1.3203519419659464</v>
      </c>
      <c r="X87" s="7">
        <f>W87 - D87 - E87 - LN(1+EXP(Parameters!$B$21*C87))/Parameters!$B$21 - IF(C87&gt;0, 0,Parameters!$B$6*C87^2/F87)</f>
        <v>1.0068634432443784</v>
      </c>
      <c r="Y87" s="7">
        <f>EXP(-Parameters!$B$55*A87)</f>
        <v>0.28556088933456458</v>
      </c>
      <c r="Z87" s="7">
        <f>IF(X87&gt;0,X87^(1-Parameters!$B$52)/(1-Parameters!$B$52)*Y87*Parameters!$B$65,-10+X87*1000)</f>
        <v>-0.81393735576187454</v>
      </c>
      <c r="AC87" s="23">
        <f t="shared" si="103"/>
        <v>0.31448518133267789</v>
      </c>
      <c r="AD87" s="23">
        <f t="shared" si="104"/>
        <v>44.020895169853262</v>
      </c>
      <c r="AE87" s="23">
        <f t="shared" si="105"/>
        <v>0.40627365792156989</v>
      </c>
      <c r="AF87" s="23">
        <f t="shared" si="106"/>
        <v>12.38851301870649</v>
      </c>
      <c r="AG87" s="23">
        <f t="shared" si="107"/>
        <v>622.9689539489666</v>
      </c>
      <c r="AH87" s="23">
        <f t="shared" si="108"/>
        <v>165.33398906322913</v>
      </c>
      <c r="AI87" s="23">
        <f t="shared" si="109"/>
        <v>406.89953453347812</v>
      </c>
      <c r="AJ87" s="23">
        <f t="shared" si="110"/>
        <v>641.72693854086504</v>
      </c>
      <c r="AK87" s="23">
        <f t="shared" si="111"/>
        <v>489.36300574517094</v>
      </c>
      <c r="AL87" s="9">
        <f t="shared" si="122"/>
        <v>2.2704383230276903E-2</v>
      </c>
      <c r="AM87" s="9">
        <f t="shared" si="123"/>
        <v>2.147143654044914E-2</v>
      </c>
      <c r="AN87" s="9">
        <f t="shared" ref="AN87:AO87" si="141">AVERAGE(AL85:AL89)</f>
        <v>2.2521712990301167E-2</v>
      </c>
      <c r="AO87" s="9">
        <f t="shared" si="141"/>
        <v>2.0733331451201664E-2</v>
      </c>
      <c r="AP87" s="23"/>
      <c r="AQ87" s="25">
        <f t="shared" si="100"/>
        <v>641.72693854086504</v>
      </c>
      <c r="AR87" s="4"/>
      <c r="AS87" s="4"/>
      <c r="AT87" s="4"/>
      <c r="AU87" s="16"/>
      <c r="AV87" s="16"/>
      <c r="AX87" s="13">
        <f>1-W87/'6states,ExoDamages'!T87</f>
        <v>9.6012403166397253E-2</v>
      </c>
      <c r="AY87" s="21">
        <f>-Y87*W87*X87^(-Parameters!B$52)*Parameters!B$46*Parameters!B$45*N87</f>
        <v>-9.6071041990561926E-6</v>
      </c>
      <c r="AZ87" s="7">
        <f>1000*EXP(-(Parameters!$B$54)*'6states'!A87)*AQ87*Parameters!B$46*Parameters!B$45*N87</f>
        <v>0.89605464747755681</v>
      </c>
      <c r="BA87" s="7">
        <f>SUM(AZ87:AZ$204)*EXP(Parameters!$B$54*A87)</f>
        <v>1208.859395398908</v>
      </c>
      <c r="BB87" s="43">
        <f t="shared" si="77"/>
        <v>0.23591123604482345</v>
      </c>
      <c r="BC87" s="30">
        <f>IF(C87&lt;0,Parameters!$B$6*AC87^2/AF87,0)</f>
        <v>0</v>
      </c>
      <c r="BD87" s="30">
        <f>Parameters!$B$5*AD87^2/AG87</f>
        <v>3.1106513402816494</v>
      </c>
      <c r="BE87" s="30">
        <f t="shared" si="113"/>
        <v>0</v>
      </c>
      <c r="BF87" s="30">
        <f t="shared" si="114"/>
        <v>7.0663064171668871E-2</v>
      </c>
      <c r="BH87" s="5"/>
      <c r="BI87" s="5"/>
      <c r="BJ87" s="5"/>
      <c r="BM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-0.65206125909694757</v>
      </c>
      <c r="BN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-316.91949868937155</v>
      </c>
      <c r="BO87" s="7">
        <f t="shared" si="101"/>
        <v>3.1753062258060197E-2</v>
      </c>
      <c r="BU87">
        <f>EXP(-Parameters!$B$56*A87)*BH87*BN87</f>
        <v>0</v>
      </c>
      <c r="BV87">
        <f>-EXP((Parameters!$B$56)*F87)*SUM(BU87:BU95)</f>
        <v>0</v>
      </c>
      <c r="BW87">
        <f>X87^-Parameters!B$52/(1-2*Parameters!B$5*'6states'!D87/'6states'!G87)</f>
        <v>1.1538822120037999</v>
      </c>
      <c r="BX87">
        <f t="shared" si="115"/>
        <v>1.0100482356959088</v>
      </c>
      <c r="BY87">
        <f>$X87^-Parameters!$B$52/(1-2*Parameters!$B$5*'6states'!$E87/'6states'!$H87)</f>
        <v>1.1472855072838493</v>
      </c>
      <c r="BZ87">
        <f t="shared" si="116"/>
        <v>0.99901254137037099</v>
      </c>
      <c r="CA87" s="7">
        <f>($X87^-Parameters!$B$52*(1/(1+EXP(-C87)) + IF(C87&lt;0,2*Parameters!$B$6*C87/F87,0)) + BS87*(1/(1+EXP((C87-Parameters!$B$22)*Parameters!$B$21))))/(1-IF(C87&gt;0,2*Parameters!$B$5*C87/F87,0))</f>
        <v>0.52207027136690276</v>
      </c>
      <c r="CB87">
        <f t="shared" si="117"/>
        <v>1.0011052063664998</v>
      </c>
      <c r="CC87" s="7">
        <f t="shared" si="118"/>
        <v>5.7635839270997469E-4</v>
      </c>
      <c r="CE87">
        <f>(Parameters!$B$18*'6states'!T87^+Parameters!$B$19*Parameters!$B$25^'6states'!T87)^((1-'6states'!T87)/'6states'!T87)*Parameters!$B$18*Parameters!$B$26^('6states'!T87-1)</f>
        <v>0.30320962457038808</v>
      </c>
      <c r="CF87">
        <f t="shared" si="119"/>
        <v>0.20394982677340842</v>
      </c>
    </row>
    <row r="88" spans="1:84" x14ac:dyDescent="0.3">
      <c r="A88">
        <f>A87+Parameters!$B$65</f>
        <v>84</v>
      </c>
      <c r="B88">
        <v>2109</v>
      </c>
      <c r="C88" s="74">
        <v>6.5100998989671996E-4</v>
      </c>
      <c r="D88" s="69">
        <v>9.1622916550859496E-2</v>
      </c>
      <c r="E88" s="75">
        <v>0.21163344352852301</v>
      </c>
      <c r="F88" s="7">
        <f>MAX((1-Parameters!$B$4)^Parameters!B$65*F87 + C87*Parameters!B$65 - IF(C87&gt;0,Parameters!$B$5,0)*C87^2/F87*Parameters!B$65, 0.0001)</f>
        <v>2.4516689197432155E-2</v>
      </c>
      <c r="G88" s="7">
        <f>(1-Parameters!$B$4)^Parameters!B$65*G87+D87*Parameters!B$65-Parameters!$B$5*D87^2/G87*Parameters!B$65</f>
        <v>1.285307630731046</v>
      </c>
      <c r="H88" s="7">
        <f>(1-Parameters!$B$4)^Parameters!B$65*H87+E87*Parameters!B$65-Parameters!$B$5*E87^2/H87*Parameters!B$65</f>
        <v>3.2320482485672684</v>
      </c>
      <c r="I88" s="7">
        <f>I87 *(1-Parameters!$B$4)-C87*(C87&lt;0)*Parameters!B$65</f>
        <v>7.8332870260777287E-4</v>
      </c>
      <c r="J88" s="23">
        <f>J87*(1+Parameters!$B$51)^Parameters!B$65</f>
        <v>10.407135018488448</v>
      </c>
      <c r="K88" s="23">
        <f>K87*(1+Parameters!$B$53)^Parameters!B$65</f>
        <v>47.773512785948306</v>
      </c>
      <c r="L88" s="23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4.2448085493280709</v>
      </c>
      <c r="M88" s="8">
        <f>M87+L88*Parameters!B$65</f>
        <v>3558.2313762379554</v>
      </c>
      <c r="N88" s="7">
        <f>M88*Parameters!$B$45</f>
        <v>2.1349388257427728</v>
      </c>
      <c r="O88" s="9">
        <f>EXP(-Parameters!$B$46/2*N88^2)</f>
        <v>0.95522579099431315</v>
      </c>
      <c r="P88" s="7">
        <f>MAX((Parameters!$B$62 + Parameters!$B$31*'6states'!A88 - '6states'!M88 + Parameters!$B$47/Parameters!$B$45)/Parameters!B$62,1)</f>
        <v>65.211372475240893</v>
      </c>
      <c r="Q88" s="7">
        <f>Parameters!B$61*EXP(-Parameters!B$60*A88)</f>
        <v>5.1759505602722529E-2</v>
      </c>
      <c r="R88" s="7">
        <f>(1-Parameters!B$61)*P88^-Parameters!B$63</f>
        <v>0.32925901168919647</v>
      </c>
      <c r="S88" s="7">
        <f>Parameters!B$61*EXP(-Parameters!B$60*A88)+(1-Parameters!B$61)*P88^-Parameters!B$63</f>
        <v>0.38101851729191899</v>
      </c>
      <c r="T88" s="7">
        <f>1-S88/Parameters!$B$12</f>
        <v>0.80949074135404053</v>
      </c>
      <c r="U88" s="7">
        <f t="shared" si="102"/>
        <v>5.2490887167767006</v>
      </c>
      <c r="V88" s="7">
        <f>(Parameters!$B$19*(F88+Parameters!$B$20)^T88+Parameters!$B$18*G88^T88)^(1/T88)</f>
        <v>0.34034024780778188</v>
      </c>
      <c r="W88" s="7">
        <f>(Parameters!$B$10*H88^Parameters!$B$9+Parameters!$B$11*V88^Parameters!$B$9)^(Parameters!$B$7/Parameters!$B$9)*O88</f>
        <v>1.320443352129326</v>
      </c>
      <c r="X88" s="7">
        <f>W88 - D88 - E88 - LN(1+EXP(Parameters!$B$21*C88))/Parameters!$B$21 - IF(C88&gt;0, 0,Parameters!$B$6*C88^2/F88)</f>
        <v>1.0145351286226485</v>
      </c>
      <c r="Y88" s="7">
        <f>EXP(-Parameters!$B$55*A88)</f>
        <v>0.28128131202949208</v>
      </c>
      <c r="Z88" s="7">
        <f>IF(X88&gt;0,X88^(1-Parameters!$B$52)/(1-Parameters!$B$52)*Y88*Parameters!$B$65,-10+X88*1000)</f>
        <v>-0.79961209298344227</v>
      </c>
      <c r="AC88" s="23">
        <f t="shared" si="103"/>
        <v>0.32367266084469765</v>
      </c>
      <c r="AD88" s="23">
        <f t="shared" si="104"/>
        <v>45.55357621942661</v>
      </c>
      <c r="AE88" s="23">
        <f t="shared" si="105"/>
        <v>0.38945959266970087</v>
      </c>
      <c r="AF88" s="23">
        <f t="shared" si="106"/>
        <v>12.189339873101234</v>
      </c>
      <c r="AG88" s="23">
        <f t="shared" si="107"/>
        <v>639.03618577145244</v>
      </c>
      <c r="AH88" s="23">
        <f t="shared" si="108"/>
        <v>169.21220151777513</v>
      </c>
      <c r="AI88" s="23">
        <f t="shared" si="109"/>
        <v>416.44411064585398</v>
      </c>
      <c r="AJ88" s="23">
        <f t="shared" si="110"/>
        <v>656.50515339433548</v>
      </c>
      <c r="AK88" s="23">
        <f t="shared" si="111"/>
        <v>504.41205157820366</v>
      </c>
      <c r="AL88" s="9">
        <f t="shared" si="122"/>
        <v>2.2767659676842911E-2</v>
      </c>
      <c r="AM88" s="9">
        <f t="shared" si="123"/>
        <v>3.028893959250567E-2</v>
      </c>
      <c r="AN88" s="9">
        <f t="shared" ref="AN88:AO88" si="142">AVERAGE(AL86:AL90)</f>
        <v>2.2625822352917879E-2</v>
      </c>
      <c r="AO88" s="9">
        <f t="shared" si="142"/>
        <v>2.172981352898553E-2</v>
      </c>
      <c r="AP88" s="23"/>
      <c r="AQ88" s="25">
        <f t="shared" si="100"/>
        <v>656.50515339433548</v>
      </c>
      <c r="AR88" s="4"/>
      <c r="AS88" s="4"/>
      <c r="AT88" s="4"/>
      <c r="AU88" s="16"/>
      <c r="AV88" s="16"/>
      <c r="AX88" s="13">
        <f>1-W88/'6states,ExoDamages'!T88</f>
        <v>9.5856415711801812E-2</v>
      </c>
      <c r="AY88" s="21">
        <f>-Y88*W88*X88^(-Parameters!B$52)*Parameters!B$46*Parameters!B$45*N88</f>
        <v>-9.3784879827168981E-6</v>
      </c>
      <c r="AZ88" s="7">
        <f>1000*EXP(-(Parameters!$B$54)*'6states'!A88)*AQ88*Parameters!B$46*Parameters!B$45*N88</f>
        <v>0.88612916821691867</v>
      </c>
      <c r="BA88" s="7">
        <f>SUM(AZ88:AZ$204)*EXP(Parameters!$B$54*A88)</f>
        <v>1234.9512045952608</v>
      </c>
      <c r="BB88" s="43">
        <f t="shared" si="77"/>
        <v>0.23015555311721855</v>
      </c>
      <c r="BC88" s="30">
        <f>IF(C88&lt;0,Parameters!$B$6*AC88^2/AF88,0)</f>
        <v>0</v>
      </c>
      <c r="BD88" s="30">
        <f>Parameters!$B$5*AD88^2/AG88</f>
        <v>3.2472782489992942</v>
      </c>
      <c r="BE88" s="30">
        <f t="shared" si="113"/>
        <v>0</v>
      </c>
      <c r="BF88" s="30">
        <f t="shared" si="114"/>
        <v>7.1284814903609522E-2</v>
      </c>
      <c r="BH88" s="5"/>
      <c r="BI88" s="5"/>
      <c r="BJ88" s="5"/>
      <c r="BM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-0.66826340523102745</v>
      </c>
      <c r="BN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-332.25080701231627</v>
      </c>
      <c r="BO88" s="7">
        <f t="shared" si="101"/>
        <v>3.0961586893048666E-2</v>
      </c>
      <c r="BU88">
        <f>EXP(-Parameters!$B$56*A88)*BH88*BN88</f>
        <v>0</v>
      </c>
      <c r="BV88">
        <f>-EXP((Parameters!$B$56)*F88)*SUM(BU88:BU96)</f>
        <v>0</v>
      </c>
      <c r="BW88">
        <f>X88^-Parameters!B$52/(1-2*Parameters!B$5*'6states'!D88/'6states'!G88)</f>
        <v>1.1437749147754275</v>
      </c>
      <c r="BX88">
        <f t="shared" si="115"/>
        <v>0.9912406161363555</v>
      </c>
      <c r="BY88">
        <f>$X88^-Parameters!$B$52/(1-2*Parameters!$B$5*'6states'!$E88/'6states'!$H88)</f>
        <v>1.1284941974526412</v>
      </c>
      <c r="BZ88">
        <f t="shared" si="116"/>
        <v>0.98362106928754323</v>
      </c>
      <c r="CA88" s="7">
        <f>($X88^-Parameters!$B$52*(1/(1+EXP(-C88)) + IF(C88&lt;0,2*Parameters!$B$6*C88/F88,0)) + BS88*(1/(1+EXP((C88-Parameters!$B$22)*Parameters!$B$21))))/(1-IF(C88&gt;0,2*Parameters!$B$5*C88/F88,0))</f>
        <v>0.51802425821555431</v>
      </c>
      <c r="CB88">
        <f t="shared" si="117"/>
        <v>0.99225006024427509</v>
      </c>
      <c r="CC88" s="7">
        <f t="shared" si="118"/>
        <v>-4.0460131513484487E-3</v>
      </c>
      <c r="CE88">
        <f>(Parameters!$B$18*'6states'!T88^+Parameters!$B$19*Parameters!$B$25^'6states'!T88)^((1-'6states'!T88)/'6states'!T88)*Parameters!$B$18*Parameters!$B$26^('6states'!T88-1)</f>
        <v>0.30338475859799863</v>
      </c>
      <c r="CF88">
        <f t="shared" si="119"/>
        <v>0.20334949813165223</v>
      </c>
    </row>
    <row r="89" spans="1:84" x14ac:dyDescent="0.3">
      <c r="A89">
        <f>A88+Parameters!$B$65</f>
        <v>85</v>
      </c>
      <c r="B89">
        <v>2110</v>
      </c>
      <c r="C89" s="74">
        <v>6.24813573185806E-4</v>
      </c>
      <c r="D89" s="69">
        <v>9.07117250710021E-2</v>
      </c>
      <c r="E89" s="75">
        <v>0.22196210274924899</v>
      </c>
      <c r="F89" s="7">
        <f>MAX((1-Parameters!$B$4)^Parameters!B$65*F88 + C88*Parameters!B$65 - IF(C88&gt;0,Parameters!$B$5,0)*C88^2/F88*Parameters!B$65, 0.0001)</f>
        <v>2.3608312681509449E-2</v>
      </c>
      <c r="G89" s="7">
        <f>(1-Parameters!$B$4)^Parameters!B$65*G88+D88*Parameters!B$65-Parameters!$B$5*D88^2/G88*Parameters!B$65</f>
        <v>1.2895533746616659</v>
      </c>
      <c r="H89" s="7">
        <f>(1-Parameters!$B$4)^Parameters!B$65*H88+E88*Parameters!B$65-Parameters!$B$5*E88^2/H88*Parameters!B$65</f>
        <v>3.226528169820881</v>
      </c>
      <c r="I89" s="7">
        <f>I88 *(1-Parameters!$B$4)-C88*(C88&lt;0)*Parameters!B$65</f>
        <v>7.3405732721374404E-4</v>
      </c>
      <c r="J89" s="23">
        <f>J88*(1+Parameters!$B$51)^Parameters!B$65</f>
        <v>10.437315710042064</v>
      </c>
      <c r="K89" s="23">
        <f>K88*(1+Parameters!$B$53)^Parameters!B$65</f>
        <v>48.72898304166727</v>
      </c>
      <c r="L89" s="23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4.1467034644906091</v>
      </c>
      <c r="M89" s="8">
        <f>M88+L89*Parameters!B$65</f>
        <v>3562.378079702446</v>
      </c>
      <c r="N89" s="7">
        <f>M89*Parameters!$B$45</f>
        <v>2.1374268478214673</v>
      </c>
      <c r="O89" s="9">
        <f>EXP(-Parameters!$B$46/2*N89^2)</f>
        <v>0.95512375073555711</v>
      </c>
      <c r="P89" s="7">
        <f>MAX((Parameters!$B$62 + Parameters!$B$31*'6states'!A89 - '6states'!M89 + Parameters!$B$47/Parameters!$B$45)/Parameters!B$62,1)</f>
        <v>66.19243840595108</v>
      </c>
      <c r="Q89" s="7">
        <f>Parameters!B$61*EXP(-Parameters!B$60*A89)</f>
        <v>5.0380696634151866E-2</v>
      </c>
      <c r="R89" s="7">
        <f>(1-Parameters!B$61)*P89^-Parameters!B$63</f>
        <v>0.32876771735268234</v>
      </c>
      <c r="S89" s="7">
        <f>Parameters!B$61*EXP(-Parameters!B$60*A89)+(1-Parameters!B$61)*P89^-Parameters!B$63</f>
        <v>0.37914841398683419</v>
      </c>
      <c r="T89" s="7">
        <f>1-S89/Parameters!$B$12</f>
        <v>0.81042579300658291</v>
      </c>
      <c r="U89" s="7">
        <f t="shared" si="102"/>
        <v>5.2749792066107641</v>
      </c>
      <c r="V89" s="7">
        <f>(Parameters!$B$19*(F89+Parameters!$B$20)^T89+Parameters!$B$18*G89^T89)^(1/T89)</f>
        <v>0.3407314674195972</v>
      </c>
      <c r="W89" s="7">
        <f>(Parameters!$B$10*H89^Parameters!$B$9+Parameters!$B$11*V89^Parameters!$B$9)^(Parameters!$B$7/Parameters!$B$9)*O89</f>
        <v>1.3199783062343422</v>
      </c>
      <c r="X89" s="7">
        <f>W89 - D89 - E89 - LN(1+EXP(Parameters!$B$21*C89))/Parameters!$B$21 - IF(C89&gt;0, 0,Parameters!$B$6*C89^2/F89)</f>
        <v>1.004666962707599</v>
      </c>
      <c r="Y89" s="7">
        <f>EXP(-Parameters!$B$55*A89)</f>
        <v>0.27706587089500223</v>
      </c>
      <c r="Z89" s="7">
        <f>IF(X89&gt;0,X89^(1-Parameters!$B$52)/(1-Parameters!$B$52)*Y89*Parameters!$B$65,-10+X89*1000)</f>
        <v>-0.7903277764503065</v>
      </c>
      <c r="AC89" s="23">
        <f t="shared" si="103"/>
        <v>0.31778004601025045</v>
      </c>
      <c r="AD89" s="23">
        <f t="shared" si="104"/>
        <v>46.135963435864568</v>
      </c>
      <c r="AE89" s="23">
        <f t="shared" si="105"/>
        <v>0.37334139530092436</v>
      </c>
      <c r="AF89" s="23">
        <f t="shared" si="106"/>
        <v>12.007182641538815</v>
      </c>
      <c r="AG89" s="23">
        <f t="shared" si="107"/>
        <v>655.86656295444141</v>
      </c>
      <c r="AH89" s="23">
        <f t="shared" si="108"/>
        <v>173.29594944881313</v>
      </c>
      <c r="AI89" s="23">
        <f t="shared" si="109"/>
        <v>426.49452521400394</v>
      </c>
      <c r="AJ89" s="23">
        <f t="shared" si="110"/>
        <v>671.34067646597452</v>
      </c>
      <c r="AK89" s="23">
        <f t="shared" si="111"/>
        <v>510.97339644261768</v>
      </c>
      <c r="AL89" s="9">
        <f t="shared" si="122"/>
        <v>2.2346179169606017E-2</v>
      </c>
      <c r="AM89" s="9">
        <f t="shared" si="123"/>
        <v>1.2924030388083985E-2</v>
      </c>
      <c r="AN89" s="9">
        <f t="shared" ref="AN89:AO89" si="143">AVERAGE(AL87:AL91)</f>
        <v>2.2676413259314288E-2</v>
      </c>
      <c r="AO89" s="9">
        <f t="shared" si="143"/>
        <v>2.2389545703799918E-2</v>
      </c>
      <c r="AP89" s="23"/>
      <c r="AQ89" s="25">
        <f t="shared" si="100"/>
        <v>671.34067646597452</v>
      </c>
      <c r="AR89" s="4"/>
      <c r="AS89" s="4"/>
      <c r="AT89" s="4"/>
      <c r="AU89" s="16"/>
      <c r="AV89" s="16"/>
      <c r="AX89" s="13">
        <f>1-W89/'6states,ExoDamages'!T89</f>
        <v>9.6083815802787909E-2</v>
      </c>
      <c r="AY89" s="21">
        <f>-Y89*W89*X89^(-Parameters!B$52)*Parameters!B$46*Parameters!B$45*N89</f>
        <v>-9.3682512664786971E-6</v>
      </c>
      <c r="AZ89" s="7">
        <f>1000*EXP(-(Parameters!$B$54)*'6states'!A89)*AQ89*Parameters!B$46*Parameters!B$45*N89</f>
        <v>0.8759189921829823</v>
      </c>
      <c r="BA89" s="7">
        <f>SUM(AZ89:AZ$204)*EXP(Parameters!$B$54*A89)</f>
        <v>1261.5605908715922</v>
      </c>
      <c r="BB89" s="43">
        <f t="shared" si="77"/>
        <v>0.23735135639253108</v>
      </c>
      <c r="BC89" s="30">
        <f>IF(C89&lt;0,Parameters!$B$6*AC89^2/AF89,0)</f>
        <v>0</v>
      </c>
      <c r="BD89" s="30">
        <f>Parameters!$B$5*AD89^2/AG89</f>
        <v>3.2453661192410665</v>
      </c>
      <c r="BE89" s="30">
        <f t="shared" si="113"/>
        <v>0</v>
      </c>
      <c r="BF89" s="30">
        <f t="shared" si="114"/>
        <v>7.0343521139481099E-2</v>
      </c>
      <c r="BH89" s="5"/>
      <c r="BI89" s="5"/>
      <c r="BJ89" s="5"/>
      <c r="BM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-0.68530332053528109</v>
      </c>
      <c r="BN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-348.5451182186743</v>
      </c>
      <c r="BO89" s="7">
        <f t="shared" si="101"/>
        <v>3.0155540604743555E-2</v>
      </c>
      <c r="BU89">
        <f>EXP(-Parameters!$B$56*A89)*BH89*BN89</f>
        <v>0</v>
      </c>
      <c r="BV89">
        <f>-EXP((Parameters!$B$56)*F89)*SUM(BU89:BU97)</f>
        <v>0</v>
      </c>
      <c r="BW89">
        <f>X89^-Parameters!B$52/(1-2*Parameters!B$5*'6states'!D89/'6states'!G89)</f>
        <v>1.1564284719043567</v>
      </c>
      <c r="BX89">
        <f t="shared" si="115"/>
        <v>1.0110629783583021</v>
      </c>
      <c r="BY89">
        <f>$X89^-Parameters!$B$52/(1-2*Parameters!$B$5*'6states'!$E89/'6states'!$H89)</f>
        <v>1.152269848857598</v>
      </c>
      <c r="BZ89">
        <f t="shared" si="116"/>
        <v>1.0210684746617447</v>
      </c>
      <c r="CA89" s="7">
        <f>($X89^-Parameters!$B$52*(1/(1+EXP(-C89)) + IF(C89&lt;0,2*Parameters!$B$6*C89/F89,0)) + BS89*(1/(1+EXP((C89-Parameters!$B$22)*Parameters!$B$21))))/(1-IF(C89&gt;0,2*Parameters!$B$5*C89/F89,0))</f>
        <v>0.5248007859257835</v>
      </c>
      <c r="CB89">
        <f t="shared" si="117"/>
        <v>1.0130814872136922</v>
      </c>
      <c r="CC89" s="7">
        <f t="shared" si="118"/>
        <v>6.7765277102291854E-3</v>
      </c>
    </row>
    <row r="90" spans="1:84" x14ac:dyDescent="0.3">
      <c r="A90">
        <f>A89+Parameters!$B$65</f>
        <v>86</v>
      </c>
      <c r="B90">
        <v>2111</v>
      </c>
      <c r="C90" s="74">
        <v>6.2739787968412505E-4</v>
      </c>
      <c r="D90" s="69">
        <v>8.7490196361284994E-2</v>
      </c>
      <c r="E90" s="75">
        <v>0.22179306383803199</v>
      </c>
      <c r="F90" s="7">
        <f>MAX((1-Parameters!$B$4)^Parameters!B$65*F89 + C89*Parameters!B$65 - IF(C89&gt;0,Parameters!$B$5,0)*C89^2/F89*Parameters!B$65, 0.0001)</f>
        <v>2.2731627177664099E-2</v>
      </c>
      <c r="G90" s="7">
        <f>(1-Parameters!$B$4)^Parameters!B$65*G89+D89*Parameters!B$65-Parameters!$B$5*D89^2/G89*Parameters!B$65</f>
        <v>1.2927712103163185</v>
      </c>
      <c r="H90" s="7">
        <f>(1-Parameters!$B$4)^Parameters!B$65*H89+E89*Parameters!B$65-Parameters!$B$5*E89^2/H89*Parameters!B$65</f>
        <v>3.2302722426857997</v>
      </c>
      <c r="I90" s="7">
        <f>I89 *(1-Parameters!$B$4)-C89*(C89&lt;0)*Parameters!B$65</f>
        <v>6.8788512133199952E-4</v>
      </c>
      <c r="J90" s="23">
        <f>J89*(1+Parameters!$B$51)^Parameters!B$65</f>
        <v>10.467583925601184</v>
      </c>
      <c r="K90" s="23">
        <f>K89*(1+Parameters!$B$53)^Parameters!B$65</f>
        <v>49.703562702500619</v>
      </c>
      <c r="L90" s="23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4.0505335284690887</v>
      </c>
      <c r="M90" s="8">
        <f>M89+L90*Parameters!B$65</f>
        <v>3566.4286132309153</v>
      </c>
      <c r="N90" s="7">
        <f>M90*Parameters!$B$45</f>
        <v>2.139857167938549</v>
      </c>
      <c r="O90" s="9">
        <f>EXP(-Parameters!$B$46/2*N90^2)</f>
        <v>0.95502397278218998</v>
      </c>
      <c r="P90" s="7">
        <f>MAX((Parameters!$B$62 + Parameters!$B$31*'6states'!A90 - '6states'!M90 + Parameters!$B$47/Parameters!$B$45)/Parameters!B$62,1)</f>
        <v>67.175427735381689</v>
      </c>
      <c r="Q90" s="7">
        <f>Parameters!B$61*EXP(-Parameters!B$60*A90)</f>
        <v>4.9038617424679028E-2</v>
      </c>
      <c r="R90" s="7">
        <f>(1-Parameters!B$61)*P90^-Parameters!B$63</f>
        <v>0.32828342839848812</v>
      </c>
      <c r="S90" s="7">
        <f>Parameters!B$61*EXP(-Parameters!B$60*A90)+(1-Parameters!B$61)*P90^-Parameters!B$63</f>
        <v>0.37732204582316714</v>
      </c>
      <c r="T90" s="7">
        <f>1-S90/Parameters!$B$12</f>
        <v>0.8113389770884164</v>
      </c>
      <c r="U90" s="7">
        <f t="shared" si="102"/>
        <v>5.3005119158537175</v>
      </c>
      <c r="V90" s="7">
        <f>(Parameters!$B$19*(F90+Parameters!$B$20)^T90+Parameters!$B$18*G90^T90)^(1/T90)</f>
        <v>0.34090652304816321</v>
      </c>
      <c r="W90" s="7">
        <f>(Parameters!$B$10*H90^Parameters!$B$9+Parameters!$B$11*V90^Parameters!$B$9)^(Parameters!$B$7/Parameters!$B$9)*O90</f>
        <v>1.3202201323669902</v>
      </c>
      <c r="X90" s="7">
        <f>W90 - D90 - E90 - LN(1+EXP(Parameters!$B$21*C90))/Parameters!$B$21 - IF(C90&gt;0, 0,Parameters!$B$6*C90^2/F90)</f>
        <v>1.0082979433097845</v>
      </c>
      <c r="Y90" s="7">
        <f>EXP(-Parameters!$B$55*A90)</f>
        <v>0.27291360475009885</v>
      </c>
      <c r="Z90" s="7">
        <f>IF(X90&gt;0,X90^(1-Parameters!$B$52)/(1-Parameters!$B$52)*Y90*Parameters!$B$65,-10+X90*1000)</f>
        <v>-0.77750113732648196</v>
      </c>
      <c r="AC90" s="23">
        <f t="shared" si="103"/>
        <v>0.3264201935072884</v>
      </c>
      <c r="AD90" s="23">
        <f t="shared" si="104"/>
        <v>45.51906812407406</v>
      </c>
      <c r="AE90" s="23">
        <f t="shared" si="105"/>
        <v>0.35789026658653106</v>
      </c>
      <c r="AF90" s="23">
        <f t="shared" si="106"/>
        <v>11.826724925822859</v>
      </c>
      <c r="AG90" s="23">
        <f t="shared" si="107"/>
        <v>672.5981108583934</v>
      </c>
      <c r="AH90" s="23">
        <f t="shared" si="108"/>
        <v>177.36555513592691</v>
      </c>
      <c r="AI90" s="23">
        <f t="shared" si="109"/>
        <v>436.51013464315832</v>
      </c>
      <c r="AJ90" s="23">
        <f t="shared" si="110"/>
        <v>686.87913210101829</v>
      </c>
      <c r="AK90" s="23">
        <f t="shared" si="111"/>
        <v>524.59343651892277</v>
      </c>
      <c r="AL90" s="9">
        <f t="shared" si="122"/>
        <v>2.2881618254836589E-2</v>
      </c>
      <c r="AM90" s="9">
        <f t="shared" si="123"/>
        <v>2.6306028860975772E-2</v>
      </c>
      <c r="AN90" s="9">
        <f t="shared" ref="AN90:AO90" si="144">AVERAGE(AL88:AL92)</f>
        <v>2.2691250109547666E-2</v>
      </c>
      <c r="AO90" s="9">
        <f t="shared" si="144"/>
        <v>2.3442485166877171E-2</v>
      </c>
      <c r="AP90" s="23"/>
      <c r="AQ90" s="25">
        <f t="shared" si="100"/>
        <v>686.87913210101829</v>
      </c>
      <c r="AR90" s="4"/>
      <c r="AS90" s="4"/>
      <c r="AT90" s="4"/>
      <c r="AU90" s="16"/>
      <c r="AV90" s="16"/>
      <c r="AX90" s="13">
        <f>1-W90/'6states,ExoDamages'!T90</f>
        <v>9.582944694161033E-2</v>
      </c>
      <c r="AY90" s="21">
        <f>-Y90*W90*X90^(-Parameters!B$52)*Parameters!B$46*Parameters!B$45*N90</f>
        <v>-9.1951462425815187E-6</v>
      </c>
      <c r="AZ90" s="7">
        <f>1000*EXP(-(Parameters!$B$54)*'6states'!A90)*AQ90*Parameters!B$46*Parameters!B$45*N90</f>
        <v>0.86626564858784871</v>
      </c>
      <c r="BA90" s="7">
        <f>SUM(AZ90:AZ$204)*EXP(Parameters!$B$54*A90)</f>
        <v>1288.7040670395043</v>
      </c>
      <c r="BB90" s="43">
        <f t="shared" si="77"/>
        <v>0.23474165442650075</v>
      </c>
      <c r="BC90" s="30">
        <f>IF(C90&lt;0,Parameters!$B$6*AC90^2/AF90,0)</f>
        <v>0</v>
      </c>
      <c r="BD90" s="30">
        <f>Parameters!$B$5*AD90^2/AG90</f>
        <v>3.0805700007687418</v>
      </c>
      <c r="BE90" s="30">
        <f t="shared" si="113"/>
        <v>0</v>
      </c>
      <c r="BF90" s="30">
        <f t="shared" si="114"/>
        <v>6.7676473348967661E-2</v>
      </c>
      <c r="BH90" s="5"/>
      <c r="BI90" s="5"/>
      <c r="BJ90" s="5"/>
      <c r="BM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-0.70207785999135164</v>
      </c>
      <c r="BN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-365.27441092236558</v>
      </c>
      <c r="BO90" s="7">
        <f t="shared" si="101"/>
        <v>2.9372307695813393E-2</v>
      </c>
      <c r="BU90">
        <f>EXP(-Parameters!$B$56*A90)*BH90*BN90</f>
        <v>0</v>
      </c>
      <c r="BV90">
        <f>-EXP((Parameters!$B$56)*F90)*SUM(BU90:BU98)</f>
        <v>0</v>
      </c>
      <c r="BW90">
        <f>X90^-Parameters!B$52/(1-2*Parameters!B$5*'6states'!D90/'6states'!G90)</f>
        <v>1.1437105953925002</v>
      </c>
      <c r="BX90">
        <f t="shared" si="115"/>
        <v>0.98900245296545386</v>
      </c>
      <c r="BY90">
        <f>$X90^-Parameters!$B$52/(1-2*Parameters!$B$5*'6states'!$E90/'6states'!$H90)</f>
        <v>1.146320560733137</v>
      </c>
      <c r="BZ90">
        <f t="shared" si="116"/>
        <v>0.99483689681687038</v>
      </c>
      <c r="CA90" s="7">
        <f>($X90^-Parameters!$B$52*(1/(1+EXP(-C90)) + IF(C90&lt;0,2*Parameters!$B$6*C90/F90,0)) + BS90*(1/(1+EXP((C90-Parameters!$B$22)*Parameters!$B$21))))/(1-IF(C90&gt;0,2*Parameters!$B$5*C90/F90,0))</f>
        <v>0.52350585980291198</v>
      </c>
      <c r="CB90">
        <f t="shared" si="117"/>
        <v>0.99753253775985262</v>
      </c>
      <c r="CC90" s="7">
        <f t="shared" si="118"/>
        <v>-1.2949261228715203E-3</v>
      </c>
    </row>
    <row r="91" spans="1:84" x14ac:dyDescent="0.3">
      <c r="A91">
        <f>A90+Parameters!$B$65</f>
        <v>87</v>
      </c>
      <c r="B91">
        <v>2112</v>
      </c>
      <c r="C91" s="74">
        <v>6.0819924344561005E-4</v>
      </c>
      <c r="D91" s="69">
        <v>9.1959534147031397E-2</v>
      </c>
      <c r="E91" s="75">
        <v>0.21906687679888501</v>
      </c>
      <c r="F91" s="7">
        <f>MAX((1-Parameters!$B$4)^Parameters!B$65*F90 + C90*Parameters!B$65 - IF(C90&gt;0,Parameters!$B$5,0)*C90^2/F90*Parameters!B$65, 0.0001)</f>
        <v>2.1911889389232362E-2</v>
      </c>
      <c r="G91" s="7">
        <f>(1-Parameters!$B$4)^Parameters!B$65*G90+D90*Parameters!B$65-Parameters!$B$5*D90^2/G90*Parameters!B$65</f>
        <v>1.2930250696063668</v>
      </c>
      <c r="H91" s="7">
        <f>(1-Parameters!$B$4)^Parameters!B$65*H90+E90*Parameters!B$65-Parameters!$B$5*E90^2/H90*Parameters!B$65</f>
        <v>3.2336526941238808</v>
      </c>
      <c r="I91" s="7">
        <f>I90 *(1-Parameters!$B$4)-C90*(C90&lt;0)*Parameters!B$65</f>
        <v>6.4461714720021675E-4</v>
      </c>
      <c r="J91" s="23">
        <f>J90*(1+Parameters!$B$51)^Parameters!B$65</f>
        <v>10.497939918985427</v>
      </c>
      <c r="K91" s="23">
        <f>K90*(1+Parameters!$B$53)^Parameters!B$65</f>
        <v>50.697633956550632</v>
      </c>
      <c r="L91" s="23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3.9613112437481077</v>
      </c>
      <c r="M91" s="8">
        <f>M90+L91*Parameters!B$65</f>
        <v>3570.3899244746635</v>
      </c>
      <c r="N91" s="7">
        <f>M91*Parameters!$B$45</f>
        <v>2.1422339546847979</v>
      </c>
      <c r="O91" s="9">
        <f>EXP(-Parameters!$B$46/2*N91^2)</f>
        <v>0.95492629309814869</v>
      </c>
      <c r="P91" s="7">
        <f>MAX((Parameters!$B$62 + Parameters!$B$31*'6states'!A91 - '6states'!M91 + Parameters!$B$47/Parameters!$B$45)/Parameters!B$62,1)</f>
        <v>68.160201510506738</v>
      </c>
      <c r="Q91" s="7">
        <f>Parameters!B$61*EXP(-Parameters!B$60*A91)</f>
        <v>4.773228953912257E-2</v>
      </c>
      <c r="R91" s="7">
        <f>(1-Parameters!B$61)*P91^-Parameters!B$63</f>
        <v>0.32780601460085668</v>
      </c>
      <c r="S91" s="7">
        <f>Parameters!B$61*EXP(-Parameters!B$60*A91)+(1-Parameters!B$61)*P91^-Parameters!B$63</f>
        <v>0.37553830413997924</v>
      </c>
      <c r="T91" s="7">
        <f>1-S91/Parameters!$B$12</f>
        <v>0.81223084793001044</v>
      </c>
      <c r="U91" s="7">
        <f t="shared" si="102"/>
        <v>5.3256884263249873</v>
      </c>
      <c r="V91" s="7">
        <f>(Parameters!$B$19*(F91+Parameters!$B$20)^T91+Parameters!$B$18*G91^T91)^(1/T91)</f>
        <v>0.3404346496793027</v>
      </c>
      <c r="W91" s="7">
        <f>(Parameters!$B$10*H91^Parameters!$B$9+Parameters!$B$11*V91^Parameters!$B$9)^(Parameters!$B$7/Parameters!$B$9)*O91</f>
        <v>1.3201987391081818</v>
      </c>
      <c r="X91" s="7">
        <f>W91 - D91 - E91 - LN(1+EXP(Parameters!$B$21*C91))/Parameters!$B$21 - IF(C91&gt;0, 0,Parameters!$B$6*C91^2/F91)</f>
        <v>1.006543885650903</v>
      </c>
      <c r="Y91" s="7">
        <f>EXP(-Parameters!$B$55*A91)</f>
        <v>0.26882356681858899</v>
      </c>
      <c r="Z91" s="7">
        <f>IF(X91&gt;0,X91^(1-Parameters!$B$52)/(1-Parameters!$B$52)*Y91*Parameters!$B$65,-10+X91*1000)</f>
        <v>-0.76631591385620612</v>
      </c>
      <c r="AC91" s="23">
        <f t="shared" si="103"/>
        <v>0.32369623639797857</v>
      </c>
      <c r="AD91" s="23">
        <f t="shared" si="104"/>
        <v>48.942769043361125</v>
      </c>
      <c r="AE91" s="23">
        <f t="shared" si="105"/>
        <v>0.34307859918436734</v>
      </c>
      <c r="AF91" s="23">
        <f t="shared" si="106"/>
        <v>11.661961444543643</v>
      </c>
      <c r="AG91" s="23">
        <f t="shared" si="107"/>
        <v>688.17472746041813</v>
      </c>
      <c r="AH91" s="23">
        <f t="shared" si="108"/>
        <v>181.18637276882657</v>
      </c>
      <c r="AI91" s="23">
        <f t="shared" si="109"/>
        <v>445.91345772979611</v>
      </c>
      <c r="AJ91" s="23">
        <f t="shared" si="110"/>
        <v>702.6371172802875</v>
      </c>
      <c r="AK91" s="23">
        <f t="shared" si="111"/>
        <v>535.70350681261834</v>
      </c>
      <c r="AL91" s="9">
        <f t="shared" si="122"/>
        <v>2.2682225965009017E-2</v>
      </c>
      <c r="AM91" s="9">
        <f t="shared" si="123"/>
        <v>2.0957293136985022E-2</v>
      </c>
      <c r="AN91" s="9">
        <f t="shared" ref="AN91:AO91" si="145">AVERAGE(AL89:AL93)</f>
        <v>2.2649061519751434E-2</v>
      </c>
      <c r="AO91" s="9">
        <f t="shared" si="145"/>
        <v>2.0916837451096449E-2</v>
      </c>
      <c r="AP91" s="23"/>
      <c r="AQ91" s="25">
        <f t="shared" si="100"/>
        <v>702.6371172802875</v>
      </c>
      <c r="AR91" s="4"/>
      <c r="AS91" s="4"/>
      <c r="AT91" s="4"/>
      <c r="AU91" s="16"/>
      <c r="AV91" s="16"/>
      <c r="AX91" s="13">
        <f>1-W91/'6states,ExoDamages'!T91</f>
        <v>9.575743399889558E-2</v>
      </c>
      <c r="AY91" s="21">
        <f>-Y91*W91*X91^(-Parameters!B$52)*Parameters!B$46*Parameters!B$45*N91</f>
        <v>-9.0885938034297601E-6</v>
      </c>
      <c r="AZ91" s="7">
        <f>1000*EXP(-(Parameters!$B$54)*'6states'!A91)*AQ91*Parameters!B$46*Parameters!B$45*N91</f>
        <v>0.85652537764910663</v>
      </c>
      <c r="BA91" s="7">
        <f>SUM(AZ91:AZ$204)*EXP(Parameters!$B$54*A91)</f>
        <v>1316.3814966105865</v>
      </c>
      <c r="BB91" s="43">
        <f t="shared" si="77"/>
        <v>0.23605128603582581</v>
      </c>
      <c r="BC91" s="30">
        <f>IF(C91&lt;0,Parameters!$B$6*AC91^2/AF91,0)</f>
        <v>0</v>
      </c>
      <c r="BD91" s="30">
        <f>Parameters!$B$5*AD91^2/AG91</f>
        <v>3.4807942605965061</v>
      </c>
      <c r="BE91" s="30">
        <f t="shared" si="113"/>
        <v>0</v>
      </c>
      <c r="BF91" s="30">
        <f t="shared" si="114"/>
        <v>7.1119683839561201E-2</v>
      </c>
      <c r="BH91" s="5"/>
      <c r="BI91" s="5"/>
      <c r="BJ91" s="5"/>
      <c r="BM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-0.71961398251632014</v>
      </c>
      <c r="BN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-382.99346852233396</v>
      </c>
      <c r="BO91" s="7">
        <f t="shared" si="101"/>
        <v>2.8577880451436524E-2</v>
      </c>
      <c r="BU91">
        <f>EXP(-Parameters!$B$56*A91)*BH91*BN91</f>
        <v>0</v>
      </c>
      <c r="BV91">
        <f>-EXP((Parameters!$B$56)*F91)*SUM(BU91:BU99)</f>
        <v>0</v>
      </c>
      <c r="BW91">
        <f>X91^-Parameters!B$52/(1-2*Parameters!B$5*'6states'!D91/'6states'!G91)</f>
        <v>1.155605831343983</v>
      </c>
      <c r="BX91">
        <f t="shared" si="115"/>
        <v>1.0104005646178356</v>
      </c>
      <c r="BY91">
        <f>$X91^-Parameters!$B$52/(1-2*Parameters!$B$5*'6states'!$E91/'6states'!$H91)</f>
        <v>1.146586354461185</v>
      </c>
      <c r="BZ91">
        <f t="shared" si="116"/>
        <v>1.000231866841748</v>
      </c>
      <c r="CA91" s="7">
        <f>($X91^-Parameters!$B$52*(1/(1+EXP(-C91)) + IF(C91&lt;0,2*Parameters!$B$6*C91/F91,0)) + BS91*(1/(1+EXP((C91-Parameters!$B$22)*Parameters!$B$21))))/(1-IF(C91&gt;0,2*Parameters!$B$5*C91/F91,0))</f>
        <v>0.52490653810887455</v>
      </c>
      <c r="CB91">
        <f t="shared" si="117"/>
        <v>1.0026755733097046</v>
      </c>
      <c r="CC91" s="7">
        <f t="shared" si="118"/>
        <v>1.4006783059625771E-3</v>
      </c>
    </row>
    <row r="92" spans="1:84" x14ac:dyDescent="0.3">
      <c r="A92">
        <f>A91+Parameters!$B$65</f>
        <v>88</v>
      </c>
      <c r="B92">
        <v>2113</v>
      </c>
      <c r="C92" s="74">
        <v>6.1654527646689097E-4</v>
      </c>
      <c r="D92" s="69">
        <v>9.2618004229452905E-2</v>
      </c>
      <c r="E92" s="75">
        <v>0.21443731092221199</v>
      </c>
      <c r="F92" s="7">
        <f>MAX((1-Parameters!$B$4)^Parameters!B$65*F91 + C91*Parameters!B$65 - IF(C91&gt;0,Parameters!$B$5,0)*C91^2/F91*Parameters!B$65, 0.0001)</f>
        <v>2.1124949255456368E-2</v>
      </c>
      <c r="G92" s="7">
        <f>(1-Parameters!$B$4)^Parameters!B$65*G91+D91*Parameters!B$65-Parameters!$B$5*D91^2/G91*Parameters!B$65</f>
        <v>1.2971131938805875</v>
      </c>
      <c r="H92" s="7">
        <f>(1-Parameters!$B$4)^Parameters!B$65*H91+E91*Parameters!B$65-Parameters!$B$5*E91^2/H91*Parameters!B$65</f>
        <v>3.2344819225724315</v>
      </c>
      <c r="I92" s="7">
        <f>I91 *(1-Parameters!$B$4)-C91*(C91&lt;0)*Parameters!B$65</f>
        <v>6.0407072864132312E-4</v>
      </c>
      <c r="J92" s="23">
        <f>J91*(1+Parameters!$B$51)^Parameters!B$65</f>
        <v>10.528383944750484</v>
      </c>
      <c r="K92" s="23">
        <f>K91*(1+Parameters!$B$53)^Parameters!B$65</f>
        <v>51.711586635681648</v>
      </c>
      <c r="L92" s="23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3.8747138162518877</v>
      </c>
      <c r="M92" s="8">
        <f>M91+L92*Parameters!B$65</f>
        <v>3574.2646382909156</v>
      </c>
      <c r="N92" s="7">
        <f>M92*Parameters!$B$45</f>
        <v>2.1445587829745492</v>
      </c>
      <c r="O92" s="9">
        <f>EXP(-Parameters!$B$46/2*N92^2)</f>
        <v>0.95483065354635555</v>
      </c>
      <c r="P92" s="7">
        <f>MAX((Parameters!$B$62 + Parameters!$B$31*'6states'!A92 - '6states'!M92 + Parameters!$B$47/Parameters!$B$45)/Parameters!B$62,1)</f>
        <v>69.14670723418169</v>
      </c>
      <c r="Q92" s="7">
        <f>Parameters!B$61*EXP(-Parameters!B$60*A92)</f>
        <v>4.6460760606599448E-2</v>
      </c>
      <c r="R92" s="7">
        <f>(1-Parameters!B$61)*P92^-Parameters!B$63</f>
        <v>0.32733530873403871</v>
      </c>
      <c r="S92" s="7">
        <f>Parameters!B$61*EXP(-Parameters!B$60*A92)+(1-Parameters!B$61)*P92^-Parameters!B$63</f>
        <v>0.37379606934063814</v>
      </c>
      <c r="T92" s="7">
        <f>1-S92/Parameters!$B$12</f>
        <v>0.81310196532968093</v>
      </c>
      <c r="U92" s="7">
        <f t="shared" si="102"/>
        <v>5.3505110514616243</v>
      </c>
      <c r="V92" s="7">
        <f>(Parameters!$B$19*(F92+Parameters!$B$20)^T92+Parameters!$B$18*G92^T92)^(1/T92)</f>
        <v>0.34089729891934745</v>
      </c>
      <c r="W92" s="7">
        <f>(Parameters!$B$10*H92^Parameters!$B$9+Parameters!$B$11*V92^Parameters!$B$9)^(Parameters!$B$7/Parameters!$B$9)*O92</f>
        <v>1.3203045402104654</v>
      </c>
      <c r="X92" s="7">
        <f>W92 - D92 - E92 - LN(1+EXP(Parameters!$B$21*C92))/Parameters!$B$21 - IF(C92&gt;0, 0,Parameters!$B$6*C92^2/F92)</f>
        <v>1.0106162272894936</v>
      </c>
      <c r="Y92" s="7">
        <f>EXP(-Parameters!$B$55*A92)</f>
        <v>0.26479482451320413</v>
      </c>
      <c r="Z92" s="7">
        <f>IF(X92&gt;0,X92^(1-Parameters!$B$52)/(1-Parameters!$B$52)*Y92*Parameters!$B$65,-10+X92*1000)</f>
        <v>-0.75376549774813895</v>
      </c>
      <c r="AC92" s="23">
        <f t="shared" si="103"/>
        <v>0.33567156412495097</v>
      </c>
      <c r="AD92" s="23">
        <f t="shared" si="104"/>
        <v>50.4248942169964</v>
      </c>
      <c r="AE92" s="23">
        <f t="shared" si="105"/>
        <v>0.32887992831134866</v>
      </c>
      <c r="AF92" s="23">
        <f t="shared" si="106"/>
        <v>11.501255510827116</v>
      </c>
      <c r="AG92" s="23">
        <f t="shared" si="107"/>
        <v>706.19957893779952</v>
      </c>
      <c r="AH92" s="23">
        <f t="shared" si="108"/>
        <v>185.59793400732229</v>
      </c>
      <c r="AI92" s="23">
        <f t="shared" si="109"/>
        <v>456.77064580516128</v>
      </c>
      <c r="AJ92" s="23">
        <f t="shared" si="110"/>
        <v>718.82586251152759</v>
      </c>
      <c r="AK92" s="23">
        <f t="shared" si="111"/>
        <v>550.21933131708693</v>
      </c>
      <c r="AL92" s="9">
        <f t="shared" si="122"/>
        <v>2.2778567481443801E-2</v>
      </c>
      <c r="AM92" s="9">
        <f t="shared" si="123"/>
        <v>2.6736133855835398E-2</v>
      </c>
      <c r="AN92" s="9">
        <f t="shared" ref="AN92:AO92" si="146">AVERAGE(AL90:AL94)</f>
        <v>2.2747012559083048E-2</v>
      </c>
      <c r="AO92" s="9">
        <f t="shared" si="146"/>
        <v>2.2837953588670599E-2</v>
      </c>
      <c r="AP92" s="23"/>
      <c r="AQ92" s="25">
        <f t="shared" si="100"/>
        <v>718.82586251152759</v>
      </c>
      <c r="AR92" s="4"/>
      <c r="AS92" s="4"/>
      <c r="AT92" s="4"/>
      <c r="AU92" s="16"/>
      <c r="AV92" s="16"/>
      <c r="AX92" s="13">
        <f>1-W92/'6states,ExoDamages'!T92</f>
        <v>9.5600322365898105E-2</v>
      </c>
      <c r="AY92" s="21">
        <f>-Y92*W92*X92^(-Parameters!B$52)*Parameters!B$46*Parameters!B$45*N92</f>
        <v>-8.9140981353041005E-6</v>
      </c>
      <c r="AZ92" s="7">
        <f>1000*EXP(-(Parameters!$B$54)*'6states'!A92)*AQ92*Parameters!B$46*Parameters!B$45*N92</f>
        <v>0.84695465848286255</v>
      </c>
      <c r="BA92" s="7">
        <f>SUM(AZ92:AZ$204)*EXP(Parameters!$B$54*A92)</f>
        <v>1344.6056062172611</v>
      </c>
      <c r="BB92" s="43">
        <f t="shared" si="77"/>
        <v>0.23303097963980857</v>
      </c>
      <c r="BC92" s="30">
        <f>IF(C92&lt;0,Parameters!$B$6*AC92^2/AF92,0)</f>
        <v>0</v>
      </c>
      <c r="BD92" s="30">
        <f>Parameters!$B$5*AD92^2/AG92</f>
        <v>3.6004976958775976</v>
      </c>
      <c r="BE92" s="30">
        <f t="shared" si="113"/>
        <v>0</v>
      </c>
      <c r="BF92" s="30">
        <f t="shared" si="114"/>
        <v>7.140317796966246E-2</v>
      </c>
      <c r="BH92" s="5"/>
      <c r="BI92" s="5"/>
      <c r="BJ92" s="5"/>
      <c r="BM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-0.7370492803159745</v>
      </c>
      <c r="BN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-401.27869631666624</v>
      </c>
      <c r="BO92" s="7">
        <f t="shared" si="101"/>
        <v>2.7800182846875295E-2</v>
      </c>
      <c r="BU92">
        <f>EXP(-Parameters!$B$56*A92)*BH92*BN92</f>
        <v>0</v>
      </c>
      <c r="BV92">
        <f>-EXP((Parameters!$B$56)*F92)*SUM(BU92:BU100)</f>
        <v>0</v>
      </c>
      <c r="BW92">
        <f>X92^-Parameters!B$52/(1-2*Parameters!B$5*'6states'!D92/'6states'!G92)</f>
        <v>1.1500840935829097</v>
      </c>
      <c r="BX92">
        <f t="shared" si="115"/>
        <v>0.99522178098162473</v>
      </c>
      <c r="BY92">
        <f>$X92^-Parameters!$B$52/(1-2*Parameters!$B$5*'6states'!$E92/'6states'!$H92)</f>
        <v>1.1365443420654315</v>
      </c>
      <c r="BZ92">
        <f t="shared" si="116"/>
        <v>0.99124181762962593</v>
      </c>
      <c r="CA92" s="7">
        <f>($X92^-Parameters!$B$52*(1/(1+EXP(-C92)) + IF(C92&lt;0,2*Parameters!$B$6*C92/F92,0)) + BS92*(1/(1+EXP((C92-Parameters!$B$22)*Parameters!$B$21))))/(1-IF(C92&gt;0,2*Parameters!$B$5*C92/F92,0))</f>
        <v>0.52363987754485786</v>
      </c>
      <c r="CB92">
        <f t="shared" si="117"/>
        <v>0.99758688362202497</v>
      </c>
      <c r="CC92" s="7">
        <f t="shared" si="118"/>
        <v>-1.2666605640166972E-3</v>
      </c>
    </row>
    <row r="93" spans="1:84" x14ac:dyDescent="0.3">
      <c r="A93">
        <f>A92+Parameters!$B$65</f>
        <v>89</v>
      </c>
      <c r="B93">
        <v>2114</v>
      </c>
      <c r="C93" s="74">
        <v>6.2234952488829105E-4</v>
      </c>
      <c r="D93" s="69">
        <v>8.9092397330433198E-2</v>
      </c>
      <c r="E93" s="75">
        <v>0.222851063365577</v>
      </c>
      <c r="F93" s="7">
        <f>MAX((1-Parameters!$B$4)^Parameters!B$65*F92 + C92*Parameters!B$65 - IF(C92&gt;0,Parameters!$B$5,0)*C92^2/F92*Parameters!B$65, 0.0001)</f>
        <v>2.0394740951989624E-2</v>
      </c>
      <c r="G93" s="7">
        <f>(1-Parameters!$B$4)^Parameters!B$65*G92+D92*Parameters!B$65-Parameters!$B$5*D92^2/G92*Parameters!B$65</f>
        <v>1.3015295583757609</v>
      </c>
      <c r="H93" s="7">
        <f>(1-Parameters!$B$4)^Parameters!B$65*H92+E92*Parameters!B$65-Parameters!$B$5*E92^2/H92*Parameters!B$65</f>
        <v>3.2312537129546217</v>
      </c>
      <c r="I93" s="7">
        <f>I92 *(1-Parameters!$B$4)-C92*(C92&lt;0)*Parameters!B$65</f>
        <v>5.6607467980978395E-4</v>
      </c>
      <c r="J93" s="23">
        <f>J92*(1+Parameters!$B$51)^Parameters!B$65</f>
        <v>10.558916258190258</v>
      </c>
      <c r="K93" s="23">
        <f>K92*(1+Parameters!$B$53)^Parameters!B$65</f>
        <v>52.745818368395284</v>
      </c>
      <c r="L93" s="23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3.7956625421295036</v>
      </c>
      <c r="M93" s="8">
        <f>M92+L93*Parameters!B$65</f>
        <v>3578.0603008330449</v>
      </c>
      <c r="N93" s="7">
        <f>M93*Parameters!$B$45</f>
        <v>2.1468361804998266</v>
      </c>
      <c r="O93" s="9">
        <f>EXP(-Parameters!$B$46/2*N93^2)</f>
        <v>0.95473687393726303</v>
      </c>
      <c r="P93" s="7">
        <f>MAX((Parameters!$B$62 + Parameters!$B$31*'6states'!A93 - '6states'!M93 + Parameters!$B$47/Parameters!$B$45)/Parameters!B$62,1)</f>
        <v>70.134793983339108</v>
      </c>
      <c r="Q93" s="7">
        <f>Parameters!B$61*EXP(-Parameters!B$60*A93)</f>
        <v>4.522310362620463E-2</v>
      </c>
      <c r="R93" s="7">
        <f>(1-Parameters!B$61)*P93^-Parameters!B$63</f>
        <v>0.32687119576239698</v>
      </c>
      <c r="S93" s="7">
        <f>Parameters!B$61*EXP(-Parameters!B$60*A93)+(1-Parameters!B$61)*P93^-Parameters!B$63</f>
        <v>0.37209429938860161</v>
      </c>
      <c r="T93" s="7">
        <f>1-S93/Parameters!$B$12</f>
        <v>0.81395285030569919</v>
      </c>
      <c r="U93" s="7">
        <f t="shared" si="102"/>
        <v>5.374981565926312</v>
      </c>
      <c r="V93" s="7">
        <f>(Parameters!$B$19*(F93+Parameters!$B$20)^T93+Parameters!$B$18*G93^T93)^(1/T93)</f>
        <v>0.3414926559930434</v>
      </c>
      <c r="W93" s="7">
        <f>(Parameters!$B$10*H93^Parameters!$B$9+Parameters!$B$11*V93^Parameters!$B$9)^(Parameters!$B$7/Parameters!$B$9)*O93</f>
        <v>1.3201174482519571</v>
      </c>
      <c r="X93" s="7">
        <f>W93 - D93 - E93 - LN(1+EXP(Parameters!$B$21*C93))/Parameters!$B$21 - IF(C93&gt;0, 0,Parameters!$B$6*C93^2/F93)</f>
        <v>1.0055378187788166</v>
      </c>
      <c r="Y93" s="7">
        <f>EXP(-Parameters!$B$55*A93)</f>
        <v>0.26082645922295711</v>
      </c>
      <c r="Z93" s="7">
        <f>IF(X93&gt;0,X93^(1-Parameters!$B$52)/(1-Parameters!$B$52)*Y93*Parameters!$B$65,-10+X93*1000)</f>
        <v>-0.74377942118855223</v>
      </c>
      <c r="AC93" s="23">
        <f t="shared" si="103"/>
        <v>0.34661052234323975</v>
      </c>
      <c r="AD93" s="23">
        <f t="shared" si="104"/>
        <v>49.619002088988168</v>
      </c>
      <c r="AE93" s="23">
        <f t="shared" si="105"/>
        <v>0.31526888445744333</v>
      </c>
      <c r="AF93" s="23">
        <f t="shared" si="106"/>
        <v>11.35862008682829</v>
      </c>
      <c r="AG93" s="23">
        <f t="shared" si="107"/>
        <v>724.87215307951487</v>
      </c>
      <c r="AH93" s="23">
        <f t="shared" si="108"/>
        <v>190.1904687584923</v>
      </c>
      <c r="AI93" s="23">
        <f t="shared" si="109"/>
        <v>468.07322347335776</v>
      </c>
      <c r="AJ93" s="23">
        <f t="shared" si="110"/>
        <v>735.22446791482128</v>
      </c>
      <c r="AK93" s="23">
        <f t="shared" si="111"/>
        <v>560.02290459748826</v>
      </c>
      <c r="AL93" s="9">
        <f t="shared" si="122"/>
        <v>2.2556716727861748E-2</v>
      </c>
      <c r="AM93" s="9">
        <f t="shared" si="123"/>
        <v>1.7660701013602065E-2</v>
      </c>
      <c r="AN93" s="9">
        <f t="shared" ref="AN93:AO93" si="147">AVERAGE(AL91:AL95)</f>
        <v>2.2739829721490957E-2</v>
      </c>
      <c r="AO93" s="9">
        <f t="shared" si="147"/>
        <v>2.3189122820073037E-2</v>
      </c>
      <c r="AP93" s="23"/>
      <c r="AQ93" s="25">
        <f t="shared" si="100"/>
        <v>735.22446791482128</v>
      </c>
      <c r="AR93" s="4"/>
      <c r="AS93" s="4"/>
      <c r="AT93" s="4"/>
      <c r="AU93" s="16"/>
      <c r="AV93" s="16"/>
      <c r="AX93" s="13">
        <f>1-W93/'6states,ExoDamages'!T93</f>
        <v>9.5645681834009344E-2</v>
      </c>
      <c r="AY93" s="21">
        <f>-Y93*W93*X93^(-Parameters!B$52)*Parameters!B$46*Parameters!B$45*N93</f>
        <v>-8.8485595525612856E-6</v>
      </c>
      <c r="AZ93" s="7">
        <f>1000*EXP(-(Parameters!$B$54)*'6states'!A93)*AQ93*Parameters!B$46*Parameters!B$45*N93</f>
        <v>0.83728562167483067</v>
      </c>
      <c r="BA93" s="7">
        <f>SUM(AZ93:AZ$204)*EXP(Parameters!$B$54*A93)</f>
        <v>1373.383916755412</v>
      </c>
      <c r="BB93" s="43">
        <f t="shared" si="77"/>
        <v>0.23677121352708785</v>
      </c>
      <c r="BC93" s="30">
        <f>IF(C93&lt;0,Parameters!$B$6*AC93^2/AF93,0)</f>
        <v>0</v>
      </c>
      <c r="BD93" s="30">
        <f>Parameters!$B$5*AD93^2/AG93</f>
        <v>3.3965235908806366</v>
      </c>
      <c r="BE93" s="30">
        <f t="shared" si="113"/>
        <v>0</v>
      </c>
      <c r="BF93" s="30">
        <f t="shared" si="114"/>
        <v>6.8452073759750584E-2</v>
      </c>
      <c r="BH93" s="5"/>
      <c r="BI93" s="5"/>
      <c r="BJ93" s="5"/>
      <c r="BM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-0.75543895242980152</v>
      </c>
      <c r="BN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-420.73317232325837</v>
      </c>
      <c r="BO93" s="7">
        <f t="shared" si="101"/>
        <v>2.7006328844904233E-2</v>
      </c>
      <c r="BU93">
        <f>EXP(-Parameters!$B$56*A93)*BH93*BN93</f>
        <v>0</v>
      </c>
      <c r="BV93">
        <f>-EXP((Parameters!$B$56)*F93)*SUM(BU93:BU101)</f>
        <v>0</v>
      </c>
      <c r="BW93">
        <f>X93^-Parameters!B$52/(1-2*Parameters!B$5*'6states'!D93/'6states'!G93)</f>
        <v>1.150013974688211</v>
      </c>
      <c r="BX93">
        <f t="shared" si="115"/>
        <v>0.99993903150640029</v>
      </c>
      <c r="BY93">
        <f>$X93^-Parameters!$B$52/(1-2*Parameters!$B$5*'6states'!$E93/'6states'!$H93)</f>
        <v>1.1513888018703009</v>
      </c>
      <c r="BZ93">
        <f t="shared" si="116"/>
        <v>1.0130610476471975</v>
      </c>
      <c r="CA93" s="7">
        <f>($X93^-Parameters!$B$52*(1/(1+EXP(-C93)) + IF(C93&lt;0,2*Parameters!$B$6*C93/F93,0)) + BS93*(1/(1+EXP((C93-Parameters!$B$22)*Parameters!$B$21))))/(1-IF(C93&gt;0,2*Parameters!$B$5*C93/F93,0))</f>
        <v>0.52870782376233316</v>
      </c>
      <c r="CB93">
        <f t="shared" si="117"/>
        <v>1.0096783045654141</v>
      </c>
      <c r="CC93" s="7">
        <f t="shared" si="118"/>
        <v>5.0679462174753054E-3</v>
      </c>
    </row>
    <row r="94" spans="1:84" x14ac:dyDescent="0.3">
      <c r="A94">
        <f>A93+Parameters!$B$65</f>
        <v>90</v>
      </c>
      <c r="B94">
        <v>2115</v>
      </c>
      <c r="C94" s="74">
        <v>6.2501549999717401E-4</v>
      </c>
      <c r="D94" s="69">
        <v>8.8277005769628103E-2</v>
      </c>
      <c r="E94" s="75">
        <v>0.224016271347001</v>
      </c>
      <c r="F94" s="7">
        <f>MAX((1-Parameters!$B$4)^Parameters!B$65*F93 + C93*Parameters!B$65 - IF(C93&gt;0,Parameters!$B$5,0)*C93^2/F93*Parameters!B$65, 0.0001)</f>
        <v>1.9715270153040428E-2</v>
      </c>
      <c r="G94" s="7">
        <f>(1-Parameters!$B$4)^Parameters!B$65*G93+D93*Parameters!B$65-Parameters!$B$5*D93^2/G93*Parameters!B$65</f>
        <v>1.3026571871308628</v>
      </c>
      <c r="H94" s="7">
        <f>(1-Parameters!$B$4)^Parameters!B$65*H93+E93*Parameters!B$65-Parameters!$B$5*E93^2/H93*Parameters!B$65</f>
        <v>3.2354894665174521</v>
      </c>
      <c r="I94" s="7">
        <f>I93 *(1-Parameters!$B$4)-C93*(C93&lt;0)*Parameters!B$65</f>
        <v>5.3046858244974856E-4</v>
      </c>
      <c r="J94" s="23">
        <f>J93*(1+Parameters!$B$51)^Parameters!B$65</f>
        <v>10.589537115339009</v>
      </c>
      <c r="K94" s="23">
        <f>K93*(1+Parameters!$B$53)^Parameters!B$65</f>
        <v>53.800734735763193</v>
      </c>
      <c r="L94" s="23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3.7233592934491853</v>
      </c>
      <c r="M94" s="8">
        <f>M93+L94*Parameters!B$65</f>
        <v>3581.7836601264939</v>
      </c>
      <c r="N94" s="7">
        <f>M94*Parameters!$B$45</f>
        <v>2.149070196075896</v>
      </c>
      <c r="O94" s="9">
        <f>EXP(-Parameters!$B$46/2*N94^2)</f>
        <v>0.95464479298142058</v>
      </c>
      <c r="P94" s="7">
        <f>MAX((Parameters!$B$62 + Parameters!$B$31*'6states'!A94 - '6states'!M94 + Parameters!$B$47/Parameters!$B$45)/Parameters!B$62,1)</f>
        <v>71.124326797470118</v>
      </c>
      <c r="Q94" s="7">
        <f>Parameters!B$61*EXP(-Parameters!B$60*A94)</f>
        <v>4.4018416291186274E-2</v>
      </c>
      <c r="R94" s="7">
        <f>(1-Parameters!B$61)*P94^-Parameters!B$63</f>
        <v>0.32641355652158982</v>
      </c>
      <c r="S94" s="7">
        <f>Parameters!B$61*EXP(-Parameters!B$60*A94)+(1-Parameters!B$61)*P94^-Parameters!B$63</f>
        <v>0.37043197281277607</v>
      </c>
      <c r="T94" s="7">
        <f>1-S94/Parameters!$B$12</f>
        <v>0.81478401359361197</v>
      </c>
      <c r="U94" s="7">
        <f t="shared" si="102"/>
        <v>5.3991019857533766</v>
      </c>
      <c r="V94" s="7">
        <f>(Parameters!$B$19*(F94+Parameters!$B$20)^T94+Parameters!$B$18*G94^T94)^(1/T94)</f>
        <v>0.34135731368271088</v>
      </c>
      <c r="W94" s="7">
        <f>(Parameters!$B$10*H94^Parameters!$B$9+Parameters!$B$11*V94^Parameters!$B$9)^(Parameters!$B$7/Parameters!$B$9)*O94</f>
        <v>1.3202989821067193</v>
      </c>
      <c r="X94" s="7">
        <f>W94 - D94 - E94 - LN(1+EXP(Parameters!$B$21*C94))/Parameters!$B$21 - IF(C94&gt;0, 0,Parameters!$B$6*C94^2/F94)</f>
        <v>1.0053680788837893</v>
      </c>
      <c r="Y94" s="7">
        <f>EXP(-Parameters!$B$55*A94)</f>
        <v>0.25691756610368538</v>
      </c>
      <c r="Z94" s="7">
        <f>IF(X94&gt;0,X94^(1-Parameters!$B$52)/(1-Parameters!$B$52)*Y94*Parameters!$B$65,-10+X94*1000)</f>
        <v>-0.73267601148578565</v>
      </c>
      <c r="AC94" s="23">
        <f t="shared" si="103"/>
        <v>0.35608687905703401</v>
      </c>
      <c r="AD94" s="23">
        <f t="shared" si="104"/>
        <v>50.293606282002258</v>
      </c>
      <c r="AE94" s="23">
        <f t="shared" si="105"/>
        <v>0.30222114805663852</v>
      </c>
      <c r="AF94" s="23">
        <f t="shared" si="106"/>
        <v>11.232279869209966</v>
      </c>
      <c r="AG94" s="23">
        <f t="shared" si="107"/>
        <v>742.15620612407361</v>
      </c>
      <c r="AH94" s="23">
        <f t="shared" si="108"/>
        <v>194.4797536590998</v>
      </c>
      <c r="AI94" s="23">
        <f t="shared" si="109"/>
        <v>478.6294801718592</v>
      </c>
      <c r="AJ94" s="23">
        <f t="shared" si="110"/>
        <v>752.20717560234289</v>
      </c>
      <c r="AK94" s="23">
        <f t="shared" si="111"/>
        <v>572.78320540036714</v>
      </c>
      <c r="AL94" s="9">
        <f t="shared" si="122"/>
        <v>2.2835934366264077E-2</v>
      </c>
      <c r="AM94" s="9">
        <f t="shared" si="123"/>
        <v>2.2529611075954747E-2</v>
      </c>
      <c r="AN94" s="9">
        <f t="shared" ref="AN94:AO94" si="148">AVERAGE(AL92:AL96)</f>
        <v>2.271433332748014E-2</v>
      </c>
      <c r="AO94" s="9">
        <f t="shared" si="148"/>
        <v>2.3962106817779903E-2</v>
      </c>
      <c r="AP94" s="23"/>
      <c r="AQ94" s="25">
        <f t="shared" si="100"/>
        <v>752.207175602343</v>
      </c>
      <c r="AR94" s="4"/>
      <c r="AS94" s="4"/>
      <c r="AT94" s="4"/>
      <c r="AU94" s="16"/>
      <c r="AV94" s="16"/>
      <c r="AX94" s="13">
        <f>1-W94/'6states,ExoDamages'!T94</f>
        <v>9.5440178476397741E-2</v>
      </c>
      <c r="AY94" s="21">
        <f>-Y94*W94*X94^(-Parameters!B$52)*Parameters!B$46*Parameters!B$45*N94</f>
        <v>-8.7282087075786599E-6</v>
      </c>
      <c r="AZ94" s="7">
        <f>1000*EXP(-(Parameters!$B$54)*'6states'!A94)*AQ94*Parameters!B$46*Parameters!B$45*N94</f>
        <v>0.82794047229261347</v>
      </c>
      <c r="BA94" s="7">
        <f>SUM(AZ94:AZ$204)*EXP(Parameters!$B$54*A94)</f>
        <v>1402.7300937882521</v>
      </c>
      <c r="BB94" s="43">
        <f t="shared" si="77"/>
        <v>0.23700563043479891</v>
      </c>
      <c r="BC94" s="30">
        <f>IF(C94&lt;0,Parameters!$B$6*AC94^2/AF94,0)</f>
        <v>0</v>
      </c>
      <c r="BD94" s="30">
        <f>Parameters!$B$5*AD94^2/AG94</f>
        <v>3.408240491660302</v>
      </c>
      <c r="BE94" s="30">
        <f t="shared" si="113"/>
        <v>0</v>
      </c>
      <c r="BF94" s="30">
        <f t="shared" si="114"/>
        <v>6.7766874233473939E-2</v>
      </c>
      <c r="BH94" s="5"/>
      <c r="BI94" s="5"/>
      <c r="BJ94" s="5"/>
      <c r="BM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-0.77465806919334845</v>
      </c>
      <c r="BN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-441.34197343370607</v>
      </c>
      <c r="BO94" s="7">
        <f t="shared" si="101"/>
        <v>2.6201493034178742E-2</v>
      </c>
      <c r="BU94">
        <f>EXP(-Parameters!$B$56*A94)*BH94*BN94</f>
        <v>0</v>
      </c>
      <c r="BV94">
        <f>-EXP((Parameters!$B$56)*F94)*SUM(BU94:BU102)</f>
        <v>0</v>
      </c>
      <c r="BW94">
        <f>X94^-Parameters!B$52/(1-2*Parameters!B$5*'6states'!D94/'6states'!G94)</f>
        <v>1.1484526193423668</v>
      </c>
      <c r="BX94">
        <f t="shared" si="115"/>
        <v>0.99864231619770749</v>
      </c>
      <c r="BY94">
        <f>$X94^-Parameters!$B$52/(1-2*Parameters!$B$5*'6states'!$E94/'6states'!$H94)</f>
        <v>1.1523726740555356</v>
      </c>
      <c r="BZ94">
        <f t="shared" si="116"/>
        <v>1.0008545090795016</v>
      </c>
      <c r="CA94" s="7">
        <f>($X94^-Parameters!$B$52*(1/(1+EXP(-C94)) + IF(C94&lt;0,2*Parameters!$B$6*C94/F94,0)) + BS94*(1/(1+EXP((C94-Parameters!$B$22)*Parameters!$B$21))))/(1-IF(C94&gt;0,2*Parameters!$B$5*C94/F94,0))</f>
        <v>0.53016936003602877</v>
      </c>
      <c r="CB94">
        <f t="shared" si="117"/>
        <v>1.0027643552979699</v>
      </c>
      <c r="CC94" s="7">
        <f t="shared" si="118"/>
        <v>1.4615362736956072E-3</v>
      </c>
    </row>
    <row r="95" spans="1:84" x14ac:dyDescent="0.3">
      <c r="A95">
        <f>A94+Parameters!$B$65</f>
        <v>91</v>
      </c>
      <c r="B95">
        <v>2116</v>
      </c>
      <c r="C95" s="74">
        <v>6.3239325183324997E-4</v>
      </c>
      <c r="D95" s="69">
        <v>9.0209735569441396E-2</v>
      </c>
      <c r="E95" s="75">
        <v>0.21686724302729499</v>
      </c>
      <c r="F95" s="7">
        <f>MAX((1-Parameters!$B$4)^Parameters!B$65*F94 + C94*Parameters!B$65 - IF(C94&gt;0,Parameters!$B$5,0)*C94^2/F94*Parameters!B$65, 0.0001)</f>
        <v>1.9080380855448543E-2</v>
      </c>
      <c r="G95" s="7">
        <f>(1-Parameters!$B$4)^Parameters!B$65*G94+D94*Parameters!B$65-Parameters!$B$5*D94^2/G94*Parameters!B$65</f>
        <v>1.3030147990822614</v>
      </c>
      <c r="H95" s="7">
        <f>(1-Parameters!$B$4)^Parameters!B$65*H94+E94*Parameters!B$65-Parameters!$B$5*E94^2/H94*Parameters!B$65</f>
        <v>3.2404831882646441</v>
      </c>
      <c r="I95" s="7">
        <f>I94 *(1-Parameters!$B$4)-C94*(C94&lt;0)*Parameters!B$65</f>
        <v>4.9710210861365943E-4</v>
      </c>
      <c r="J95" s="23">
        <f>J94*(1+Parameters!$B$51)^Parameters!B$65</f>
        <v>10.620246772973491</v>
      </c>
      <c r="K95" s="23">
        <f>K94*(1+Parameters!$B$53)^Parameters!B$65</f>
        <v>54.876749430478455</v>
      </c>
      <c r="L95" s="23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3.6569149575889934</v>
      </c>
      <c r="M95" s="8">
        <f>M94+L95*Parameters!B$65</f>
        <v>3585.4405750840829</v>
      </c>
      <c r="N95" s="7">
        <f>M95*Parameters!$B$45</f>
        <v>2.1512643450504494</v>
      </c>
      <c r="O95" s="9">
        <f>EXP(-Parameters!$B$46/2*N95^2)</f>
        <v>0.9545542706705501</v>
      </c>
      <c r="P95" s="7">
        <f>MAX((Parameters!$B$62 + Parameters!$B$31*'6states'!A95 - '6states'!M95 + Parameters!$B$47/Parameters!$B$45)/Parameters!B$62,1)</f>
        <v>72.115188498318332</v>
      </c>
      <c r="Q95" s="7">
        <f>Parameters!B$61*EXP(-Parameters!B$60*A95)</f>
        <v>4.2845820331124176E-2</v>
      </c>
      <c r="R95" s="7">
        <f>(1-Parameters!B$61)*P95^-Parameters!B$63</f>
        <v>0.32596226734693406</v>
      </c>
      <c r="S95" s="7">
        <f>Parameters!B$61*EXP(-Parameters!B$60*A95)+(1-Parameters!B$61)*P95^-Parameters!B$63</f>
        <v>0.36880808767805823</v>
      </c>
      <c r="T95" s="7">
        <f>1-S95/Parameters!$B$12</f>
        <v>0.81559595616097091</v>
      </c>
      <c r="U95" s="7">
        <f t="shared" si="102"/>
        <v>5.422874570326262</v>
      </c>
      <c r="V95" s="7">
        <f>(Parameters!$B$19*(F95+Parameters!$B$20)^T95+Parameters!$B$18*G95^T95)^(1/T95)</f>
        <v>0.34108057433938332</v>
      </c>
      <c r="W95" s="7">
        <f>(Parameters!$B$10*H95^Parameters!$B$9+Parameters!$B$11*V95^Parameters!$B$9)^(Parameters!$B$7/Parameters!$B$9)*O95</f>
        <v>1.3204934416873899</v>
      </c>
      <c r="X95" s="7">
        <f>W95 - D95 - E95 - LN(1+EXP(Parameters!$B$21*C95))/Parameters!$B$21 - IF(C95&gt;0, 0,Parameters!$B$6*C95^2/F95)</f>
        <v>1.0107748012542519</v>
      </c>
      <c r="Y95" s="7">
        <f>EXP(-Parameters!$B$55*A95)</f>
        <v>0.2530672538717339</v>
      </c>
      <c r="Z95" s="7">
        <f>IF(X95&gt;0,X95^(1-Parameters!$B$52)/(1-Parameters!$B$52)*Y95*Parameters!$B$65,-10+X95*1000)</f>
        <v>-0.72034221314748048</v>
      </c>
      <c r="AC95" s="23">
        <f t="shared" si="103"/>
        <v>0.36856170948945283</v>
      </c>
      <c r="AD95" s="23">
        <f t="shared" si="104"/>
        <v>52.574650753597297</v>
      </c>
      <c r="AE95" s="23">
        <f t="shared" si="105"/>
        <v>0.28971340603389567</v>
      </c>
      <c r="AF95" s="23">
        <f t="shared" si="106"/>
        <v>11.120134133955348</v>
      </c>
      <c r="AG95" s="23">
        <f t="shared" si="107"/>
        <v>759.40304620208803</v>
      </c>
      <c r="AH95" s="23">
        <f t="shared" si="108"/>
        <v>198.78333487548764</v>
      </c>
      <c r="AI95" s="23">
        <f t="shared" si="109"/>
        <v>489.22092119192399</v>
      </c>
      <c r="AJ95" s="23">
        <f t="shared" si="110"/>
        <v>769.58967988204381</v>
      </c>
      <c r="AK95" s="23">
        <f t="shared" si="111"/>
        <v>589.08422501219047</v>
      </c>
      <c r="AL95" s="9">
        <f t="shared" si="122"/>
        <v>2.2845704066876138E-2</v>
      </c>
      <c r="AM95" s="9">
        <f t="shared" si="123"/>
        <v>2.8061875017987958E-2</v>
      </c>
      <c r="AN95" s="9">
        <f t="shared" ref="AN95:AO95" si="149">AVERAGE(AL93:AL97)</f>
        <v>2.2645949247872822E-2</v>
      </c>
      <c r="AO95" s="9">
        <f t="shared" si="149"/>
        <v>2.302757101953894E-2</v>
      </c>
      <c r="AP95" s="23"/>
      <c r="AQ95" s="25">
        <f t="shared" si="100"/>
        <v>769.58967988204381</v>
      </c>
      <c r="AR95" s="4"/>
      <c r="AS95" s="4"/>
      <c r="AT95" s="4"/>
      <c r="AU95" s="16"/>
      <c r="AV95" s="16"/>
      <c r="AX95" s="13">
        <f>1-W95/'6states,ExoDamages'!T95</f>
        <v>9.519310122088287E-2</v>
      </c>
      <c r="AY95" s="21">
        <f>-Y95*W95*X95^(-Parameters!B$52)*Parameters!B$46*Parameters!B$45*N95</f>
        <v>-8.545349691060834E-6</v>
      </c>
      <c r="AZ95" s="7">
        <f>1000*EXP(-(Parameters!$B$54)*'6states'!A95)*AQ95*Parameters!B$46*Parameters!B$45*N95</f>
        <v>0.81869156843430024</v>
      </c>
      <c r="BA95" s="7">
        <f>SUM(AZ95:AZ$204)*EXP(Parameters!$B$54*A95)</f>
        <v>1432.6482182457539</v>
      </c>
      <c r="BB95" s="43">
        <f t="shared" si="77"/>
        <v>0.23302605081882408</v>
      </c>
      <c r="BC95" s="30">
        <f>IF(C95&lt;0,Parameters!$B$6*AC95^2/AF95,0)</f>
        <v>0</v>
      </c>
      <c r="BD95" s="30">
        <f>Parameters!$B$5*AD95^2/AG95</f>
        <v>3.6398246170942588</v>
      </c>
      <c r="BE95" s="30">
        <f t="shared" si="113"/>
        <v>0</v>
      </c>
      <c r="BF95" s="30">
        <f t="shared" si="114"/>
        <v>6.923155104069259E-2</v>
      </c>
      <c r="BH95" s="5"/>
      <c r="BI95" s="5"/>
      <c r="BJ95" s="5"/>
      <c r="BM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-0.79454356685711169</v>
      </c>
      <c r="BN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-463.06366239012362</v>
      </c>
      <c r="BO95" s="7">
        <f t="shared" si="101"/>
        <v>2.5391522982100144E-2</v>
      </c>
      <c r="BU95">
        <f>EXP(-Parameters!$B$56*A95)*BH95*BN95</f>
        <v>0</v>
      </c>
      <c r="BV95">
        <f>-EXP((Parameters!$B$56)*F95)*SUM(BU95:BU103)</f>
        <v>0</v>
      </c>
      <c r="BW95">
        <f>X95^-Parameters!B$52/(1-2*Parameters!B$5*'6states'!D95/'6states'!G95)</f>
        <v>1.1440438458487441</v>
      </c>
      <c r="BX95">
        <f t="shared" si="115"/>
        <v>0.99616111851776068</v>
      </c>
      <c r="BY95">
        <f>$X95^-Parameters!$B$52/(1-2*Parameters!$B$5*'6states'!$E95/'6states'!$H95)</f>
        <v>1.1379489870188446</v>
      </c>
      <c r="BZ95">
        <f t="shared" si="116"/>
        <v>0.98748348745034908</v>
      </c>
      <c r="CA95" s="7">
        <f>($X95^-Parameters!$B$52*(1/(1+EXP(-C95)) + IF(C95&lt;0,2*Parameters!$B$6*C95/F95,0)) + BS95*(1/(1+EXP((C95-Parameters!$B$22)*Parameters!$B$21))))/(1-IF(C95&gt;0,2*Parameters!$B$5*C95/F95,0))</f>
        <v>0.52797162189760682</v>
      </c>
      <c r="CB95">
        <f t="shared" si="117"/>
        <v>0.99585464890262121</v>
      </c>
      <c r="CC95" s="7">
        <f t="shared" si="118"/>
        <v>-2.1977381384219452E-3</v>
      </c>
    </row>
    <row r="96" spans="1:84" x14ac:dyDescent="0.3">
      <c r="A96">
        <f>A95+Parameters!$B$65</f>
        <v>92</v>
      </c>
      <c r="B96">
        <v>2117</v>
      </c>
      <c r="C96" s="74">
        <v>6.4522693416057696E-4</v>
      </c>
      <c r="D96" s="69">
        <v>9.0239893036471994E-2</v>
      </c>
      <c r="E96" s="75">
        <v>0.21449138519240701</v>
      </c>
      <c r="F96" s="7">
        <f>MAX((1-Parameters!$B$4)^Parameters!B$65*F95 + C95*Parameters!B$65 - IF(C95&gt;0,Parameters!$B$5,0)*C95^2/F95*Parameters!B$65, 0.0001)</f>
        <v>1.849165833793608E-2</v>
      </c>
      <c r="G96" s="7">
        <f>(1-Parameters!$B$4)^Parameters!B$65*G95+D95*Parameters!B$65-Parameters!$B$5*D95^2/G95*Parameters!B$65</f>
        <v>1.3050195438769854</v>
      </c>
      <c r="H96" s="7">
        <f>(1-Parameters!$B$4)^Parameters!B$65*H95+E95*Parameters!B$65-Parameters!$B$5*E95^2/H95*Parameters!B$65</f>
        <v>3.239010338673332</v>
      </c>
      <c r="I96" s="7">
        <f>I95 *(1-Parameters!$B$4)-C95*(C95&lt;0)*Parameters!B$65</f>
        <v>4.6583438598186028E-4</v>
      </c>
      <c r="J96" s="23">
        <f>J95*(1+Parameters!$B$51)^Parameters!B$65</f>
        <v>10.651045488615113</v>
      </c>
      <c r="K96" s="23">
        <f>K95*(1+Parameters!$B$53)^Parameters!B$65</f>
        <v>55.974284419088022</v>
      </c>
      <c r="L96" s="23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3.5969783700647158</v>
      </c>
      <c r="M96" s="8">
        <f>M95+L96*Parameters!B$65</f>
        <v>3589.0375534541477</v>
      </c>
      <c r="N96" s="7">
        <f>M96*Parameters!$B$45</f>
        <v>2.1534225320724882</v>
      </c>
      <c r="O96" s="9">
        <f>EXP(-Parameters!$B$46/2*N96^2)</f>
        <v>0.95446515028526235</v>
      </c>
      <c r="P96" s="7">
        <f>MAX((Parameters!$B$62 + Parameters!$B$31*'6states'!A96 - '6states'!M96 + Parameters!$B$47/Parameters!$B$45)/Parameters!B$62,1)</f>
        <v>73.107248930917052</v>
      </c>
      <c r="Q96" s="7">
        <f>Parameters!B$61*EXP(-Parameters!B$60*A96)</f>
        <v>4.1704460871631696E-2</v>
      </c>
      <c r="R96" s="7">
        <f>(1-Parameters!B$61)*P96^-Parameters!B$63</f>
        <v>0.32551721423997276</v>
      </c>
      <c r="S96" s="7">
        <f>Parameters!B$61*EXP(-Parameters!B$60*A96)+(1-Parameters!B$61)*P96^-Parameters!B$63</f>
        <v>0.36722167511160447</v>
      </c>
      <c r="T96" s="7">
        <f>1-S96/Parameters!$B$12</f>
        <v>0.81638916244419779</v>
      </c>
      <c r="U96" s="7">
        <f t="shared" si="102"/>
        <v>5.4463016089455198</v>
      </c>
      <c r="V96" s="7">
        <f>(Parameters!$B$19*(F96+Parameters!$B$20)^T96+Parameters!$B$18*G96^T96)^(1/T96)</f>
        <v>0.34123813081678933</v>
      </c>
      <c r="W96" s="7">
        <f>(Parameters!$B$10*H96^Parameters!$B$9+Parameters!$B$11*V96^Parameters!$B$9)^(Parameters!$B$7/Parameters!$B$9)*O96</f>
        <v>1.3203037183516921</v>
      </c>
      <c r="X96" s="7">
        <f>W96 - D96 - E96 - LN(1+EXP(Parameters!$B$21*C96))/Parameters!$B$21 - IF(C96&gt;0, 0,Parameters!$B$6*C96^2/F96)</f>
        <v>1.0129237484489819</v>
      </c>
      <c r="Y96" s="7">
        <f>EXP(-Parameters!$B$55*A96)</f>
        <v>0.24927464460072962</v>
      </c>
      <c r="Z96" s="7">
        <f>IF(X96&gt;0,X96^(1-Parameters!$B$52)/(1-Parameters!$B$52)*Y96*Parameters!$B$65,-10+X96*1000)</f>
        <v>-0.70901952942418145</v>
      </c>
      <c r="AC96" s="23">
        <f t="shared" si="103"/>
        <v>0.38467439361654171</v>
      </c>
      <c r="AD96" s="23">
        <f t="shared" si="104"/>
        <v>53.799639004511036</v>
      </c>
      <c r="AE96" s="23">
        <f t="shared" si="105"/>
        <v>0.27772331015045659</v>
      </c>
      <c r="AF96" s="23">
        <f t="shared" si="106"/>
        <v>11.024442845622991</v>
      </c>
      <c r="AG96" s="23">
        <f t="shared" si="107"/>
        <v>778.03261940965581</v>
      </c>
      <c r="AH96" s="23">
        <f t="shared" si="108"/>
        <v>203.44093543082417</v>
      </c>
      <c r="AI96" s="23">
        <f t="shared" si="109"/>
        <v>500.68363075785919</v>
      </c>
      <c r="AJ96" s="23">
        <f t="shared" si="110"/>
        <v>787.14480961237302</v>
      </c>
      <c r="AK96" s="23">
        <f t="shared" si="111"/>
        <v>603.88958998019109</v>
      </c>
      <c r="AL96" s="9">
        <f t="shared" si="122"/>
        <v>2.255474399495494E-2</v>
      </c>
      <c r="AM96" s="9">
        <f t="shared" si="123"/>
        <v>2.4822213125519355E-2</v>
      </c>
      <c r="AN96" s="9">
        <f t="shared" ref="AN96:AO96" si="150">AVERAGE(AL94:AL98)</f>
        <v>2.2628708820921516E-2</v>
      </c>
      <c r="AO96" s="9">
        <f t="shared" si="150"/>
        <v>2.3285135162121585E-2</v>
      </c>
      <c r="AP96" s="23"/>
      <c r="AQ96" s="25">
        <f t="shared" si="100"/>
        <v>787.14480961237291</v>
      </c>
      <c r="AR96" s="4"/>
      <c r="AS96" s="4"/>
      <c r="AT96" s="4"/>
      <c r="AU96" s="16"/>
      <c r="AV96" s="16"/>
      <c r="AX96" s="13">
        <f>1-W96/'6states,ExoDamages'!T96</f>
        <v>9.5212616556316743E-2</v>
      </c>
      <c r="AY96" s="21">
        <f>-Y96*W96*X96^(-Parameters!B$52)*Parameters!B$46*Parameters!B$45*N96</f>
        <v>-8.4003986343230855E-6</v>
      </c>
      <c r="AZ96" s="7">
        <f>1000*EXP(-(Parameters!$B$54)*'6states'!A96)*AQ96*Parameters!B$46*Parameters!B$45*N96</f>
        <v>0.80929611550592195</v>
      </c>
      <c r="BA96" s="7">
        <f>SUM(AZ96:AZ$204)*EXP(Parameters!$B$54*A96)</f>
        <v>1463.1474142412087</v>
      </c>
      <c r="BB96" s="43">
        <f t="shared" si="77"/>
        <v>0.23129261920452746</v>
      </c>
      <c r="BC96" s="30">
        <f>IF(C96&lt;0,Parameters!$B$6*AC96^2/AF96,0)</f>
        <v>0</v>
      </c>
      <c r="BD96" s="30">
        <f>Parameters!$B$5*AD96^2/AG96</f>
        <v>3.7201539945868549</v>
      </c>
      <c r="BE96" s="30">
        <f t="shared" si="113"/>
        <v>0</v>
      </c>
      <c r="BF96" s="30">
        <f t="shared" si="114"/>
        <v>6.9148307747472521E-2</v>
      </c>
      <c r="BH96" s="5"/>
      <c r="BI96" s="5"/>
      <c r="BJ96" s="5"/>
      <c r="BM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-0.8152583174274225</v>
      </c>
      <c r="BN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-486.04449426035325</v>
      </c>
      <c r="BO96" s="7">
        <f t="shared" si="101"/>
        <v>2.4572573639663593E-2</v>
      </c>
      <c r="BU96">
        <f>EXP(-Parameters!$B$56*A96)*BH96*BN96</f>
        <v>0</v>
      </c>
      <c r="BV96">
        <f>-EXP((Parameters!$B$56)*F96)*SUM(BU96:BU104)</f>
        <v>0</v>
      </c>
      <c r="BW96">
        <f>X96^-Parameters!B$52/(1-2*Parameters!B$5*'6states'!D96/'6states'!G96)</f>
        <v>1.1405480440754556</v>
      </c>
      <c r="BX96">
        <f t="shared" si="115"/>
        <v>0.99694434633255247</v>
      </c>
      <c r="BY96">
        <f>$X96^-Parameters!$B$52/(1-2*Parameters!$B$5*'6states'!$E96/'6states'!$H96)</f>
        <v>1.1328518974208286</v>
      </c>
      <c r="BZ96">
        <f t="shared" si="116"/>
        <v>0.99552081010997762</v>
      </c>
      <c r="CA96" s="7">
        <f>($X96^-Parameters!$B$52*(1/(1+EXP(-C96)) + IF(C96&lt;0,2*Parameters!$B$6*C96/F96,0)) + BS96*(1/(1+EXP((C96-Parameters!$B$22)*Parameters!$B$21))))/(1-IF(C96&gt;0,2*Parameters!$B$5*C96/F96,0))</f>
        <v>0.52844339744791569</v>
      </c>
      <c r="CB96">
        <f t="shared" si="117"/>
        <v>1.000893562325591</v>
      </c>
      <c r="CC96" s="7">
        <f t="shared" si="118"/>
        <v>4.7177555030886165E-4</v>
      </c>
    </row>
    <row r="97" spans="1:81" x14ac:dyDescent="0.3">
      <c r="A97">
        <f>A96+Parameters!$B$65</f>
        <v>93</v>
      </c>
      <c r="B97">
        <v>2118</v>
      </c>
      <c r="C97" s="74">
        <v>6.5839541857265005E-4</v>
      </c>
      <c r="D97" s="69">
        <v>9.0142301575359393E-2</v>
      </c>
      <c r="E97" s="75">
        <v>0.21487914009067199</v>
      </c>
      <c r="F97" s="7">
        <f>MAX((1-Parameters!$B$4)^Parameters!B$65*F96 + C96*Parameters!B$65 - IF(C96&gt;0,Parameters!$B$5,0)*C96^2/F96*Parameters!B$65, 0.0001)</f>
        <v>1.7951246146466829E-2</v>
      </c>
      <c r="G97" s="7">
        <f>(1-Parameters!$B$4)^Parameters!B$65*G96+D96*Parameters!B$65-Parameters!$B$5*D96^2/G96*Parameters!B$65</f>
        <v>1.3069337717088103</v>
      </c>
      <c r="H97" s="7">
        <f>(1-Parameters!$B$4)^Parameters!B$65*H96+E96*Parameters!B$65-Parameters!$B$5*E96^2/H96*Parameters!B$65</f>
        <v>3.2355640811666588</v>
      </c>
      <c r="I97" s="7">
        <f>I96 *(1-Parameters!$B$4)-C96*(C96&lt;0)*Parameters!B$65</f>
        <v>4.365334031036013E-4</v>
      </c>
      <c r="J97" s="23">
        <f>J96*(1+Parameters!$B$51)^Parameters!B$65</f>
        <v>10.681933520532095</v>
      </c>
      <c r="K97" s="23">
        <f>K96*(1+Parameters!$B$53)^Parameters!B$65</f>
        <v>57.09377010746978</v>
      </c>
      <c r="L97" s="23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3.5443457522136406</v>
      </c>
      <c r="M97" s="8">
        <f>M96+L97*Parameters!B$65</f>
        <v>3592.5818992063614</v>
      </c>
      <c r="N97" s="7">
        <f>M97*Parameters!$B$45</f>
        <v>2.1555491395238167</v>
      </c>
      <c r="O97" s="9">
        <f>EXP(-Parameters!$B$46/2*N97^2)</f>
        <v>0.95437725469029155</v>
      </c>
      <c r="P97" s="7">
        <f>MAX((Parameters!$B$62 + Parameters!$B$31*'6states'!A97 - '6states'!M97 + Parameters!$B$47/Parameters!$B$45)/Parameters!B$62,1)</f>
        <v>74.100362015872776</v>
      </c>
      <c r="Q97" s="7">
        <f>Parameters!B$61*EXP(-Parameters!B$60*A97)</f>
        <v>4.0593505811114546E-2</v>
      </c>
      <c r="R97" s="7">
        <f>(1-Parameters!B$61)*P97^-Parameters!B$63</f>
        <v>0.32507829358080526</v>
      </c>
      <c r="S97" s="7">
        <f>Parameters!B$61*EXP(-Parameters!B$60*A97)+(1-Parameters!B$61)*P97^-Parameters!B$63</f>
        <v>0.36567179939191979</v>
      </c>
      <c r="T97" s="7">
        <f>1-S97/Parameters!$B$12</f>
        <v>0.81716410030404008</v>
      </c>
      <c r="U97" s="7">
        <f t="shared" si="102"/>
        <v>5.469385397850818</v>
      </c>
      <c r="V97" s="7">
        <f>(Parameters!$B$19*(F97+Parameters!$B$20)^T97+Parameters!$B$18*G97^T97)^(1/T97)</f>
        <v>0.34142064638504799</v>
      </c>
      <c r="W97" s="7">
        <f>(Parameters!$B$10*H97^Parameters!$B$9+Parameters!$B$11*V97^Parameters!$B$9)^(Parameters!$B$7/Parameters!$B$9)*O97</f>
        <v>1.3199581300911551</v>
      </c>
      <c r="X97" s="7">
        <f>W97 - D97 - E97 - LN(1+EXP(Parameters!$B$21*C97))/Parameters!$B$21 - IF(C97&gt;0, 0,Parameters!$B$6*C97^2/F97)</f>
        <v>1.0122807708003558</v>
      </c>
      <c r="Y97" s="7">
        <f>EXP(-Parameters!$B$55*A97)</f>
        <v>0.24553887352140147</v>
      </c>
      <c r="Z97" s="7">
        <f>IF(X97&gt;0,X97^(1-Parameters!$B$52)/(1-Parameters!$B$52)*Y97*Parameters!$B$65,-10+X97*1000)</f>
        <v>-0.69854899026317641</v>
      </c>
      <c r="AC97" s="23">
        <f t="shared" si="103"/>
        <v>0.40153683638382931</v>
      </c>
      <c r="AD97" s="23">
        <f t="shared" si="104"/>
        <v>54.97525283118739</v>
      </c>
      <c r="AE97" s="23">
        <f t="shared" si="105"/>
        <v>0.26622943707307312</v>
      </c>
      <c r="AF97" s="23">
        <f t="shared" si="106"/>
        <v>10.947959817864874</v>
      </c>
      <c r="AG97" s="23">
        <f t="shared" si="107"/>
        <v>797.06212596805142</v>
      </c>
      <c r="AH97" s="23">
        <f t="shared" si="108"/>
        <v>208.22284353494004</v>
      </c>
      <c r="AI97" s="23">
        <f t="shared" si="109"/>
        <v>512.45227066530424</v>
      </c>
      <c r="AJ97" s="23">
        <f t="shared" si="110"/>
        <v>805.0053155973377</v>
      </c>
      <c r="AK97" s="23">
        <f t="shared" si="111"/>
        <v>617.36155321455612</v>
      </c>
      <c r="AL97" s="9">
        <f t="shared" si="122"/>
        <v>2.2436647083407202E-2</v>
      </c>
      <c r="AM97" s="9">
        <f t="shared" si="123"/>
        <v>2.2063454864630572E-2</v>
      </c>
      <c r="AN97" s="9">
        <f t="shared" ref="AN97:AO97" si="151">AVERAGE(AL95:AL99)</f>
        <v>2.2596955236519101E-2</v>
      </c>
      <c r="AO97" s="9">
        <f t="shared" si="151"/>
        <v>2.3280127015123143E-2</v>
      </c>
      <c r="AP97" s="23"/>
      <c r="AQ97" s="25">
        <f t="shared" si="100"/>
        <v>805.0053155973377</v>
      </c>
      <c r="AR97" s="4"/>
      <c r="AS97" s="4"/>
      <c r="AT97" s="4"/>
      <c r="AU97" s="16"/>
      <c r="AV97" s="16"/>
      <c r="AX97" s="13">
        <f>1-W97/'6states,ExoDamages'!T97</f>
        <v>9.5342043696370005E-2</v>
      </c>
      <c r="AY97" s="21">
        <f>-Y97*W97*X97^(-Parameters!B$52)*Parameters!B$46*Parameters!B$45*N97</f>
        <v>-8.2876102222026265E-6</v>
      </c>
      <c r="AZ97" s="7">
        <f>1000*EXP(-(Parameters!$B$54)*'6states'!A97)*AQ97*Parameters!B$46*Parameters!B$45*N97</f>
        <v>0.79990149124423737</v>
      </c>
      <c r="BA97" s="7">
        <f>SUM(AZ97:AZ$204)*EXP(Parameters!$B$54*A97)</f>
        <v>1494.2431969792688</v>
      </c>
      <c r="BB97" s="43">
        <f t="shared" si="77"/>
        <v>0.23158297988095583</v>
      </c>
      <c r="BC97" s="30">
        <f>IF(C97&lt;0,Parameters!$B$6*AC97^2/AF97,0)</f>
        <v>0</v>
      </c>
      <c r="BD97" s="30">
        <f>Parameters!$B$5*AD97^2/AG97</f>
        <v>3.7917727180705594</v>
      </c>
      <c r="BE97" s="30">
        <f t="shared" si="113"/>
        <v>0</v>
      </c>
      <c r="BF97" s="30">
        <f t="shared" si="114"/>
        <v>6.8972356156577624E-2</v>
      </c>
      <c r="BH97" s="5"/>
      <c r="BI97" s="5"/>
      <c r="BJ97" s="5"/>
      <c r="BM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-0.83699504665393376</v>
      </c>
      <c r="BN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-510.4597231720731</v>
      </c>
      <c r="BO97" s="7">
        <f t="shared" si="101"/>
        <v>2.3740408782190314E-2</v>
      </c>
      <c r="BU97">
        <f>EXP(-Parameters!$B$56*A97)*BH97*BN97</f>
        <v>0</v>
      </c>
      <c r="BV97">
        <f>-EXP((Parameters!$B$56)*F97)*SUM(BU97:BU105)</f>
        <v>0</v>
      </c>
      <c r="BW97">
        <f>X97^-Parameters!B$52/(1-2*Parameters!B$5*'6states'!D97/'6states'!G97)</f>
        <v>1.1410601732472778</v>
      </c>
      <c r="BX97">
        <f t="shared" si="115"/>
        <v>1.0004490202534495</v>
      </c>
      <c r="BY97">
        <f>$X97^-Parameters!$B$52/(1-2*Parameters!$B$5*'6states'!$E97/'6states'!$H97)</f>
        <v>1.1343212397793503</v>
      </c>
      <c r="BZ97">
        <f t="shared" si="116"/>
        <v>1.0012970295251011</v>
      </c>
      <c r="CA97" s="7">
        <f>($X97^-Parameters!$B$52*(1/(1+EXP(-C97)) + IF(C97&lt;0,2*Parameters!$B$6*C97/F97,0)) + BS97*(1/(1+EXP((C97-Parameters!$B$22)*Parameters!$B$21))))/(1-IF(C97&gt;0,2*Parameters!$B$5*C97/F97,0))</f>
        <v>0.5309365633084101</v>
      </c>
      <c r="CB97">
        <f t="shared" si="117"/>
        <v>1.0047179430617073</v>
      </c>
      <c r="CC97" s="7">
        <f t="shared" si="118"/>
        <v>2.4931658604944174E-3</v>
      </c>
    </row>
    <row r="98" spans="1:81" x14ac:dyDescent="0.3">
      <c r="A98">
        <f>A97+Parameters!$B$65</f>
        <v>94</v>
      </c>
      <c r="B98">
        <v>2119</v>
      </c>
      <c r="C98" s="74">
        <v>6.6148272331877805E-4</v>
      </c>
      <c r="D98" s="69">
        <v>9.2058829974708795E-2</v>
      </c>
      <c r="E98" s="75">
        <v>0.21644896276217801</v>
      </c>
      <c r="F98" s="7">
        <f>MAX((1-Parameters!$B$4)^Parameters!B$65*F97 + C97*Parameters!B$65 - IF(C97&gt;0,Parameters!$B$5,0)*C97^2/F97*Parameters!B$65, 0.0001)</f>
        <v>1.7456360303017088E-2</v>
      </c>
      <c r="G98" s="7">
        <f>(1-Parameters!$B$4)^Parameters!B$65*G97+D97*Parameters!B$65-Parameters!$B$5*D97^2/G97*Parameters!B$65</f>
        <v>1.3086526121146562</v>
      </c>
      <c r="H98" s="7">
        <f>(1-Parameters!$B$4)^Parameters!B$65*H97+E97*Parameters!B$65-Parameters!$B$5*E97^2/H97*Parameters!B$65</f>
        <v>3.2326557629202837</v>
      </c>
      <c r="I98" s="7">
        <f>I97 *(1-Parameters!$B$4)-C97*(C97&lt;0)*Parameters!B$65</f>
        <v>4.0907545204838479E-4</v>
      </c>
      <c r="J98" s="23">
        <f>J97*(1+Parameters!$B$51)^Parameters!B$65</f>
        <v>10.712911127741636</v>
      </c>
      <c r="K98" s="23">
        <f>K97*(1+Parameters!$B$53)^Parameters!B$65</f>
        <v>58.235645509619175</v>
      </c>
      <c r="L98" s="23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3.4988020351850504</v>
      </c>
      <c r="M98" s="8">
        <f>M97+L98*Parameters!B$65</f>
        <v>3596.0807012415466</v>
      </c>
      <c r="N98" s="7">
        <f>M98*Parameters!$B$45</f>
        <v>2.1576484207449278</v>
      </c>
      <c r="O98" s="9">
        <f>EXP(-Parameters!$B$46/2*N98^2)</f>
        <v>0.95429041138312443</v>
      </c>
      <c r="P98" s="7">
        <f>MAX((Parameters!$B$62 + Parameters!$B$31*'6states'!A98 - '6states'!M98 + Parameters!$B$47/Parameters!$B$45)/Parameters!B$62,1)</f>
        <v>75.094385975169075</v>
      </c>
      <c r="Q98" s="7">
        <f>Parameters!B$61*EXP(-Parameters!B$60*A98)</f>
        <v>3.9512145214131843E-2</v>
      </c>
      <c r="R98" s="7">
        <f>(1-Parameters!B$61)*P98^-Parameters!B$63</f>
        <v>0.32464540275134512</v>
      </c>
      <c r="S98" s="7">
        <f>Parameters!B$61*EXP(-Parameters!B$60*A98)+(1-Parameters!B$61)*P98^-Parameters!B$63</f>
        <v>0.36415754796547695</v>
      </c>
      <c r="T98" s="7">
        <f>1-S98/Parameters!$B$12</f>
        <v>0.81792122601726147</v>
      </c>
      <c r="U98" s="7">
        <f t="shared" si="102"/>
        <v>5.492128369091513</v>
      </c>
      <c r="V98" s="7">
        <f>(Parameters!$B$19*(F98+Parameters!$B$20)^T98+Parameters!$B$18*G98^T98)^(1/T98)</f>
        <v>0.34160037975594271</v>
      </c>
      <c r="W98" s="7">
        <f>(Parameters!$B$10*H98^Parameters!$B$9+Parameters!$B$11*V98^Parameters!$B$9)^(Parameters!$B$7/Parameters!$B$9)*O98</f>
        <v>1.319657325038454</v>
      </c>
      <c r="X98" s="7">
        <f>W98 - D98 - E98 - LN(1+EXP(Parameters!$B$21*C98))/Parameters!$B$21 - IF(C98&gt;0, 0,Parameters!$B$6*C98^2/F98)</f>
        <v>1.0084919187141332</v>
      </c>
      <c r="Y98" s="7">
        <f>EXP(-Parameters!$B$55*A98)</f>
        <v>0.24185908882440066</v>
      </c>
      <c r="Z98" s="7">
        <f>IF(X98&gt;0,X98^(1-Parameters!$B$52)/(1-Parameters!$B$52)*Y98*Parameters!$B$65,-10+X98*1000)</f>
        <v>-0.68898381533550324</v>
      </c>
      <c r="AC98" s="23">
        <f t="shared" si="103"/>
        <v>0.41268140605758236</v>
      </c>
      <c r="AD98" s="23">
        <f t="shared" si="104"/>
        <v>57.433045572787151</v>
      </c>
      <c r="AE98" s="23">
        <f t="shared" si="105"/>
        <v>0.25521125009581364</v>
      </c>
      <c r="AF98" s="23">
        <f t="shared" si="106"/>
        <v>10.890557017654995</v>
      </c>
      <c r="AG98" s="23">
        <f t="shared" si="107"/>
        <v>816.43341688327541</v>
      </c>
      <c r="AH98" s="23">
        <f t="shared" si="108"/>
        <v>213.11535442710277</v>
      </c>
      <c r="AI98" s="23">
        <f t="shared" si="109"/>
        <v>524.49311245470585</v>
      </c>
      <c r="AJ98" s="23">
        <f t="shared" si="110"/>
        <v>823.29896339349682</v>
      </c>
      <c r="AK98" s="23">
        <f t="shared" si="111"/>
        <v>629.17117611867184</v>
      </c>
      <c r="AL98" s="9">
        <f t="shared" si="122"/>
        <v>2.2470514593105229E-2</v>
      </c>
      <c r="AM98" s="9">
        <f t="shared" si="123"/>
        <v>1.8948521726515288E-2</v>
      </c>
      <c r="AN98" s="9">
        <f t="shared" ref="AN98:AO98" si="152">AVERAGE(AL96:AL100)</f>
        <v>2.2565152138886192E-2</v>
      </c>
      <c r="AO98" s="9">
        <f t="shared" si="152"/>
        <v>2.2541729808803979E-2</v>
      </c>
      <c r="AP98" s="23"/>
      <c r="AQ98" s="25">
        <f t="shared" si="100"/>
        <v>823.29896339349671</v>
      </c>
      <c r="AR98" s="4"/>
      <c r="AS98" s="4"/>
      <c r="AT98" s="4"/>
      <c r="AU98" s="16"/>
      <c r="AV98" s="16"/>
      <c r="AX98" s="13">
        <f>1-W98/'6states,ExoDamages'!T98</f>
        <v>9.5443602056694443E-2</v>
      </c>
      <c r="AY98" s="21">
        <f>-Y98*W98*X98^(-Parameters!B$52)*Parameters!B$46*Parameters!B$45*N98</f>
        <v>-8.210957464953414E-6</v>
      </c>
      <c r="AZ98" s="7">
        <f>1000*EXP(-(Parameters!$B$54)*'6states'!A98)*AQ98*Parameters!B$46*Parameters!B$45*N98</f>
        <v>0.79063191731759508</v>
      </c>
      <c r="BA98" s="7">
        <f>SUM(AZ98:AZ$204)*EXP(Parameters!$B$54*A98)</f>
        <v>1525.9480272965616</v>
      </c>
      <c r="BB98" s="43">
        <f t="shared" si="77"/>
        <v>0.23427996768115281</v>
      </c>
      <c r="BC98" s="30">
        <f>IF(C98&lt;0,Parameters!$B$6*AC98^2/AF98,0)</f>
        <v>0</v>
      </c>
      <c r="BD98" s="30">
        <f>Parameters!$B$5*AD98^2/AG98</f>
        <v>4.0402005302012727</v>
      </c>
      <c r="BE98" s="30">
        <f t="shared" si="113"/>
        <v>0</v>
      </c>
      <c r="BF98" s="30">
        <f t="shared" si="114"/>
        <v>7.0346269989826127E-2</v>
      </c>
      <c r="BH98" s="5"/>
      <c r="BI98" s="5"/>
      <c r="BJ98" s="5"/>
      <c r="BM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-0.85971019041543151</v>
      </c>
      <c r="BN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-536.35022907725352</v>
      </c>
      <c r="BO98" s="7">
        <f t="shared" si="101"/>
        <v>2.2897591620870357E-2</v>
      </c>
      <c r="BU98">
        <f>EXP(-Parameters!$B$56*A98)*BH98*BN98</f>
        <v>0</v>
      </c>
      <c r="BV98">
        <f>-EXP((Parameters!$B$56)*F98)*SUM(BU98:BU106)</f>
        <v>0</v>
      </c>
      <c r="BW98">
        <f>X98^-Parameters!B$52/(1-2*Parameters!B$5*'6states'!D98/'6states'!G98)</f>
        <v>1.1505186091088722</v>
      </c>
      <c r="BX98">
        <f t="shared" si="115"/>
        <v>1.0082891648340306</v>
      </c>
      <c r="BY98">
        <f>$X98^-Parameters!$B$52/(1-2*Parameters!$B$5*'6states'!$E98/'6states'!$H98)</f>
        <v>1.1415139437457207</v>
      </c>
      <c r="BZ98">
        <f t="shared" si="116"/>
        <v>1.0063409761839333</v>
      </c>
      <c r="CA98" s="7">
        <f>($X98^-Parameters!$B$52*(1/(1+EXP(-C98)) + IF(C98&lt;0,2*Parameters!$B$6*C98/F98,0)) + BS98*(1/(1+EXP((C98-Parameters!$B$22)*Parameters!$B$21))))/(1-IF(C98&gt;0,2*Parameters!$B$5*C98/F98,0))</f>
        <v>0.53503695973115872</v>
      </c>
      <c r="CB98">
        <f t="shared" si="117"/>
        <v>1.0077229497949773</v>
      </c>
      <c r="CC98" s="7">
        <f t="shared" si="118"/>
        <v>4.10039642274862E-3</v>
      </c>
    </row>
    <row r="99" spans="1:81" x14ac:dyDescent="0.3">
      <c r="A99">
        <f>A98+Parameters!$B$65</f>
        <v>95</v>
      </c>
      <c r="B99">
        <v>2120</v>
      </c>
      <c r="C99" s="74">
        <v>6.6640420843564298E-4</v>
      </c>
      <c r="D99" s="69">
        <v>9.2516249175375306E-2</v>
      </c>
      <c r="E99" s="75">
        <v>0.21615626507142699</v>
      </c>
      <c r="F99" s="7">
        <f>MAX((1-Parameters!$B$4)^Parameters!B$65*F98 + C98*Parameters!B$65 - IF(C98&gt;0,Parameters!$B$5,0)*C98^2/F98*Parameters!B$65, 0.0001)</f>
        <v>1.6994772062615595E-2</v>
      </c>
      <c r="G99" s="7">
        <f>(1-Parameters!$B$4)^Parameters!B$65*G98+D98*Parameters!B$65-Parameters!$B$5*D98^2/G98*Parameters!B$65</f>
        <v>1.3119211974790046</v>
      </c>
      <c r="H99" s="7">
        <f>(1-Parameters!$B$4)^Parameters!B$65*H98+E98*Parameters!B$65-Parameters!$B$5*E98^2/H98*Parameters!B$65</f>
        <v>3.2312779029298651</v>
      </c>
      <c r="I99" s="7">
        <f>I98 *(1-Parameters!$B$4)-C98*(C98&lt;0)*Parameters!B$65</f>
        <v>3.833446061145414E-4</v>
      </c>
      <c r="J99" s="23">
        <f>J98*(1+Parameters!$B$51)^Parameters!B$65</f>
        <v>10.743978570012086</v>
      </c>
      <c r="K99" s="23">
        <f>K98*(1+Parameters!$B$53)^Parameters!B$65</f>
        <v>59.40035841981156</v>
      </c>
      <c r="L99" s="23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3.4580668466825948</v>
      </c>
      <c r="M99" s="8">
        <f>M98+L99*Parameters!B$65</f>
        <v>3599.5387680882291</v>
      </c>
      <c r="N99" s="7">
        <f>M99*Parameters!$B$45</f>
        <v>2.1597232608529371</v>
      </c>
      <c r="O99" s="9">
        <f>EXP(-Parameters!$B$46/2*N99^2)</f>
        <v>0.95420450387018696</v>
      </c>
      <c r="P99" s="7">
        <f>MAX((Parameters!$B$62 + Parameters!$B$31*'6states'!A99 - '6states'!M99 + Parameters!$B$47/Parameters!$B$45)/Parameters!B$62,1)</f>
        <v>76.089224638235422</v>
      </c>
      <c r="Q99" s="7">
        <f>Parameters!B$61*EXP(-Parameters!B$60*A99)</f>
        <v>3.8459590720917251E-2</v>
      </c>
      <c r="R99" s="7">
        <f>(1-Parameters!B$61)*P99^-Parameters!B$63</f>
        <v>0.32421842257667455</v>
      </c>
      <c r="S99" s="7">
        <f>Parameters!B$61*EXP(-Parameters!B$60*A99)+(1-Parameters!B$61)*P99^-Parameters!B$63</f>
        <v>0.36267801329759181</v>
      </c>
      <c r="T99" s="7">
        <f>1-S99/Parameters!$B$12</f>
        <v>0.81866099335120412</v>
      </c>
      <c r="U99" s="7">
        <f t="shared" si="102"/>
        <v>5.5145333509889953</v>
      </c>
      <c r="V99" s="7">
        <f>(Parameters!$B$19*(F99+Parameters!$B$20)^T99+Parameters!$B$18*G99^T99)^(1/T99)</f>
        <v>0.34217957393303561</v>
      </c>
      <c r="W99" s="7">
        <f>(Parameters!$B$10*H99^Parameters!$B$9+Parameters!$B$11*V99^Parameters!$B$9)^(Parameters!$B$7/Parameters!$B$9)*O99</f>
        <v>1.3196292641910072</v>
      </c>
      <c r="X99" s="7">
        <f>W99 - D99 - E99 - LN(1+EXP(Parameters!$B$21*C99))/Parameters!$B$21 - IF(C99&gt;0, 0,Parameters!$B$6*C99^2/F99)</f>
        <v>1.0082964313521672</v>
      </c>
      <c r="Y99" s="7">
        <f>EXP(-Parameters!$B$55*A99)</f>
        <v>0.23823445146607616</v>
      </c>
      <c r="Z99" s="7">
        <f>IF(X99&gt;0,X99^(1-Parameters!$B$52)/(1-Parameters!$B$52)*Y99*Parameters!$B$65,-10+X99*1000)</f>
        <v>-0.67870436267894974</v>
      </c>
      <c r="AC99" s="23">
        <f t="shared" si="103"/>
        <v>0.42529661876909369</v>
      </c>
      <c r="AD99" s="23">
        <f t="shared" si="104"/>
        <v>59.043516618616813</v>
      </c>
      <c r="AE99" s="23">
        <f t="shared" si="105"/>
        <v>0.24464906244605353</v>
      </c>
      <c r="AF99" s="23">
        <f t="shared" si="106"/>
        <v>10.845998574872272</v>
      </c>
      <c r="AG99" s="23">
        <f t="shared" si="107"/>
        <v>837.26309395479279</v>
      </c>
      <c r="AH99" s="23">
        <f t="shared" si="108"/>
        <v>218.37769624413059</v>
      </c>
      <c r="AI99" s="23">
        <f t="shared" si="109"/>
        <v>537.44413630670886</v>
      </c>
      <c r="AJ99" s="23">
        <f t="shared" si="110"/>
        <v>842.182352669495</v>
      </c>
      <c r="AK99" s="23">
        <f t="shared" si="111"/>
        <v>643.49092869276706</v>
      </c>
      <c r="AL99" s="9">
        <f t="shared" si="122"/>
        <v>2.2677166444251995E-2</v>
      </c>
      <c r="AM99" s="9">
        <f t="shared" si="123"/>
        <v>2.2504570340962538E-2</v>
      </c>
      <c r="AN99" s="9">
        <f t="shared" ref="AN99:AO99" si="153">AVERAGE(AL97:AL101)</f>
        <v>2.2573011508512229E-2</v>
      </c>
      <c r="AO99" s="9">
        <f t="shared" si="153"/>
        <v>2.1091062562043027E-2</v>
      </c>
      <c r="AP99" s="23"/>
      <c r="AQ99" s="25">
        <f t="shared" si="100"/>
        <v>842.18235266949512</v>
      </c>
      <c r="AR99" s="4"/>
      <c r="AS99" s="4"/>
      <c r="AT99" s="4"/>
      <c r="AU99" s="16"/>
      <c r="AV99" s="16"/>
      <c r="AX99" s="13">
        <f>1-W99/'6states,ExoDamages'!T99</f>
        <v>9.5360783413529826E-2</v>
      </c>
      <c r="AY99" s="21">
        <f>-Y99*W99*X99^(-Parameters!B$52)*Parameters!B$46*Parameters!B$45*N99</f>
        <v>-8.0976277188173675E-6</v>
      </c>
      <c r="AZ99" s="7">
        <f>1000*EXP(-(Parameters!$B$54)*'6states'!A99)*AQ99*Parameters!B$46*Parameters!B$45*N99</f>
        <v>0.78162168637405482</v>
      </c>
      <c r="BA99" s="7">
        <f>SUM(AZ99:AZ$204)*EXP(Parameters!$B$54*A99)</f>
        <v>1558.2713208542382</v>
      </c>
      <c r="BB99" s="43">
        <f t="shared" si="77"/>
        <v>0.23441350298098818</v>
      </c>
      <c r="BC99" s="30">
        <f>IF(C99&lt;0,Parameters!$B$6*AC99^2/AF99,0)</f>
        <v>0</v>
      </c>
      <c r="BD99" s="30">
        <f>Parameters!$B$5*AD99^2/AG99</f>
        <v>4.163729274422205</v>
      </c>
      <c r="BE99" s="30">
        <f t="shared" si="113"/>
        <v>0</v>
      </c>
      <c r="BF99" s="30">
        <f t="shared" si="114"/>
        <v>7.0519669438343605E-2</v>
      </c>
      <c r="BH99" s="5"/>
      <c r="BI99" s="5"/>
      <c r="BJ99" s="5"/>
      <c r="BM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-0.88287668947104481</v>
      </c>
      <c r="BN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-563.44852878933807</v>
      </c>
      <c r="BO99" s="7">
        <f t="shared" si="101"/>
        <v>2.205904203671993E-2</v>
      </c>
      <c r="BU99">
        <f>EXP(-Parameters!$B$56*A99)*BH99*BN99</f>
        <v>0</v>
      </c>
      <c r="BV99">
        <f>-EXP((Parameters!$B$56)*F99)*SUM(BU99:BU107)</f>
        <v>0</v>
      </c>
      <c r="BW99">
        <f>X99^-Parameters!B$52/(1-2*Parameters!B$5*'6states'!D99/'6states'!G99)</f>
        <v>1.1512843868001408</v>
      </c>
      <c r="BX99">
        <f t="shared" si="115"/>
        <v>1.0006655934855861</v>
      </c>
      <c r="BY99">
        <f>$X99^-Parameters!$B$52/(1-2*Parameters!$B$5*'6states'!$E99/'6states'!$H99)</f>
        <v>1.1416491940637372</v>
      </c>
      <c r="BZ99">
        <f t="shared" si="116"/>
        <v>1.0001184832815733</v>
      </c>
      <c r="CA99" s="7">
        <f>($X99^-Parameters!$B$52*(1/(1+EXP(-C99)) + IF(C99&lt;0,2*Parameters!$B$6*C99/F99,0)) + BS99*(1/(1+EXP((C99-Parameters!$B$22)*Parameters!$B$21))))/(1-IF(C99&gt;0,2*Parameters!$B$5*C99/F99,0))</f>
        <v>0.53671002821299663</v>
      </c>
      <c r="CB99">
        <f t="shared" si="117"/>
        <v>1.0031270147817051</v>
      </c>
      <c r="CC99" s="7">
        <f t="shared" si="118"/>
        <v>1.6730684818379027E-3</v>
      </c>
    </row>
    <row r="100" spans="1:81" x14ac:dyDescent="0.3">
      <c r="A100">
        <f>A99+Parameters!$B$65</f>
        <v>96</v>
      </c>
      <c r="B100">
        <v>2121</v>
      </c>
      <c r="C100" s="74">
        <v>6.7642606411307004E-4</v>
      </c>
      <c r="D100" s="69">
        <v>9.1077190637043795E-2</v>
      </c>
      <c r="E100" s="75">
        <v>0.21588757996794</v>
      </c>
      <c r="F100" s="7">
        <f>MAX((1-Parameters!$B$4)^Parameters!B$65*F99 + C99*Parameters!B$65 - IF(C99&gt;0,Parameters!$B$5,0)*C99^2/F99*Parameters!B$65, 0.0001)</f>
        <v>1.6566073862339867E-2</v>
      </c>
      <c r="G100" s="7">
        <f>(1-Parameters!$B$4)^Parameters!B$65*G99+D99*Parameters!B$65-Parameters!$B$5*D99^2/G99*Parameters!B$65</f>
        <v>1.3153933880234276</v>
      </c>
      <c r="H100" s="7">
        <f>(1-Parameters!$B$4)^Parameters!B$65*H99+E99*Parameters!B$65-Parameters!$B$5*E99^2/H99*Parameters!B$65</f>
        <v>3.2297270192540926</v>
      </c>
      <c r="I100" s="7">
        <f>I99 *(1-Parameters!$B$4)-C99*(C99&lt;0)*Parameters!B$65</f>
        <v>3.5923223038993675E-4</v>
      </c>
      <c r="J100" s="23">
        <f>J99*(1+Parameters!$B$51)^Parameters!B$65</f>
        <v>10.775136107865119</v>
      </c>
      <c r="K100" s="23">
        <f>K99*(1+Parameters!$B$53)^Parameters!B$65</f>
        <v>60.588365588207793</v>
      </c>
      <c r="L100" s="23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3.422306710962717</v>
      </c>
      <c r="M100" s="8">
        <f>M99+L100*Parameters!B$65</f>
        <v>3602.9610747991919</v>
      </c>
      <c r="N100" s="7">
        <f>M100*Parameters!$B$45</f>
        <v>2.1617766448795148</v>
      </c>
      <c r="O100" s="9">
        <f>EXP(-Parameters!$B$46/2*N100^2)</f>
        <v>0.95411941106404163</v>
      </c>
      <c r="P100" s="7">
        <f>MAX((Parameters!$B$62 + Parameters!$B$31*'6states'!A100 - '6states'!M100 + Parameters!$B$47/Parameters!$B$45)/Parameters!B$62,1)</f>
        <v>77.084778504016171</v>
      </c>
      <c r="Q100" s="7">
        <f>Parameters!B$61*EXP(-Parameters!B$60*A100)</f>
        <v>3.7435074972629871E-2</v>
      </c>
      <c r="R100" s="7">
        <f>(1-Parameters!B$61)*P100^-Parameters!B$63</f>
        <v>0.32379723916596526</v>
      </c>
      <c r="S100" s="7">
        <f>Parameters!B$61*EXP(-Parameters!B$60*A100)+(1-Parameters!B$61)*P100^-Parameters!B$63</f>
        <v>0.36123231413859513</v>
      </c>
      <c r="T100" s="7">
        <f>1-S100/Parameters!$B$12</f>
        <v>0.81938384293070243</v>
      </c>
      <c r="U100" s="7">
        <f t="shared" si="102"/>
        <v>5.536603237640179</v>
      </c>
      <c r="V100" s="7">
        <f>(Parameters!$B$19*(F100+Parameters!$B$20)^T100+Parameters!$B$18*G100^T100)^(1/T100)</f>
        <v>0.3428381343804523</v>
      </c>
      <c r="W100" s="7">
        <f>(Parameters!$B$10*H100^Parameters!$B$9+Parameters!$B$11*V100^Parameters!$B$9)^(Parameters!$B$7/Parameters!$B$9)*O100</f>
        <v>1.3196137694201604</v>
      </c>
      <c r="X100" s="7">
        <f>W100 - D100 - E100 - LN(1+EXP(Parameters!$B$21*C100))/Parameters!$B$21 - IF(C100&gt;0, 0,Parameters!$B$6*C100^2/F100)</f>
        <v>1.0099831663328354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-0.66814193010147538</v>
      </c>
      <c r="AC100" s="23">
        <f t="shared" si="103"/>
        <v>0.44160332583325501</v>
      </c>
      <c r="AD100" s="23">
        <f t="shared" si="104"/>
        <v>59.459551348903723</v>
      </c>
      <c r="AE100" s="23">
        <f t="shared" si="105"/>
        <v>0.23452400210908569</v>
      </c>
      <c r="AF100" s="23">
        <f t="shared" si="106"/>
        <v>10.815126296472476</v>
      </c>
      <c r="AG100" s="23">
        <f t="shared" si="107"/>
        <v>858.75179232171024</v>
      </c>
      <c r="AH100" s="23">
        <f t="shared" si="108"/>
        <v>223.82115119024846</v>
      </c>
      <c r="AI100" s="23">
        <f t="shared" si="109"/>
        <v>550.8408933581718</v>
      </c>
      <c r="AJ100" s="23">
        <f t="shared" si="110"/>
        <v>861.50705939369345</v>
      </c>
      <c r="AK100" s="23">
        <f t="shared" si="111"/>
        <v>659.3653747996724</v>
      </c>
      <c r="AL100" s="9">
        <f t="shared" si="122"/>
        <v>2.2686688578711589E-2</v>
      </c>
      <c r="AM100" s="9">
        <f t="shared" si="123"/>
        <v>2.4369888986392141E-2</v>
      </c>
      <c r="AN100" s="9">
        <f t="shared" ref="AN100:AO100" si="154">AVERAGE(AL98:AL102)</f>
        <v>2.2661571582718844E-2</v>
      </c>
      <c r="AO100" s="9">
        <f t="shared" si="154"/>
        <v>2.3349568722693982E-2</v>
      </c>
      <c r="AP100" s="23"/>
      <c r="AQ100" s="25">
        <f t="shared" si="100"/>
        <v>861.50705939369345</v>
      </c>
      <c r="AR100" s="4"/>
      <c r="AS100" s="4"/>
      <c r="AT100" s="4"/>
      <c r="AU100" s="16"/>
      <c r="AV100" s="16"/>
      <c r="AX100" s="13">
        <f>1-W100/'6states,ExoDamages'!T100</f>
        <v>9.5271681929255281E-2</v>
      </c>
      <c r="AY100" s="21">
        <f>-Y100*W100*X100^(-Parameters!B$52)*Parameters!B$46*Parameters!B$45*N100</f>
        <v>-7.96576707572571E-6</v>
      </c>
      <c r="AZ100" s="7">
        <f>1000*EXP(-(Parameters!$B$54)*'6states'!A100)*AQ100*Parameters!B$46*Parameters!B$45*N100</f>
        <v>0.77271311359341233</v>
      </c>
      <c r="BA100" s="7">
        <f>SUM(AZ100:AZ$204)*EXP(Parameters!$B$54*A100)</f>
        <v>1591.2185594408982</v>
      </c>
      <c r="BB100" s="43">
        <f t="shared" si="77"/>
        <v>0.23312972613515143</v>
      </c>
      <c r="BC100" s="30">
        <f>IF(C100&lt;0,Parameters!$B$6*AC100^2/AF100,0)</f>
        <v>0</v>
      </c>
      <c r="BD100" s="30">
        <f>Parameters!$B$5*AD100^2/AG100</f>
        <v>4.1169500642957066</v>
      </c>
      <c r="BE100" s="30">
        <f t="shared" si="113"/>
        <v>0</v>
      </c>
      <c r="BF100" s="30">
        <f t="shared" si="114"/>
        <v>6.923950771403882E-2</v>
      </c>
      <c r="BH100" s="5"/>
      <c r="BI100" s="5"/>
      <c r="BJ100" s="5"/>
      <c r="BM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-0.90650572019210796</v>
      </c>
      <c r="BN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-591.81034286223019</v>
      </c>
      <c r="BO100" s="7">
        <f t="shared" ref="BO100:BO131" si="155">I100/(F100+I100)</f>
        <v>2.1224563291309898E-2</v>
      </c>
      <c r="BU100">
        <f>EXP(-Parameters!$B$56*A100)*BH100*BN100</f>
        <v>0</v>
      </c>
      <c r="BV100">
        <f>-EXP((Parameters!$B$56)*F100)*SUM(BU100:BU108)</f>
        <v>0</v>
      </c>
      <c r="BW100">
        <f>X100^-Parameters!B$52/(1-2*Parameters!B$5*'6states'!D100/'6states'!G100)</f>
        <v>1.145275728706131</v>
      </c>
      <c r="BX100">
        <f t="shared" si="115"/>
        <v>0.99478090890235205</v>
      </c>
      <c r="BY100">
        <f>$X100^-Parameters!$B$52/(1-2*Parameters!$B$5*'6states'!$E100/'6states'!$H100)</f>
        <v>1.1389417055492395</v>
      </c>
      <c r="BZ100">
        <f t="shared" si="116"/>
        <v>0.99762844091812442</v>
      </c>
      <c r="CA100" s="7">
        <f>($X100^-Parameters!$B$52*(1/(1+EXP(-C100)) + IF(C100&lt;0,2*Parameters!$B$6*C100/F100,0)) + BS100*(1/(1+EXP((C100-Parameters!$B$22)*Parameters!$B$21))))/(1-IF(C100&gt;0,2*Parameters!$B$5*C100/F100,0))</f>
        <v>0.53739197786981785</v>
      </c>
      <c r="CB100">
        <f t="shared" si="117"/>
        <v>1.0012706109835359</v>
      </c>
      <c r="CC100" s="7">
        <f t="shared" si="118"/>
        <v>6.8194965682122355E-4</v>
      </c>
    </row>
    <row r="101" spans="1:81" x14ac:dyDescent="0.3">
      <c r="A101">
        <f>A100+Parameters!$B$65</f>
        <v>97</v>
      </c>
      <c r="B101">
        <v>2122</v>
      </c>
      <c r="C101" s="74">
        <v>6.7281609045212096E-4</v>
      </c>
      <c r="D101" s="69">
        <v>8.68662971310004E-2</v>
      </c>
      <c r="E101" s="75">
        <v>0.22513021166771999</v>
      </c>
      <c r="F101" s="7">
        <f>MAX((1-Parameters!$B$4)^Parameters!B$65*F100 + C100*Parameters!B$65 - IF(C100&gt;0,Parameters!$B$5,0)*C100^2/F100*Parameters!B$65, 0.0001)</f>
        <v>1.6172874045901963E-2</v>
      </c>
      <c r="G101" s="7">
        <f>(1-Parameters!$B$4)^Parameters!B$65*G100+D100*Parameters!B$65-Parameters!$B$5*D100^2/G100*Parameters!B$65</f>
        <v>1.3174261947101114</v>
      </c>
      <c r="H101" s="7">
        <f>(1-Parameters!$B$4)^Parameters!B$65*H100+E100*Parameters!B$65-Parameters!$B$5*E100^2/H100*Parameters!B$65</f>
        <v>3.2280339998946275</v>
      </c>
      <c r="I101" s="7">
        <f>I100 *(1-Parameters!$B$4)-C100*(C100&lt;0)*Parameters!B$65</f>
        <v>3.3663652309840977E-4</v>
      </c>
      <c r="J101" s="23">
        <f>J100*(1+Parameters!$B$51)^Parameters!B$65</f>
        <v>10.806384002577927</v>
      </c>
      <c r="K101" s="23">
        <f>K100*(1+Parameters!$B$53)^Parameters!B$65</f>
        <v>61.800132899971949</v>
      </c>
      <c r="L101" s="23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3.3923623978634545</v>
      </c>
      <c r="M101" s="8">
        <f>M100+L101*Parameters!B$65</f>
        <v>3606.3534371970554</v>
      </c>
      <c r="N101" s="7">
        <f>M101*Parameters!$B$45</f>
        <v>2.1638120623182329</v>
      </c>
      <c r="O101" s="9">
        <f>EXP(-Parameters!$B$46/2*N101^2)</f>
        <v>0.95403499049152185</v>
      </c>
      <c r="P101" s="7">
        <f>MAX((Parameters!$B$62 + Parameters!$B$31*'6states'!A101 - '6states'!M101 + Parameters!$B$47/Parameters!$B$45)/Parameters!B$62,1)</f>
        <v>78.080931256058904</v>
      </c>
      <c r="Q101" s="7">
        <f>Parameters!B$61*EXP(-Parameters!B$60*A101)</f>
        <v>3.6437851051915653E-2</v>
      </c>
      <c r="R101" s="7">
        <f>(1-Parameters!B$61)*P101^-Parameters!B$63</f>
        <v>0.32338174923583834</v>
      </c>
      <c r="S101" s="7">
        <f>Parameters!B$61*EXP(-Parameters!B$60*A101)+(1-Parameters!B$61)*P101^-Parameters!B$63</f>
        <v>0.359819600287754</v>
      </c>
      <c r="T101" s="7">
        <f>1-S101/Parameters!$B$12</f>
        <v>0.82009019985612297</v>
      </c>
      <c r="U101" s="7">
        <f t="shared" si="102"/>
        <v>5.5583408974957589</v>
      </c>
      <c r="V101" s="7">
        <f>(Parameters!$B$19*(F101+Parameters!$B$20)^T101+Parameters!$B$18*G101^T101)^(1/T101)</f>
        <v>0.3431873924148035</v>
      </c>
      <c r="W101" s="7">
        <f>(Parameters!$B$10*H101^Parameters!$B$9+Parameters!$B$11*V101^Parameters!$B$9)^(Parameters!$B$7/Parameters!$B$9)*O101</f>
        <v>1.3194760227024294</v>
      </c>
      <c r="X101" s="7">
        <f>W101 - D101 - E101 - LN(1+EXP(Parameters!$B$21*C101))/Parameters!$B$21 - IF(C101&gt;0, 0,Parameters!$B$6*C101^2/F101)</f>
        <v>1.0048156684396041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-0.65931140519178766</v>
      </c>
      <c r="AC101" s="23">
        <f t="shared" si="103"/>
        <v>0.44933078473512628</v>
      </c>
      <c r="AD101" s="23">
        <f t="shared" si="104"/>
        <v>58.012437590008318</v>
      </c>
      <c r="AE101" s="23">
        <f t="shared" si="105"/>
        <v>0.22481797810850213</v>
      </c>
      <c r="AF101" s="23">
        <f t="shared" si="106"/>
        <v>10.800826986144468</v>
      </c>
      <c r="AG101" s="23">
        <f t="shared" si="107"/>
        <v>879.82459739022966</v>
      </c>
      <c r="AH101" s="23">
        <f t="shared" si="108"/>
        <v>229.1928842565618</v>
      </c>
      <c r="AI101" s="23">
        <f t="shared" si="109"/>
        <v>564.06113740300088</v>
      </c>
      <c r="AJ101" s="23">
        <f t="shared" si="110"/>
        <v>881.19354625074413</v>
      </c>
      <c r="AK101" s="23">
        <f t="shared" si="111"/>
        <v>671.05204411910108</v>
      </c>
      <c r="AL101" s="9">
        <f t="shared" si="122"/>
        <v>2.2594040843085139E-2</v>
      </c>
      <c r="AM101" s="9">
        <f t="shared" si="123"/>
        <v>1.7568876891714602E-2</v>
      </c>
      <c r="AN101" s="9">
        <f t="shared" ref="AN101:AO101" si="156">AVERAGE(AL99:AL103)</f>
        <v>2.2623575898588478E-2</v>
      </c>
      <c r="AO101" s="9">
        <f t="shared" si="156"/>
        <v>2.1058688054453968E-2</v>
      </c>
      <c r="AP101" s="23"/>
      <c r="AQ101" s="25">
        <f t="shared" si="100"/>
        <v>881.19354625074413</v>
      </c>
      <c r="AR101" s="4"/>
      <c r="AS101" s="4"/>
      <c r="AT101" s="4"/>
      <c r="AU101" s="16"/>
      <c r="AV101" s="16"/>
      <c r="AX101" s="13">
        <f>1-W101/'6states,ExoDamages'!T101</f>
        <v>9.5268501043593967E-2</v>
      </c>
      <c r="AY101" s="21">
        <f>-Y101*W101*X101^(-Parameters!B$52)*Parameters!B$46*Parameters!B$45*N101</f>
        <v>-7.9075251575885352E-6</v>
      </c>
      <c r="AZ101" s="7">
        <f>1000*EXP(-(Parameters!$B$54)*'6states'!A101)*AQ101*Parameters!B$46*Parameters!B$45*N101</f>
        <v>0.76382827444801538</v>
      </c>
      <c r="BA101" s="7">
        <f>SUM(AZ101:AZ$204)*EXP(Parameters!$B$54*A101)</f>
        <v>1624.7993677884467</v>
      </c>
      <c r="BB101" s="43">
        <f t="shared" si="77"/>
        <v>0.23696476442883138</v>
      </c>
      <c r="BC101" s="30">
        <f>IF(C101&lt;0,Parameters!$B$6*AC101^2/AF101,0)</f>
        <v>0</v>
      </c>
      <c r="BD101" s="30">
        <f>Parameters!$B$5*AD101^2/AG101</f>
        <v>3.8251293781934712</v>
      </c>
      <c r="BE101" s="30">
        <f t="shared" si="113"/>
        <v>0</v>
      </c>
      <c r="BF101" s="30">
        <f t="shared" si="114"/>
        <v>6.593636704643982E-2</v>
      </c>
      <c r="BH101" s="5"/>
      <c r="BI101" s="5"/>
      <c r="BJ101" s="5"/>
      <c r="BM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-0.93075117251800643</v>
      </c>
      <c r="BN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-621.58910982586826</v>
      </c>
      <c r="BO101" s="7">
        <f t="shared" si="155"/>
        <v>2.039046049799359E-2</v>
      </c>
    </row>
    <row r="102" spans="1:81" x14ac:dyDescent="0.3">
      <c r="A102">
        <f>A101+Parameters!$B$65</f>
        <v>98</v>
      </c>
      <c r="B102">
        <v>2123</v>
      </c>
      <c r="C102" s="74">
        <v>6.7136322107167802E-4</v>
      </c>
      <c r="D102" s="69">
        <v>8.9674468499038401E-2</v>
      </c>
      <c r="E102" s="75">
        <v>0.211795561981895</v>
      </c>
      <c r="F102" s="7">
        <f>MAX((1-Parameters!$B$4)^Parameters!B$65*F101 + C101*Parameters!B$65 - IF(C101&gt;0,Parameters!$B$5,0)*C101^2/F101*Parameters!B$65, 0.0001)</f>
        <v>1.5800426189012905E-2</v>
      </c>
      <c r="G102" s="7">
        <f>(1-Parameters!$B$4)^Parameters!B$65*G101+D101*Parameters!B$65-Parameters!$B$5*D101^2/G101*Parameters!B$65</f>
        <v>1.3156987361422512</v>
      </c>
      <c r="H102" s="7">
        <f>(1-Parameters!$B$4)^Parameters!B$65*H101+E101*Parameters!B$65-Parameters!$B$5*E101^2/H101*Parameters!B$65</f>
        <v>3.2344197954068408</v>
      </c>
      <c r="I102" s="7">
        <f>I101 *(1-Parameters!$B$4)-C101*(C101&lt;0)*Parameters!B$65</f>
        <v>3.154620857955198E-4</v>
      </c>
      <c r="J102" s="23">
        <f>J101*(1+Parameters!$B$51)^Parameters!B$65</f>
        <v>10.837722516185401</v>
      </c>
      <c r="K102" s="23">
        <f>K101*(1+Parameters!$B$53)^Parameters!B$65</f>
        <v>63.036135557971392</v>
      </c>
      <c r="L102" s="23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3.3651948146268413</v>
      </c>
      <c r="M102" s="8">
        <f>M101+L102*Parameters!B$65</f>
        <v>3609.7186320116821</v>
      </c>
      <c r="N102" s="7">
        <f>M102*Parameters!$B$45</f>
        <v>2.1658311792070091</v>
      </c>
      <c r="O102" s="9">
        <f>EXP(-Parameters!$B$46/2*N102^2)</f>
        <v>0.95395117489100378</v>
      </c>
      <c r="P102" s="7">
        <f>MAX((Parameters!$B$62 + Parameters!$B$31*'6states'!A102 - '6states'!M102 + Parameters!$B$47/Parameters!$B$45)/Parameters!B$62,1)</f>
        <v>79.077627359766367</v>
      </c>
      <c r="Q102" s="7">
        <f>Parameters!B$61*EXP(-Parameters!B$60*A102)</f>
        <v>3.5467191938371473E-2</v>
      </c>
      <c r="R102" s="7">
        <f>(1-Parameters!B$61)*P102^-Parameters!B$63</f>
        <v>0.32297182778561123</v>
      </c>
      <c r="S102" s="7">
        <f>Parameters!B$61*EXP(-Parameters!B$60*A102)+(1-Parameters!B$61)*P102^-Parameters!B$63</f>
        <v>0.35843901972398273</v>
      </c>
      <c r="T102" s="7">
        <f>1-S102/Parameters!$B$12</f>
        <v>0.82078049013800869</v>
      </c>
      <c r="U102" s="7">
        <f t="shared" si="102"/>
        <v>5.5797496643644093</v>
      </c>
      <c r="V102" s="7">
        <f>(Parameters!$B$19*(F102+Parameters!$B$20)^T102+Parameters!$B$18*G102^T102)^(1/T102)</f>
        <v>0.34265629203988129</v>
      </c>
      <c r="W102" s="7">
        <f>(Parameters!$B$10*H102^Parameters!$B$9+Parameters!$B$11*V102^Parameters!$B$9)^(Parameters!$B$7/Parameters!$B$9)*O102</f>
        <v>1.3197148919736894</v>
      </c>
      <c r="X102" s="7">
        <f>W102 - D102 - E102 - LN(1+EXP(Parameters!$B$21*C102))/Parameters!$B$21 - IF(C102&gt;0, 0,Parameters!$B$6*C102^2/F102)</f>
        <v>1.0155818154506295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-0.64701263348986704</v>
      </c>
      <c r="AC102" s="23">
        <f t="shared" si="103"/>
        <v>0.45865396681053744</v>
      </c>
      <c r="AD102" s="23">
        <f t="shared" si="104"/>
        <v>61.262740358425667</v>
      </c>
      <c r="AE102" s="23">
        <f t="shared" si="105"/>
        <v>0.21551364818209734</v>
      </c>
      <c r="AF102" s="23">
        <f t="shared" si="106"/>
        <v>10.794347860342731</v>
      </c>
      <c r="AG102" s="23">
        <f t="shared" si="107"/>
        <v>898.84346583058766</v>
      </c>
      <c r="AH102" s="23">
        <f t="shared" si="108"/>
        <v>234.09186363502374</v>
      </c>
      <c r="AI102" s="23">
        <f t="shared" si="109"/>
        <v>576.11789862965304</v>
      </c>
      <c r="AJ102" s="23">
        <f t="shared" si="110"/>
        <v>901.587175562673</v>
      </c>
      <c r="AK102" s="23">
        <f t="shared" si="111"/>
        <v>693.8131456375196</v>
      </c>
      <c r="AL102" s="9">
        <f t="shared" si="122"/>
        <v>2.287944745444026E-2</v>
      </c>
      <c r="AM102" s="9">
        <f t="shared" si="123"/>
        <v>3.3355985667885335E-2</v>
      </c>
      <c r="AN102" s="9">
        <f t="shared" ref="AN102:AO102" si="157">AVERAGE(AL100:AL104)</f>
        <v>2.2711703111489002E-2</v>
      </c>
      <c r="AO102" s="9">
        <f t="shared" si="157"/>
        <v>2.2466276822576247E-2</v>
      </c>
      <c r="AP102" s="23"/>
      <c r="AQ102" s="25">
        <f t="shared" si="100"/>
        <v>901.58717556267288</v>
      </c>
      <c r="AR102" s="4"/>
      <c r="AS102" s="4"/>
      <c r="AT102" s="4"/>
      <c r="AU102" s="16"/>
      <c r="AV102" s="16"/>
      <c r="AX102" s="13">
        <f>1-W102/'6states,ExoDamages'!T102</f>
        <v>9.5009012014240724E-2</v>
      </c>
      <c r="AY102" s="21">
        <f>-Y102*W102*X102^(-Parameters!B$52)*Parameters!B$46*Parameters!B$45*N102</f>
        <v>-7.6863103469241786E-6</v>
      </c>
      <c r="AZ102" s="7">
        <f>1000*EXP(-(Parameters!$B$54)*'6states'!A102)*AQ102*Parameters!B$46*Parameters!B$45*N102</f>
        <v>0.75525476854221352</v>
      </c>
      <c r="BA102" s="7">
        <f>SUM(AZ102:AZ$204)*EXP(Parameters!$B$54*A102)</f>
        <v>1659.0258073420559</v>
      </c>
      <c r="BB102" s="43">
        <f t="shared" si="77"/>
        <v>0.22894444515219486</v>
      </c>
      <c r="BC102" s="30">
        <f>IF(C102&lt;0,Parameters!$B$6*AC102^2/AF102,0)</f>
        <v>0</v>
      </c>
      <c r="BD102" s="30">
        <f>Parameters!$B$5*AD102^2/AG102</f>
        <v>4.175502742021667</v>
      </c>
      <c r="BE102" s="30">
        <f t="shared" si="113"/>
        <v>0</v>
      </c>
      <c r="BF102" s="30">
        <f t="shared" si="114"/>
        <v>6.8157296222668834E-2</v>
      </c>
      <c r="BH102" s="5"/>
      <c r="BI102" s="5"/>
      <c r="BJ102" s="5"/>
      <c r="BM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-0.95488397932765756</v>
      </c>
      <c r="BN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-652.34631748721074</v>
      </c>
      <c r="BO102" s="7">
        <f t="shared" si="155"/>
        <v>1.9574601189599635E-2</v>
      </c>
    </row>
    <row r="103" spans="1:81" x14ac:dyDescent="0.3">
      <c r="A103">
        <f>A102+Parameters!$B$65</f>
        <v>99</v>
      </c>
      <c r="B103">
        <v>2124</v>
      </c>
      <c r="C103" s="74">
        <v>6.4094002457533601E-4</v>
      </c>
      <c r="D103" s="69">
        <v>9.0434779061718304E-2</v>
      </c>
      <c r="E103" s="75">
        <v>0.22582499823378599</v>
      </c>
      <c r="F103" s="7">
        <f>MAX((1-Parameters!$B$4)^Parameters!B$65*F102 + C102*Parameters!B$65 - IF(C102&gt;0,Parameters!$B$5,0)*C102^2/F102*Parameters!B$65, 0.0001)</f>
        <v>1.5449416247290074E-2</v>
      </c>
      <c r="G103" s="7">
        <f>(1-Parameters!$B$4)^Parameters!B$65*G102+D102*Parameters!B$65-Parameters!$B$5*D102^2/G102*Parameters!B$65</f>
        <v>1.3165037848248429</v>
      </c>
      <c r="H103" s="7">
        <f>(1-Parameters!$B$4)^Parameters!B$65*H102+E102*Parameters!B$65-Parameters!$B$5*E102^2/H102*Parameters!B$65</f>
        <v>3.2289016020914096</v>
      </c>
      <c r="I103" s="7">
        <f>I102 *(1-Parameters!$B$4)-C102*(C102&lt;0)*Parameters!B$65</f>
        <v>2.9561952059898162E-4</v>
      </c>
      <c r="J103" s="23">
        <f>J102*(1+Parameters!$B$51)^Parameters!B$65</f>
        <v>10.869151911482337</v>
      </c>
      <c r="K103" s="23">
        <f>K102*(1+Parameters!$B$53)^Parameters!B$65</f>
        <v>64.296858269130823</v>
      </c>
      <c r="L103" s="23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3.3411151378338508</v>
      </c>
      <c r="M103" s="8">
        <f>M102+L103*Parameters!B$65</f>
        <v>3613.0597471495157</v>
      </c>
      <c r="N103" s="7">
        <f>M103*Parameters!$B$45</f>
        <v>2.1678358482897093</v>
      </c>
      <c r="O103" s="9">
        <f>EXP(-Parameters!$B$46/2*N103^2)</f>
        <v>0.95386788899119312</v>
      </c>
      <c r="P103" s="7">
        <f>MAX((Parameters!$B$62 + Parameters!$B$31*'6states'!A103 - '6states'!M103 + Parameters!$B$47/Parameters!$B$45)/Parameters!B$62,1)</f>
        <v>80.074805057009684</v>
      </c>
      <c r="Q103" s="7">
        <f>Parameters!B$61*EXP(-Parameters!B$60*A103)</f>
        <v>3.4522389978515207E-2</v>
      </c>
      <c r="R103" s="7">
        <f>(1-Parameters!B$61)*P103^-Parameters!B$63</f>
        <v>0.32256735667127151</v>
      </c>
      <c r="S103" s="7">
        <f>Parameters!B$61*EXP(-Parameters!B$60*A103)+(1-Parameters!B$61)*P103^-Parameters!B$63</f>
        <v>0.35708974664978671</v>
      </c>
      <c r="T103" s="7">
        <f>1-S103/Parameters!$B$12</f>
        <v>0.82145512667510667</v>
      </c>
      <c r="U103" s="7">
        <f t="shared" si="102"/>
        <v>5.6008328963908518</v>
      </c>
      <c r="V103" s="7">
        <f>(Parameters!$B$19*(F103+Parameters!$B$20)^T103+Parameters!$B$18*G103^T103)^(1/T103)</f>
        <v>0.34274702849536909</v>
      </c>
      <c r="W103" s="7">
        <f>(Parameters!$B$10*H103^Parameters!$B$9+Parameters!$B$11*V103^Parameters!$B$9)^(Parameters!$B$7/Parameters!$B$9)*O103</f>
        <v>1.3191635059460443</v>
      </c>
      <c r="X103" s="7">
        <f>W103 - D103 - E103 - LN(1+EXP(Parameters!$B$21*C103))/Parameters!$B$21 - IF(C103&gt;0, 0,Parameters!$B$6*C103^2/F103)</f>
        <v>1.0002573865556159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-0.64071665914233389</v>
      </c>
      <c r="AC103" s="23">
        <f t="shared" si="103"/>
        <v>0.44792242312855995</v>
      </c>
      <c r="AD103" s="23">
        <f t="shared" si="104"/>
        <v>63.200555152191995</v>
      </c>
      <c r="AE103" s="23">
        <f t="shared" si="105"/>
        <v>0.20659438779553871</v>
      </c>
      <c r="AF103" s="23">
        <f t="shared" si="106"/>
        <v>10.796860386419075</v>
      </c>
      <c r="AG103" s="23">
        <f t="shared" si="107"/>
        <v>920.04172425863476</v>
      </c>
      <c r="AH103" s="23">
        <f t="shared" si="108"/>
        <v>239.52955602277899</v>
      </c>
      <c r="AI103" s="23">
        <f t="shared" si="109"/>
        <v>589.50047358626205</v>
      </c>
      <c r="AJ103" s="23">
        <f t="shared" si="110"/>
        <v>921.9004765346283</v>
      </c>
      <c r="AK103" s="23">
        <f t="shared" si="111"/>
        <v>699.03219514975046</v>
      </c>
      <c r="AL103" s="9">
        <f t="shared" si="122"/>
        <v>2.2280536172453402E-2</v>
      </c>
      <c r="AM103" s="9">
        <f t="shared" si="123"/>
        <v>7.4941183853152182E-3</v>
      </c>
      <c r="AN103" s="9">
        <f t="shared" ref="AN103:AO103" si="158">AVERAGE(AL101:AL105)</f>
        <v>2.2721515938851057E-2</v>
      </c>
      <c r="AO103" s="9">
        <f t="shared" si="158"/>
        <v>2.2247578476427065E-2</v>
      </c>
      <c r="AP103" s="23"/>
      <c r="AQ103" s="25">
        <f t="shared" si="100"/>
        <v>921.9004765346283</v>
      </c>
      <c r="AR103" s="4"/>
      <c r="AS103" s="4"/>
      <c r="AT103" s="4"/>
      <c r="AU103" s="16"/>
      <c r="AV103" s="16"/>
      <c r="AX103" s="13">
        <f>1-W103/'6states,ExoDamages'!T103</f>
        <v>9.5293235773671436E-2</v>
      </c>
      <c r="AY103" s="21">
        <f>-Y103*W103*X103^(-Parameters!B$52)*Parameters!B$46*Parameters!B$45*N103</f>
        <v>-7.7320494532096919E-6</v>
      </c>
      <c r="AZ103" s="7">
        <f>1000*EXP(-(Parameters!$B$54)*'6states'!A103)*AQ103*Parameters!B$46*Parameters!B$45*N103</f>
        <v>0.74632475282937283</v>
      </c>
      <c r="BA103" s="7">
        <f>SUM(AZ103:AZ$204)*EXP(Parameters!$B$54*A103)</f>
        <v>1693.900994234981</v>
      </c>
      <c r="BB103" s="43">
        <f t="shared" si="77"/>
        <v>0.24022853565283614</v>
      </c>
      <c r="BC103" s="30">
        <f>IF(C103&lt;0,Parameters!$B$6*AC103^2/AF103,0)</f>
        <v>0</v>
      </c>
      <c r="BD103" s="30">
        <f>Parameters!$B$5*AD103^2/AG103</f>
        <v>4.3414445956392447</v>
      </c>
      <c r="BE103" s="30">
        <f t="shared" si="113"/>
        <v>0</v>
      </c>
      <c r="BF103" s="30">
        <f t="shared" si="114"/>
        <v>6.8693140197656474E-2</v>
      </c>
      <c r="BH103" s="5"/>
      <c r="BI103" s="5"/>
      <c r="BJ103" s="5"/>
      <c r="BM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-0.97892956365477779</v>
      </c>
      <c r="BN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-684.12719663584141</v>
      </c>
      <c r="BO103" s="7">
        <f t="shared" si="155"/>
        <v>1.8775411180829312E-2</v>
      </c>
    </row>
    <row r="104" spans="1:81" s="89" customFormat="1" x14ac:dyDescent="0.3">
      <c r="A104" s="89">
        <f>A103+Parameters!$B$65</f>
        <v>100</v>
      </c>
      <c r="B104" s="89">
        <v>2125</v>
      </c>
      <c r="C104" s="90">
        <v>6.1640834412347997E-4</v>
      </c>
      <c r="D104" s="91">
        <v>9.1315400248708004E-2</v>
      </c>
      <c r="E104" s="92">
        <v>0.21864180688649601</v>
      </c>
      <c r="F104" s="93">
        <f>MAX((1-Parameters!$B$4)^Parameters!B$65*F103 + C103*Parameters!B$65 - IF(C103&gt;0,Parameters!$B$5,0)*C103^2/F103*Parameters!B$65, 0.0001)</f>
        <v>1.5091997722128115E-2</v>
      </c>
      <c r="G104" s="93">
        <f>(1-Parameters!$B$4)^Parameters!B$65*G103+D103*Parameters!B$65-Parameters!$B$5*D103^2/G103*Parameters!B$65</f>
        <v>1.317918226864248</v>
      </c>
      <c r="H104" s="93">
        <f>(1-Parameters!$B$4)^Parameters!B$65*H103+E103*Parameters!B$65-Parameters!$B$5*E103^2/H103*Parameters!B$65</f>
        <v>3.2358347954955997</v>
      </c>
      <c r="I104" s="93">
        <f>I103 *(1-Parameters!$B$4)-C103*(C103&lt;0)*Parameters!B$65</f>
        <v>2.7702505275330571E-4</v>
      </c>
      <c r="J104" s="64">
        <f>J103*(1+Parameters!$B$51)^Parameters!B$65</f>
        <v>10.900672452025635</v>
      </c>
      <c r="K104" s="64">
        <f>K103*(1+Parameters!$B$53)^Parameters!B$65</f>
        <v>65.582795434513443</v>
      </c>
      <c r="L104" s="64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3.3138086267578535</v>
      </c>
      <c r="M104" s="95">
        <f>M103+L104*Parameters!B$65</f>
        <v>3616.3735557762734</v>
      </c>
      <c r="N104" s="93">
        <f>M104*Parameters!$B$45</f>
        <v>2.169824133465764</v>
      </c>
      <c r="O104" s="94">
        <f>EXP(-Parameters!$B$46/2*N104^2)</f>
        <v>0.9537852148581013</v>
      </c>
      <c r="P104" s="93">
        <f>MAX((Parameters!$B$62 + Parameters!$B$31*'6states'!A104 - '6states'!M104 + Parameters!$B$47/Parameters!$B$45)/Parameters!B$62,1)</f>
        <v>81.072528884474536</v>
      </c>
      <c r="Q104" s="93">
        <f>Parameters!B$61*EXP(-Parameters!B$60*A104)</f>
        <v>3.3602756369874878E-2</v>
      </c>
      <c r="R104" s="93">
        <f>(1-Parameters!B$61)*P104^-Parameters!B$63</f>
        <v>0.32216817157729644</v>
      </c>
      <c r="S104" s="93">
        <f>Parameters!B$61*EXP(-Parameters!B$60*A104)+(1-Parameters!B$61)*P104^-Parameters!B$63</f>
        <v>0.3557709279471713</v>
      </c>
      <c r="T104" s="93">
        <f>1-S104/Parameters!$B$12</f>
        <v>0.82211453602641438</v>
      </c>
      <c r="U104" s="93">
        <f t="shared" si="102"/>
        <v>5.6215948041065964</v>
      </c>
      <c r="V104" s="93">
        <f>(Parameters!$B$19*(F104+Parameters!$B$20)^T104+Parameters!$B$18*G104^T104)^(1/T104)</f>
        <v>0.34297056847222035</v>
      </c>
      <c r="W104" s="93">
        <f>(Parameters!$B$10*H104^Parameters!$B$9+Parameters!$B$11*V104^Parameters!$B$9)^(Parameters!$B$7/Parameters!$B$9)*O104</f>
        <v>1.3197168423353132</v>
      </c>
      <c r="X104" s="93">
        <f>W104 - D104 - E104 - LN(1+EXP(Parameters!$B$21*C104))/Parameters!$B$21 - IF(C104&gt;0, 0,Parameters!$B$6*C104^2/F104)</f>
        <v>1.0071267122101608</v>
      </c>
      <c r="Y104" s="93">
        <f>EXP(-Parameters!$B$55*A104)</f>
        <v>0.22090997795937814</v>
      </c>
      <c r="Z104" s="93">
        <f>IF(X104&gt;0,X104^(1-Parameters!$B$52)/(1-Parameters!$B$52)*Y104*Parameters!$B$65,-10+X104*1000)</f>
        <v>-0.62960453524792404</v>
      </c>
      <c r="AC104" s="23">
        <f t="shared" si="103"/>
        <v>0.44066821187009342</v>
      </c>
      <c r="AD104" s="23">
        <f t="shared" si="104"/>
        <v>65.281066564762682</v>
      </c>
      <c r="AE104" s="64">
        <f t="shared" si="105"/>
        <v>0.1980442604384392</v>
      </c>
      <c r="AF104" s="64">
        <f t="shared" si="106"/>
        <v>10.789217428934524</v>
      </c>
      <c r="AG104" s="64">
        <f t="shared" si="107"/>
        <v>942.17522192874867</v>
      </c>
      <c r="AH104" s="64">
        <f t="shared" si="108"/>
        <v>245.18848353299856</v>
      </c>
      <c r="AI104" s="64">
        <f t="shared" si="109"/>
        <v>603.42752502265148</v>
      </c>
      <c r="AJ104" s="64">
        <f t="shared" si="110"/>
        <v>943.46104596249575</v>
      </c>
      <c r="AK104" s="64">
        <f t="shared" si="111"/>
        <v>719.99143364508575</v>
      </c>
      <c r="AL104" s="94">
        <f t="shared" si="122"/>
        <v>2.3117802508754615E-2</v>
      </c>
      <c r="AM104" s="94">
        <f t="shared" si="123"/>
        <v>2.9542514181573942E-2</v>
      </c>
      <c r="AN104" s="9">
        <f t="shared" ref="AN104:AO104" si="159">AVERAGE(AL102:AL106)</f>
        <v>2.2742580767359754E-2</v>
      </c>
      <c r="AO104" s="9">
        <f t="shared" si="159"/>
        <v>2.2322751477135406E-2</v>
      </c>
      <c r="AP104" s="64"/>
      <c r="AQ104" s="96">
        <f t="shared" si="100"/>
        <v>943.46104596249575</v>
      </c>
      <c r="AR104" s="97"/>
      <c r="AS104" s="97"/>
      <c r="AT104" s="97"/>
      <c r="AU104" s="88"/>
      <c r="AV104" s="88"/>
      <c r="AX104" s="98">
        <f>1-W104/'6states,ExoDamages'!T104</f>
        <v>9.4821590137557199E-2</v>
      </c>
      <c r="AY104" s="99">
        <f>-Y104*W104*X104^(-Parameters!B$52)*Parameters!B$46*Parameters!B$45*N104</f>
        <v>-7.5562162664853754E-6</v>
      </c>
      <c r="AZ104" s="93">
        <f>1000*EXP(-(Parameters!$B$54)*'6states'!A104)*AQ104*Parameters!B$46*Parameters!B$45*N104</f>
        <v>0.73811186248672034</v>
      </c>
      <c r="BA104" s="93">
        <f>SUM(AZ104:AZ$204)*EXP(Parameters!$B$54*A104)</f>
        <v>1729.4494166955174</v>
      </c>
      <c r="BB104" s="43">
        <f t="shared" si="77"/>
        <v>0.23533352422005163</v>
      </c>
      <c r="BC104" s="30">
        <f>IF(C104&lt;0,Parameters!$B$6*AC104^2/AF104,0)</f>
        <v>0</v>
      </c>
      <c r="BD104" s="30">
        <f>Parameters!$B$5*AD104^2/AG104</f>
        <v>4.5231688890193054</v>
      </c>
      <c r="BE104" s="30">
        <f t="shared" si="113"/>
        <v>0</v>
      </c>
      <c r="BF104" s="30">
        <f t="shared" si="114"/>
        <v>6.9287607066469331E-2</v>
      </c>
      <c r="BG104" s="93"/>
      <c r="BH104" s="100"/>
      <c r="BI104" s="100"/>
      <c r="BJ104" s="100"/>
      <c r="BM104" s="89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-1.0014508790688397</v>
      </c>
      <c r="BN104" s="89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-715.93379999183674</v>
      </c>
      <c r="BO104" s="93">
        <f t="shared" si="155"/>
        <v>1.8024897015968089E-2</v>
      </c>
      <c r="CA104" s="93"/>
    </row>
    <row r="105" spans="1:81" x14ac:dyDescent="0.3">
      <c r="A105">
        <f>A104+Parameters!$B$65</f>
        <v>101</v>
      </c>
      <c r="B105">
        <v>2126</v>
      </c>
      <c r="C105" s="74">
        <v>6.0157341447470195E-4</v>
      </c>
      <c r="D105" s="69">
        <v>8.9100191384942601E-2</v>
      </c>
      <c r="E105" s="75">
        <v>0.220332110611972</v>
      </c>
      <c r="F105" s="7">
        <f>MAX((1-Parameters!$B$4)^Parameters!B$65*F104 + C104*Parameters!B$65 - IF(C104&gt;0,Parameters!$B$5,0)*C104^2/F104*Parameters!B$65, 0.0001)</f>
        <v>1.4733943203324249E-2</v>
      </c>
      <c r="G105" s="7">
        <f>(1-Parameters!$B$4)^Parameters!B$65*G104+D104*Parameters!B$65-Parameters!$B$5*D104^2/G104*Parameters!B$65</f>
        <v>1.3200095450716449</v>
      </c>
      <c r="H105" s="7">
        <f>(1-Parameters!$B$4)^Parameters!B$65*H104+E104*Parameters!B$65-Parameters!$B$5*E104^2/H104*Parameters!B$65</f>
        <v>3.2361692067402714</v>
      </c>
      <c r="I105" s="7">
        <f>I104 *(1-Parameters!$B$4)-C104*(C104&lt;0)*Parameters!B$65</f>
        <v>2.5960017693512277E-4</v>
      </c>
      <c r="J105" s="23">
        <f>J104*(1+Parameters!$B$51)^Parameters!B$65</f>
        <v>10.932284402136508</v>
      </c>
      <c r="K105" s="23">
        <f>K104*(1+Parameters!$B$53)^Parameters!B$65</f>
        <v>66.894451343203713</v>
      </c>
      <c r="L105" s="23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3.2845251992850137</v>
      </c>
      <c r="M105" s="8">
        <f>M104+L105*Parameters!B$65</f>
        <v>3619.6580809755583</v>
      </c>
      <c r="N105" s="7">
        <f>M105*Parameters!$B$45</f>
        <v>2.1717948485853347</v>
      </c>
      <c r="O105" s="9">
        <f>EXP(-Parameters!$B$46/2*N105^2)</f>
        <v>0.95370320358919347</v>
      </c>
      <c r="P105" s="7">
        <f>MAX((Parameters!$B$62 + Parameters!$B$31*'6states'!A105 - '6states'!M105 + Parameters!$B$47/Parameters!$B$45)/Parameters!B$62,1)</f>
        <v>82.070838380488851</v>
      </c>
      <c r="Q105" s="8"/>
      <c r="R105" s="8"/>
      <c r="S105" s="7">
        <f>Parameters!B$61*EXP(-Parameters!B$60*A105)+(1-Parameters!B$61)*P105^-Parameters!B$63</f>
        <v>0.35448174516964487</v>
      </c>
      <c r="T105" s="7">
        <f>1-S105/Parameters!$B$12</f>
        <v>0.82275912741517754</v>
      </c>
      <c r="U105" s="7">
        <f t="shared" si="102"/>
        <v>5.6420394766530411</v>
      </c>
      <c r="V105" s="7">
        <f>(Parameters!$B$19*(F105+Parameters!$B$20)^T105+Parameters!$B$18*G105^T105)^(1/T105)</f>
        <v>0.34334990975061397</v>
      </c>
      <c r="W105" s="7">
        <f>(Parameters!$B$10*H105^Parameters!$B$9+Parameters!$B$11*V105^Parameters!$B$9)^(Parameters!$B$7/Parameters!$B$9)*O105</f>
        <v>1.3197660981320383</v>
      </c>
      <c r="X105" s="7">
        <f>W105 - D105 - E105 - LN(1+EXP(Parameters!$B$21*C105))/Parameters!$B$21 - IF(C105&gt;0, 0,Parameters!$B$6*C105^2/F105)</f>
        <v>1.0077089663065646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-0.62004348461807068</v>
      </c>
      <c r="AC105" s="23">
        <f t="shared" si="103"/>
        <v>0.43993615263412517</v>
      </c>
      <c r="AD105" s="23">
        <f t="shared" si="104"/>
        <v>65.159786742045739</v>
      </c>
      <c r="AE105" s="23">
        <f t="shared" si="105"/>
        <v>0.18984798914975798</v>
      </c>
      <c r="AF105" s="23">
        <f t="shared" si="106"/>
        <v>10.775067730777815</v>
      </c>
      <c r="AG105" s="23">
        <f t="shared" si="107"/>
        <v>965.33508084999062</v>
      </c>
      <c r="AH105" s="23">
        <f t="shared" si="108"/>
        <v>251.0949364922632</v>
      </c>
      <c r="AI105" s="23">
        <f t="shared" si="109"/>
        <v>617.96375543411011</v>
      </c>
      <c r="AJ105" s="23">
        <f t="shared" si="110"/>
        <v>965.157045871376</v>
      </c>
      <c r="AK105" s="23">
        <f t="shared" si="111"/>
        <v>736.94680473693802</v>
      </c>
      <c r="AL105" s="9">
        <f t="shared" si="122"/>
        <v>2.2735752715521862E-2</v>
      </c>
      <c r="AM105" s="9">
        <f t="shared" si="123"/>
        <v>2.3276397255646231E-2</v>
      </c>
      <c r="AN105" s="9">
        <f t="shared" ref="AN105:AO105" si="160">AVERAGE(AL103:AL107)</f>
        <v>2.2758110809830791E-2</v>
      </c>
      <c r="AO105" s="9">
        <f t="shared" si="160"/>
        <v>2.0715221125439953E-2</v>
      </c>
      <c r="AP105" s="23"/>
      <c r="AQ105" s="25">
        <f t="shared" si="100"/>
        <v>965.157045871376</v>
      </c>
      <c r="AR105" s="4"/>
      <c r="AS105" s="4"/>
      <c r="AT105" s="4"/>
      <c r="AU105" s="16"/>
      <c r="AV105" s="16"/>
      <c r="AY105" s="21">
        <f>-Y105*W105*X105^(-Parameters!B$52)*Parameters!B$46*Parameters!B$45*N105</f>
        <v>-7.4442019167274586E-6</v>
      </c>
      <c r="AZ105" s="7">
        <f>1000*EXP(-(Parameters!$B$54)*'6states'!A105)*AQ105*Parameters!B$46*Parameters!B$45*N105</f>
        <v>0.72970399533925911</v>
      </c>
      <c r="BA105" s="93">
        <f>SUM(AZ105:AZ$204)*EXP(Parameters!$B$54*A105)</f>
        <v>1765.6604958595371</v>
      </c>
      <c r="BB105" s="43">
        <f t="shared" si="77"/>
        <v>0.2349157747347829</v>
      </c>
      <c r="BC105" s="30">
        <f>IF(C105&lt;0,Parameters!$B$6*AC105^2/AF105,0)</f>
        <v>0</v>
      </c>
      <c r="BD105" s="30">
        <f>Parameters!$B$5*AD105^2/AG105</f>
        <v>4.3982632481670478</v>
      </c>
      <c r="BE105" s="30">
        <f t="shared" si="113"/>
        <v>0</v>
      </c>
      <c r="BF105" s="30">
        <f t="shared" si="114"/>
        <v>6.7499656890819368E-2</v>
      </c>
      <c r="BH105" s="5"/>
      <c r="BI105" s="5"/>
      <c r="BJ105" s="5"/>
      <c r="BM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-1.0227145656475585</v>
      </c>
      <c r="BN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-747.92053709146796</v>
      </c>
      <c r="BO105" s="7">
        <f t="shared" si="155"/>
        <v>1.731413117975265E-2</v>
      </c>
    </row>
    <row r="106" spans="1:81" x14ac:dyDescent="0.3">
      <c r="A106">
        <f>A105+Parameters!$B$65</f>
        <v>102</v>
      </c>
      <c r="B106">
        <v>2127</v>
      </c>
      <c r="C106" s="74">
        <v>5.7738224440483695E-4</v>
      </c>
      <c r="D106" s="69">
        <v>9.1462395226000595E-2</v>
      </c>
      <c r="E106" s="75">
        <v>0.22276326919086101</v>
      </c>
      <c r="F106" s="7">
        <f>MAX((1-Parameters!$B$4)^Parameters!B$65*F105 + C105*Parameters!B$65 - IF(C105&gt;0,Parameters!$B$5,0)*C105^2/F105*Parameters!B$65, 0.0001)</f>
        <v>1.4384189898439001E-2</v>
      </c>
      <c r="G106" s="7">
        <f>(1-Parameters!$B$4)^Parameters!B$65*G105+D105*Parameters!B$65-Parameters!$B$5*D105^2/G105*Parameters!B$65</f>
        <v>1.320066903724191</v>
      </c>
      <c r="H106" s="7">
        <f>(1-Parameters!$B$4)^Parameters!B$65*H105+E105*Parameters!B$65-Parameters!$B$5*E105^2/H105*Parameters!B$65</f>
        <v>3.2379451306536828</v>
      </c>
      <c r="I106" s="7">
        <f>I105 *(1-Parameters!$B$4)-C105*(C105&lt;0)*Parameters!B$65</f>
        <v>2.4327132580590356E-4</v>
      </c>
      <c r="J106" s="23">
        <f>J105*(1+Parameters!$B$51)^Parameters!B$65</f>
        <v>10.963988026902703</v>
      </c>
      <c r="K106" s="23">
        <f>K105*(1+Parameters!$B$53)^Parameters!B$65</f>
        <v>68.232340370067789</v>
      </c>
      <c r="L106" s="23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3.2553519930323835</v>
      </c>
      <c r="M106" s="8">
        <f>M105+L106*Parameters!B$65</f>
        <v>3622.9134329685908</v>
      </c>
      <c r="N106" s="7">
        <f>M106*Parameters!$B$45</f>
        <v>2.1737480597811545</v>
      </c>
      <c r="O106" s="9">
        <f>EXP(-Parameters!$B$46/2*N106^2)</f>
        <v>0.95362185425031176</v>
      </c>
      <c r="P106" s="7">
        <f>MAX((Parameters!$B$62 + Parameters!$B$31*'6states'!A106 - '6states'!M106 + Parameters!$B$47/Parameters!$B$45)/Parameters!B$62,1)</f>
        <v>83.069731340628209</v>
      </c>
      <c r="Q106" s="8"/>
      <c r="R106" s="8"/>
      <c r="S106" s="7">
        <f>Parameters!B$61*EXP(-Parameters!B$60*A106)+(1-Parameters!B$61)*P106^-Parameters!B$63</f>
        <v>0.35322141954916997</v>
      </c>
      <c r="T106" s="7">
        <f>1-S106/Parameters!$B$12</f>
        <v>0.82338929022541496</v>
      </c>
      <c r="U106" s="7">
        <f t="shared" si="102"/>
        <v>5.662170778184052</v>
      </c>
      <c r="V106" s="7">
        <f>(Parameters!$B$19*(F106+Parameters!$B$20)^T106+Parameters!$B$18*G106^T106)^(1/T106)</f>
        <v>0.34324619333904788</v>
      </c>
      <c r="W106" s="7">
        <f>(Parameters!$B$10*H106^Parameters!$B$9+Parameters!$B$11*V106^Parameters!$B$9)^(Parameters!$B$7/Parameters!$B$9)*O106</f>
        <v>1.3197673315562135</v>
      </c>
      <c r="X106" s="7">
        <f>W106 - D106 - E106 - LN(1+EXP(Parameters!$B$21*C106))/Parameters!$B$21 - IF(C106&gt;0, 0,Parameters!$B$6*C106^2/F106)</f>
        <v>1.0029299996279497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-0.61176816968357151</v>
      </c>
      <c r="AC106" s="23">
        <f t="shared" si="103"/>
        <v>0.43193882726301125</v>
      </c>
      <c r="AD106" s="23">
        <f t="shared" si="104"/>
        <v>68.422886424759227</v>
      </c>
      <c r="AE106" s="23">
        <f t="shared" si="105"/>
        <v>0.18199092922165311</v>
      </c>
      <c r="AF106" s="23">
        <f t="shared" si="106"/>
        <v>10.760791790999081</v>
      </c>
      <c r="AG106" s="23">
        <f t="shared" si="107"/>
        <v>987.54015356168225</v>
      </c>
      <c r="AH106" s="23">
        <f t="shared" si="108"/>
        <v>256.78198394581443</v>
      </c>
      <c r="AI106" s="23">
        <f t="shared" si="109"/>
        <v>631.96001219190737</v>
      </c>
      <c r="AJ106" s="23">
        <f t="shared" si="110"/>
        <v>987.31604405334383</v>
      </c>
      <c r="AK106" s="23">
        <f t="shared" si="111"/>
        <v>750.29049137583729</v>
      </c>
      <c r="AL106" s="9">
        <f t="shared" si="122"/>
        <v>2.2699364985628634E-2</v>
      </c>
      <c r="AM106" s="9">
        <f t="shared" si="123"/>
        <v>1.79447418952563E-2</v>
      </c>
      <c r="AN106" s="9">
        <f t="shared" ref="AN106:AO106" si="161">AVERAGE(AL104:AL108)</f>
        <v>2.2864133510780073E-2</v>
      </c>
      <c r="AO106" s="9">
        <f t="shared" si="161"/>
        <v>2.2359240935115744E-2</v>
      </c>
      <c r="AP106" s="23"/>
      <c r="AQ106" s="25">
        <f t="shared" si="100"/>
        <v>987.31604405334383</v>
      </c>
      <c r="AR106" s="4"/>
      <c r="AS106" s="4"/>
      <c r="AT106" s="4"/>
      <c r="AU106" s="16"/>
      <c r="AV106" s="16"/>
      <c r="AY106" s="21">
        <f>-Y106*W106*X106^(-Parameters!B$52)*Parameters!B$46*Parameters!B$45*N106</f>
        <v>-7.3864912598638898E-6</v>
      </c>
      <c r="AZ106" s="7">
        <f>1000*EXP(-(Parameters!$B$54)*'6states'!A106)*AQ106*Parameters!B$46*Parameters!B$45*N106</f>
        <v>0.72135925061191342</v>
      </c>
      <c r="BA106" s="93">
        <f>SUM(AZ106:AZ$204)*EXP(Parameters!$B$54*A106)</f>
        <v>1802.5533709651158</v>
      </c>
      <c r="BB106" s="43">
        <f t="shared" si="77"/>
        <v>0.23852920066604777</v>
      </c>
      <c r="BC106" s="30">
        <f>IF(C106&lt;0,Parameters!$B$6*AC106^2/AF106,0)</f>
        <v>0</v>
      </c>
      <c r="BD106" s="30">
        <f>Parameters!$B$5*AD106^2/AG106</f>
        <v>4.7407605349619635</v>
      </c>
      <c r="BE106" s="30">
        <f t="shared" si="113"/>
        <v>0</v>
      </c>
      <c r="BF106" s="30">
        <f t="shared" si="114"/>
        <v>6.9286181607890934E-2</v>
      </c>
      <c r="BH106" s="5"/>
      <c r="BI106" s="5"/>
      <c r="BJ106" s="5"/>
      <c r="BM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-1.0431644166129905</v>
      </c>
      <c r="BN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-780.38980090005634</v>
      </c>
      <c r="BO106" s="7">
        <f t="shared" si="155"/>
        <v>1.6631137972369616E-2</v>
      </c>
    </row>
    <row r="107" spans="1:81" x14ac:dyDescent="0.3">
      <c r="A107">
        <f>A106+Parameters!$B$65</f>
        <v>103</v>
      </c>
      <c r="B107">
        <v>2128</v>
      </c>
      <c r="C107" s="74">
        <v>5.6347934256948404E-4</v>
      </c>
      <c r="D107" s="69">
        <v>9.1326940952727503E-2</v>
      </c>
      <c r="E107" s="75">
        <v>0.220616668191047</v>
      </c>
      <c r="F107" s="7">
        <f>MAX((1-Parameters!$B$4)^Parameters!B$65*F106 + C106*Parameters!B$65 - IF(C106&gt;0,Parameters!$B$5,0)*C106^2/F106*Parameters!B$65, 0.0001)</f>
        <v>1.403363044034564E-2</v>
      </c>
      <c r="G107" s="7">
        <f>(1-Parameters!$B$4)^Parameters!B$65*G106+D106*Parameters!B$65-Parameters!$B$5*D106^2/G106*Parameters!B$65</f>
        <v>1.3221600105800186</v>
      </c>
      <c r="H107" s="7">
        <f>(1-Parameters!$B$4)^Parameters!B$65*H106+E106*Parameters!B$65-Parameters!$B$5*E106^2/H106*Parameters!B$65</f>
        <v>3.241716044268296</v>
      </c>
      <c r="I107" s="7">
        <f>I106 *(1-Parameters!$B$4)-C106*(C106&lt;0)*Parameters!B$65</f>
        <v>2.2796955941271224E-4</v>
      </c>
      <c r="J107" s="23">
        <f>J106*(1+Parameters!$B$51)^Parameters!B$65</f>
        <v>10.99578359218072</v>
      </c>
      <c r="K107" s="23">
        <f>K106*(1+Parameters!$B$53)^Parameters!B$65</f>
        <v>69.596987177469146</v>
      </c>
      <c r="L107" s="23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3.2241162813817703</v>
      </c>
      <c r="M107" s="8">
        <f>M106+L107*Parameters!B$65</f>
        <v>3626.1375492499724</v>
      </c>
      <c r="N107" s="7">
        <f>M107*Parameters!$B$45</f>
        <v>2.1756825295499831</v>
      </c>
      <c r="O107" s="9">
        <f>EXP(-Parameters!$B$46/2*N107^2)</f>
        <v>0.95354122024238286</v>
      </c>
      <c r="P107" s="7">
        <f>MAX((Parameters!$B$62 + Parameters!$B$31*'6states'!A107 - '6states'!M107 + Parameters!$B$47/Parameters!$B$45)/Parameters!B$62,1)</f>
        <v>84.069249015000565</v>
      </c>
      <c r="Q107" s="8"/>
      <c r="R107" s="8"/>
      <c r="S107" s="7">
        <f>Parameters!B$61*EXP(-Parameters!B$60*A107)+(1-Parameters!B$61)*P107^-Parameters!B$63</f>
        <v>0.3519891776522327</v>
      </c>
      <c r="T107" s="7">
        <f>1-S107/Parameters!$B$12</f>
        <v>0.82400541117388371</v>
      </c>
      <c r="U107" s="7">
        <f t="shared" si="102"/>
        <v>5.6819928764287519</v>
      </c>
      <c r="V107" s="7">
        <f>(Parameters!$B$19*(F107+Parameters!$B$20)^T107+Parameters!$B$18*G107^T107)^(1/T107)</f>
        <v>0.34362376315672355</v>
      </c>
      <c r="W107" s="7">
        <f>(Parameters!$B$10*H107^Parameters!$B$9+Parameters!$B$11*V107^Parameters!$B$9)^(Parameters!$B$7/Parameters!$B$9)*O107</f>
        <v>1.3201087563096436</v>
      </c>
      <c r="X107" s="7">
        <f>W107 - D107 - E107 - LN(1+EXP(Parameters!$B$21*C107))/Parameters!$B$21 - IF(C107&gt;0, 0,Parameters!$B$6*C107^2/F107)</f>
        <v>1.0055610244560924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-0.602047554764641</v>
      </c>
      <c r="AC107" s="23">
        <f t="shared" si="103"/>
        <v>0.43121575776745052</v>
      </c>
      <c r="AD107" s="23">
        <f t="shared" si="104"/>
        <v>69.890079497736608</v>
      </c>
      <c r="AE107" s="23">
        <f t="shared" si="105"/>
        <v>0.17445904203301368</v>
      </c>
      <c r="AF107" s="23">
        <f t="shared" si="106"/>
        <v>10.739564217149235</v>
      </c>
      <c r="AG107" s="23">
        <f t="shared" si="107"/>
        <v>1011.8138994275167</v>
      </c>
      <c r="AH107" s="23">
        <f t="shared" si="108"/>
        <v>262.96612887500407</v>
      </c>
      <c r="AI107" s="23">
        <f t="shared" si="109"/>
        <v>647.17966368300222</v>
      </c>
      <c r="AJ107" s="23">
        <f t="shared" si="110"/>
        <v>1010.2441290779241</v>
      </c>
      <c r="AK107" s="23">
        <f t="shared" si="111"/>
        <v>769.52911381800618</v>
      </c>
      <c r="AL107" s="9">
        <f t="shared" si="122"/>
        <v>2.2957097666795434E-2</v>
      </c>
      <c r="AM107" s="9">
        <f t="shared" si="123"/>
        <v>2.5318333909408075E-2</v>
      </c>
      <c r="AN107" s="9">
        <f t="shared" ref="AN107:AO107" si="162">AVERAGE(AL105:AL109)</f>
        <v>2.2878968101782072E-2</v>
      </c>
      <c r="AO107" s="9">
        <f t="shared" si="162"/>
        <v>2.2748630842491301E-2</v>
      </c>
      <c r="AP107" s="23"/>
      <c r="AQ107" s="25">
        <f t="shared" si="100"/>
        <v>1010.2441290779242</v>
      </c>
      <c r="AR107" s="4"/>
      <c r="AS107" s="4"/>
      <c r="AT107" s="4"/>
      <c r="AU107" s="16"/>
      <c r="AV107" s="16"/>
      <c r="AY107" s="21">
        <f>-Y107*W107*X107^(-Parameters!B$52)*Parameters!B$46*Parameters!B$45*N107</f>
        <v>-7.2584343545553509E-6</v>
      </c>
      <c r="AZ107" s="7">
        <f>1000*EXP(-(Parameters!$B$54)*'6states'!A107)*AQ107*Parameters!B$46*Parameters!B$45*N107</f>
        <v>0.71328702990179405</v>
      </c>
      <c r="BA107" s="93">
        <f>SUM(AZ107:AZ$204)*EXP(Parameters!$B$54*A107)</f>
        <v>1840.1389743461352</v>
      </c>
      <c r="BB107" s="43">
        <f t="shared" si="77"/>
        <v>0.23672828999328491</v>
      </c>
      <c r="BC107" s="30">
        <f>IF(C107&lt;0,Parameters!$B$6*AC107^2/AF107,0)</f>
        <v>0</v>
      </c>
      <c r="BD107" s="30">
        <f>Parameters!$B$5*AD107^2/AG107</f>
        <v>4.8275905430471528</v>
      </c>
      <c r="BE107" s="30">
        <f t="shared" si="113"/>
        <v>0</v>
      </c>
      <c r="BF107" s="30">
        <f t="shared" si="114"/>
        <v>6.907404566914957E-2</v>
      </c>
      <c r="BH107" s="5"/>
      <c r="BI107" s="5"/>
      <c r="BJ107" s="5"/>
      <c r="BM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-1.0623200268893755</v>
      </c>
      <c r="BN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-812.96526913966215</v>
      </c>
      <c r="BO107" s="7">
        <f t="shared" si="155"/>
        <v>1.5984851588641873E-2</v>
      </c>
    </row>
    <row r="108" spans="1:81" x14ac:dyDescent="0.3">
      <c r="A108">
        <f>A107+Parameters!$B$65</f>
        <v>104</v>
      </c>
      <c r="B108">
        <v>2129</v>
      </c>
      <c r="C108" s="74">
        <v>5.4227232503052203E-4</v>
      </c>
      <c r="D108" s="69">
        <v>9.4759937735649905E-2</v>
      </c>
      <c r="E108" s="75">
        <v>0.224341886325333</v>
      </c>
      <c r="F108" s="7">
        <f>MAX((1-Parameters!$B$4)^Parameters!B$65*F107 + C107*Parameters!B$65 - IF(C107&gt;0,Parameters!$B$5,0)*C107^2/F107*Parameters!B$65, 0.0001)</f>
        <v>1.3691769564975316E-2</v>
      </c>
      <c r="G108" s="7">
        <f>(1-Parameters!$B$4)^Parameters!B$65*G107+D107*Parameters!B$65-Parameters!$B$5*D107^2/G107*Parameters!B$65</f>
        <v>1.3240147655770707</v>
      </c>
      <c r="H108" s="7">
        <f>(1-Parameters!$B$4)^Parameters!B$65*H107+E107*Parameters!B$65-Parameters!$B$5*E107^2/H107*Parameters!B$65</f>
        <v>3.2434145913974093</v>
      </c>
      <c r="I108" s="7">
        <f>I107 *(1-Parameters!$B$4)-C107*(C107&lt;0)*Parameters!B$65</f>
        <v>2.1363027412565265E-4</v>
      </c>
      <c r="J108" s="23">
        <f>J107*(1+Parameters!$B$51)^Parameters!B$65</f>
        <v>11.027671364598042</v>
      </c>
      <c r="K108" s="23">
        <f>K107*(1+Parameters!$B$53)^Parameters!B$65</f>
        <v>70.988926921018532</v>
      </c>
      <c r="L108" s="23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3.1931079139580461</v>
      </c>
      <c r="M108" s="8">
        <f>M107+L108*Parameters!B$65</f>
        <v>3629.3306571639305</v>
      </c>
      <c r="N108" s="7">
        <f>M108*Parameters!$B$45</f>
        <v>2.1775983942983581</v>
      </c>
      <c r="O108" s="9">
        <f>EXP(-Parameters!$B$46/2*N108^2)</f>
        <v>0.95346129777692001</v>
      </c>
      <c r="P108" s="7">
        <f>MAX((Parameters!$B$62 + Parameters!$B$31*'6states'!A108 - '6states'!M108 + Parameters!$B$47/Parameters!$B$45)/Parameters!B$62,1)</f>
        <v>85.069386856721394</v>
      </c>
      <c r="Q108" s="8"/>
      <c r="R108" s="8"/>
      <c r="S108" s="7">
        <f>Parameters!B$61*EXP(-Parameters!B$60*A108)+(1-Parameters!B$61)*P108^-Parameters!B$63</f>
        <v>0.35078428541344997</v>
      </c>
      <c r="T108" s="7">
        <f>1-S108/Parameters!$B$12</f>
        <v>0.82460785729327502</v>
      </c>
      <c r="U108" s="7">
        <f t="shared" si="102"/>
        <v>5.7015096832023451</v>
      </c>
      <c r="V108" s="7">
        <f>(Parameters!$B$19*(F108+Parameters!$B$20)^T108+Parameters!$B$18*G108^T108)^(1/T108)</f>
        <v>0.34394891099526526</v>
      </c>
      <c r="W108" s="7">
        <f>(Parameters!$B$10*H108^Parameters!$B$9+Parameters!$B$11*V108^Parameters!$B$9)^(Parameters!$B$7/Parameters!$B$9)*O108</f>
        <v>1.3202569062617535</v>
      </c>
      <c r="X108" s="7">
        <f>W108 - D108 - E108 - LN(1+EXP(Parameters!$B$21*C108))/Parameters!$B$21 - IF(C108&gt;0, 0,Parameters!$B$6*C108^2/F108)</f>
        <v>0.99856244035214814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-0.59447633653210707</v>
      </c>
      <c r="AC108" s="23">
        <f t="shared" si="103"/>
        <v>0.42451385330599173</v>
      </c>
      <c r="AD108" s="23">
        <f t="shared" si="104"/>
        <v>74.182111921224092</v>
      </c>
      <c r="AE108" s="23">
        <f t="shared" si="105"/>
        <v>0.16723886996591913</v>
      </c>
      <c r="AF108" s="23">
        <f t="shared" si="106"/>
        <v>10.718499890766552</v>
      </c>
      <c r="AG108" s="23">
        <f t="shared" si="107"/>
        <v>1036.4951040743517</v>
      </c>
      <c r="AH108" s="23">
        <f t="shared" si="108"/>
        <v>269.25784482691671</v>
      </c>
      <c r="AI108" s="23">
        <f t="shared" si="109"/>
        <v>662.66405565077264</v>
      </c>
      <c r="AJ108" s="23">
        <f t="shared" si="110"/>
        <v>1033.5532918805663</v>
      </c>
      <c r="AK108" s="23">
        <f t="shared" si="111"/>
        <v>781.71717374045477</v>
      </c>
      <c r="AL108" s="9">
        <f t="shared" si="122"/>
        <v>2.2810649677199812E-2</v>
      </c>
      <c r="AM108" s="9">
        <f t="shared" si="123"/>
        <v>1.5714217433694166E-2</v>
      </c>
      <c r="AN108" s="9">
        <f t="shared" ref="AN108:AO108" si="163">AVERAGE(AL106:AL110)</f>
        <v>2.2872180691075349E-2</v>
      </c>
      <c r="AO108" s="9">
        <f t="shared" si="163"/>
        <v>2.1470796928756464E-2</v>
      </c>
      <c r="AP108" s="23"/>
      <c r="AQ108" s="25">
        <f t="shared" si="100"/>
        <v>1033.5532918805663</v>
      </c>
      <c r="AR108" s="4"/>
      <c r="AS108" s="4"/>
      <c r="AT108" s="4"/>
      <c r="AU108" s="16"/>
      <c r="AV108" s="16"/>
      <c r="AY108" s="21">
        <f>-Y108*W108*X108^(-Parameters!B$52)*Parameters!B$46*Parameters!B$45*N108</f>
        <v>-7.2245521958284064E-6</v>
      </c>
      <c r="AZ108" s="7">
        <f>1000*EXP(-(Parameters!$B$54)*'6states'!A108)*AQ108*Parameters!B$46*Parameters!B$45*N108</f>
        <v>0.70519527417526873</v>
      </c>
      <c r="BA108" s="93">
        <f>SUM(AZ108:AZ$204)*EXP(Parameters!$B$54*A108)</f>
        <v>1878.4203068503393</v>
      </c>
      <c r="BB108" s="43">
        <f t="shared" si="77"/>
        <v>0.24210749807101631</v>
      </c>
      <c r="BC108" s="30">
        <f>IF(C108&lt;0,Parameters!$B$6*AC108^2/AF108,0)</f>
        <v>0</v>
      </c>
      <c r="BD108" s="30">
        <f>Parameters!$B$5*AD108^2/AG108</f>
        <v>5.3092250098059965</v>
      </c>
      <c r="BE108" s="30">
        <f t="shared" si="113"/>
        <v>0</v>
      </c>
      <c r="BF108" s="30">
        <f t="shared" si="114"/>
        <v>7.1570151783276276E-2</v>
      </c>
      <c r="BH108" s="5"/>
      <c r="BI108" s="5"/>
      <c r="BJ108" s="5"/>
      <c r="BM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-1.0806687812039986</v>
      </c>
      <c r="BN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-845.99351152684721</v>
      </c>
      <c r="BO108" s="7">
        <f t="shared" si="155"/>
        <v>1.5363116242435542E-2</v>
      </c>
    </row>
    <row r="109" spans="1:81" x14ac:dyDescent="0.3">
      <c r="A109">
        <f>A108+Parameters!$B$65</f>
        <v>105</v>
      </c>
      <c r="B109">
        <v>2130</v>
      </c>
      <c r="C109" s="74">
        <v>5.4658410920778899E-4</v>
      </c>
      <c r="D109" s="69">
        <v>9.7521222513684599E-2</v>
      </c>
      <c r="E109" s="75">
        <v>0.213412942501539</v>
      </c>
      <c r="F109" s="7">
        <f>MAX((1-Parameters!$B$4)^Parameters!B$65*F108 + C108*Parameters!B$65 - IF(C108&gt;0,Parameters!$B$5,0)*C108^2/F108*Parameters!B$65, 0.0001)</f>
        <v>1.3351352501140275E-2</v>
      </c>
      <c r="G109" s="7">
        <f>(1-Parameters!$B$4)^Parameters!B$65*G108+D108*Parameters!B$65-Parameters!$B$5*D108^2/G108*Parameters!B$65</f>
        <v>1.3287121914312086</v>
      </c>
      <c r="H109" s="7">
        <f>(1-Parameters!$B$4)^Parameters!B$65*H108+E108*Parameters!B$65-Parameters!$B$5*E108^2/H108*Parameters!B$65</f>
        <v>3.2482283244722154</v>
      </c>
      <c r="I109" s="7">
        <f>I108 *(1-Parameters!$B$4)-C108*(C108&lt;0)*Parameters!B$65</f>
        <v>2.001929298831491E-4</v>
      </c>
      <c r="J109" s="23">
        <f>J108*(1+Parameters!$B$51)^Parameters!B$65</f>
        <v>11.059651611555376</v>
      </c>
      <c r="K109" s="23">
        <f>K108*(1+Parameters!$B$53)^Parameters!B$65</f>
        <v>72.408705459438906</v>
      </c>
      <c r="L109" s="23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3.1605621546682552</v>
      </c>
      <c r="M109" s="8">
        <f>M108+L109*Parameters!B$65</f>
        <v>3632.4912193185987</v>
      </c>
      <c r="N109" s="7">
        <f>M109*Parameters!$B$45</f>
        <v>2.1794947315911593</v>
      </c>
      <c r="O109" s="9">
        <f>EXP(-Parameters!$B$46/2*N109^2)</f>
        <v>0.95338212725139815</v>
      </c>
      <c r="P109" s="7">
        <f>MAX((Parameters!$B$62 + Parameters!$B$31*'6states'!A109 - '6states'!M109 + Parameters!$B$47/Parameters!$B$45)/Parameters!B$62,1)</f>
        <v>86.07017561362801</v>
      </c>
      <c r="Q109" s="8"/>
      <c r="R109" s="8"/>
      <c r="S109" s="7">
        <f>Parameters!B$61*EXP(-Parameters!B$60*A109)+(1-Parameters!B$61)*P109^-Parameters!B$63</f>
        <v>0.3496060161567825</v>
      </c>
      <c r="T109" s="7">
        <f>1-S109/Parameters!$B$12</f>
        <v>0.82519699192160878</v>
      </c>
      <c r="U109" s="7">
        <f t="shared" si="102"/>
        <v>5.7207253524581532</v>
      </c>
      <c r="V109" s="7">
        <f>(Parameters!$B$19*(F109+Parameters!$B$20)^T109+Parameters!$B$18*G109^T109)^(1/T109)</f>
        <v>0.34495308347531095</v>
      </c>
      <c r="W109" s="7">
        <f>(Parameters!$B$10*H109^Parameters!$B$9+Parameters!$B$11*V109^Parameters!$B$9)^(Parameters!$B$7/Parameters!$B$9)*O109</f>
        <v>1.3209086733548903</v>
      </c>
      <c r="X109" s="7">
        <f>W109 - D109 - E109 - LN(1+EXP(Parameters!$B$21*C109))/Parameters!$B$21 - IF(C109&gt;0, 0,Parameters!$B$6*C109^2/F109)</f>
        <v>1.0073795349300301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-0.58376823705163305</v>
      </c>
      <c r="AC109" s="23">
        <f t="shared" si="103"/>
        <v>0.43771278403767699</v>
      </c>
      <c r="AD109" s="23">
        <f t="shared" si="104"/>
        <v>78.09646327093472</v>
      </c>
      <c r="AE109" s="23">
        <f t="shared" si="105"/>
        <v>0.16031751236020736</v>
      </c>
      <c r="AF109" s="23">
        <f t="shared" si="106"/>
        <v>10.691964101211802</v>
      </c>
      <c r="AG109" s="23">
        <f t="shared" si="107"/>
        <v>1064.0527280222459</v>
      </c>
      <c r="AH109" s="23">
        <f t="shared" si="108"/>
        <v>276.24362286931972</v>
      </c>
      <c r="AI109" s="23">
        <f t="shared" si="109"/>
        <v>679.85658726458928</v>
      </c>
      <c r="AJ109" s="23">
        <f t="shared" si="110"/>
        <v>1057.803553256766</v>
      </c>
      <c r="AK109" s="23">
        <f t="shared" si="111"/>
        <v>806.72469870355337</v>
      </c>
      <c r="AL109" s="9">
        <f t="shared" si="122"/>
        <v>2.3191975463764614E-2</v>
      </c>
      <c r="AM109" s="9">
        <f t="shared" si="123"/>
        <v>3.1489463718451738E-2</v>
      </c>
      <c r="AN109" s="9">
        <f t="shared" ref="AN109:AO109" si="164">AVERAGE(AL107:AL111)</f>
        <v>2.2938967934306477E-2</v>
      </c>
      <c r="AO109" s="9">
        <f t="shared" si="164"/>
        <v>2.2518700364462064E-2</v>
      </c>
      <c r="AP109" s="23"/>
      <c r="AQ109" s="25">
        <f t="shared" si="100"/>
        <v>1057.803553256766</v>
      </c>
      <c r="AR109" s="4"/>
      <c r="AS109" s="4"/>
      <c r="AT109" s="4"/>
      <c r="AU109" s="16"/>
      <c r="AV109" s="16"/>
      <c r="AY109" s="21">
        <f>-Y109*W109*X109^(-Parameters!B$52)*Parameters!B$46*Parameters!B$45*N109</f>
        <v>-7.041923534931701E-6</v>
      </c>
      <c r="AZ109" s="7">
        <f>1000*EXP(-(Parameters!$B$54)*'6states'!A109)*AQ109*Parameters!B$46*Parameters!B$45*N109</f>
        <v>0.69745443434919774</v>
      </c>
      <c r="BA109" s="93">
        <f>SUM(AZ109:AZ$204)*EXP(Parameters!$B$54*A109)</f>
        <v>1917.4109889602234</v>
      </c>
      <c r="BB109" s="43">
        <f t="shared" si="77"/>
        <v>0.23580793692066659</v>
      </c>
      <c r="BC109" s="30">
        <f>IF(C109&lt;0,Parameters!$B$6*AC109^2/AF109,0)</f>
        <v>0</v>
      </c>
      <c r="BD109" s="30">
        <f>Parameters!$B$5*AD109^2/AG109</f>
        <v>5.7319129163502733</v>
      </c>
      <c r="BE109" s="30">
        <f t="shared" si="113"/>
        <v>0</v>
      </c>
      <c r="BF109" s="30">
        <f t="shared" si="114"/>
        <v>7.3395294438173719E-2</v>
      </c>
      <c r="BH109" s="5"/>
      <c r="BI109" s="5"/>
      <c r="BJ109" s="5"/>
      <c r="BM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-1.0978329016244619</v>
      </c>
      <c r="BN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-879.16111662061576</v>
      </c>
      <c r="BO109" s="7">
        <f t="shared" si="155"/>
        <v>1.4772701084324252E-2</v>
      </c>
    </row>
    <row r="110" spans="1:81" x14ac:dyDescent="0.3">
      <c r="A110">
        <f>A109+Parameters!$B$65</f>
        <v>106</v>
      </c>
      <c r="B110">
        <v>2131</v>
      </c>
      <c r="C110" s="74">
        <v>5.7928375070137096E-4</v>
      </c>
      <c r="D110" s="69">
        <v>9.5818601774738499E-2</v>
      </c>
      <c r="E110" s="75">
        <v>0.22093941768616199</v>
      </c>
      <c r="F110" s="7">
        <f>MAX((1-Parameters!$B$4)^Parameters!B$65*F109 + C109*Parameters!B$65 - IF(C109&gt;0,Parameters!$B$5,0)*C109^2/F109*Parameters!B$65, 0.0001)</f>
        <v>1.3035760214098639E-2</v>
      </c>
      <c r="G110" s="7">
        <f>(1-Parameters!$B$4)^Parameters!B$65*G109+D109*Parameters!B$65-Parameters!$B$5*D109^2/G109*Parameters!B$65</f>
        <v>1.3354998182635076</v>
      </c>
      <c r="H110" s="7">
        <f>(1-Parameters!$B$4)^Parameters!B$65*H109+E109*Parameters!B$65-Parameters!$B$5*E109^2/H109*Parameters!B$65</f>
        <v>3.2433061897942483</v>
      </c>
      <c r="I110" s="7">
        <f>I109 *(1-Parameters!$B$4)-C109*(C109&lt;0)*Parameters!B$65</f>
        <v>1.8760079459349902E-4</v>
      </c>
      <c r="J110" s="23">
        <f>J109*(1+Parameters!$B$51)^Parameters!B$65</f>
        <v>11.091724601228885</v>
      </c>
      <c r="K110" s="23">
        <f>K109*(1+Parameters!$B$53)^Parameters!B$65</f>
        <v>73.85687956862769</v>
      </c>
      <c r="L110" s="23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3.1323785379083198</v>
      </c>
      <c r="M110" s="8">
        <f>M109+L110*Parameters!B$65</f>
        <v>3635.6235978565069</v>
      </c>
      <c r="N110" s="7">
        <f>M110*Parameters!$B$45</f>
        <v>2.1813741587139037</v>
      </c>
      <c r="O110" s="9">
        <f>EXP(-Parameters!$B$46/2*N110^2)</f>
        <v>0.95330360121055757</v>
      </c>
      <c r="P110" s="7">
        <f>MAX((Parameters!$B$62 + Parameters!$B$31*'6states'!A110 - '6states'!M110 + Parameters!$B$47/Parameters!$B$45)/Parameters!B$62,1)</f>
        <v>87.071528042869872</v>
      </c>
      <c r="Q110" s="8"/>
      <c r="R110" s="8"/>
      <c r="S110" s="7">
        <f>Parameters!B$61*EXP(-Parameters!B$60*A110)+(1-Parameters!B$61)*P110^-Parameters!B$63</f>
        <v>0.34845370711419615</v>
      </c>
      <c r="T110" s="7">
        <f>1-S110/Parameters!$B$12</f>
        <v>0.8257731464429019</v>
      </c>
      <c r="U110" s="7">
        <f t="shared" si="102"/>
        <v>5.7396433419046806</v>
      </c>
      <c r="V110" s="7">
        <f>(Parameters!$B$19*(F110+Parameters!$B$20)^T110+Parameters!$B$18*G110^T110)^(1/T110)</f>
        <v>0.34648310619609152</v>
      </c>
      <c r="W110" s="7">
        <f>(Parameters!$B$10*H110^Parameters!$B$9+Parameters!$B$11*V110^Parameters!$B$9)^(Parameters!$B$7/Parameters!$B$9)*O110</f>
        <v>1.3209131449735432</v>
      </c>
      <c r="X110" s="7">
        <f>W110 - D110 - E110 - LN(1+EXP(Parameters!$B$21*C110))/Parameters!$B$21 - IF(C110&gt;0, 0,Parameters!$B$6*C110^2/F110)</f>
        <v>1.0015424249765812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-0.57619028995887267</v>
      </c>
      <c r="AC110" s="23">
        <f t="shared" si="103"/>
        <v>0.474549345941356</v>
      </c>
      <c r="AD110" s="23">
        <f t="shared" si="104"/>
        <v>78.494614679185403</v>
      </c>
      <c r="AE110" s="23">
        <f t="shared" si="105"/>
        <v>0.1536826024631886</v>
      </c>
      <c r="AF110" s="23">
        <f t="shared" si="106"/>
        <v>10.678896958457738</v>
      </c>
      <c r="AG110" s="23">
        <f t="shared" si="107"/>
        <v>1094.0416755940735</v>
      </c>
      <c r="AH110" s="23">
        <f t="shared" si="108"/>
        <v>283.83901883318526</v>
      </c>
      <c r="AI110" s="23">
        <f t="shared" si="109"/>
        <v>698.54943499544765</v>
      </c>
      <c r="AJ110" s="23">
        <f t="shared" si="110"/>
        <v>1082.0922703831868</v>
      </c>
      <c r="AK110" s="23">
        <f t="shared" si="111"/>
        <v>820.46372288141492</v>
      </c>
      <c r="AL110" s="9">
        <f t="shared" si="122"/>
        <v>2.2701815661988256E-2</v>
      </c>
      <c r="AM110" s="9">
        <f t="shared" si="123"/>
        <v>1.6887227686972039E-2</v>
      </c>
      <c r="AN110" s="9">
        <f t="shared" ref="AN110:AO110" si="165">AVERAGE(AL108:AL112)</f>
        <v>2.2952367164101338E-2</v>
      </c>
      <c r="AO110" s="9">
        <f t="shared" si="165"/>
        <v>2.2311053969549199E-2</v>
      </c>
      <c r="AP110" s="23"/>
      <c r="AQ110" s="25">
        <f t="shared" si="100"/>
        <v>1082.0922703831868</v>
      </c>
      <c r="AR110" s="4"/>
      <c r="AS110" s="4"/>
      <c r="AT110" s="4"/>
      <c r="AU110" s="16"/>
      <c r="AV110" s="16"/>
      <c r="AY110" s="21">
        <f>-Y110*W110*X110^(-Parameters!B$52)*Parameters!B$46*Parameters!B$45*N110</f>
        <v>-6.9970723228935635E-6</v>
      </c>
      <c r="AZ110" s="7">
        <f>1000*EXP(-(Parameters!$B$54)*'6states'!A110)*AQ110*Parameters!B$46*Parameters!B$45*N110</f>
        <v>0.6894546694188598</v>
      </c>
      <c r="BA110" s="93">
        <f>SUM(AZ110:AZ$204)*EXP(Parameters!$B$54*A110)</f>
        <v>1957.1098829720443</v>
      </c>
      <c r="BB110" s="43">
        <f t="shared" ref="BB110:BB173" si="166">(C110+D110+E110)/W110</f>
        <v>0.24024085491098499</v>
      </c>
      <c r="BC110" s="30">
        <f>IF(C110&lt;0,Parameters!$B$6*AC110^2/AF110,0)</f>
        <v>0</v>
      </c>
      <c r="BD110" s="30">
        <f>Parameters!$B$5*AD110^2/AG110</f>
        <v>5.6317822904580819</v>
      </c>
      <c r="BE110" s="30">
        <f t="shared" si="113"/>
        <v>0</v>
      </c>
      <c r="BF110" s="30">
        <f t="shared" si="114"/>
        <v>7.1747371631489448E-2</v>
      </c>
      <c r="BH110" s="5"/>
      <c r="BI110" s="5"/>
      <c r="BJ110" s="5"/>
      <c r="BM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-1.1150363028573504</v>
      </c>
      <c r="BN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-913.437926717545</v>
      </c>
      <c r="BO110" s="7">
        <f t="shared" si="155"/>
        <v>1.4187073503490001E-2</v>
      </c>
    </row>
    <row r="111" spans="1:81" x14ac:dyDescent="0.3">
      <c r="A111">
        <f>A110+Parameters!$B$65</f>
        <v>107</v>
      </c>
      <c r="B111">
        <v>2132</v>
      </c>
      <c r="C111" s="74">
        <v>6.2384521877150399E-4</v>
      </c>
      <c r="D111" s="69">
        <v>9.3706119739540905E-2</v>
      </c>
      <c r="E111" s="75">
        <v>0.22298332700713699</v>
      </c>
      <c r="F111" s="7">
        <f>MAX((1-Parameters!$B$4)^Parameters!B$65*F110 + C110*Parameters!B$65 - IF(C110&gt;0,Parameters!$B$5,0)*C110^2/F110*Parameters!B$65, 0.0001)</f>
        <v>1.276935240765441E-2</v>
      </c>
      <c r="G111" s="7">
        <f>(1-Parameters!$B$4)^Parameters!B$65*G110+D110*Parameters!B$65-Parameters!$B$5*D110^2/G110*Parameters!B$65</f>
        <v>1.3404407486387295</v>
      </c>
      <c r="H111" s="7">
        <f>(1-Parameters!$B$4)^Parameters!B$65*H110+E110*Parameters!B$65-Parameters!$B$5*E110^2/H110*Parameters!B$65</f>
        <v>3.2451908871500339</v>
      </c>
      <c r="I111" s="7">
        <f>I110 *(1-Parameters!$B$4)-C110*(C110&lt;0)*Parameters!B$65</f>
        <v>1.7580070461356795E-4</v>
      </c>
      <c r="J111" s="23">
        <f>J110*(1+Parameters!$B$51)^Parameters!B$65</f>
        <v>11.123890602572446</v>
      </c>
      <c r="K111" s="23">
        <f>K110*(1+Parameters!$B$53)^Parameters!B$65</f>
        <v>75.334017160000244</v>
      </c>
      <c r="L111" s="23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3.1150428572115585</v>
      </c>
      <c r="M111" s="8">
        <f>M110+L111*Parameters!B$65</f>
        <v>3638.7386407137183</v>
      </c>
      <c r="N111" s="7">
        <f>M111*Parameters!$B$45</f>
        <v>2.183243184428231</v>
      </c>
      <c r="O111" s="9">
        <f>EXP(-Parameters!$B$46/2*N111^2)</f>
        <v>0.95322544905815465</v>
      </c>
      <c r="P111" s="7">
        <f>MAX((Parameters!$B$62 + Parameters!$B$31*'6states'!A111 - '6states'!M111 + Parameters!$B$47/Parameters!$B$45)/Parameters!B$62,1)</f>
        <v>88.073227185725642</v>
      </c>
      <c r="Q111" s="8"/>
      <c r="R111" s="8"/>
      <c r="S111" s="7">
        <f>Parameters!B$61*EXP(-Parameters!B$60*A111)+(1-Parameters!B$61)*P111^-Parameters!B$63</f>
        <v>0.34732676032796211</v>
      </c>
      <c r="T111" s="7">
        <f>1-S111/Parameters!$B$12</f>
        <v>0.82633661983601892</v>
      </c>
      <c r="U111" s="7">
        <f t="shared" si="102"/>
        <v>5.7582663602179878</v>
      </c>
      <c r="V111" s="7">
        <f>(Parameters!$B$19*(F111+Parameters!$B$20)^T111+Parameters!$B$18*G111^T111)^(1/T111)</f>
        <v>0.3476211391264688</v>
      </c>
      <c r="W111" s="7">
        <f>(Parameters!$B$10*H111^Parameters!$B$9+Parameters!$B$11*V111^Parameters!$B$9)^(Parameters!$B$7/Parameters!$B$9)*O111</f>
        <v>1.3213555542774922</v>
      </c>
      <c r="X111" s="7">
        <f>W111 - D111 - E111 - LN(1+EXP(Parameters!$B$21*C111))/Parameters!$B$21 - IF(C111&gt;0, 0,Parameters!$B$6*C111^2/F111)</f>
        <v>1.0020291212123467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-0.56745867687016949</v>
      </c>
      <c r="AC111" s="23">
        <f t="shared" si="103"/>
        <v>0.52278688828753173</v>
      </c>
      <c r="AD111" s="23">
        <f t="shared" si="104"/>
        <v>78.526418537923277</v>
      </c>
      <c r="AE111" s="23">
        <f t="shared" si="105"/>
        <v>0.14732228533331959</v>
      </c>
      <c r="AF111" s="23">
        <f t="shared" si="106"/>
        <v>10.700811370792346</v>
      </c>
      <c r="AG111" s="23">
        <f t="shared" si="107"/>
        <v>1123.2992204294189</v>
      </c>
      <c r="AH111" s="23">
        <f t="shared" si="108"/>
        <v>291.30907500544089</v>
      </c>
      <c r="AI111" s="23">
        <f t="shared" si="109"/>
        <v>716.93381195660186</v>
      </c>
      <c r="AJ111" s="23">
        <f t="shared" si="110"/>
        <v>1107.3056869819368</v>
      </c>
      <c r="AK111" s="23">
        <f t="shared" si="111"/>
        <v>839.70778406167847</v>
      </c>
      <c r="AL111" s="9">
        <f t="shared" si="122"/>
        <v>2.3033301201784262E-2</v>
      </c>
      <c r="AM111" s="9">
        <f t="shared" si="123"/>
        <v>2.3184259073784297E-2</v>
      </c>
      <c r="AN111" s="9">
        <f t="shared" ref="AN111:AO111" si="167">AVERAGE(AL109:AL113)</f>
        <v>2.2978184387615386E-2</v>
      </c>
      <c r="AO111" s="9">
        <f t="shared" si="167"/>
        <v>2.6160795489158239E-2</v>
      </c>
      <c r="AP111" s="23"/>
      <c r="AQ111" s="25">
        <f t="shared" si="100"/>
        <v>1107.3056869819368</v>
      </c>
      <c r="AR111" s="4"/>
      <c r="AS111" s="4"/>
      <c r="AT111" s="4"/>
      <c r="AU111" s="16"/>
      <c r="AV111" s="16"/>
      <c r="AY111" s="21">
        <f>-Y111*W111*X111^(-Parameters!B$52)*Parameters!B$46*Parameters!B$45*N111</f>
        <v>-6.8959016293891856E-6</v>
      </c>
      <c r="AZ111" s="7">
        <f>1000*EXP(-(Parameters!$B$54)*'6states'!A111)*AQ111*Parameters!B$46*Parameters!B$45*N111</f>
        <v>0.68176886749860677</v>
      </c>
      <c r="BA111" s="93">
        <f>SUM(AZ111:AZ$204)*EXP(Parameters!$B$54*A111)</f>
        <v>1997.5403204558011</v>
      </c>
      <c r="BB111" s="43">
        <f t="shared" si="166"/>
        <v>0.24014224705700354</v>
      </c>
      <c r="BC111" s="30">
        <f>IF(C111&lt;0,Parameters!$B$6*AC111^2/AF111,0)</f>
        <v>0</v>
      </c>
      <c r="BD111" s="30">
        <f>Parameters!$B$5*AD111^2/AG111</f>
        <v>5.4895421417952983</v>
      </c>
      <c r="BE111" s="30">
        <f t="shared" si="113"/>
        <v>0</v>
      </c>
      <c r="BF111" s="30">
        <f t="shared" si="114"/>
        <v>6.9906946528373731E-2</v>
      </c>
      <c r="BH111" s="5"/>
      <c r="BI111" s="5"/>
      <c r="BJ111" s="5"/>
      <c r="BM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-1.1335478171613727</v>
      </c>
      <c r="BN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-949.92141997319868</v>
      </c>
      <c r="BO111" s="7">
        <f t="shared" si="155"/>
        <v>1.3580426827625823E-2</v>
      </c>
    </row>
    <row r="112" spans="1:81" x14ac:dyDescent="0.3">
      <c r="A112">
        <f>A111+Parameters!$B$65</f>
        <v>108</v>
      </c>
      <c r="B112">
        <v>2133</v>
      </c>
      <c r="C112" s="74">
        <v>6.8430192133982497E-4</v>
      </c>
      <c r="D112" s="69">
        <v>9.6658342359174795E-2</v>
      </c>
      <c r="E112" s="75">
        <v>0.218842172058589</v>
      </c>
      <c r="F112" s="7">
        <f>MAX((1-Parameters!$B$4)^Parameters!B$65*F111 + C111*Parameters!B$65 - IF(C111&gt;0,Parameters!$B$5,0)*C111^2/F111*Parameters!B$65, 0.0001)</f>
        <v>1.2559527474766814E-2</v>
      </c>
      <c r="G112" s="7">
        <f>(1-Parameters!$B$4)^Parameters!B$65*G111+D111*Parameters!B$65-Parameters!$B$5*D111^2/G111*Parameters!B$65</f>
        <v>1.343282436586881</v>
      </c>
      <c r="H112" s="7">
        <f>(1-Parameters!$B$4)^Parameters!B$65*H111+E111*Parameters!B$65-Parameters!$B$5*E111^2/H111*Parameters!B$65</f>
        <v>3.2487300927410043</v>
      </c>
      <c r="I112" s="7">
        <f>I111 *(1-Parameters!$B$4)-C111*(C111&lt;0)*Parameters!B$65</f>
        <v>1.6474284029337454E-4</v>
      </c>
      <c r="J112" s="23">
        <f>J111*(1+Parameters!$B$51)^Parameters!B$65</f>
        <v>11.156149885319905</v>
      </c>
      <c r="K112" s="23">
        <f>K111*(1+Parameters!$B$53)^Parameters!B$65</f>
        <v>76.840697503200246</v>
      </c>
      <c r="L112" s="23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3.1109797173949594</v>
      </c>
      <c r="M112" s="8">
        <f>M111+L112*Parameters!B$65</f>
        <v>3641.8496204311132</v>
      </c>
      <c r="N112" s="7">
        <f>M112*Parameters!$B$45</f>
        <v>2.1851097722586679</v>
      </c>
      <c r="O112" s="9">
        <f>EXP(-Parameters!$B$46/2*N112^2)</f>
        <v>0.95314733844491484</v>
      </c>
      <c r="P112" s="7">
        <f>MAX((Parameters!$B$62 + Parameters!$B$31*'6states'!A112 - '6states'!M112 + Parameters!$B$47/Parameters!$B$45)/Parameters!B$62,1)</f>
        <v>89.075007591377741</v>
      </c>
      <c r="Q112" s="8"/>
      <c r="R112" s="8"/>
      <c r="S112" s="7">
        <f>Parameters!B$61*EXP(-Parameters!B$60*A112)+(1-Parameters!B$61)*P112^-Parameters!B$63</f>
        <v>0.34622461014714173</v>
      </c>
      <c r="T112" s="7">
        <f>1-S112/Parameters!$B$12</f>
        <v>0.82688769492642911</v>
      </c>
      <c r="U112" s="7">
        <f t="shared" si="102"/>
        <v>5.7765968720421732</v>
      </c>
      <c r="V112" s="7">
        <f>(Parameters!$B$19*(F112+Parameters!$B$20)^T112+Parameters!$B$18*G112^T112)^(1/T112)</f>
        <v>0.34831400193905149</v>
      </c>
      <c r="W112" s="7">
        <f>(Parameters!$B$10*H112^Parameters!$B$9+Parameters!$B$11*V112^Parameters!$B$9)^(Parameters!$B$7/Parameters!$B$9)*O112</f>
        <v>1.3217859415067847</v>
      </c>
      <c r="X112" s="7">
        <f>W112 - D112 - E112 - LN(1+EXP(Parameters!$B$21*C112))/Parameters!$B$21 - IF(C112&gt;0, 0,Parameters!$B$6*C112^2/F112)</f>
        <v>1.0036152561838245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-0.55864507640956362</v>
      </c>
      <c r="AC112" s="23">
        <f t="shared" si="103"/>
        <v>0.58661531659167032</v>
      </c>
      <c r="AD112" s="23">
        <f t="shared" si="104"/>
        <v>82.860010086243037</v>
      </c>
      <c r="AE112" s="23">
        <f t="shared" si="105"/>
        <v>0.14122519665835784</v>
      </c>
      <c r="AF112" s="23">
        <f t="shared" si="106"/>
        <v>10.766608942770091</v>
      </c>
      <c r="AG112" s="23">
        <f t="shared" si="107"/>
        <v>1151.5239505211428</v>
      </c>
      <c r="AH112" s="23">
        <f t="shared" si="108"/>
        <v>298.59090285868086</v>
      </c>
      <c r="AI112" s="23">
        <f t="shared" si="109"/>
        <v>734.85494469418495</v>
      </c>
      <c r="AJ112" s="23">
        <f t="shared" si="110"/>
        <v>1133.0961588201756</v>
      </c>
      <c r="AK112" s="23">
        <f t="shared" si="111"/>
        <v>860.34550376505183</v>
      </c>
      <c r="AL112" s="9">
        <f t="shared" si="122"/>
        <v>2.3024093815769753E-2</v>
      </c>
      <c r="AM112" s="9">
        <f t="shared" si="123"/>
        <v>2.4280101934843756E-2</v>
      </c>
      <c r="AN112" s="9">
        <f t="shared" ref="AN112:AO112" si="168">AVERAGE(AL110:AL114)</f>
        <v>2.2749241500583217E-2</v>
      </c>
      <c r="AO112" s="9">
        <f t="shared" si="168"/>
        <v>2.3020237748436756E-2</v>
      </c>
      <c r="AP112" s="23"/>
      <c r="AQ112" s="25">
        <f t="shared" si="100"/>
        <v>1133.0961588201756</v>
      </c>
      <c r="AR112" s="4"/>
      <c r="AS112" s="4"/>
      <c r="AT112" s="4"/>
      <c r="AU112" s="16"/>
      <c r="AV112" s="16"/>
      <c r="AY112" s="21">
        <f>-Y112*W112*X112^(-Parameters!B$52)*Parameters!B$46*Parameters!B$45*N112</f>
        <v>-6.7860719633213408E-6</v>
      </c>
      <c r="AZ112" s="7">
        <f>1000*EXP(-(Parameters!$B$54)*'6states'!A112)*AQ112*Parameters!B$46*Parameters!B$45*N112</f>
        <v>0.67416129071228503</v>
      </c>
      <c r="BA112" s="93">
        <f>SUM(AZ112:AZ$204)*EXP(Parameters!$B$54*A112)</f>
        <v>2038.7022208799901</v>
      </c>
      <c r="BB112" s="43">
        <f t="shared" si="166"/>
        <v>0.23921030358264</v>
      </c>
      <c r="BC112" s="30">
        <f>IF(C112&lt;0,Parameters!$B$6*AC112^2/AF112,0)</f>
        <v>0</v>
      </c>
      <c r="BD112" s="30">
        <f>Parameters!$B$5*AD112^2/AG112</f>
        <v>5.9623434392181469</v>
      </c>
      <c r="BE112" s="30">
        <f t="shared" si="113"/>
        <v>0</v>
      </c>
      <c r="BF112" s="30">
        <f t="shared" si="114"/>
        <v>7.1956827340623919E-2</v>
      </c>
      <c r="BH112" s="5"/>
      <c r="BI112" s="5"/>
      <c r="BJ112" s="5"/>
      <c r="BM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-1.1537064932434309</v>
      </c>
      <c r="BN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-989.01066719608195</v>
      </c>
      <c r="BO112" s="7">
        <f t="shared" si="155"/>
        <v>1.2947134587229594E-2</v>
      </c>
    </row>
    <row r="113" spans="1:67" x14ac:dyDescent="0.3">
      <c r="A113">
        <f>A112+Parameters!$B$65</f>
        <v>109</v>
      </c>
      <c r="B113">
        <v>2134</v>
      </c>
      <c r="C113" s="74">
        <v>7.8036515567588395E-4</v>
      </c>
      <c r="D113" s="69">
        <v>4.1887907208558797E-2</v>
      </c>
      <c r="E113" s="75">
        <v>0.26149368882791502</v>
      </c>
      <c r="F113" s="7">
        <f>MAX((1-Parameters!$B$4)^Parameters!B$65*F112 + C112*Parameters!B$65 - IF(C112&gt;0,Parameters!$B$5,0)*C112^2/F112*Parameters!B$65, 0.0001)</f>
        <v>1.2416551142054574E-2</v>
      </c>
      <c r="G113" s="7">
        <f>(1-Parameters!$B$4)^Parameters!B$65*G112+D112*Parameters!B$65-Parameters!$B$5*D112^2/G112*Parameters!B$65</f>
        <v>1.3484930860325708</v>
      </c>
      <c r="H113" s="7">
        <f>(1-Parameters!$B$4)^Parameters!B$65*H112+E112*Parameters!B$65-Parameters!$B$5*E112^2/H112*Parameters!B$65</f>
        <v>3.2484854136895476</v>
      </c>
      <c r="I113" s="7">
        <f>I112 *(1-Parameters!$B$4)-C112*(C112&lt;0)*Parameters!B$65</f>
        <v>1.5438051563892129E-4</v>
      </c>
      <c r="J113" s="23">
        <f>J112*(1+Parameters!$B$51)^Parameters!B$65</f>
        <v>11.188502719987332</v>
      </c>
      <c r="K113" s="23">
        <f>K112*(1+Parameters!$B$53)^Parameters!B$65</f>
        <v>78.377511453264248</v>
      </c>
      <c r="L113" s="23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3.1234941682044735</v>
      </c>
      <c r="M113" s="8">
        <f>M112+L113*Parameters!B$65</f>
        <v>3644.9731145993178</v>
      </c>
      <c r="N113" s="7">
        <f>M113*Parameters!$B$45</f>
        <v>2.1869838687595906</v>
      </c>
      <c r="O113" s="9">
        <f>EXP(-Parameters!$B$46/2*N113^2)</f>
        <v>0.95306885290958787</v>
      </c>
      <c r="P113" s="7">
        <f>MAX((Parameters!$B$62 + Parameters!$B$31*'6states'!A113 - '6states'!M113 + Parameters!$B$47/Parameters!$B$45)/Parameters!B$62,1)</f>
        <v>90.076537708013632</v>
      </c>
      <c r="Q113" s="8"/>
      <c r="R113" s="8"/>
      <c r="S113" s="7">
        <f>Parameters!B$61*EXP(-Parameters!B$60*A113)+(1-Parameters!B$61)*P113^-Parameters!B$63</f>
        <v>0.34514672805548352</v>
      </c>
      <c r="T113" s="7">
        <f>1-S113/Parameters!$B$12</f>
        <v>0.82742663597225818</v>
      </c>
      <c r="U113" s="7">
        <f t="shared" si="102"/>
        <v>5.794636997626391</v>
      </c>
      <c r="V113" s="7">
        <f>(Parameters!$B$19*(F113+Parameters!$B$20)^T113+Parameters!$B$18*G113^T113)^(1/T113)</f>
        <v>0.34964772025242014</v>
      </c>
      <c r="W113" s="7">
        <f>(Parameters!$B$10*H113^Parameters!$B$9+Parameters!$B$11*V113^Parameters!$B$9)^(Parameters!$B$7/Parameters!$B$9)*O113</f>
        <v>1.3221049340601194</v>
      </c>
      <c r="X113" s="7">
        <f>W113 - D113 - E113 - LN(1+EXP(Parameters!$B$21*C113))/Parameters!$B$21 - IF(C113&gt;0, 0,Parameters!$B$6*C113^2/F113)</f>
        <v>1.0159998804375405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-0.54791588051968776</v>
      </c>
      <c r="AC113" s="23">
        <f t="shared" si="103"/>
        <v>0.68432327493434997</v>
      </c>
      <c r="AD113" s="23">
        <f t="shared" si="104"/>
        <v>36.732636808059581</v>
      </c>
      <c r="AE113" s="23">
        <f t="shared" si="105"/>
        <v>0.13538044245014857</v>
      </c>
      <c r="AF113" s="23">
        <f t="shared" si="106"/>
        <v>10.888408944350326</v>
      </c>
      <c r="AG113" s="23">
        <f t="shared" si="107"/>
        <v>1182.5299965640877</v>
      </c>
      <c r="AH113" s="23">
        <f t="shared" si="108"/>
        <v>306.61552640600547</v>
      </c>
      <c r="AI113" s="23">
        <f t="shared" si="109"/>
        <v>754.6041541865178</v>
      </c>
      <c r="AJ113" s="23">
        <f t="shared" si="110"/>
        <v>1159.3895136172127</v>
      </c>
      <c r="AK113" s="23">
        <f t="shared" si="111"/>
        <v>890.95772723442735</v>
      </c>
      <c r="AL113" s="9">
        <f t="shared" si="122"/>
        <v>2.2939735794770044E-2</v>
      </c>
      <c r="AM113" s="9">
        <f t="shared" si="123"/>
        <v>3.4962925031739367E-2</v>
      </c>
      <c r="AN113" s="9">
        <f t="shared" ref="AN113:AO113" si="169">AVERAGE(AL111:AL115)</f>
        <v>2.2750068008677717E-2</v>
      </c>
      <c r="AO113" s="9">
        <f t="shared" si="169"/>
        <v>2.30556930245557E-2</v>
      </c>
      <c r="AP113" s="23"/>
      <c r="AQ113" s="25">
        <f t="shared" si="100"/>
        <v>1159.3895136172127</v>
      </c>
      <c r="AR113" s="4"/>
      <c r="AS113" s="4"/>
      <c r="AT113" s="4"/>
      <c r="AU113" s="16"/>
      <c r="AV113" s="16"/>
      <c r="AY113" s="21">
        <f>-Y113*W113*X113^(-Parameters!B$52)*Parameters!B$46*Parameters!B$45*N113</f>
        <v>-6.5818364886864368E-6</v>
      </c>
      <c r="AZ113" s="7">
        <f>1000*EXP(-(Parameters!$B$54)*'6states'!A113)*AQ113*Parameters!B$46*Parameters!B$45*N113</f>
        <v>0.66658417198879816</v>
      </c>
      <c r="BA113" s="93">
        <f>SUM(AZ113:AZ$204)*EXP(Parameters!$B$54*A113)</f>
        <v>2080.6048216943445</v>
      </c>
      <c r="BB113" s="43">
        <f t="shared" si="166"/>
        <v>0.23005886549268315</v>
      </c>
      <c r="BC113" s="30">
        <f>IF(C113&lt;0,Parameters!$B$6*AC113^2/AF113,0)</f>
        <v>0</v>
      </c>
      <c r="BD113" s="30">
        <f>Parameters!$B$5*AD113^2/AG113</f>
        <v>1.1410168120836235</v>
      </c>
      <c r="BE113" s="30">
        <f t="shared" si="113"/>
        <v>0</v>
      </c>
      <c r="BF113" s="30">
        <f t="shared" si="114"/>
        <v>3.1062752669943659E-2</v>
      </c>
      <c r="BH113" s="5"/>
      <c r="BI113" s="5"/>
      <c r="BJ113" s="5"/>
      <c r="BM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-1.1759193256560123</v>
      </c>
      <c r="BN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-1031.1954065844293</v>
      </c>
      <c r="BO113" s="7">
        <f t="shared" si="155"/>
        <v>1.2280753713623076E-2</v>
      </c>
    </row>
    <row r="114" spans="1:67" x14ac:dyDescent="0.3">
      <c r="A114">
        <f>A113+Parameters!$B$65</f>
        <v>110</v>
      </c>
      <c r="B114">
        <v>2135</v>
      </c>
      <c r="C114" s="74">
        <v>6.8521601161808604E-4</v>
      </c>
      <c r="D114" s="69">
        <v>9.9791500023660107E-2</v>
      </c>
      <c r="E114" s="75">
        <v>0.20978037496985599</v>
      </c>
      <c r="F114" s="7">
        <f>MAX((1-Parameters!$B$4)^Parameters!B$65*F113 + C113*Parameters!B$65 - IF(C113&gt;0,Parameters!$B$5,0)*C113^2/F113*Parameters!B$65, 0.0001)</f>
        <v>1.2366870228847075E-2</v>
      </c>
      <c r="G114" s="7">
        <f>(1-Parameters!$B$4)^Parameters!B$65*G113+D113*Parameters!B$65-Parameters!$B$5*D113^2/G113*Parameters!B$65</f>
        <v>1.3042596244281999</v>
      </c>
      <c r="H114" s="7">
        <f>(1-Parameters!$B$4)^Parameters!B$65*H113+E113*Parameters!B$65-Parameters!$B$5*E113^2/H113*Parameters!B$65</f>
        <v>3.2845998836700327</v>
      </c>
      <c r="I114" s="7">
        <f>I113 *(1-Parameters!$B$4)-C113*(C113&lt;0)*Parameters!B$65</f>
        <v>1.4466998120523313E-4</v>
      </c>
      <c r="J114" s="23">
        <f>J113*(1+Parameters!$B$51)^Parameters!B$65</f>
        <v>11.220949377875295</v>
      </c>
      <c r="K114" s="23">
        <f>K113*(1+Parameters!$B$53)^Parameters!B$65</f>
        <v>79.945061682329538</v>
      </c>
      <c r="L114" s="23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3.1603996766314708</v>
      </c>
      <c r="M114" s="8">
        <f>M113+L114*Parameters!B$65</f>
        <v>3648.1335142759494</v>
      </c>
      <c r="N114" s="7">
        <f>M114*Parameters!$B$45</f>
        <v>2.1888801085655696</v>
      </c>
      <c r="O114" s="9">
        <f>EXP(-Parameters!$B$46/2*N114^2)</f>
        <v>0.95298937813534423</v>
      </c>
      <c r="P114" s="7">
        <f>MAX((Parameters!$B$62 + Parameters!$B$31*'6states'!A114 - '6states'!M114 + Parameters!$B$47/Parameters!$B$45)/Parameters!B$62,1)</f>
        <v>91.077329714481024</v>
      </c>
      <c r="Q114" s="8"/>
      <c r="R114" s="8"/>
      <c r="S114" s="7">
        <f>Parameters!B$61*EXP(-Parameters!B$60*A114)+(1-Parameters!B$61)*P114^-Parameters!B$63</f>
        <v>0.34409265249852117</v>
      </c>
      <c r="T114" s="7">
        <f>1-S114/Parameters!$B$12</f>
        <v>0.82795367375073936</v>
      </c>
      <c r="U114" s="7">
        <f t="shared" si="102"/>
        <v>5.8123879875888802</v>
      </c>
      <c r="V114" s="7">
        <f>(Parameters!$B$19*(F114+Parameters!$B$20)^T114+Parameters!$B$18*G114^T114)^(1/T114)</f>
        <v>0.33916989186505825</v>
      </c>
      <c r="W114" s="7">
        <f>(Parameters!$B$10*H114^Parameters!$B$9+Parameters!$B$11*V114^Parameters!$B$9)^(Parameters!$B$7/Parameters!$B$9)*O114</f>
        <v>1.3212443000501066</v>
      </c>
      <c r="X114" s="7">
        <f>W114 - D114 - E114 - LN(1+EXP(Parameters!$B$21*C114))/Parameters!$B$21 - IF(C114&gt;0, 0,Parameters!$B$6*C114^2/F114)</f>
        <v>1.0090017503257893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-0.54101169005709315</v>
      </c>
      <c r="AC114" s="23">
        <f t="shared" si="103"/>
        <v>0.61467952602373477</v>
      </c>
      <c r="AD114" s="23">
        <f t="shared" si="104"/>
        <v>89.518912132382326</v>
      </c>
      <c r="AE114" s="23">
        <f t="shared" si="105"/>
        <v>0.12977757957976496</v>
      </c>
      <c r="AF114" s="23">
        <f t="shared" si="106"/>
        <v>11.093818302222687</v>
      </c>
      <c r="AG114" s="23">
        <f t="shared" si="107"/>
        <v>1169.9984737108841</v>
      </c>
      <c r="AH114" s="23">
        <f t="shared" si="108"/>
        <v>304.2555702702038</v>
      </c>
      <c r="AI114" s="23">
        <f t="shared" si="109"/>
        <v>748.79612246468059</v>
      </c>
      <c r="AJ114" s="23">
        <f t="shared" si="110"/>
        <v>1185.2347381646102</v>
      </c>
      <c r="AK114" s="23">
        <f t="shared" si="111"/>
        <v>905.13459570623468</v>
      </c>
      <c r="AL114" s="9">
        <f t="shared" si="122"/>
        <v>2.2047261028603771E-2</v>
      </c>
      <c r="AM114" s="9">
        <f t="shared" si="123"/>
        <v>1.578667501484432E-2</v>
      </c>
      <c r="AN114" s="9">
        <f t="shared" ref="AN114:AO114" si="170">AVERAGE(AL112:AL116)</f>
        <v>2.2736682522592845E-2</v>
      </c>
      <c r="AO114" s="9">
        <f t="shared" si="170"/>
        <v>2.2717549050450359E-2</v>
      </c>
      <c r="AP114" s="23"/>
      <c r="AQ114" s="25">
        <f t="shared" si="100"/>
        <v>1185.2347381646102</v>
      </c>
      <c r="AR114" s="4"/>
      <c r="AS114" s="4"/>
      <c r="AT114" s="4"/>
      <c r="AU114" s="16"/>
      <c r="AV114" s="16"/>
      <c r="AY114" s="21">
        <f>-Y114*W114*X114^(-Parameters!B$52)*Parameters!B$46*Parameters!B$45*N114</f>
        <v>-6.5453847947640954E-6</v>
      </c>
      <c r="AZ114" s="7">
        <f>1000*EXP(-(Parameters!$B$54)*'6states'!A114)*AQ114*Parameters!B$46*Parameters!B$45*N114</f>
        <v>0.65851043232282835</v>
      </c>
      <c r="BA114" s="93">
        <f>SUM(AZ114:AZ$204)*EXP(Parameters!$B$54*A114)</f>
        <v>2123.2595344626757</v>
      </c>
      <c r="BB114" s="43">
        <f t="shared" si="166"/>
        <v>0.23482189553693295</v>
      </c>
      <c r="BC114" s="30">
        <f>IF(C114&lt;0,Parameters!$B$6*AC114^2/AF114,0)</f>
        <v>0</v>
      </c>
      <c r="BD114" s="30">
        <f>Parameters!$B$5*AD114^2/AG114</f>
        <v>6.8492701566937431</v>
      </c>
      <c r="BE114" s="30">
        <f t="shared" si="113"/>
        <v>0</v>
      </c>
      <c r="BF114" s="30">
        <f t="shared" si="114"/>
        <v>7.6511990522906581E-2</v>
      </c>
      <c r="BH114" s="5"/>
      <c r="BI114" s="5"/>
      <c r="BJ114" s="5"/>
      <c r="BM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-1.2012523177133072</v>
      </c>
      <c r="BN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-1077.5947916676485</v>
      </c>
      <c r="BO114" s="7">
        <f t="shared" si="155"/>
        <v>1.1562923411219912E-2</v>
      </c>
    </row>
    <row r="115" spans="1:67" x14ac:dyDescent="0.3">
      <c r="A115">
        <f>A114+Parameters!$B$65</f>
        <v>111</v>
      </c>
      <c r="B115">
        <v>2136</v>
      </c>
      <c r="C115" s="74">
        <v>6.0846758877443395E-4</v>
      </c>
      <c r="D115" s="69">
        <v>0.100877046500079</v>
      </c>
      <c r="E115" s="75">
        <v>0.21441550535453899</v>
      </c>
      <c r="F115" s="7">
        <f>MAX((1-Parameters!$B$4)^Parameters!B$65*F114 + C114*Parameters!B$65 - IF(C114&gt;0,Parameters!$B$5,0)*C114^2/F114*Parameters!B$65, 0.0001)</f>
        <v>1.2236244071739441E-2</v>
      </c>
      <c r="G115" s="7">
        <f>(1-Parameters!$B$4)^Parameters!B$65*G114+D114*Parameters!B$65-Parameters!$B$5*D114^2/G114*Parameters!B$65</f>
        <v>1.3143779477712492</v>
      </c>
      <c r="H115" s="7">
        <f>(1-Parameters!$B$4)^Parameters!B$65*H114+E114*Parameters!B$65-Parameters!$B$5*E114^2/H114*Parameters!B$65</f>
        <v>3.2743807017345787</v>
      </c>
      <c r="I115" s="7">
        <f>I114 *(1-Parameters!$B$4)-C114*(C114&lt;0)*Parameters!B$65</f>
        <v>1.3557023938742398E-4</v>
      </c>
      <c r="J115" s="23">
        <f>J114*(1+Parameters!$B$51)^Parameters!B$65</f>
        <v>11.253490131071132</v>
      </c>
      <c r="K115" s="23">
        <f>K114*(1+Parameters!$B$53)^Parameters!B$65</f>
        <v>81.543962915976124</v>
      </c>
      <c r="L115" s="23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3.1753524965183528</v>
      </c>
      <c r="M115" s="8">
        <f>M114+L115*Parameters!B$65</f>
        <v>3651.3088667724678</v>
      </c>
      <c r="N115" s="7">
        <f>M115*Parameters!$B$45</f>
        <v>2.1907853200634806</v>
      </c>
      <c r="O115" s="9">
        <f>EXP(-Parameters!$B$46/2*N115^2)</f>
        <v>0.95290946465574622</v>
      </c>
      <c r="P115" s="7">
        <f>MAX((Parameters!$B$62 + Parameters!$B$31*'6states'!A115 - '6states'!M115 + Parameters!$B$47/Parameters!$B$45)/Parameters!B$62,1)</f>
        <v>92.077822664550652</v>
      </c>
      <c r="Q115" s="8"/>
      <c r="R115" s="8"/>
      <c r="S115" s="7">
        <f>Parameters!B$61*EXP(-Parameters!B$60*A115)+(1-Parameters!B$61)*P115^-Parameters!B$63</f>
        <v>0.34306161122070816</v>
      </c>
      <c r="T115" s="7">
        <f>1-S115/Parameters!$B$12</f>
        <v>0.82846919438964595</v>
      </c>
      <c r="U115" s="7">
        <f t="shared" si="102"/>
        <v>5.8298566047172891</v>
      </c>
      <c r="V115" s="7">
        <f>(Parameters!$B$19*(F115+Parameters!$B$20)^T115+Parameters!$B$18*G115^T115)^(1/T115)</f>
        <v>0.34168640776273329</v>
      </c>
      <c r="W115" s="7">
        <f>(Parameters!$B$10*H115^Parameters!$B$9+Parameters!$B$11*V115^Parameters!$B$9)^(Parameters!$B$7/Parameters!$B$9)*O115</f>
        <v>1.3212542329302526</v>
      </c>
      <c r="X115" s="7">
        <f>W115 - D115 - E115 - LN(1+EXP(Parameters!$B$21*C115))/Parameters!$B$21 - IF(C115&gt;0, 0,Parameters!$B$6*C115^2/F115)</f>
        <v>1.0033330921822192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-0.53395563824986614</v>
      </c>
      <c r="AC115" s="23">
        <f t="shared" si="103"/>
        <v>0.55836282740368726</v>
      </c>
      <c r="AD115" s="23">
        <f t="shared" si="104"/>
        <v>92.570243580875513</v>
      </c>
      <c r="AE115" s="23">
        <f t="shared" si="105"/>
        <v>0.12440659711822168</v>
      </c>
      <c r="AF115" s="23">
        <f t="shared" si="106"/>
        <v>11.228640543466714</v>
      </c>
      <c r="AG115" s="23">
        <f t="shared" si="107"/>
        <v>1206.1444204001405</v>
      </c>
      <c r="AH115" s="23">
        <f t="shared" si="108"/>
        <v>313.54996098984526</v>
      </c>
      <c r="AI115" s="23">
        <f t="shared" si="109"/>
        <v>771.67032563985515</v>
      </c>
      <c r="AJ115" s="23">
        <f t="shared" si="110"/>
        <v>1212.4544722323976</v>
      </c>
      <c r="AK115" s="23">
        <f t="shared" si="111"/>
        <v>920.71280790311721</v>
      </c>
      <c r="AL115" s="9">
        <f t="shared" si="122"/>
        <v>2.2705948202460746E-2</v>
      </c>
      <c r="AM115" s="9">
        <f t="shared" si="123"/>
        <v>1.7064504067566766E-2</v>
      </c>
      <c r="AN115" s="9">
        <f t="shared" ref="AN115:AO115" si="171">AVERAGE(AL113:AL117)</f>
        <v>2.2730273535631618E-2</v>
      </c>
      <c r="AO115" s="9">
        <f t="shared" si="171"/>
        <v>2.2663404797187425E-2</v>
      </c>
      <c r="AP115" s="23"/>
      <c r="AQ115" s="25">
        <f t="shared" si="100"/>
        <v>1212.4544722323976</v>
      </c>
      <c r="AR115" s="4"/>
      <c r="AS115" s="4"/>
      <c r="AT115" s="4"/>
      <c r="AU115" s="16"/>
      <c r="AV115" s="16"/>
      <c r="AY115" s="21">
        <f>-Y115*W115*X115^(-Parameters!B$52)*Parameters!B$46*Parameters!B$45*N115</f>
        <v>-6.5022192015814355E-6</v>
      </c>
      <c r="AZ115" s="7">
        <f>1000*EXP(-(Parameters!$B$54)*'6states'!A115)*AQ115*Parameters!B$46*Parameters!B$45*N115</f>
        <v>0.65096529983087892</v>
      </c>
      <c r="BA115" s="93">
        <f>SUM(AZ115:AZ$204)*EXP(Parameters!$B$54*A115)</f>
        <v>2166.7039204297648</v>
      </c>
      <c r="BB115" s="43">
        <f t="shared" si="166"/>
        <v>0.23909177474708493</v>
      </c>
      <c r="BC115" s="30">
        <f>IF(C115&lt;0,Parameters!$B$6*AC115^2/AF115,0)</f>
        <v>0</v>
      </c>
      <c r="BD115" s="30">
        <f>Parameters!$B$5*AD115^2/AG115</f>
        <v>7.1046632987613219</v>
      </c>
      <c r="BE115" s="30">
        <f t="shared" si="113"/>
        <v>0</v>
      </c>
      <c r="BF115" s="30">
        <f t="shared" si="114"/>
        <v>7.674888845414149E-2</v>
      </c>
      <c r="BH115" s="5"/>
      <c r="BI115" s="5"/>
      <c r="BJ115" s="5"/>
      <c r="BM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-1.2211017142930833</v>
      </c>
      <c r="BN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-1120.5490946748412</v>
      </c>
      <c r="BO115" s="7">
        <f t="shared" si="155"/>
        <v>1.0957991768878706E-2</v>
      </c>
    </row>
    <row r="116" spans="1:67" x14ac:dyDescent="0.3">
      <c r="A116">
        <f>A115+Parameters!$B$65</f>
        <v>112</v>
      </c>
      <c r="B116">
        <v>2137</v>
      </c>
      <c r="C116" s="74">
        <v>5.3875356378583605E-4</v>
      </c>
      <c r="D116" s="69">
        <v>9.2764787467175397E-2</v>
      </c>
      <c r="E116" s="75">
        <v>0.22412786109212099</v>
      </c>
      <c r="F116" s="7">
        <f>MAX((1-Parameters!$B$4)^Parameters!B$65*F115 + C115*Parameters!B$65 - IF(C115&gt;0,Parameters!$B$5,0)*C115^2/F115*Parameters!B$65, 0.0001)</f>
        <v>1.2044794845497329E-2</v>
      </c>
      <c r="G116" s="7">
        <f>(1-Parameters!$B$4)^Parameters!B$65*G115+D115*Parameters!B$65-Parameters!$B$5*D115^2/G115*Parameters!B$65</f>
        <v>1.3248384201670989</v>
      </c>
      <c r="H116" s="7">
        <f>(1-Parameters!$B$4)^Parameters!B$65*H115+E115*Parameters!B$65-Parameters!$B$5*E115^2/H115*Parameters!B$65</f>
        <v>3.2687971405816612</v>
      </c>
      <c r="I116" s="7">
        <f>I115 *(1-Parameters!$B$4)-C115*(C115&lt;0)*Parameters!B$65</f>
        <v>1.2704287132995503E-4</v>
      </c>
      <c r="J116" s="23">
        <f>J115*(1+Parameters!$B$51)^Parameters!B$65</f>
        <v>11.286125252451237</v>
      </c>
      <c r="K116" s="23">
        <f>K115*(1+Parameters!$B$53)^Parameters!B$65</f>
        <v>83.174842174295648</v>
      </c>
      <c r="L116" s="23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3.1729682589050898</v>
      </c>
      <c r="M116" s="8">
        <f>M115+L116*Parameters!B$65</f>
        <v>3654.4818350313731</v>
      </c>
      <c r="N116" s="7">
        <f>M116*Parameters!$B$45</f>
        <v>2.1926891010188236</v>
      </c>
      <c r="O116" s="9">
        <f>EXP(-Parameters!$B$46/2*N116^2)</f>
        <v>0.95282954843365142</v>
      </c>
      <c r="P116" s="7">
        <f>MAX((Parameters!$B$62 + Parameters!$B$31*'6states'!A116 - '6states'!M116 + Parameters!$B$47/Parameters!$B$45)/Parameters!B$62,1)</f>
        <v>93.07836329937254</v>
      </c>
      <c r="Q116" s="8"/>
      <c r="R116" s="8"/>
      <c r="S116" s="7">
        <f>Parameters!B$61*EXP(-Parameters!B$60*A116)+(1-Parameters!B$61)*P116^-Parameters!B$63</f>
        <v>0.342052888039938</v>
      </c>
      <c r="T116" s="7">
        <f>1-S116/Parameters!$B$12</f>
        <v>0.82897355598003097</v>
      </c>
      <c r="U116" s="7">
        <f t="shared" si="102"/>
        <v>5.8470490088844977</v>
      </c>
      <c r="V116" s="7">
        <f>(Parameters!$B$19*(F116+Parameters!$B$20)^T116+Parameters!$B$18*G116^T116)^(1/T116)</f>
        <v>0.34421643814733516</v>
      </c>
      <c r="W116" s="7">
        <f>(Parameters!$B$10*H116^Parameters!$B$9+Parameters!$B$11*V116^Parameters!$B$9)^(Parameters!$B$7/Parameters!$B$9)*O116</f>
        <v>1.3216083016660716</v>
      </c>
      <c r="X116" s="7">
        <f>W116 - D116 - E116 - LN(1+EXP(Parameters!$B$21*C116))/Parameters!$B$21 - IF(C116&gt;0, 0,Parameters!$B$6*C116^2/F116)</f>
        <v>1.0021249129722336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-0.52617532410672863</v>
      </c>
      <c r="AC116" s="23">
        <f t="shared" si="103"/>
        <v>0.50573965407602151</v>
      </c>
      <c r="AD116" s="23">
        <f t="shared" si="104"/>
        <v>87.080317751242589</v>
      </c>
      <c r="AE116" s="23">
        <f t="shared" si="105"/>
        <v>0.119257898449423</v>
      </c>
      <c r="AF116" s="23">
        <f t="shared" si="106"/>
        <v>11.306710132501243</v>
      </c>
      <c r="AG116" s="23">
        <f t="shared" si="107"/>
        <v>1243.654556294086</v>
      </c>
      <c r="AH116" s="23">
        <f t="shared" si="108"/>
        <v>323.12343538411363</v>
      </c>
      <c r="AI116" s="23">
        <f t="shared" si="109"/>
        <v>795.23137498589267</v>
      </c>
      <c r="AJ116" s="23">
        <f t="shared" si="110"/>
        <v>1240.6223740067805</v>
      </c>
      <c r="AK116" s="23">
        <f t="shared" si="111"/>
        <v>940.71638852120554</v>
      </c>
      <c r="AL116" s="9">
        <f t="shared" si="122"/>
        <v>2.2966373771359905E-2</v>
      </c>
      <c r="AM116" s="9">
        <f t="shared" si="123"/>
        <v>2.1493539203257583E-2</v>
      </c>
      <c r="AN116" s="9">
        <f t="shared" ref="AN116:AO116" si="172">AVERAGE(AL114:AL118)</f>
        <v>2.2723299131047092E-2</v>
      </c>
      <c r="AO116" s="9">
        <f t="shared" si="172"/>
        <v>2.0409827486732722E-2</v>
      </c>
      <c r="AP116" s="23"/>
      <c r="AQ116" s="25">
        <f t="shared" si="100"/>
        <v>1240.6223740067805</v>
      </c>
      <c r="AR116" s="4"/>
      <c r="AS116" s="4"/>
      <c r="AT116" s="4"/>
      <c r="AU116" s="16"/>
      <c r="AV116" s="16"/>
      <c r="AY116" s="21">
        <f>-Y116*W116*X116^(-Parameters!B$52)*Parameters!B$46*Parameters!B$45*N116</f>
        <v>-6.422495171228185E-6</v>
      </c>
      <c r="AZ116" s="7">
        <f>1000*EXP(-(Parameters!$B$54)*'6states'!A116)*AQ116*Parameters!B$46*Parameters!B$45*N116</f>
        <v>0.64367331920632442</v>
      </c>
      <c r="BA116" s="93">
        <f>SUM(AZ116:AZ$204)*EXP(Parameters!$B$54*A116)</f>
        <v>2210.927216216081</v>
      </c>
      <c r="BB116" s="43">
        <f t="shared" si="166"/>
        <v>0.24018569021011421</v>
      </c>
      <c r="BC116" s="30">
        <f>IF(C116&lt;0,Parameters!$B$6*AC116^2/AF116,0)</f>
        <v>0</v>
      </c>
      <c r="BD116" s="30">
        <f>Parameters!$B$5*AD116^2/AG116</f>
        <v>6.0973376419361855</v>
      </c>
      <c r="BE116" s="30">
        <f t="shared" si="113"/>
        <v>0</v>
      </c>
      <c r="BF116" s="30">
        <f t="shared" si="114"/>
        <v>7.0019699047884784E-2</v>
      </c>
      <c r="BH116" s="5"/>
      <c r="BI116" s="5"/>
      <c r="BJ116" s="5"/>
      <c r="BM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-1.236717889370297</v>
      </c>
      <c r="BN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-1160.9339029976084</v>
      </c>
      <c r="BO116" s="7">
        <f t="shared" si="155"/>
        <v>1.0437443735741004E-2</v>
      </c>
    </row>
    <row r="117" spans="1:67" x14ac:dyDescent="0.3">
      <c r="A117">
        <f>A116+Parameters!$B$65</f>
        <v>113</v>
      </c>
      <c r="B117">
        <v>2138</v>
      </c>
      <c r="C117" s="74">
        <v>4.5091668632247101E-4</v>
      </c>
      <c r="D117" s="69">
        <v>9.7033265754580295E-2</v>
      </c>
      <c r="E117" s="75">
        <v>0.218980063253747</v>
      </c>
      <c r="F117" s="7">
        <f>MAX((1-Parameters!$B$4)^Parameters!B$65*F116 + C116*Parameters!B$65 - IF(C116&gt;0,Parameters!$B$5,0)*C116^2/F116*Parameters!B$65, 0.0001)</f>
        <v>1.1801832818789547E-2</v>
      </c>
      <c r="G117" s="7">
        <f>(1-Parameters!$B$4)^Parameters!B$65*G116+D116*Parameters!B$65-Parameters!$B$5*D116^2/G116*Parameters!B$65</f>
        <v>1.3277755085050711</v>
      </c>
      <c r="H117" s="7">
        <f>(1-Parameters!$B$4)^Parameters!B$65*H116+E116*Parameters!B$65-Parameters!$B$5*E116^2/H116*Parameters!B$65</f>
        <v>3.2719501437693594</v>
      </c>
      <c r="I117" s="7">
        <f>I116 *(1-Parameters!$B$4)-C116*(C116&lt;0)*Parameters!B$65</f>
        <v>1.1905187472330087E-4</v>
      </c>
      <c r="J117" s="23">
        <f>J116*(1+Parameters!$B$51)^Parameters!B$65</f>
        <v>11.318855015683344</v>
      </c>
      <c r="K117" s="23">
        <f>K116*(1+Parameters!$B$53)^Parameters!B$65</f>
        <v>84.838339017781564</v>
      </c>
      <c r="L117" s="23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3.1551409263428285</v>
      </c>
      <c r="M117" s="8">
        <f>M116+L117*Parameters!B$65</f>
        <v>3657.636975957716</v>
      </c>
      <c r="N117" s="7">
        <f>M117*Parameters!$B$45</f>
        <v>2.1945821855746295</v>
      </c>
      <c r="O117" s="9">
        <f>EXP(-Parameters!$B$46/2*N117^2)</f>
        <v>0.95275001904289092</v>
      </c>
      <c r="P117" s="7">
        <f>MAX((Parameters!$B$62 + Parameters!$B$31*'6states'!A117 - '6states'!M117 + Parameters!$B$47/Parameters!$B$45)/Parameters!B$62,1)</f>
        <v>94.07926048084569</v>
      </c>
      <c r="Q117" s="8"/>
      <c r="R117" s="8"/>
      <c r="S117" s="7">
        <f>Parameters!B$61*EXP(-Parameters!B$60*A117)+(1-Parameters!B$61)*P117^-Parameters!B$63</f>
        <v>0.34106580170505446</v>
      </c>
      <c r="T117" s="7">
        <f>1-S117/Parameters!$B$12</f>
        <v>0.82946709914747274</v>
      </c>
      <c r="U117" s="7">
        <f t="shared" si="102"/>
        <v>5.8639710871087329</v>
      </c>
      <c r="V117" s="7">
        <f>(Parameters!$B$19*(F117+Parameters!$B$20)^T117+Parameters!$B$18*G117^T117)^(1/T117)</f>
        <v>0.34487134272864117</v>
      </c>
      <c r="W117" s="7">
        <f>(Parameters!$B$10*H117^Parameters!$B$9+Parameters!$B$11*V117^Parameters!$B$9)^(Parameters!$B$7/Parameters!$B$9)*O117</f>
        <v>1.3219964072518888</v>
      </c>
      <c r="X117" s="7">
        <f>W117 - D117 - E117 - LN(1+EXP(Parameters!$B$21*C117))/Parameters!$B$21 - IF(C117&gt;0, 0,Parameters!$B$6*C117^2/F117)</f>
        <v>1.003439510385411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-0.51805200884831093</v>
      </c>
      <c r="AC117" s="23">
        <f t="shared" si="103"/>
        <v>0.43300305559693697</v>
      </c>
      <c r="AD117" s="23">
        <f t="shared" si="104"/>
        <v>93.178411535286486</v>
      </c>
      <c r="AE117" s="23">
        <f t="shared" si="105"/>
        <v>0.11432228412338548</v>
      </c>
      <c r="AF117" s="23">
        <f t="shared" si="106"/>
        <v>11.332979743680472</v>
      </c>
      <c r="AG117" s="23">
        <f t="shared" si="107"/>
        <v>1275.0267838132595</v>
      </c>
      <c r="AH117" s="23">
        <f t="shared" si="108"/>
        <v>331.17059030839948</v>
      </c>
      <c r="AI117" s="23">
        <f t="shared" si="109"/>
        <v>815.03603591231877</v>
      </c>
      <c r="AJ117" s="23">
        <f t="shared" si="110"/>
        <v>1269.4772697297587</v>
      </c>
      <c r="AK117" s="23">
        <f t="shared" si="111"/>
        <v>963.5757275854105</v>
      </c>
      <c r="AL117" s="9">
        <f t="shared" si="122"/>
        <v>2.2992048880963623E-2</v>
      </c>
      <c r="AM117" s="9">
        <f t="shared" si="123"/>
        <v>2.400938066852909E-2</v>
      </c>
      <c r="AN117" s="9">
        <f t="shared" ref="AN117:AO117" si="173">AVERAGE(AL115:AL119)</f>
        <v>2.2878050140083418E-2</v>
      </c>
      <c r="AO117" s="9">
        <f t="shared" si="173"/>
        <v>2.2982675626953331E-2</v>
      </c>
      <c r="AP117" s="23"/>
      <c r="AQ117" s="25">
        <f t="shared" si="100"/>
        <v>1269.4772697297587</v>
      </c>
      <c r="AR117" s="4"/>
      <c r="AS117" s="4"/>
      <c r="AT117" s="4"/>
      <c r="AU117" s="16"/>
      <c r="AV117" s="16"/>
      <c r="AY117" s="21">
        <f>-Y117*W117*X117^(-Parameters!B$52)*Parameters!B$46*Parameters!B$45*N117</f>
        <v>-6.3223661147368521E-6</v>
      </c>
      <c r="AZ117" s="7">
        <f>1000*EXP(-(Parameters!$B$54)*'6states'!A117)*AQ117*Parameters!B$46*Parameters!B$45*N117</f>
        <v>0.63647578134125526</v>
      </c>
      <c r="BA117" s="93">
        <f>SUM(AZ117:AZ$204)*EXP(Parameters!$B$54*A117)</f>
        <v>2255.9300047689221</v>
      </c>
      <c r="BB117" s="43">
        <f t="shared" si="166"/>
        <v>0.2393835898181467</v>
      </c>
      <c r="BC117" s="30">
        <f>IF(C117&lt;0,Parameters!$B$6*AC117^2/AF117,0)</f>
        <v>0</v>
      </c>
      <c r="BD117" s="30">
        <f>Parameters!$B$5*AD117^2/AG117</f>
        <v>6.8094384262839203</v>
      </c>
      <c r="BE117" s="30">
        <f t="shared" si="113"/>
        <v>0</v>
      </c>
      <c r="BF117" s="30">
        <f t="shared" si="114"/>
        <v>7.3079571910336746E-2</v>
      </c>
      <c r="BH117" s="5"/>
      <c r="BI117" s="5"/>
      <c r="BJ117" s="5"/>
      <c r="BM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-1.248718085242623</v>
      </c>
      <c r="BN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-1199.1100859428695</v>
      </c>
      <c r="BO117" s="7">
        <f t="shared" si="155"/>
        <v>9.986832167589622E-3</v>
      </c>
    </row>
    <row r="118" spans="1:67" x14ac:dyDescent="0.3">
      <c r="A118">
        <f>A117+Parameters!$B$65</f>
        <v>114</v>
      </c>
      <c r="B118">
        <v>2139</v>
      </c>
      <c r="C118" s="74">
        <v>3.4989033100693697E-4</v>
      </c>
      <c r="D118" s="69">
        <v>9.1437014741802297E-2</v>
      </c>
      <c r="E118" s="75">
        <v>0.22390225552441201</v>
      </c>
      <c r="F118" s="7">
        <f>MAX((1-Parameters!$B$4)^Parameters!B$65*F117 + C117*Parameters!B$65 - IF(C117&gt;0,Parameters!$B$5,0)*C117^2/F117*Parameters!B$65, 0.0001)</f>
        <v>1.1493185891861084E-2</v>
      </c>
      <c r="G118" s="7">
        <f>(1-Parameters!$B$4)^Parameters!B$65*G117+D117*Parameters!B$65-Parameters!$B$5*D117^2/G117*Parameters!B$65</f>
        <v>1.3342005452522758</v>
      </c>
      <c r="H118" s="7">
        <f>(1-Parameters!$B$4)^Parameters!B$65*H117+E117*Parameters!B$65-Parameters!$B$5*E117^2/H117*Parameters!B$65</f>
        <v>3.2704689810076135</v>
      </c>
      <c r="I118" s="7">
        <f>I117 *(1-Parameters!$B$4)-C117*(C117&lt;0)*Parameters!B$65</f>
        <v>1.1156351180320525E-4</v>
      </c>
      <c r="J118" s="23">
        <f>J117*(1+Parameters!$B$51)^Parameters!B$65</f>
        <v>11.351679695228825</v>
      </c>
      <c r="K118" s="23">
        <f>K117*(1+Parameters!$B$53)^Parameters!B$65</f>
        <v>86.535105798137195</v>
      </c>
      <c r="L118" s="23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3.1172490143688592</v>
      </c>
      <c r="M118" s="8">
        <f>M117+L118*Parameters!B$65</f>
        <v>3660.754224972085</v>
      </c>
      <c r="N118" s="7">
        <f>M118*Parameters!$B$45</f>
        <v>2.1964525349832509</v>
      </c>
      <c r="O118" s="9">
        <f>EXP(-Parameters!$B$46/2*N118^2)</f>
        <v>0.95267138389229367</v>
      </c>
      <c r="P118" s="7">
        <f>MAX((Parameters!$B$62 + Parameters!$B$31*'6states'!A118 - '6states'!M118 + Parameters!$B$47/Parameters!$B$45)/Parameters!B$62,1)</f>
        <v>95.080915500558291</v>
      </c>
      <c r="Q118" s="8"/>
      <c r="R118" s="8"/>
      <c r="S118" s="7">
        <f>Parameters!B$61*EXP(-Parameters!B$60*A118)+(1-Parameters!B$61)*P118^-Parameters!B$63</f>
        <v>0.34009966089750715</v>
      </c>
      <c r="T118" s="7">
        <f>1-S118/Parameters!$B$12</f>
        <v>0.82995016955124645</v>
      </c>
      <c r="U118" s="7">
        <f t="shared" si="102"/>
        <v>5.8806292094561154</v>
      </c>
      <c r="V118" s="7">
        <f>(Parameters!$B$19*(F118+Parameters!$B$20)^T118+Parameters!$B$18*G118^T118)^(1/T118)</f>
        <v>0.34629194484274473</v>
      </c>
      <c r="W118" s="7">
        <f>(Parameters!$B$10*H118^Parameters!$B$9+Parameters!$B$11*V118^Parameters!$B$9)^(Parameters!$B$7/Parameters!$B$9)*O118</f>
        <v>1.3222693395871614</v>
      </c>
      <c r="X118" s="7">
        <f>W118 - D118 - E118 - LN(1+EXP(Parameters!$B$21*C118))/Parameters!$B$21 - IF(C118&gt;0, 0,Parameters!$B$6*C118^2/F118)</f>
        <v>1.0044400447880009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-0.51011022385703064</v>
      </c>
      <c r="AC118" s="23">
        <f t="shared" si="103"/>
        <v>0.34370385128058006</v>
      </c>
      <c r="AD118" s="23">
        <f t="shared" si="104"/>
        <v>89.820298908841636</v>
      </c>
      <c r="AE118" s="23">
        <f t="shared" si="105"/>
        <v>0.1095909354190981</v>
      </c>
      <c r="AF118" s="23">
        <f t="shared" si="106"/>
        <v>11.289972612698362</v>
      </c>
      <c r="AG118" s="23">
        <f t="shared" si="107"/>
        <v>1310.6102831254441</v>
      </c>
      <c r="AH118" s="23">
        <f t="shared" si="108"/>
        <v>340.16908888955214</v>
      </c>
      <c r="AI118" s="23">
        <f t="shared" si="109"/>
        <v>837.1820260073797</v>
      </c>
      <c r="AJ118" s="23">
        <f t="shared" si="110"/>
        <v>1298.8900354532122</v>
      </c>
      <c r="AK118" s="23">
        <f t="shared" si="111"/>
        <v>986.68034289644208</v>
      </c>
      <c r="AL118" s="9">
        <f t="shared" si="122"/>
        <v>2.2904863771847417E-2</v>
      </c>
      <c r="AM118" s="9">
        <f t="shared" si="123"/>
        <v>2.3695038479465858E-2</v>
      </c>
      <c r="AN118" s="9">
        <f t="shared" ref="AN118:AO118" si="174">AVERAGE(AL116:AL120)</f>
        <v>2.2834074131925418E-2</v>
      </c>
      <c r="AO118" s="9">
        <f t="shared" si="174"/>
        <v>2.2358555005464353E-2</v>
      </c>
      <c r="AP118" s="23"/>
      <c r="AQ118" s="25">
        <f t="shared" si="100"/>
        <v>1298.8900354532122</v>
      </c>
      <c r="AR118" s="4"/>
      <c r="AS118" s="4"/>
      <c r="AT118" s="4"/>
      <c r="AU118" s="16"/>
      <c r="AV118" s="16"/>
      <c r="AY118" s="21">
        <f>-Y118*W118*X118^(-Parameters!B$52)*Parameters!B$46*Parameters!B$45*N118</f>
        <v>-6.2258279060775281E-6</v>
      </c>
      <c r="AZ118" s="7">
        <f>1000*EXP(-(Parameters!$B$54)*'6states'!A118)*AQ118*Parameters!B$46*Parameters!B$45*N118</f>
        <v>0.62929687580807625</v>
      </c>
      <c r="BA118" s="93">
        <f>SUM(AZ118:AZ$204)*EXP(Parameters!$B$54*A118)</f>
        <v>2301.7201300166953</v>
      </c>
      <c r="BB118" s="43">
        <f t="shared" si="166"/>
        <v>0.2387480002340413</v>
      </c>
      <c r="BC118" s="30">
        <f>IF(C118&lt;0,Parameters!$B$6*AC118^2/AF118,0)</f>
        <v>0</v>
      </c>
      <c r="BD118" s="30">
        <f>Parameters!$B$5*AD118^2/AG118</f>
        <v>6.1556712929448798</v>
      </c>
      <c r="BE118" s="30">
        <f t="shared" si="113"/>
        <v>0</v>
      </c>
      <c r="BF118" s="30">
        <f t="shared" si="114"/>
        <v>6.853318645924629E-2</v>
      </c>
      <c r="BH118" s="5"/>
      <c r="BI118" s="5"/>
      <c r="BJ118" s="5"/>
      <c r="BM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-1.2565853935215396</v>
      </c>
      <c r="BN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-1234.3674601505741</v>
      </c>
      <c r="BO118" s="7">
        <f t="shared" si="155"/>
        <v>9.6136080084571404E-3</v>
      </c>
    </row>
    <row r="119" spans="1:67" x14ac:dyDescent="0.3">
      <c r="A119">
        <f>A118+Parameters!$B$65</f>
        <v>115</v>
      </c>
      <c r="B119">
        <v>2140</v>
      </c>
      <c r="C119" s="79">
        <v>3.1820317345327098E-4</v>
      </c>
      <c r="D119" s="70">
        <v>9.3512137219283295E-2</v>
      </c>
      <c r="E119" s="80">
        <v>0.21600912636744099</v>
      </c>
      <c r="F119" s="7">
        <f>MAX((1-Parameters!$B$4)^Parameters!B$65*F118 + C118*Parameters!B$65 - IF(C118&gt;0,Parameters!$B$5,0)*C118^2/F118*Parameters!B$65, 0.0001)</f>
        <v>1.1109503019285259E-2</v>
      </c>
      <c r="G119" s="7">
        <f>(1-Parameters!$B$4)^Parameters!B$65*G118+D118*Parameters!B$65-Parameters!$B$5*D118^2/G118*Parameters!B$65</f>
        <v>1.3354498757171331</v>
      </c>
      <c r="H119" s="7">
        <f>(1-Parameters!$B$4)^Parameters!B$65*H118+E118*Parameters!B$65-Parameters!$B$5*E118^2/H118*Parameters!B$65</f>
        <v>3.2733299819282902</v>
      </c>
      <c r="I119" s="7">
        <f>I118 *(1-Parameters!$B$4)-C118*(C118&lt;0)*Parameters!B$65</f>
        <v>1.0454616691078364E-4</v>
      </c>
      <c r="J119" s="23">
        <f>J118*(1+Parameters!$B$51)^Parameters!B$65</f>
        <v>11.384599566344987</v>
      </c>
      <c r="K119" s="23">
        <f>K118*(1+Parameters!$B$53)^Parameters!B$65</f>
        <v>88.265807914099938</v>
      </c>
      <c r="L119" s="23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3.0558338773011426</v>
      </c>
      <c r="M119" s="8">
        <f>M118+L119*Parameters!B$65</f>
        <v>3663.8100588493862</v>
      </c>
      <c r="N119" s="7">
        <f>M119*Parameters!$B$45</f>
        <v>2.1982860353096316</v>
      </c>
      <c r="O119" s="9">
        <f>EXP(-Parameters!$B$46/2*N119^2)</f>
        <v>0.95259423927403974</v>
      </c>
      <c r="P119" s="7">
        <f>MAX((Parameters!$B$62 + Parameters!$B$31*'6states'!A119 - '6states'!M119 + Parameters!$B$47/Parameters!$B$45)/Parameters!B$62,1)</f>
        <v>96.083798823012273</v>
      </c>
      <c r="Q119" s="8"/>
      <c r="R119" s="8"/>
      <c r="S119" s="7">
        <f>Parameters!B$61*EXP(-Parameters!B$60*A119)+(1-Parameters!B$61)*P119^-Parameters!B$63</f>
        <v>0.33915377293529314</v>
      </c>
      <c r="T119" s="7">
        <f>1-S119/Parameters!$B$12</f>
        <v>0.83042311353235343</v>
      </c>
      <c r="U119" s="7">
        <f t="shared" si="102"/>
        <v>5.8970300778036115</v>
      </c>
      <c r="V119" s="7">
        <f>(Parameters!$B$19*(F119+Parameters!$B$20)^T119+Parameters!$B$18*G119^T119)^(1/T119)</f>
        <v>0.34637498072382666</v>
      </c>
      <c r="W119" s="7">
        <f>(Parameters!$B$10*H119^Parameters!$B$9+Parameters!$B$11*V119^Parameters!$B$9)^(Parameters!$B$7/Parameters!$B$9)*O119</f>
        <v>1.3224314407896702</v>
      </c>
      <c r="X119" s="7">
        <f>W119 - D119 - E119 - LN(1+EXP(Parameters!$B$21*C119))/Parameters!$B$21 - IF(C119&gt;0, 0,Parameters!$B$6*C119^2/F119)</f>
        <v>1.0104367894579613</v>
      </c>
      <c r="Y119" s="7">
        <f>EXP(-Parameters!$B$55*A119)</f>
        <v>0.17613579833694784</v>
      </c>
      <c r="Z119" s="7">
        <f>IF(X119&gt;0,X119^(1-Parameters!$B$52)/(1-Parameters!$B$52)*Y119*Parameters!$B$65,-10+X119*1000)</f>
        <v>-0.50141969136477171</v>
      </c>
      <c r="AC119" s="23">
        <f t="shared" si="103"/>
        <v>0.31975310245009742</v>
      </c>
      <c r="AD119" s="23">
        <f t="shared" si="104"/>
        <v>93.967623478136289</v>
      </c>
      <c r="AE119" s="23">
        <f t="shared" si="105"/>
        <v>0.10505539858765088</v>
      </c>
      <c r="AF119" s="23">
        <f t="shared" si="106"/>
        <v>11.163616058709268</v>
      </c>
      <c r="AG119" s="23">
        <f t="shared" si="107"/>
        <v>1341.9546898071983</v>
      </c>
      <c r="AH119" s="23">
        <f t="shared" si="108"/>
        <v>348.06213117104841</v>
      </c>
      <c r="AI119" s="23">
        <f t="shared" si="109"/>
        <v>856.60740398677171</v>
      </c>
      <c r="AJ119" s="23">
        <f t="shared" si="110"/>
        <v>1328.872843664918</v>
      </c>
      <c r="AK119" s="23">
        <f t="shared" si="111"/>
        <v>1015.3585042933137</v>
      </c>
      <c r="AL119" s="9">
        <f t="shared" si="122"/>
        <v>2.2821016073785394E-2</v>
      </c>
      <c r="AM119" s="9">
        <f t="shared" si="123"/>
        <v>2.8650915715947356E-2</v>
      </c>
      <c r="AN119" s="9">
        <f t="shared" ref="AN119:AO119" si="175">AVERAGE(AL117:AL121)</f>
        <v>2.2824559625037287E-2</v>
      </c>
      <c r="AO119" s="9">
        <f t="shared" si="175"/>
        <v>2.3744469855989082E-2</v>
      </c>
      <c r="AP119" s="23"/>
      <c r="AQ119" s="25">
        <f t="shared" si="100"/>
        <v>1328.872843664918</v>
      </c>
      <c r="AR119" s="4"/>
      <c r="AS119" s="4"/>
      <c r="AT119" s="4"/>
      <c r="AU119" s="16"/>
      <c r="AV119" s="16"/>
      <c r="AY119" s="21">
        <f>-Y119*W119*X119^(-Parameters!B$52)*Parameters!B$46*Parameters!B$45*N119</f>
        <v>-6.0892661157923615E-6</v>
      </c>
      <c r="AZ119" s="7">
        <f>1000*EXP(-(Parameters!$B$54)*'6states'!A119)*AQ119*Parameters!B$46*Parameters!B$45*N119</f>
        <v>0.62213589469807218</v>
      </c>
      <c r="BA119" s="93">
        <f>SUM(AZ119:AZ$204)*EXP(Parameters!$B$54*A119)</f>
        <v>2348.3094168484167</v>
      </c>
      <c r="BB119" s="43">
        <f t="shared" si="166"/>
        <v>0.23429529668106008</v>
      </c>
      <c r="BC119" s="30">
        <f>IF(C119&lt;0,Parameters!$B$6*AC119^2/AF119,0)</f>
        <v>0</v>
      </c>
      <c r="BD119" s="30">
        <f>Parameters!$B$5*AD119^2/AG119</f>
        <v>6.5798900135722196</v>
      </c>
      <c r="BE119" s="30">
        <f t="shared" si="113"/>
        <v>0</v>
      </c>
      <c r="BF119" s="30">
        <f t="shared" si="114"/>
        <v>7.0022948011483774E-2</v>
      </c>
      <c r="BH119" s="5"/>
      <c r="BI119" s="5"/>
      <c r="BJ119" s="5"/>
      <c r="BM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-1.259965119909723</v>
      </c>
      <c r="BN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-1266.1022569255006</v>
      </c>
      <c r="BO119" s="7">
        <f t="shared" si="155"/>
        <v>9.3227847653348048E-3</v>
      </c>
    </row>
    <row r="120" spans="1:67" x14ac:dyDescent="0.3">
      <c r="A120">
        <f>A119+Parameters!$B$65</f>
        <v>116</v>
      </c>
      <c r="B120">
        <v>2141</v>
      </c>
      <c r="C120" s="74">
        <v>1.2724951447729799E-4</v>
      </c>
      <c r="D120" s="69">
        <v>9.4463336627899103E-2</v>
      </c>
      <c r="E120" s="75">
        <v>0.22368307800676099</v>
      </c>
      <c r="F120" s="7">
        <f>MAX((1-Parameters!$B$4)^Parameters!B$65*F119 + C119*Parameters!B$65 - IF(C119&gt;0,Parameters!$B$5,0)*C119^2/F119*Parameters!B$65, 0.0001)</f>
        <v>1.0719804340392198E-2</v>
      </c>
      <c r="G120" s="7">
        <f>(1-Parameters!$B$4)^Parameters!B$65*G119+D119*Parameters!B$65-Parameters!$B$5*D119^2/G119*Parameters!B$65</f>
        <v>1.3384142202308602</v>
      </c>
      <c r="H120" s="7">
        <f>(1-Parameters!$B$4)^Parameters!B$65*H119+E119*Parameters!B$65-Parameters!$B$5*E119^2/H119*Parameters!B$65</f>
        <v>3.269192072866181</v>
      </c>
      <c r="I120" s="7">
        <f>I119 *(1-Parameters!$B$4)-C119*(C119&lt;0)*Parameters!B$65</f>
        <v>9.7970213012095361E-5</v>
      </c>
      <c r="J120" s="23">
        <f>J119*(1+Parameters!$B$51)^Parameters!B$65</f>
        <v>11.417614905087387</v>
      </c>
      <c r="K120" s="23">
        <f>K119*(1+Parameters!$B$53)^Parameters!B$65</f>
        <v>90.031124072381942</v>
      </c>
      <c r="L120" s="23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2.9900748375807784</v>
      </c>
      <c r="M120" s="8">
        <f>M119+L120*Parameters!B$65</f>
        <v>3666.800133686967</v>
      </c>
      <c r="N120" s="7">
        <f>M120*Parameters!$B$45</f>
        <v>2.2000800802121798</v>
      </c>
      <c r="O120" s="9">
        <f>EXP(-Parameters!$B$46/2*N120^2)</f>
        <v>0.95251869849181381</v>
      </c>
      <c r="P120" s="7">
        <f>MAX((Parameters!$B$62 + Parameters!$B$31*'6states'!A120 - '6states'!M120 + Parameters!$B$47/Parameters!$B$45)/Parameters!B$62,1)</f>
        <v>97.087997326260663</v>
      </c>
      <c r="Q120" s="8"/>
      <c r="R120" s="8"/>
      <c r="S120" s="7">
        <f>Parameters!B$61*EXP(-Parameters!B$60*A120)+(1-Parameters!B$61)*P120^-Parameters!B$63</f>
        <v>0.3382275918578187</v>
      </c>
      <c r="T120" s="7">
        <f>1-S120/Parameters!$B$12</f>
        <v>0.83088620407109071</v>
      </c>
      <c r="U120" s="7">
        <f t="shared" si="102"/>
        <v>5.9131781325538455</v>
      </c>
      <c r="V120" s="7">
        <f>(Parameters!$B$19*(F120+Parameters!$B$20)^T120+Parameters!$B$18*G120^T120)^(1/T120)</f>
        <v>0.34686169301670244</v>
      </c>
      <c r="W120" s="7">
        <f>(Parameters!$B$10*H120^Parameters!$B$9+Parameters!$B$11*V120^Parameters!$B$9)^(Parameters!$B$7/Parameters!$B$9)*O120</f>
        <v>1.3221506360952291</v>
      </c>
      <c r="X120" s="7">
        <f>W120 - D120 - E120 - LN(1+EXP(Parameters!$B$21*C120))/Parameters!$B$21 - IF(C120&gt;0, 0,Parameters!$B$6*C120^2/F120)</f>
        <v>1.0016294989218715</v>
      </c>
      <c r="Y120" s="7">
        <f>EXP(-Parameters!$B$55*A120)</f>
        <v>0.17349612745298973</v>
      </c>
      <c r="Z120" s="7">
        <f>IF(X120&gt;0,X120^(1-Parameters!$B$52)/(1-Parameters!$B$52)*Y120*Parameters!$B$65,-10+X120*1000)</f>
        <v>-0.49542082010322902</v>
      </c>
      <c r="AC120" s="23">
        <f t="shared" si="103"/>
        <v>0.13080495551207066</v>
      </c>
      <c r="AD120" s="23">
        <f t="shared" si="104"/>
        <v>97.10270876780848</v>
      </c>
      <c r="AE120" s="23">
        <f t="shared" si="105"/>
        <v>0.10070756974747816</v>
      </c>
      <c r="AF120" s="23">
        <f t="shared" si="106"/>
        <v>11.019323221805017</v>
      </c>
      <c r="AG120" s="23">
        <f t="shared" si="107"/>
        <v>1375.8104559625183</v>
      </c>
      <c r="AH120" s="23">
        <f t="shared" si="108"/>
        <v>356.55325295552109</v>
      </c>
      <c r="AI120" s="23">
        <f t="shared" si="109"/>
        <v>877.50470115685141</v>
      </c>
      <c r="AJ120" s="23">
        <f t="shared" si="110"/>
        <v>1359.0924558344504</v>
      </c>
      <c r="AK120" s="23">
        <f t="shared" si="111"/>
        <v>1029.6157323997284</v>
      </c>
      <c r="AL120" s="9">
        <f t="shared" si="122"/>
        <v>2.2486068161670758E-2</v>
      </c>
      <c r="AM120" s="9">
        <f t="shared" si="123"/>
        <v>1.394390096012188E-2</v>
      </c>
      <c r="AN120" s="9">
        <f t="shared" ref="AN120:AO120" si="176">AVERAGE(AL118:AL122)</f>
        <v>2.2770011272705483E-2</v>
      </c>
      <c r="AO120" s="9">
        <f t="shared" si="176"/>
        <v>2.3947849041845437E-2</v>
      </c>
      <c r="AP120" s="23"/>
      <c r="AQ120" s="25">
        <f t="shared" si="100"/>
        <v>1359.0924558344502</v>
      </c>
      <c r="AR120" s="4"/>
      <c r="AS120" s="4"/>
      <c r="AT120" s="4"/>
      <c r="AU120" s="16"/>
      <c r="AV120" s="16"/>
      <c r="AY120" s="21">
        <f>-Y120*W120*X120^(-Parameters!B$52)*Parameters!B$46*Parameters!B$45*N120</f>
        <v>-6.072981061652267E-6</v>
      </c>
      <c r="AZ120" s="7">
        <f>1000*EXP(-(Parameters!$B$54)*'6states'!A120)*AQ120*Parameters!B$46*Parameters!B$45*N120</f>
        <v>0.61483896942606264</v>
      </c>
      <c r="BA120" s="93">
        <f>SUM(AZ120:AZ$204)*EXP(Parameters!$B$54*A120)</f>
        <v>2395.7099985696123</v>
      </c>
      <c r="BB120" s="43">
        <f t="shared" si="166"/>
        <v>0.24072420756012361</v>
      </c>
      <c r="BC120" s="30">
        <f>IF(C120&lt;0,Parameters!$B$6*AC120^2/AF120,0)</f>
        <v>0</v>
      </c>
      <c r="BD120" s="30">
        <f>Parameters!$B$5*AD120^2/AG120</f>
        <v>6.8533685066736441</v>
      </c>
      <c r="BE120" s="30">
        <f t="shared" si="113"/>
        <v>0</v>
      </c>
      <c r="BF120" s="30">
        <f t="shared" si="114"/>
        <v>7.057855124372879E-2</v>
      </c>
      <c r="BH120" s="5"/>
      <c r="BI120" s="5"/>
      <c r="BJ120" s="5"/>
      <c r="BM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-1.2620071712967353</v>
      </c>
      <c r="BN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-1297.2685402806326</v>
      </c>
      <c r="BO120" s="7">
        <f t="shared" si="155"/>
        <v>9.0564110509462111E-3</v>
      </c>
    </row>
    <row r="121" spans="1:67" x14ac:dyDescent="0.3">
      <c r="A121">
        <f>A120+Parameters!$B$65</f>
        <v>117</v>
      </c>
      <c r="B121">
        <v>2142</v>
      </c>
      <c r="C121" s="74">
        <v>6.16994317275311E-4</v>
      </c>
      <c r="D121" s="69">
        <v>9.6338641532206101E-2</v>
      </c>
      <c r="E121" s="75">
        <v>0.21609019270107399</v>
      </c>
      <c r="F121" s="7">
        <f>MAX((1-Parameters!$B$4)^Parameters!B$65*F120 + C120*Parameters!B$65 - IF(C120&gt;0,Parameters!$B$5,0)*C120^2/F120*Parameters!B$65, 0.0001)</f>
        <v>1.0171267645582549E-2</v>
      </c>
      <c r="G121" s="7">
        <f>(1-Parameters!$B$4)^Parameters!B$65*G120+D120*Parameters!B$65-Parameters!$B$5*D120^2/G120*Parameters!B$65</f>
        <v>1.3420242169613923</v>
      </c>
      <c r="H121" s="7">
        <f>(1-Parameters!$B$4)^Parameters!B$65*H120+E120*Parameters!B$65-Parameters!$B$5*E120^2/H120*Parameters!B$65</f>
        <v>3.2719382341693168</v>
      </c>
      <c r="I121" s="7">
        <f>I120 *(1-Parameters!$B$4)-C120*(C120&lt;0)*Parameters!B$65</f>
        <v>9.1807886613634571E-5</v>
      </c>
      <c r="J121" s="23">
        <f>J120*(1+Parameters!$B$51)^Parameters!B$65</f>
        <v>11.450725988312138</v>
      </c>
      <c r="K121" s="23">
        <f>K120*(1+Parameters!$B$53)^Parameters!B$65</f>
        <v>91.831746553829589</v>
      </c>
      <c r="L121" s="23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2.8748410405247951</v>
      </c>
      <c r="M121" s="8">
        <f>M120+L121*Parameters!B$65</f>
        <v>3669.6749747274916</v>
      </c>
      <c r="N121" s="7">
        <f>M121*Parameters!$B$45</f>
        <v>2.2018049848364947</v>
      </c>
      <c r="O121" s="9">
        <f>EXP(-Parameters!$B$46/2*N121^2)</f>
        <v>0.95244601650560345</v>
      </c>
      <c r="P121" s="7">
        <f>MAX((Parameters!$B$62 + Parameters!$B$31*'6states'!A121 - '6states'!M121 + Parameters!$B$47/Parameters!$B$45)/Parameters!B$62,1)</f>
        <v>98.094500505450185</v>
      </c>
      <c r="Q121" s="8"/>
      <c r="R121" s="8"/>
      <c r="S121" s="7">
        <f>Parameters!B$61*EXP(-Parameters!B$60*A121)+(1-Parameters!B$61)*P121^-Parameters!B$63</f>
        <v>0.33732029614894149</v>
      </c>
      <c r="T121" s="7">
        <f>1-S121/Parameters!$B$12</f>
        <v>0.83133985192552928</v>
      </c>
      <c r="U121" s="7">
        <f t="shared" si="102"/>
        <v>5.9290829008311849</v>
      </c>
      <c r="V121" s="7">
        <f>(Parameters!$B$19*(F121+Parameters!$B$20)^T121+Parameters!$B$18*G121^T121)^(1/T121)</f>
        <v>0.34732222594913054</v>
      </c>
      <c r="W121" s="7">
        <f>(Parameters!$B$10*H121^Parameters!$B$9+Parameters!$B$11*V121^Parameters!$B$9)^(Parameters!$B$7/Parameters!$B$9)*O121</f>
        <v>1.3224420316329484</v>
      </c>
      <c r="X121" s="7">
        <f>W121 - D121 - E121 - LN(1+EXP(Parameters!$B$21*C121))/Parameters!$B$21 - IF(C121&gt;0, 0,Parameters!$B$6*C121^2/F121)</f>
        <v>1.0073799543974067</v>
      </c>
      <c r="Y121" s="7">
        <f>EXP(-Parameters!$B$55*A121)</f>
        <v>0.17089601617270908</v>
      </c>
      <c r="Z121" s="7">
        <f>IF(X121&gt;0,X121^(1-Parameters!$B$52)/(1-Parameters!$B$52)*Y121*Parameters!$B$65,-10+X121*1000)</f>
        <v>-0.48701937367215031</v>
      </c>
      <c r="AC121" s="23">
        <f t="shared" si="103"/>
        <v>0.6487943073122231</v>
      </c>
      <c r="AD121" s="23">
        <f t="shared" si="104"/>
        <v>101.30395118760573</v>
      </c>
      <c r="AE121" s="23">
        <f t="shared" si="105"/>
        <v>9.6539680404728462E-2</v>
      </c>
      <c r="AF121" s="23">
        <f t="shared" si="106"/>
        <v>10.695496476766364</v>
      </c>
      <c r="AG121" s="23">
        <f t="shared" si="107"/>
        <v>1411.1923689747346</v>
      </c>
      <c r="AH121" s="23">
        <f t="shared" si="108"/>
        <v>365.22327141346364</v>
      </c>
      <c r="AI121" s="23">
        <f t="shared" si="109"/>
        <v>898.84227666036361</v>
      </c>
      <c r="AJ121" s="23">
        <f t="shared" si="110"/>
        <v>1390.6009145478401</v>
      </c>
      <c r="AK121" s="23">
        <f t="shared" si="111"/>
        <v>1059.300485294174</v>
      </c>
      <c r="AL121" s="9">
        <f t="shared" si="122"/>
        <v>2.2918801236919251E-2</v>
      </c>
      <c r="AM121" s="9">
        <f t="shared" si="123"/>
        <v>2.8423113455881222E-2</v>
      </c>
      <c r="AN121" s="9">
        <f t="shared" ref="AN121:AO121" si="177">AVERAGE(AL119:AL123)</f>
        <v>2.268177888477485E-2</v>
      </c>
      <c r="AO121" s="9">
        <f t="shared" si="177"/>
        <v>2.2256400755269645E-2</v>
      </c>
      <c r="AP121" s="23"/>
      <c r="AQ121" s="25">
        <f t="shared" si="100"/>
        <v>1390.6009145478401</v>
      </c>
      <c r="AR121" s="4"/>
      <c r="AS121" s="4"/>
      <c r="AT121" s="4"/>
      <c r="AU121" s="16"/>
      <c r="AV121" s="16"/>
      <c r="AY121" s="21">
        <f>-Y121*W121*X121^(-Parameters!B$52)*Parameters!B$46*Parameters!B$45*N121</f>
        <v>-5.9418786773051727E-6</v>
      </c>
      <c r="AZ121" s="7">
        <f>1000*EXP(-(Parameters!$B$54)*'6states'!A121)*AQ121*Parameters!B$46*Parameters!B$45*N121</f>
        <v>0.60787113364646761</v>
      </c>
      <c r="BA121" s="93">
        <f>SUM(AZ121:AZ$204)*EXP(Parameters!$B$54*A121)</f>
        <v>2443.9436460844572</v>
      </c>
      <c r="BB121" s="43">
        <f t="shared" si="166"/>
        <v>0.23671799675333</v>
      </c>
      <c r="BC121" s="30">
        <f>IF(C121&lt;0,Parameters!$B$6*AC121^2/AF121,0)</f>
        <v>0</v>
      </c>
      <c r="BD121" s="30">
        <f>Parameters!$B$5*AD121^2/AG121</f>
        <v>7.2722123162250041</v>
      </c>
      <c r="BE121" s="30">
        <f t="shared" si="113"/>
        <v>0</v>
      </c>
      <c r="BF121" s="30">
        <f t="shared" si="114"/>
        <v>7.1786067877624302E-2</v>
      </c>
      <c r="BH121" s="5"/>
      <c r="BI121" s="5"/>
      <c r="BJ121" s="5"/>
      <c r="BM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-1.255511900736521</v>
      </c>
      <c r="BN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-1320.2211935399923</v>
      </c>
      <c r="BO121" s="7">
        <f t="shared" si="155"/>
        <v>8.9454556117827492E-3</v>
      </c>
    </row>
    <row r="122" spans="1:67" x14ac:dyDescent="0.3">
      <c r="A122">
        <f>A121+Parameters!$B$65</f>
        <v>118</v>
      </c>
      <c r="B122">
        <v>2143</v>
      </c>
      <c r="C122" s="74">
        <v>1.14131673180776E-4</v>
      </c>
      <c r="D122" s="69">
        <v>9.5730890233864996E-2</v>
      </c>
      <c r="E122" s="75">
        <v>0.21464299350215099</v>
      </c>
      <c r="F122" s="7">
        <f>MAX((1-Parameters!$B$4)^Parameters!B$65*F121 + C121*Parameters!B$65 - IF(C121&gt;0,Parameters!$B$5,0)*C121^2/F121*Parameters!B$65, 0.0001)</f>
        <v>1.0111062035902009E-2</v>
      </c>
      <c r="G122" s="7">
        <f>(1-Parameters!$B$4)^Parameters!B$65*G121+D121*Parameters!B$65-Parameters!$B$5*D121^2/G121*Parameters!B$65</f>
        <v>1.3470337629864577</v>
      </c>
      <c r="H122" s="7">
        <f>(1-Parameters!$B$4)^Parameters!B$65*H121+E121*Parameters!B$65-Parameters!$B$5*E121^2/H121*Parameters!B$65</f>
        <v>3.2679521632665405</v>
      </c>
      <c r="I122" s="7">
        <f>I121 *(1-Parameters!$B$4)-C121*(C121&lt;0)*Parameters!B$65</f>
        <v>8.603317054563696E-5</v>
      </c>
      <c r="J122" s="23">
        <f>J121*(1+Parameters!$B$51)^Parameters!B$65</f>
        <v>11.483933093678242</v>
      </c>
      <c r="K122" s="23">
        <f>K121*(1+Parameters!$B$53)^Parameters!B$65</f>
        <v>93.668381484906178</v>
      </c>
      <c r="L122" s="23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2.9014184448381513</v>
      </c>
      <c r="M122" s="8">
        <f>M121+L122*Parameters!B$65</f>
        <v>3672.57639317233</v>
      </c>
      <c r="N122" s="7">
        <f>M122*Parameters!$B$45</f>
        <v>2.2035458359033977</v>
      </c>
      <c r="O122" s="9">
        <f>EXP(-Parameters!$B$46/2*N122^2)</f>
        <v>0.95237261046283239</v>
      </c>
      <c r="P122" s="7">
        <f>MAX((Parameters!$B$62 + Parameters!$B$31*'6states'!A122 - '6states'!M122 + Parameters!$B$47/Parameters!$B$45)/Parameters!B$62,1)</f>
        <v>99.100472136553392</v>
      </c>
      <c r="Q122" s="8"/>
      <c r="R122" s="8"/>
      <c r="S122" s="7">
        <f>Parameters!B$61*EXP(-Parameters!B$60*A122)+(1-Parameters!B$61)*P122^-Parameters!B$63</f>
        <v>0.33643231110061744</v>
      </c>
      <c r="T122" s="7">
        <f>1-S122/Parameters!$B$12</f>
        <v>0.83178384444969122</v>
      </c>
      <c r="U122" s="7">
        <f t="shared" si="102"/>
        <v>5.9447322210435836</v>
      </c>
      <c r="V122" s="7">
        <f>(Parameters!$B$19*(F122+Parameters!$B$20)^T122+Parameters!$B$18*G122^T122)^(1/T122)</f>
        <v>0.34866696292261123</v>
      </c>
      <c r="W122" s="7">
        <f>(Parameters!$B$10*H122^Parameters!$B$9+Parameters!$B$11*V122^Parameters!$B$9)^(Parameters!$B$7/Parameters!$B$9)*O122</f>
        <v>1.3224696401613758</v>
      </c>
      <c r="X122" s="7">
        <f>W122 - D122 - E122 - LN(1+EXP(Parameters!$B$21*C122))/Parameters!$B$21 - IF(C122&gt;0, 0,Parameters!$B$6*C122^2/F122)</f>
        <v>1.0097277115343062</v>
      </c>
      <c r="Y122" s="7">
        <f>EXP(-Parameters!$B$55*A122)</f>
        <v>0.16833487163346803</v>
      </c>
      <c r="Z122" s="7">
        <f>IF(X122&gt;0,X122^(1-Parameters!$B$52)/(1-Parameters!$B$52)*Y122*Parameters!$B$65,-10+X122*1000)</f>
        <v>-0.47932993399954027</v>
      </c>
      <c r="AC122" s="23">
        <f t="shared" si="103"/>
        <v>0.1227693209549589</v>
      </c>
      <c r="AD122" s="23">
        <f t="shared" si="104"/>
        <v>102.97594051573864</v>
      </c>
      <c r="AE122" s="23">
        <f t="shared" si="105"/>
        <v>9.2544283572888977E-2</v>
      </c>
      <c r="AF122" s="23">
        <f t="shared" si="106"/>
        <v>10.876281628807661</v>
      </c>
      <c r="AG122" s="23">
        <f t="shared" si="107"/>
        <v>1448.9791989933401</v>
      </c>
      <c r="AH122" s="23">
        <f t="shared" si="108"/>
        <v>375.05457586375655</v>
      </c>
      <c r="AI122" s="23">
        <f t="shared" si="109"/>
        <v>923.037865403772</v>
      </c>
      <c r="AJ122" s="23">
        <f t="shared" si="110"/>
        <v>1422.5560283252571</v>
      </c>
      <c r="AK122" s="23">
        <f t="shared" si="111"/>
        <v>1086.1453445803988</v>
      </c>
      <c r="AL122" s="9">
        <f t="shared" si="122"/>
        <v>2.2719307119304588E-2</v>
      </c>
      <c r="AM122" s="9">
        <f t="shared" si="123"/>
        <v>2.502627659781087E-2</v>
      </c>
      <c r="AN122" s="9">
        <f t="shared" ref="AN122:AO122" si="178">AVERAGE(AL120:AL124)</f>
        <v>2.2686853799766916E-2</v>
      </c>
      <c r="AO122" s="9">
        <f t="shared" si="178"/>
        <v>2.2684421844318691E-2</v>
      </c>
      <c r="AP122" s="23"/>
      <c r="AQ122" s="25">
        <f t="shared" si="100"/>
        <v>1422.5560283252571</v>
      </c>
      <c r="AR122" s="4"/>
      <c r="AS122" s="4"/>
      <c r="AT122" s="4"/>
      <c r="AU122" s="16"/>
      <c r="AV122" s="16"/>
      <c r="AY122" s="21">
        <f>-Y122*W122*X122^(-Parameters!B$52)*Parameters!B$46*Parameters!B$45*N122</f>
        <v>-5.839201033937506E-6</v>
      </c>
      <c r="AZ122" s="7">
        <f>1000*EXP(-(Parameters!$B$54)*'6states'!A122)*AQ122*Parameters!B$46*Parameters!B$45*N122</f>
        <v>0.60086636189815812</v>
      </c>
      <c r="BA122" s="93">
        <f>SUM(AZ122:AZ$204)*EXP(Parameters!$B$54*A122)</f>
        <v>2493.0045183638954</v>
      </c>
      <c r="BB122" s="43">
        <f t="shared" si="166"/>
        <v>0.2347789363023178</v>
      </c>
      <c r="BC122" s="30">
        <f>IF(C122&lt;0,Parameters!$B$6*AC122^2/AF122,0)</f>
        <v>0</v>
      </c>
      <c r="BD122" s="30">
        <f>Parameters!$B$5*AD122^2/AG122</f>
        <v>7.3182860958031482</v>
      </c>
      <c r="BE122" s="30">
        <f t="shared" si="113"/>
        <v>0</v>
      </c>
      <c r="BF122" s="30">
        <f t="shared" si="114"/>
        <v>7.1067921877194559E-2</v>
      </c>
      <c r="BH122" s="5"/>
      <c r="BI122" s="5"/>
      <c r="BJ122" s="5"/>
      <c r="BM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-1.2708946591430832</v>
      </c>
      <c r="BN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-1367.0777791993414</v>
      </c>
      <c r="BO122" s="7">
        <f t="shared" si="155"/>
        <v>8.4370272909914563E-3</v>
      </c>
    </row>
    <row r="123" spans="1:67" x14ac:dyDescent="0.3">
      <c r="A123">
        <f>A122+Parameters!$B$65</f>
        <v>119</v>
      </c>
      <c r="B123">
        <v>2144</v>
      </c>
      <c r="C123" s="74">
        <v>-4.8916045619499501E-5</v>
      </c>
      <c r="D123" s="69">
        <v>9.0996661056567896E-2</v>
      </c>
      <c r="E123" s="75">
        <v>0.226652689220214</v>
      </c>
      <c r="F123" s="7">
        <f>MAX((1-Parameters!$B$4)^Parameters!B$65*F122 + C122*Parameters!B$65 - IF(C122&gt;0,Parameters!$B$5,0)*C122^2/F122*Parameters!B$65, 0.0001)</f>
        <v>9.5879196112177607E-3</v>
      </c>
      <c r="G123" s="7">
        <f>(1-Parameters!$B$4)^Parameters!B$65*G122+D122*Parameters!B$65-Parameters!$B$5*D122^2/G122*Parameters!B$65</f>
        <v>1.3512328341000999</v>
      </c>
      <c r="H123" s="7">
        <f>(1-Parameters!$B$4)^Parameters!B$65*H122+E122*Parameters!B$65-Parameters!$B$5*E122^2/H122*Parameters!B$65</f>
        <v>3.262942958030254</v>
      </c>
      <c r="I123" s="7">
        <f>I122 *(1-Parameters!$B$4)-C122*(C122&lt;0)*Parameters!B$65</f>
        <v>8.0621684118316398E-5</v>
      </c>
      <c r="J123" s="23">
        <f>J122*(1+Parameters!$B$51)^Parameters!B$65</f>
        <v>11.517236499649908</v>
      </c>
      <c r="K123" s="23">
        <f>K122*(1+Parameters!$B$53)^Parameters!B$65</f>
        <v>95.541749114604301</v>
      </c>
      <c r="L123" s="23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2.7877923921868852</v>
      </c>
      <c r="M123" s="8">
        <f>M122+L123*Parameters!B$65</f>
        <v>3675.3641855645169</v>
      </c>
      <c r="N123" s="7">
        <f>M123*Parameters!$B$45</f>
        <v>2.2052185113387099</v>
      </c>
      <c r="O123" s="9">
        <f>EXP(-Parameters!$B$46/2*N123^2)</f>
        <v>0.95230202984912593</v>
      </c>
      <c r="P123" s="7">
        <f>MAX((Parameters!$B$62 + Parameters!$B$31*'6states'!A123 - '6states'!M123 + Parameters!$B$47/Parameters!$B$45)/Parameters!B$62,1)</f>
        <v>100.10871628870966</v>
      </c>
      <c r="Q123" s="8"/>
      <c r="R123" s="8"/>
      <c r="S123" s="7">
        <f>Parameters!B$61*EXP(-Parameters!B$60*A123)+(1-Parameters!B$61)*P123^-Parameters!B$63</f>
        <v>0.33556225748977797</v>
      </c>
      <c r="T123" s="7">
        <f>1-S123/Parameters!$B$12</f>
        <v>0.83221887125511107</v>
      </c>
      <c r="U123" s="7">
        <f t="shared" si="102"/>
        <v>5.9601458607451567</v>
      </c>
      <c r="V123" s="7">
        <f>(Parameters!$B$19*(F123+Parameters!$B$20)^T123+Parameters!$B$18*G123^T123)^(1/T123)</f>
        <v>0.34929138231788098</v>
      </c>
      <c r="W123" s="7">
        <f>(Parameters!$B$10*H123^Parameters!$B$9+Parameters!$B$11*V123^Parameters!$B$9)^(Parameters!$B$7/Parameters!$B$9)*O123</f>
        <v>1.3221592551754608</v>
      </c>
      <c r="X123" s="7">
        <f>W123 - D123 - E123 - LN(1+EXP(Parameters!$B$21*C123))/Parameters!$B$21 - IF(C123&gt;0, 0,Parameters!$B$6*C123^2/F123)</f>
        <v>1.0022225347816518</v>
      </c>
      <c r="Y123" s="7">
        <f>EXP(-Parameters!$B$55*A123)</f>
        <v>0.16581210985760431</v>
      </c>
      <c r="Z123" s="7">
        <f>IF(X123&gt;0,X123^(1-Parameters!$B$52)/(1-Parameters!$B$52)*Y123*Parameters!$B$65,-10+X123*1000)</f>
        <v>-0.47338091402784788</v>
      </c>
      <c r="AC123" s="23">
        <f t="shared" si="103"/>
        <v>-5.3826087624364971E-2</v>
      </c>
      <c r="AD123" s="23">
        <f t="shared" si="104"/>
        <v>100.1306256367331</v>
      </c>
      <c r="AE123" s="23">
        <f t="shared" si="105"/>
        <v>8.8714240466864075E-2</v>
      </c>
      <c r="AF123" s="23">
        <f t="shared" si="106"/>
        <v>10.550325452371572</v>
      </c>
      <c r="AG123" s="23">
        <f t="shared" si="107"/>
        <v>1486.8654243833205</v>
      </c>
      <c r="AH123" s="23">
        <f t="shared" si="108"/>
        <v>384.35217550748115</v>
      </c>
      <c r="AI123" s="23">
        <f t="shared" si="109"/>
        <v>945.91996598542175</v>
      </c>
      <c r="AJ123" s="23">
        <f t="shared" si="110"/>
        <v>1454.8735291486885</v>
      </c>
      <c r="AK123" s="23">
        <f t="shared" si="111"/>
        <v>1102.8225461210598</v>
      </c>
      <c r="AL123" s="9">
        <f t="shared" si="122"/>
        <v>2.2463701832194261E-2</v>
      </c>
      <c r="AM123" s="9">
        <f t="shared" si="123"/>
        <v>1.5237797046586898E-2</v>
      </c>
      <c r="AN123" s="9">
        <f t="shared" ref="AN123:AO123" si="179">AVERAGE(AL121:AL125)</f>
        <v>2.2640554310140892E-2</v>
      </c>
      <c r="AO123" s="9">
        <f t="shared" si="179"/>
        <v>2.5145805175286817E-2</v>
      </c>
      <c r="AP123" s="23"/>
      <c r="AQ123" s="25">
        <f t="shared" si="100"/>
        <v>1454.8735291486882</v>
      </c>
      <c r="AR123" s="4"/>
      <c r="AS123" s="4"/>
      <c r="AT123" s="4"/>
      <c r="AU123" s="16"/>
      <c r="AV123" s="16"/>
      <c r="AY123" s="21">
        <f>-Y123*W123*X123^(-Parameters!B$52)*Parameters!B$46*Parameters!B$45*N123</f>
        <v>-5.8129599577311525E-6</v>
      </c>
      <c r="AZ123" s="7">
        <f>1000*EXP(-(Parameters!$B$54)*'6states'!A123)*AQ123*Parameters!B$46*Parameters!B$45*N123</f>
        <v>0.59377178647199891</v>
      </c>
      <c r="BA123" s="93">
        <f>SUM(AZ123:AZ$204)*EXP(Parameters!$B$54*A123)</f>
        <v>2542.9082318163564</v>
      </c>
      <c r="BB123" s="43">
        <f t="shared" si="166"/>
        <v>0.2402134485599576</v>
      </c>
      <c r="BC123" s="30">
        <f>IF(C123&lt;0,Parameters!$B$6*AC123^2/AF123,0)</f>
        <v>1.3730608226377289E-3</v>
      </c>
      <c r="BD123" s="30">
        <f>Parameters!$B$5*AD123^2/AG123</f>
        <v>6.7431403178683427</v>
      </c>
      <c r="BE123" s="30">
        <f t="shared" si="113"/>
        <v>2.5509207212307174E-2</v>
      </c>
      <c r="BF123" s="30">
        <f t="shared" si="114"/>
        <v>6.734343538741068E-2</v>
      </c>
      <c r="BH123" s="5"/>
      <c r="BI123" s="5"/>
      <c r="BJ123" s="5"/>
      <c r="BM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-1.2636651669335379</v>
      </c>
      <c r="BN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-1390.5079844824613</v>
      </c>
      <c r="BO123" s="7">
        <f t="shared" si="155"/>
        <v>8.3385571468993763E-3</v>
      </c>
    </row>
    <row r="124" spans="1:67" x14ac:dyDescent="0.3">
      <c r="A124">
        <f>A123+Parameters!$B$65</f>
        <v>120</v>
      </c>
      <c r="B124">
        <v>2145</v>
      </c>
      <c r="C124" s="74">
        <v>-5.6866045505167095E-4</v>
      </c>
      <c r="D124" s="69">
        <v>9.3350034176062704E-2</v>
      </c>
      <c r="E124" s="75">
        <v>0.216419631281459</v>
      </c>
      <c r="F124" s="7">
        <f>MAX((1-Parameters!$B$4)^Parameters!B$65*F123 + C123*Parameters!B$65 - IF(C123&gt;0,Parameters!$B$5,0)*C123^2/F123*Parameters!B$65, 0.0001)</f>
        <v>8.9359234220526655E-3</v>
      </c>
      <c r="G124" s="7">
        <f>(1-Parameters!$B$4)^Parameters!B$65*G123+D123*Parameters!B$65-Parameters!$B$5*D123^2/G123*Parameters!B$65</f>
        <v>1.3511089221274382</v>
      </c>
      <c r="H124" s="7">
        <f>(1-Parameters!$B$4)^Parameters!B$65*H123+E123*Parameters!B$65-Parameters!$B$5*E123^2/H123*Parameters!B$65</f>
        <v>3.2686126370617363</v>
      </c>
      <c r="I124" s="7">
        <f>I123 *(1-Parameters!$B$4)-C123*(C123&lt;0)*Parameters!B$65</f>
        <v>1.244666258067738E-4</v>
      </c>
      <c r="J124" s="23">
        <f>J123*(1+Parameters!$B$51)^Parameters!B$65</f>
        <v>11.550636485498892</v>
      </c>
      <c r="K124" s="23">
        <f>K123*(1+Parameters!$B$53)^Parameters!B$65</f>
        <v>97.452584096896388</v>
      </c>
      <c r="L124" s="23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2.5695415824451797</v>
      </c>
      <c r="M124" s="8">
        <f>M123+L124*Parameters!B$65</f>
        <v>3677.9337271469622</v>
      </c>
      <c r="N124" s="7">
        <f>M124*Parameters!$B$45</f>
        <v>2.2067602362881771</v>
      </c>
      <c r="O124" s="9">
        <f>EXP(-Parameters!$B$46/2*N124^2)</f>
        <v>0.95223693205988724</v>
      </c>
      <c r="P124" s="7">
        <f>MAX((Parameters!$B$62 + Parameters!$B$31*'6states'!A124 - '6states'!M124 + Parameters!$B$47/Parameters!$B$45)/Parameters!B$62,1)</f>
        <v>101.12132545706076</v>
      </c>
      <c r="Q124" s="8"/>
      <c r="R124" s="8"/>
      <c r="S124" s="7">
        <f>Parameters!B$61*EXP(-Parameters!B$60*A124)+(1-Parameters!B$61)*P124^-Parameters!B$63</f>
        <v>0.33470903025105486</v>
      </c>
      <c r="T124" s="7">
        <f>1-S124/Parameters!$B$12</f>
        <v>0.83264548487447254</v>
      </c>
      <c r="U124" s="7">
        <f t="shared" si="102"/>
        <v>5.9753392327056778</v>
      </c>
      <c r="V124" s="7">
        <f>(Parameters!$B$19*(F124+Parameters!$B$20)^T124+Parameters!$B$18*G124^T124)^(1/T124)</f>
        <v>0.34871848623557017</v>
      </c>
      <c r="W124" s="7">
        <f>(Parameters!$B$10*H124^Parameters!$B$9+Parameters!$B$11*V124^Parameters!$B$9)^(Parameters!$B$7/Parameters!$B$9)*O124</f>
        <v>1.3223548966501129</v>
      </c>
      <c r="X124" s="7">
        <f>W124 - D124 - E124 - LN(1+EXP(Parameters!$B$21*C124))/Parameters!$B$21 - IF(C124&gt;0, 0,Parameters!$B$6*C124^2/F124)</f>
        <v>1.0103660180949114</v>
      </c>
      <c r="Y124" s="7">
        <f>EXP(-Parameters!$B$55*A124)</f>
        <v>0.16332715561927577</v>
      </c>
      <c r="Z124" s="7">
        <f>IF(X124&gt;0,X124^(1-Parameters!$B$52)/(1-Parameters!$B$52)*Y124*Parameters!$B$65,-10+X124*1000)</f>
        <v>-0.46496771483084043</v>
      </c>
      <c r="AC124" s="23">
        <f t="shared" si="103"/>
        <v>-0.64010659834480377</v>
      </c>
      <c r="AD124" s="23">
        <f t="shared" si="104"/>
        <v>105.07847398388407</v>
      </c>
      <c r="AE124" s="23">
        <f t="shared" si="105"/>
        <v>0.14010453469177878</v>
      </c>
      <c r="AF124" s="23">
        <f t="shared" si="106"/>
        <v>10.058627242226736</v>
      </c>
      <c r="AG124" s="23">
        <f t="shared" si="107"/>
        <v>1520.8614006010396</v>
      </c>
      <c r="AH124" s="23">
        <f t="shared" si="108"/>
        <v>392.53125836562282</v>
      </c>
      <c r="AI124" s="23">
        <f t="shared" si="109"/>
        <v>966.04931160119725</v>
      </c>
      <c r="AJ124" s="23">
        <f t="shared" si="110"/>
        <v>1488.4947373778371</v>
      </c>
      <c r="AK124" s="23">
        <f t="shared" si="111"/>
        <v>1137.3077715895549</v>
      </c>
      <c r="AL124" s="9">
        <f t="shared" si="122"/>
        <v>2.2846390648745718E-2</v>
      </c>
      <c r="AM124" s="9">
        <f t="shared" si="123"/>
        <v>3.0791021161192589E-2</v>
      </c>
      <c r="AN124" s="9">
        <f t="shared" ref="AN124:AO124" si="180">AVERAGE(AL122:AL126)</f>
        <v>2.2540021728978843E-2</v>
      </c>
      <c r="AO124" s="9">
        <f t="shared" si="180"/>
        <v>2.153653883425477E-2</v>
      </c>
      <c r="AP124" s="23"/>
      <c r="AQ124" s="25">
        <f t="shared" si="100"/>
        <v>1488.4947373778368</v>
      </c>
      <c r="AR124" s="4"/>
      <c r="AS124" s="4"/>
      <c r="AT124" s="4"/>
      <c r="AU124" s="16"/>
      <c r="AV124" s="16"/>
      <c r="AY124" s="21">
        <f>-Y124*W124*X124^(-Parameters!B$52)*Parameters!B$46*Parameters!B$45*N124</f>
        <v>-5.6684275115488411E-6</v>
      </c>
      <c r="AZ124" s="7">
        <f>1000*EXP(-(Parameters!$B$54)*'6states'!A124)*AQ124*Parameters!B$46*Parameters!B$45*N124</f>
        <v>0.58695040055666126</v>
      </c>
      <c r="BA124" s="93">
        <f>SUM(AZ124:AZ$204)*EXP(Parameters!$B$54*A124)</f>
        <v>2593.6747624521909</v>
      </c>
      <c r="BB124" s="43">
        <f t="shared" si="166"/>
        <v>0.23382603700849211</v>
      </c>
      <c r="BC124" s="30">
        <f>IF(C124&lt;0,Parameters!$B$6*AC124^2/AF124,0)</f>
        <v>0.20367414328888592</v>
      </c>
      <c r="BD124" s="30">
        <f>Parameters!$B$5*AD124^2/AG124</f>
        <v>7.2600209923259547</v>
      </c>
      <c r="BE124" s="30">
        <f t="shared" si="113"/>
        <v>0.31818785154777229</v>
      </c>
      <c r="BF124" s="30">
        <f t="shared" si="114"/>
        <v>6.9091420127013151E-2</v>
      </c>
      <c r="BH124" s="5"/>
      <c r="BI124" s="5"/>
      <c r="BJ124" s="5"/>
      <c r="BM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-0.98856814863139586</v>
      </c>
      <c r="BN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-1112.7712314635369</v>
      </c>
      <c r="BO124" s="7">
        <f t="shared" si="155"/>
        <v>1.373744674890455E-2</v>
      </c>
    </row>
    <row r="125" spans="1:67" x14ac:dyDescent="0.3">
      <c r="A125">
        <f>A124+Parameters!$B$65</f>
        <v>121</v>
      </c>
      <c r="B125">
        <v>2146</v>
      </c>
      <c r="C125" s="74">
        <v>9.1449554581038103E-4</v>
      </c>
      <c r="D125" s="69">
        <v>9.3617930944549094E-2</v>
      </c>
      <c r="E125" s="75">
        <v>0.21138954196246601</v>
      </c>
      <c r="F125" s="7">
        <f>MAX((1-Parameters!$B$4)^Parameters!B$65*F124 + C124*Parameters!B$65 - IF(C124&gt;0,Parameters!$B$5,0)*C124^2/F124*Parameters!B$65, 0.0001)</f>
        <v>7.8051933837538822E-3</v>
      </c>
      <c r="G125" s="7">
        <f>(1-Parameters!$B$4)^Parameters!B$65*G124+D124*Parameters!B$65-Parameters!$B$5*D124^2/G124*Parameters!B$65</f>
        <v>1.3530245186715557</v>
      </c>
      <c r="H125" s="7">
        <f>(1-Parameters!$B$4)^Parameters!B$65*H124+E124*Parameters!B$65-Parameters!$B$5*E124^2/H124*Parameters!B$65</f>
        <v>3.2651070726258635</v>
      </c>
      <c r="I125" s="7">
        <f>I124 *(1-Parameters!$B$4)-C124*(C124&lt;0)*Parameters!B$65</f>
        <v>6.852981300951987E-4</v>
      </c>
      <c r="J125" s="23">
        <f>J124*(1+Parameters!$B$51)^Parameters!B$65</f>
        <v>11.584133331306838</v>
      </c>
      <c r="K125" s="23">
        <f>K124*(1+Parameters!$B$53)^Parameters!B$65</f>
        <v>99.401635778834319</v>
      </c>
      <c r="L125" s="23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2.0690238405376831</v>
      </c>
      <c r="M125" s="8">
        <f>M124+L125*Parameters!B$65</f>
        <v>3680.0027509874999</v>
      </c>
      <c r="N125" s="7">
        <f>M125*Parameters!$B$45</f>
        <v>2.2080016505924998</v>
      </c>
      <c r="O125" s="9">
        <f>EXP(-Parameters!$B$46/2*N125^2)</f>
        <v>0.95218448475781425</v>
      </c>
      <c r="P125" s="7">
        <f>MAX((Parameters!$B$62 + Parameters!$B$31*'6states'!A125 - '6states'!M125 + Parameters!$B$47/Parameters!$B$45)/Parameters!B$62,1)</f>
        <v>102.14394498025001</v>
      </c>
      <c r="Q125" s="8"/>
      <c r="R125" s="8"/>
      <c r="S125" s="7">
        <f>Parameters!B$61*EXP(-Parameters!B$60*A125)+(1-Parameters!B$61)*P125^-Parameters!B$63</f>
        <v>0.33387046990083696</v>
      </c>
      <c r="T125" s="7">
        <f>1-S125/Parameters!$B$12</f>
        <v>0.83306476504958149</v>
      </c>
      <c r="U125" s="7">
        <f t="shared" si="102"/>
        <v>5.9903470965671826</v>
      </c>
      <c r="V125" s="7">
        <f>(Parameters!$B$19*(F125+Parameters!$B$20)^T125+Parameters!$B$18*G125^T125)^(1/T125)</f>
        <v>0.34808772683375871</v>
      </c>
      <c r="W125" s="7">
        <f>(Parameters!$B$10*H125^Parameters!$B$9+Parameters!$B$11*V125^Parameters!$B$9)^(Parameters!$B$7/Parameters!$B$9)*O125</f>
        <v>1.3217680868496899</v>
      </c>
      <c r="X125" s="7">
        <f>W125 - D125 - E125 - LN(1+EXP(Parameters!$B$21*C125))/Parameters!$B$21 - IF(C125&gt;0, 0,Parameters!$B$6*C125^2/F125)</f>
        <v>1.0139616121016075</v>
      </c>
      <c r="Y125" s="7">
        <f>EXP(-Parameters!$B$55*A125)</f>
        <v>0.16087944231330067</v>
      </c>
      <c r="Z125" s="7">
        <f>IF(X125&gt;0,X125^(1-Parameters!$B$52)/(1-Parameters!$B$52)*Y125*Parameters!$B$65,-10+X125*1000)</f>
        <v>-0.45743035205596994</v>
      </c>
      <c r="AC125" s="23">
        <f t="shared" si="103"/>
        <v>1.0530249792045996</v>
      </c>
      <c r="AD125" s="23">
        <f t="shared" si="104"/>
        <v>107.79934384338954</v>
      </c>
      <c r="AE125" s="23">
        <f t="shared" si="105"/>
        <v>0.78910832589454472</v>
      </c>
      <c r="AF125" s="23">
        <f t="shared" si="106"/>
        <v>8.9875381441382309</v>
      </c>
      <c r="AG125" s="23">
        <f t="shared" si="107"/>
        <v>1557.9831111969697</v>
      </c>
      <c r="AH125" s="23">
        <f t="shared" si="108"/>
        <v>400.8166830224207</v>
      </c>
      <c r="AI125" s="23">
        <f t="shared" si="109"/>
        <v>986.44037247963502</v>
      </c>
      <c r="AJ125" s="23">
        <f t="shared" si="110"/>
        <v>1521.9918987520107</v>
      </c>
      <c r="AK125" s="23">
        <f t="shared" si="111"/>
        <v>1167.5583444765609</v>
      </c>
      <c r="AL125" s="9">
        <f t="shared" si="122"/>
        <v>2.2254570713540645E-2</v>
      </c>
      <c r="AM125" s="9">
        <f t="shared" si="123"/>
        <v>2.6250817614962507E-2</v>
      </c>
      <c r="AN125" s="9">
        <f t="shared" ref="AN125:AO125" si="181">AVERAGE(AL123:AL127)</f>
        <v>2.2511506123141345E-2</v>
      </c>
      <c r="AO125" s="9">
        <f t="shared" si="181"/>
        <v>2.0576366868315786E-2</v>
      </c>
      <c r="AP125" s="23"/>
      <c r="AQ125" s="25">
        <f t="shared" si="100"/>
        <v>1521.9918987520107</v>
      </c>
      <c r="AR125" s="4"/>
      <c r="AS125" s="4"/>
      <c r="AT125" s="4"/>
      <c r="AU125" s="16"/>
      <c r="AV125" s="16"/>
      <c r="AY125" s="21">
        <f>-Y125*W125*X125^(-Parameters!B$52)*Parameters!B$46*Parameters!B$45*N125</f>
        <v>-5.5574232381358363E-6</v>
      </c>
      <c r="AZ125" s="7">
        <f>1000*EXP(-(Parameters!$B$54)*'6states'!A125)*AQ125*Parameters!B$46*Parameters!B$45*N125</f>
        <v>0.57978496390510881</v>
      </c>
      <c r="BA125" s="93">
        <f>SUM(AZ125:AZ$204)*EXP(Parameters!$B$54*A125)</f>
        <v>2645.3000793522715</v>
      </c>
      <c r="BB125" s="43">
        <f t="shared" si="166"/>
        <v>0.23144905032618979</v>
      </c>
      <c r="BC125" s="30">
        <f>IF(C125&lt;0,Parameters!$B$6*AC125^2/AF125,0)</f>
        <v>0</v>
      </c>
      <c r="BD125" s="30">
        <f>Parameters!$B$5*AD125^2/AG125</f>
        <v>7.4588090522607509</v>
      </c>
      <c r="BE125" s="30">
        <f t="shared" si="113"/>
        <v>0</v>
      </c>
      <c r="BF125" s="30">
        <f t="shared" si="114"/>
        <v>6.9191599747553928E-2</v>
      </c>
      <c r="BH125" s="5"/>
      <c r="BI125" s="5"/>
      <c r="BJ125" s="5"/>
      <c r="BM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-5.255423051717923E-2</v>
      </c>
      <c r="BN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-60.515240069787311</v>
      </c>
      <c r="BO125" s="7">
        <f t="shared" si="155"/>
        <v>8.0713599321946147E-2</v>
      </c>
    </row>
    <row r="126" spans="1:67" x14ac:dyDescent="0.3">
      <c r="A126">
        <f>A125+Parameters!$B$65</f>
        <v>122</v>
      </c>
      <c r="B126">
        <v>2147</v>
      </c>
      <c r="C126" s="74">
        <v>-1.0665005076155099E-3</v>
      </c>
      <c r="D126" s="69">
        <v>8.9971648189984599E-2</v>
      </c>
      <c r="E126" s="75">
        <v>0.22735881783488701</v>
      </c>
      <c r="F126" s="7">
        <f>MAX((1-Parameters!$B$4)^Parameters!B$65*F125 + C125*Parameters!B$65 - IF(C125&gt;0,Parameters!$B$5,0)*C125^2/F125*Parameters!B$65, 0.0001)</f>
        <v>8.1215953877195411E-3</v>
      </c>
      <c r="G126" s="7">
        <f>(1-Parameters!$B$4)^Parameters!B$65*G125+D125*Parameters!B$65-Parameters!$B$5*D125^2/G125*Parameters!B$65</f>
        <v>1.3550596329845548</v>
      </c>
      <c r="H126" s="7">
        <f>(1-Parameters!$B$4)^Parameters!B$65*H125+E125*Parameters!B$65-Parameters!$B$5*E125^2/H125*Parameters!B$65</f>
        <v>3.2574355992979105</v>
      </c>
      <c r="I126" s="7">
        <f>I125 *(1-Parameters!$B$4)-C125*(C125&lt;0)*Parameters!B$65</f>
        <v>6.4219287771221073E-4</v>
      </c>
      <c r="J126" s="23">
        <f>J125*(1+Parameters!$B$51)^Parameters!B$65</f>
        <v>11.617727317967626</v>
      </c>
      <c r="K126" s="23">
        <f>K125*(1+Parameters!$B$53)^Parameters!B$65</f>
        <v>101.38966849441101</v>
      </c>
      <c r="L126" s="23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2.1855405042569691</v>
      </c>
      <c r="M126" s="8">
        <f>M125+L126*Parameters!B$65</f>
        <v>3682.1882914917569</v>
      </c>
      <c r="N126" s="7">
        <f>M126*Parameters!$B$45</f>
        <v>2.2093129748950537</v>
      </c>
      <c r="O126" s="9">
        <f>EXP(-Parameters!$B$46/2*N126^2)</f>
        <v>0.95212905500212108</v>
      </c>
      <c r="P126" s="7">
        <f>MAX((Parameters!$B$62 + Parameters!$B$31*'6states'!A126 - '6states'!M126 + Parameters!$B$47/Parameters!$B$45)/Parameters!B$62,1)</f>
        <v>103.16423417016487</v>
      </c>
      <c r="Q126" s="8"/>
      <c r="R126" s="8"/>
      <c r="S126" s="7">
        <f>Parameters!B$61*EXP(-Parameters!B$60*A126)+(1-Parameters!B$61)*P126^-Parameters!B$63</f>
        <v>0.33304998686253562</v>
      </c>
      <c r="T126" s="7">
        <f>1-S126/Parameters!$B$12</f>
        <v>0.83347500656873219</v>
      </c>
      <c r="U126" s="7">
        <f t="shared" si="102"/>
        <v>6.0051045755647721</v>
      </c>
      <c r="V126" s="7">
        <f>(Parameters!$B$19*(F126+Parameters!$B$20)^T126+Parameters!$B$18*G126^T126)^(1/T126)</f>
        <v>0.3491312720344053</v>
      </c>
      <c r="W126" s="7">
        <f>(Parameters!$B$10*H126^Parameters!$B$9+Parameters!$B$11*V126^Parameters!$B$9)^(Parameters!$B$7/Parameters!$B$9)*O126</f>
        <v>1.3213950148511266</v>
      </c>
      <c r="X126" s="7">
        <f>W126 - D126 - E126 - LN(1+EXP(Parameters!$B$21*C126))/Parameters!$B$21 - IF(C126&gt;0, 0,Parameters!$B$6*C126^2/F126)</f>
        <v>1.0015445895584527</v>
      </c>
      <c r="Y126" s="7">
        <f>EXP(-Parameters!$B$55*A126)</f>
        <v>0.15846841182596355</v>
      </c>
      <c r="Z126" s="7">
        <f>IF(X126&gt;0,X126^(1-Parameters!$B$52)/(1-Parameters!$B$52)*Y126*Parameters!$B$65,-10+X126*1000)</f>
        <v>-0.45252237716400173</v>
      </c>
      <c r="AC126" s="23">
        <f t="shared" si="103"/>
        <v>-1.2562496345313123</v>
      </c>
      <c r="AD126" s="23">
        <f t="shared" si="104"/>
        <v>105.97918083466671</v>
      </c>
      <c r="AE126" s="23">
        <f t="shared" si="105"/>
        <v>0.75645024279296846</v>
      </c>
      <c r="AF126" s="23">
        <f t="shared" si="106"/>
        <v>9.5665695091371834</v>
      </c>
      <c r="AG126" s="23">
        <f t="shared" si="107"/>
        <v>1596.1484842712184</v>
      </c>
      <c r="AH126" s="23">
        <f t="shared" si="108"/>
        <v>411.24784260749232</v>
      </c>
      <c r="AI126" s="23">
        <f t="shared" si="109"/>
        <v>1012.1122503787817</v>
      </c>
      <c r="AJ126" s="23">
        <f t="shared" si="110"/>
        <v>1556.4943407196977</v>
      </c>
      <c r="AK126" s="23">
        <f t="shared" si="111"/>
        <v>1179.7369205315151</v>
      </c>
      <c r="AL126" s="9">
        <f t="shared" si="122"/>
        <v>2.2416138331109003E-2</v>
      </c>
      <c r="AM126" s="9">
        <f t="shared" si="123"/>
        <v>1.0376781750720987E-2</v>
      </c>
      <c r="AN126" s="9">
        <f t="shared" ref="AN126:AO126" si="182">AVERAGE(AL124:AL128)</f>
        <v>2.2677082701742002E-2</v>
      </c>
      <c r="AO126" s="9">
        <f t="shared" si="182"/>
        <v>2.2073977276996892E-2</v>
      </c>
      <c r="AP126" s="23"/>
      <c r="AQ126" s="25">
        <f t="shared" si="100"/>
        <v>1556.4943407196977</v>
      </c>
      <c r="AR126" s="4"/>
      <c r="AS126" s="4"/>
      <c r="AT126" s="4"/>
      <c r="AU126" s="16"/>
      <c r="AV126" s="16"/>
      <c r="AY126" s="21">
        <f>-Y126*W126*X126^(-Parameters!B$52)*Parameters!B$46*Parameters!B$45*N126</f>
        <v>-5.5676897885433105E-6</v>
      </c>
      <c r="AZ126" s="7">
        <f>1000*EXP(-(Parameters!$B$54)*'6states'!A126)*AQ126*Parameters!B$46*Parameters!B$45*N126</f>
        <v>0.57281748540926958</v>
      </c>
      <c r="BA126" s="93">
        <f>SUM(AZ126:AZ$204)*EXP(Parameters!$B$54*A126)</f>
        <v>2697.8226970927067</v>
      </c>
      <c r="BB126" s="43">
        <f t="shared" si="166"/>
        <v>0.23934097068838087</v>
      </c>
      <c r="BC126" s="30">
        <f>IF(C126&lt;0,Parameters!$B$6*AC126^2/AF126,0)</f>
        <v>0.824832319857566</v>
      </c>
      <c r="BD126" s="30">
        <f>Parameters!$B$5*AD126^2/AG126</f>
        <v>7.0366804097898132</v>
      </c>
      <c r="BE126" s="30">
        <f t="shared" si="113"/>
        <v>0.65658313219354558</v>
      </c>
      <c r="BF126" s="30">
        <f t="shared" si="114"/>
        <v>6.6396818265347962E-2</v>
      </c>
      <c r="BH126" s="5"/>
      <c r="BI126" s="5"/>
      <c r="BJ126" s="5"/>
      <c r="BM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-7.2007561547339463E-2</v>
      </c>
      <c r="BN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-84.818968421858671</v>
      </c>
      <c r="BO126" s="7">
        <f t="shared" si="155"/>
        <v>7.3278000136687796E-2</v>
      </c>
    </row>
    <row r="127" spans="1:67" x14ac:dyDescent="0.3">
      <c r="A127">
        <f>A126+Parameters!$B$65</f>
        <v>123</v>
      </c>
      <c r="B127">
        <v>2148</v>
      </c>
      <c r="C127" s="74">
        <v>1.1962443928600101E-3</v>
      </c>
      <c r="D127" s="69">
        <v>9.2216845045486898E-2</v>
      </c>
      <c r="E127" s="75">
        <v>0.22698455804578799</v>
      </c>
      <c r="F127" s="7">
        <f>MAX((1-Parameters!$B$4)^Parameters!B$65*F126 + C126*Parameters!B$65 - IF(C126&gt;0,Parameters!$B$5,0)*C126^2/F126*Parameters!B$65, 0.0001)</f>
        <v>6.5442465302164724E-3</v>
      </c>
      <c r="G127" s="7">
        <f>(1-Parameters!$B$4)^Parameters!B$65*G126+D126*Parameters!B$65-Parameters!$B$5*D126^2/G126*Parameters!B$65</f>
        <v>1.3538241990859068</v>
      </c>
      <c r="H127" s="7">
        <f>(1-Parameters!$B$4)^Parameters!B$65*H126+E126*Parameters!B$65-Parameters!$B$5*E126^2/H126*Parameters!B$65</f>
        <v>3.2640327834725542</v>
      </c>
      <c r="I127" s="7">
        <f>I126 *(1-Parameters!$B$4)-C126*(C126&lt;0)*Parameters!B$65</f>
        <v>1.6682994533196225E-3</v>
      </c>
      <c r="J127" s="23">
        <f>J126*(1+Parameters!$B$51)^Parameters!B$65</f>
        <v>11.65141872718973</v>
      </c>
      <c r="K127" s="23">
        <f>K126*(1+Parameters!$B$53)^Parameters!B$65</f>
        <v>103.41746186429923</v>
      </c>
      <c r="L127" s="23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1.7678801102866366</v>
      </c>
      <c r="M127" s="8">
        <f>M126+L127*Parameters!B$65</f>
        <v>3683.9561716020435</v>
      </c>
      <c r="N127" s="7">
        <f>M127*Parameters!$B$45</f>
        <v>2.2103737029612258</v>
      </c>
      <c r="O127" s="9">
        <f>EXP(-Parameters!$B$46/2*N127^2)</f>
        <v>0.95208419624966412</v>
      </c>
      <c r="P127" s="7">
        <f>MAX((Parameters!$B$62 + Parameters!$B$31*'6states'!A127 - '6states'!M127 + Parameters!$B$47/Parameters!$B$45)/Parameters!B$62,1)</f>
        <v>104.19287656795913</v>
      </c>
      <c r="Q127" s="8"/>
      <c r="R127" s="8"/>
      <c r="S127" s="7">
        <f>Parameters!B$61*EXP(-Parameters!B$60*A127)+(1-Parameters!B$61)*P127^-Parameters!B$63</f>
        <v>0.33224389443786273</v>
      </c>
      <c r="T127" s="7">
        <f>1-S127/Parameters!$B$12</f>
        <v>0.83387805278106863</v>
      </c>
      <c r="U127" s="7">
        <f t="shared" si="102"/>
        <v>6.0196742016399822</v>
      </c>
      <c r="V127" s="7">
        <f>(Parameters!$B$19*(F127+Parameters!$B$20)^T127+Parameters!$B$18*G127^T127)^(1/T127)</f>
        <v>0.34720987216588928</v>
      </c>
      <c r="W127" s="7">
        <f>(Parameters!$B$10*H127^Parameters!$B$9+Parameters!$B$11*V127^Parameters!$B$9)^(Parameters!$B$7/Parameters!$B$9)*O127</f>
        <v>1.3212342091214373</v>
      </c>
      <c r="X127" s="7">
        <f>W127 - D127 - E127 - LN(1+EXP(Parameters!$B$21*C127))/Parameters!$B$21 - IF(C127&gt;0, 0,Parameters!$B$6*C127^2/F127)</f>
        <v>0.99907081622567218</v>
      </c>
      <c r="Y127" s="7">
        <f>EXP(-Parameters!$B$55*A127)</f>
        <v>0.15609351440775748</v>
      </c>
      <c r="Z127" s="7">
        <f>IF(X127&gt;0,X127^(1-Parameters!$B$52)/(1-Parameters!$B$52)*Y127*Parameters!$B$65,-10+X127*1000)</f>
        <v>-0.44612660033225388</v>
      </c>
      <c r="AC127" s="23">
        <f t="shared" si="103"/>
        <v>1.4414268253111315</v>
      </c>
      <c r="AD127" s="23">
        <f t="shared" si="104"/>
        <v>111.11762361228479</v>
      </c>
      <c r="AE127" s="23">
        <f t="shared" si="105"/>
        <v>2.0102343626602166</v>
      </c>
      <c r="AF127" s="23">
        <f t="shared" si="106"/>
        <v>7.8855562930168039</v>
      </c>
      <c r="AG127" s="23">
        <f t="shared" si="107"/>
        <v>1631.3042125549591</v>
      </c>
      <c r="AH127" s="23">
        <f t="shared" si="108"/>
        <v>418.37406030067785</v>
      </c>
      <c r="AI127" s="23">
        <f t="shared" si="109"/>
        <v>1029.6504146653308</v>
      </c>
      <c r="AJ127" s="23">
        <f t="shared" si="110"/>
        <v>1592.0345732974699</v>
      </c>
      <c r="AK127" s="23">
        <f t="shared" si="111"/>
        <v>1203.8405224622834</v>
      </c>
      <c r="AL127" s="9">
        <f t="shared" si="122"/>
        <v>2.2576729090117098E-2</v>
      </c>
      <c r="AM127" s="9">
        <f t="shared" si="123"/>
        <v>2.0225416768115956E-2</v>
      </c>
      <c r="AN127" s="9">
        <f t="shared" ref="AN127:AO127" si="183">AVERAGE(AL125:AL129)</f>
        <v>2.2416096840808385E-2</v>
      </c>
      <c r="AO127" s="9">
        <f t="shared" si="183"/>
        <v>2.1356509577810635E-2</v>
      </c>
      <c r="AP127" s="23"/>
      <c r="AQ127" s="25">
        <f t="shared" si="100"/>
        <v>1592.0345732974699</v>
      </c>
      <c r="AR127" s="4"/>
      <c r="AS127" s="4"/>
      <c r="AT127" s="4"/>
      <c r="AU127" s="16"/>
      <c r="AV127" s="16"/>
      <c r="AY127" s="21">
        <f>-Y127*W127*X127^(-Parameters!B$52)*Parameters!B$46*Parameters!B$45*N127</f>
        <v>-5.5045613054402923E-6</v>
      </c>
      <c r="AZ127" s="7">
        <f>1000*EXP(-(Parameters!$B$54)*'6states'!A127)*AQ127*Parameters!B$46*Parameters!B$45*N127</f>
        <v>0.56596026466119964</v>
      </c>
      <c r="BA127" s="93">
        <f>SUM(AZ127:AZ$204)*EXP(Parameters!$B$54*A127)</f>
        <v>2751.2445312002515</v>
      </c>
      <c r="BB127" s="43">
        <f t="shared" si="166"/>
        <v>0.24249875250897815</v>
      </c>
      <c r="BC127" s="30">
        <f>IF(C127&lt;0,Parameters!$B$6*AC127^2/AF127,0)</f>
        <v>0</v>
      </c>
      <c r="BD127" s="30">
        <f>Parameters!$B$5*AD127^2/AG127</f>
        <v>7.5688680150609322</v>
      </c>
      <c r="BE127" s="30">
        <f t="shared" si="113"/>
        <v>0</v>
      </c>
      <c r="BF127" s="30">
        <f t="shared" si="114"/>
        <v>6.8115819696346919E-2</v>
      </c>
      <c r="BH127" s="5"/>
      <c r="BI127" s="5"/>
      <c r="BJ127" s="5"/>
      <c r="BM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-2.4198293050448888E-4</v>
      </c>
      <c r="BN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-0.29157978869405476</v>
      </c>
      <c r="BO127" s="7">
        <f t="shared" si="155"/>
        <v>0.20314034851848697</v>
      </c>
    </row>
    <row r="128" spans="1:67" x14ac:dyDescent="0.3">
      <c r="A128">
        <f>A127+Parameters!$B$65</f>
        <v>124</v>
      </c>
      <c r="B128">
        <v>2149</v>
      </c>
      <c r="C128" s="74">
        <v>9.6794824454898599E-3</v>
      </c>
      <c r="D128" s="69">
        <v>8.8831699152007504E-2</v>
      </c>
      <c r="E128" s="75">
        <v>0.22423087054971</v>
      </c>
      <c r="F128" s="7">
        <f>MAX((1-Parameters!$B$4)^Parameters!B$65*F127 + C127*Parameters!B$65 - IF(C127&gt;0,Parameters!$B$5,0)*C127^2/F127*Parameters!B$65, 0.0001)</f>
        <v>7.1101923609763907E-3</v>
      </c>
      <c r="G128" s="7">
        <f>(1-Parameters!$B$4)^Parameters!B$65*G127+D127*Parameters!B$65-Parameters!$B$5*D127^2/G127*Parameters!B$65</f>
        <v>1.3546040760188061</v>
      </c>
      <c r="H128" s="7">
        <f>(1-Parameters!$B$4)^Parameters!B$65*H127+E127*Parameters!B$65-Parameters!$B$5*E127^2/H127*Parameters!B$65</f>
        <v>3.2699249146977714</v>
      </c>
      <c r="I128" s="7">
        <f>I127 *(1-Parameters!$B$4)-C127*(C127&lt;0)*Parameters!B$65</f>
        <v>1.5633634177058184E-3</v>
      </c>
      <c r="J128" s="23">
        <f>J127*(1+Parameters!$B$51)^Parameters!B$65</f>
        <v>11.685207841498579</v>
      </c>
      <c r="K128" s="23">
        <f>K127*(1+Parameters!$B$53)^Parameters!B$65</f>
        <v>105.48581110158521</v>
      </c>
      <c r="L128" s="23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1.9454386373342734</v>
      </c>
      <c r="M128" s="8">
        <f>M127+L128*Parameters!B$65</f>
        <v>3685.9016102393775</v>
      </c>
      <c r="N128" s="7">
        <f>M128*Parameters!$B$45</f>
        <v>2.2115409661436263</v>
      </c>
      <c r="O128" s="9">
        <f>EXP(-Parameters!$B$46/2*N128^2)</f>
        <v>0.9520348096302752</v>
      </c>
      <c r="P128" s="7">
        <f>MAX((Parameters!$B$62 + Parameters!$B$31*'6states'!A128 - '6states'!M128 + Parameters!$B$47/Parameters!$B$45)/Parameters!B$62,1)</f>
        <v>105.21796779521246</v>
      </c>
      <c r="Q128" s="8"/>
      <c r="R128" s="8"/>
      <c r="S128" s="7">
        <f>Parameters!B$61*EXP(-Parameters!B$60*A128)+(1-Parameters!B$61)*P128^-Parameters!B$63</f>
        <v>0.33145539532732848</v>
      </c>
      <c r="T128" s="7">
        <f>1-S128/Parameters!$B$12</f>
        <v>0.83427230233633576</v>
      </c>
      <c r="U128" s="7">
        <f t="shared" si="102"/>
        <v>6.0339944022480063</v>
      </c>
      <c r="V128" s="7">
        <f>(Parameters!$B$19*(F128+Parameters!$B$20)^T128+Parameters!$B$18*G128^T128)^(1/T128)</f>
        <v>0.34823348260708842</v>
      </c>
      <c r="W128" s="7">
        <f>(Parameters!$B$10*H128^Parameters!$B$9+Parameters!$B$11*V128^Parameters!$B$9)^(Parameters!$B$7/Parameters!$B$9)*O128</f>
        <v>1.3220181373685627</v>
      </c>
      <c r="X128" s="7">
        <f>W128 - D128 - E128 - LN(1+EXP(Parameters!$B$21*C128))/Parameters!$B$21 - IF(C128&gt;0, 0,Parameters!$B$6*C128^2/F128)</f>
        <v>0.99909820980601183</v>
      </c>
      <c r="Y128" s="7">
        <f>EXP(-Parameters!$B$55*A128)</f>
        <v>0.15375420854803312</v>
      </c>
      <c r="Z128" s="7">
        <f>IF(X128&gt;0,X128^(1-Parameters!$B$52)/(1-Parameters!$B$52)*Y128*Parameters!$B$65,-10+X128*1000)</f>
        <v>-0.43943647720575907</v>
      </c>
      <c r="AC128" s="23">
        <f t="shared" si="103"/>
        <v>11.931158759936983</v>
      </c>
      <c r="AD128" s="23">
        <f t="shared" si="104"/>
        <v>109.49605120585797</v>
      </c>
      <c r="AE128" s="23">
        <f t="shared" si="105"/>
        <v>1.9270386863315205</v>
      </c>
      <c r="AF128" s="23">
        <f t="shared" si="106"/>
        <v>8.7641910970176102</v>
      </c>
      <c r="AG128" s="23">
        <f t="shared" si="107"/>
        <v>1669.7169894004794</v>
      </c>
      <c r="AH128" s="23">
        <f t="shared" si="108"/>
        <v>429.24081839177904</v>
      </c>
      <c r="AI128" s="23">
        <f t="shared" si="109"/>
        <v>1056.3943336514383</v>
      </c>
      <c r="AJ128" s="23">
        <f t="shared" si="110"/>
        <v>1629.5507915105527</v>
      </c>
      <c r="AK128" s="23">
        <f t="shared" si="111"/>
        <v>1231.5120591513285</v>
      </c>
      <c r="AL128" s="9">
        <f t="shared" si="122"/>
        <v>2.3291584725197545E-2</v>
      </c>
      <c r="AM128" s="9">
        <f t="shared" si="123"/>
        <v>2.2725849089992423E-2</v>
      </c>
      <c r="AN128" s="9">
        <f t="shared" ref="AN128:AO128" si="184">AVERAGE(AL126:AL130)</f>
        <v>2.2402092656881756E-2</v>
      </c>
      <c r="AO128" s="9">
        <f t="shared" si="184"/>
        <v>2.1050670937560235E-2</v>
      </c>
      <c r="AP128" s="23"/>
      <c r="AQ128" s="25">
        <f t="shared" si="100"/>
        <v>1629.5507915105525</v>
      </c>
      <c r="AR128" s="4"/>
      <c r="AS128" s="4"/>
      <c r="AT128" s="4"/>
      <c r="AU128" s="16"/>
      <c r="AV128" s="16"/>
      <c r="AY128" s="21">
        <f>-Y128*W128*X128^(-Parameters!B$52)*Parameters!B$46*Parameters!B$45*N128</f>
        <v>-5.42794799253401E-6</v>
      </c>
      <c r="AZ128" s="7">
        <f>1000*EXP(-(Parameters!$B$54)*'6states'!A128)*AQ128*Parameters!B$46*Parameters!B$45*N128</f>
        <v>0.55961184047509482</v>
      </c>
      <c r="BA128" s="93">
        <f>SUM(AZ128:AZ$204)*EXP(Parameters!$B$54*A128)</f>
        <v>2805.5729016645178</v>
      </c>
      <c r="BB128" s="43">
        <f t="shared" si="166"/>
        <v>0.24412830885181025</v>
      </c>
      <c r="BC128" s="30">
        <f>IF(C128&lt;0,Parameters!$B$6*AC128^2/AF128,0)</f>
        <v>0</v>
      </c>
      <c r="BD128" s="30">
        <f>Parameters!$B$5*AD128^2/AG128</f>
        <v>7.1804894516769107</v>
      </c>
      <c r="BE128" s="30">
        <f t="shared" si="113"/>
        <v>0</v>
      </c>
      <c r="BF128" s="30">
        <f t="shared" si="114"/>
        <v>6.5577610996922955E-2</v>
      </c>
      <c r="BH128" s="5"/>
      <c r="BI128" s="5"/>
      <c r="BJ128" s="5"/>
      <c r="BM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-6.5399038521576111E-4</v>
      </c>
      <c r="BN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-0.8061240006811855</v>
      </c>
      <c r="BO128" s="7">
        <f t="shared" si="155"/>
        <v>0.18024481050185204</v>
      </c>
    </row>
    <row r="129" spans="1:67" x14ac:dyDescent="0.3">
      <c r="A129">
        <f>A128+Parameters!$B$65</f>
        <v>125</v>
      </c>
      <c r="B129">
        <v>2150</v>
      </c>
      <c r="C129" s="74">
        <v>4.2259547138865702E-3</v>
      </c>
      <c r="D129" s="69">
        <v>9.0987396835795001E-2</v>
      </c>
      <c r="E129" s="75">
        <v>0.22083993107116301</v>
      </c>
      <c r="F129" s="7">
        <f>MAX((1-Parameters!$B$4)^Parameters!B$65*F128 + C128*Parameters!B$65 - IF(C128&gt;0,Parameters!$B$5,0)*C128^2/F128*Parameters!B$65, 0.0001)</f>
        <v>3.1652502280940728E-3</v>
      </c>
      <c r="G129" s="7">
        <f>(1-Parameters!$B$4)^Parameters!B$65*G128+D128*Parameters!B$65-Parameters!$B$5*D128^2/G128*Parameters!B$65</f>
        <v>1.3524058081780448</v>
      </c>
      <c r="H129" s="7">
        <f>(1-Parameters!$B$4)^Parameters!B$65*H128+E128*Parameters!B$65-Parameters!$B$5*E128^2/H128*Parameters!B$65</f>
        <v>3.2731011662644423</v>
      </c>
      <c r="I129" s="7">
        <f>I128 *(1-Parameters!$B$4)-C128*(C128&lt;0)*Parameters!B$65</f>
        <v>1.4650278587321226E-3</v>
      </c>
      <c r="J129" s="23">
        <f>J128*(1+Parameters!$B$51)^Parameters!B$65</f>
        <v>11.719094944238924</v>
      </c>
      <c r="K129" s="23">
        <f>K128*(1+Parameters!$B$53)^Parameters!B$65</f>
        <v>107.59552732361692</v>
      </c>
      <c r="L129" s="23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0.87702753768376973</v>
      </c>
      <c r="M129" s="8">
        <f>M128+L129*Parameters!B$65</f>
        <v>3686.7786377770612</v>
      </c>
      <c r="N129" s="7">
        <f>M129*Parameters!$B$45</f>
        <v>2.2120671826662366</v>
      </c>
      <c r="O129" s="9">
        <f>EXP(-Parameters!$B$46/2*N129^2)</f>
        <v>0.95201253784968631</v>
      </c>
      <c r="P129" s="7">
        <f>MAX((Parameters!$B$62 + Parameters!$B$31*'6states'!A129 - '6states'!M129 + Parameters!$B$47/Parameters!$B$45)/Parameters!B$62,1)</f>
        <v>106.26442724445879</v>
      </c>
      <c r="Q129" s="8"/>
      <c r="R129" s="8"/>
      <c r="S129" s="7">
        <f>Parameters!B$61*EXP(-Parameters!B$60*A129)+(1-Parameters!B$61)*P129^-Parameters!B$63</f>
        <v>0.33067668209904283</v>
      </c>
      <c r="T129" s="7">
        <f>1-S129/Parameters!$B$12</f>
        <v>0.83466165895047861</v>
      </c>
      <c r="U129" s="7">
        <f t="shared" si="102"/>
        <v>6.048203905109248</v>
      </c>
      <c r="V129" s="7">
        <f>(Parameters!$B$19*(F129+Parameters!$B$20)^T129+Parameters!$B$18*G129^T129)^(1/T129)</f>
        <v>0.34327166056083458</v>
      </c>
      <c r="W129" s="7">
        <f>(Parameters!$B$10*H129^Parameters!$B$9+Parameters!$B$11*V129^Parameters!$B$9)^(Parameters!$B$7/Parameters!$B$9)*O129</f>
        <v>1.3204894877520887</v>
      </c>
      <c r="X129" s="7">
        <f>W129 - D129 - E129 - LN(1+EXP(Parameters!$B$21*C129))/Parameters!$B$21 - IF(C129&gt;0, 0,Parameters!$B$6*C129^2/F129)</f>
        <v>1.0036095540119219</v>
      </c>
      <c r="Y129" s="7">
        <f>EXP(-Parameters!$B$55*A129)</f>
        <v>0.15144996085152654</v>
      </c>
      <c r="Z129" s="7">
        <f>IF(X129&gt;0,X129^(1-Parameters!$B$52)/(1-Parameters!$B$52)*Y129*Parameters!$B$65,-10+X129*1000)</f>
        <v>-0.43216883521884636</v>
      </c>
      <c r="AC129" s="23">
        <f t="shared" si="103"/>
        <v>5.3286001161213798</v>
      </c>
      <c r="AD129" s="23">
        <f t="shared" si="104"/>
        <v>114.72802861602385</v>
      </c>
      <c r="AE129" s="23">
        <f t="shared" si="105"/>
        <v>1.8472861511053529</v>
      </c>
      <c r="AF129" s="23">
        <f t="shared" si="106"/>
        <v>3.9911342820480624</v>
      </c>
      <c r="AG129" s="23">
        <f t="shared" si="107"/>
        <v>1705.2785073205562</v>
      </c>
      <c r="AH129" s="23">
        <f t="shared" si="108"/>
        <v>432.83885752845265</v>
      </c>
      <c r="AI129" s="23">
        <f t="shared" si="109"/>
        <v>1065.2493818979658</v>
      </c>
      <c r="AJ129" s="23">
        <f t="shared" si="110"/>
        <v>1665.0345103441887</v>
      </c>
      <c r="AK129" s="23">
        <f t="shared" si="111"/>
        <v>1265.4735670676653</v>
      </c>
      <c r="AL129" s="9">
        <f t="shared" si="122"/>
        <v>2.1541461344077639E-2</v>
      </c>
      <c r="AM129" s="9">
        <f t="shared" si="123"/>
        <v>2.7203682665261297E-2</v>
      </c>
      <c r="AN129" s="9">
        <f t="shared" ref="AN129:AO129" si="185">AVERAGE(AL127:AL131)</f>
        <v>2.2345406392373944E-2</v>
      </c>
      <c r="AO129" s="9">
        <f t="shared" si="185"/>
        <v>2.3028022683064187E-2</v>
      </c>
      <c r="AP129" s="23"/>
      <c r="AQ129" s="25">
        <f t="shared" si="100"/>
        <v>1665.0345103441889</v>
      </c>
      <c r="AR129" s="4"/>
      <c r="AS129" s="4"/>
      <c r="AT129" s="4"/>
      <c r="AU129" s="16"/>
      <c r="AV129" s="16"/>
      <c r="AY129" s="21">
        <f>-Y129*W129*X129^(-Parameters!B$52)*Parameters!B$46*Parameters!B$45*N129</f>
        <v>-5.3093000741897703E-6</v>
      </c>
      <c r="AZ129" s="7">
        <f>1000*EXP(-(Parameters!$B$54)*'6states'!A129)*AQ129*Parameters!B$46*Parameters!B$45*N129</f>
        <v>0.55220688931537887</v>
      </c>
      <c r="BA129" s="93">
        <f>SUM(AZ129:AZ$204)*EXP(Parameters!$B$54*A129)</f>
        <v>2860.7825007704705</v>
      </c>
      <c r="BB129" s="43">
        <f t="shared" si="166"/>
        <v>0.23934554992851337</v>
      </c>
      <c r="BC129" s="30">
        <f>IF(C129&lt;0,Parameters!$B$6*AC129^2/AF129,0)</f>
        <v>0</v>
      </c>
      <c r="BD129" s="30">
        <f>Parameters!$B$5*AD129^2/AG129</f>
        <v>7.7186925734500633</v>
      </c>
      <c r="BE129" s="30">
        <f t="shared" si="113"/>
        <v>0</v>
      </c>
      <c r="BF129" s="30">
        <f t="shared" si="114"/>
        <v>6.7278176628339695E-2</v>
      </c>
      <c r="BH129" s="5"/>
      <c r="BI129" s="5"/>
      <c r="BJ129" s="5"/>
      <c r="BM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-1.6275288323239472E-6</v>
      </c>
      <c r="BN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-2.0521872362745477E-3</v>
      </c>
      <c r="BO129" s="7">
        <f t="shared" si="155"/>
        <v>0.31640170012689667</v>
      </c>
    </row>
    <row r="130" spans="1:67" x14ac:dyDescent="0.3">
      <c r="A130">
        <f>A129+Parameters!$B$65</f>
        <v>126</v>
      </c>
      <c r="B130">
        <v>2151</v>
      </c>
      <c r="C130" s="74">
        <v>3.5809707393921601E-3</v>
      </c>
      <c r="D130" s="69">
        <v>9.4208564071464898E-2</v>
      </c>
      <c r="E130" s="75">
        <v>0.21540005364575901</v>
      </c>
      <c r="F130" s="7">
        <f>MAX((1-Parameters!$B$4)^Parameters!B$65*F129 + C129*Parameters!B$65 - IF(C129&gt;0,Parameters!$B$5,0)*C129^2/F129*Parameters!B$65, 0.0001)</f>
        <v>1.5499996665738029E-3</v>
      </c>
      <c r="G130" s="7">
        <f>(1-Parameters!$B$4)^Parameters!B$65*G129+D129*Parameters!B$65-Parameters!$B$5*D129^2/G129*Parameters!B$65</f>
        <v>1.3522054135241692</v>
      </c>
      <c r="H130" s="7">
        <f>(1-Parameters!$B$4)^Parameters!B$65*H129+E129*Parameters!B$65-Parameters!$B$5*E129^2/H129*Parameters!B$65</f>
        <v>3.2731627077492882</v>
      </c>
      <c r="I130" s="7">
        <f>I129 *(1-Parameters!$B$4)-C129*(C129&lt;0)*Parameters!B$65</f>
        <v>1.3728776064178721E-3</v>
      </c>
      <c r="J130" s="23">
        <f>J129*(1+Parameters!$B$51)^Parameters!B$65</f>
        <v>11.753080319577215</v>
      </c>
      <c r="K130" s="23">
        <f>K129*(1+Parameters!$B$53)^Parameters!B$65</f>
        <v>109.74743787008926</v>
      </c>
      <c r="L130" s="23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0.43496216044239366</v>
      </c>
      <c r="M130" s="8">
        <f>M129+L130*Parameters!B$65</f>
        <v>3687.2135999375037</v>
      </c>
      <c r="N130" s="7">
        <f>M130*Parameters!$B$45</f>
        <v>2.2123281599625022</v>
      </c>
      <c r="O130" s="9">
        <f>EXP(-Parameters!$B$46/2*N130^2)</f>
        <v>0.9520014903788464</v>
      </c>
      <c r="P130" s="7">
        <f>MAX((Parameters!$B$62 + Parameters!$B$31*'6states'!A130 - '6states'!M130 + Parameters!$B$47/Parameters!$B$45)/Parameters!B$62,1)</f>
        <v>107.31972800124993</v>
      </c>
      <c r="Q130" s="8"/>
      <c r="R130" s="8"/>
      <c r="S130" s="7">
        <f>Parameters!B$61*EXP(-Parameters!B$60*A130)+(1-Parameters!B$61)*P130^-Parameters!B$63</f>
        <v>0.32991120645812233</v>
      </c>
      <c r="T130" s="7">
        <f>1-S130/Parameters!$B$12</f>
        <v>0.83504439677093889</v>
      </c>
      <c r="U130" s="7">
        <f t="shared" si="102"/>
        <v>6.0622372348963331</v>
      </c>
      <c r="V130" s="7">
        <f>(Parameters!$B$19*(F130+Parameters!$B$20)^T130+Parameters!$B$18*G130^T130)^(1/T130)</f>
        <v>0.34146024395767649</v>
      </c>
      <c r="W130" s="7">
        <f>(Parameters!$B$10*H130^Parameters!$B$9+Parameters!$B$11*V130^Parameters!$B$9)^(Parameters!$B$7/Parameters!$B$9)*O130</f>
        <v>1.3198110881260858</v>
      </c>
      <c r="X130" s="7">
        <f>W130 - D130 - E130 - LN(1+EXP(Parameters!$B$21*C130))/Parameters!$B$21 - IF(C130&gt;0, 0,Parameters!$B$6*C130^2/F130)</f>
        <v>1.0056421062759211</v>
      </c>
      <c r="Y130" s="7">
        <f>EXP(-Parameters!$B$55*A130)</f>
        <v>0.14918024591673743</v>
      </c>
      <c r="Z130" s="7">
        <f>IF(X130&gt;0,X130^(1-Parameters!$B$52)/(1-Parameters!$B$52)*Y130*Parameters!$B$65,-10+X130*1000)</f>
        <v>-0.42539077465900466</v>
      </c>
      <c r="AC130" s="23">
        <f t="shared" si="103"/>
        <v>4.61898834677348</v>
      </c>
      <c r="AD130" s="23">
        <f t="shared" si="104"/>
        <v>121.51684313573081</v>
      </c>
      <c r="AE130" s="23">
        <f t="shared" si="105"/>
        <v>1.7708342589436525</v>
      </c>
      <c r="AF130" s="23">
        <f t="shared" si="106"/>
        <v>1.9992987707636025</v>
      </c>
      <c r="AG130" s="23">
        <f t="shared" si="107"/>
        <v>1744.1698081488173</v>
      </c>
      <c r="AH130" s="23">
        <f t="shared" si="108"/>
        <v>440.43947926663424</v>
      </c>
      <c r="AI130" s="23">
        <f t="shared" si="109"/>
        <v>1083.9550906572722</v>
      </c>
      <c r="AJ130" s="23">
        <f t="shared" si="110"/>
        <v>1702.3853250003363</v>
      </c>
      <c r="AK130" s="23">
        <f t="shared" si="111"/>
        <v>1297.148038328198</v>
      </c>
      <c r="AL130" s="9">
        <f t="shared" si="122"/>
        <v>2.2184549793907493E-2</v>
      </c>
      <c r="AM130" s="9">
        <f t="shared" si="123"/>
        <v>2.4721624413710508E-2</v>
      </c>
      <c r="AN130" s="9">
        <f t="shared" ref="AN130:AO130" si="186">AVERAGE(AL128:AL132)</f>
        <v>2.2380206457838982E-2</v>
      </c>
      <c r="AO130" s="9">
        <f t="shared" si="186"/>
        <v>2.3599711440149919E-2</v>
      </c>
      <c r="AP130" s="23"/>
      <c r="AQ130" s="25">
        <f t="shared" si="100"/>
        <v>1702.3853250003365</v>
      </c>
      <c r="AR130" s="4"/>
      <c r="AS130" s="4"/>
      <c r="AT130" s="4"/>
      <c r="AU130" s="16"/>
      <c r="AV130" s="16"/>
      <c r="AY130" s="21">
        <f>-Y130*W130*X130^(-Parameters!B$52)*Parameters!B$46*Parameters!B$45*N130</f>
        <v>-5.2134029150385345E-6</v>
      </c>
      <c r="AZ130" s="7">
        <f>1000*EXP(-(Parameters!$B$54)*'6states'!A130)*AQ130*Parameters!B$46*Parameters!B$45*N130</f>
        <v>0.54518506034743464</v>
      </c>
      <c r="BA130" s="93">
        <f>SUM(AZ130:AZ$204)*EXP(Parameters!$B$54*A130)</f>
        <v>2916.9732225059333</v>
      </c>
      <c r="BB130" s="43">
        <f t="shared" si="166"/>
        <v>0.23729880077102067</v>
      </c>
      <c r="BC130" s="30">
        <f>IF(C130&lt;0,Parameters!$B$6*AC130^2/AF130,0)</f>
        <v>0</v>
      </c>
      <c r="BD130" s="30">
        <f>Parameters!$B$5*AD130^2/AG130</f>
        <v>8.4661155678105313</v>
      </c>
      <c r="BE130" s="30">
        <f t="shared" si="113"/>
        <v>0</v>
      </c>
      <c r="BF130" s="30">
        <f t="shared" si="114"/>
        <v>6.9670305361324472E-2</v>
      </c>
      <c r="BH130" s="5"/>
      <c r="BI130" s="5"/>
      <c r="BJ130" s="5"/>
      <c r="BM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-1.8076321749914465E-9</v>
      </c>
      <c r="BN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-2.3316113308860876E-6</v>
      </c>
      <c r="BO130" s="7">
        <f t="shared" si="155"/>
        <v>0.4697007360191624</v>
      </c>
    </row>
    <row r="131" spans="1:67" x14ac:dyDescent="0.3">
      <c r="A131">
        <f>A130+Parameters!$B$65</f>
        <v>127</v>
      </c>
      <c r="B131">
        <v>2152</v>
      </c>
      <c r="C131" s="74">
        <v>2.6683369419522301E-3</v>
      </c>
      <c r="D131" s="69">
        <v>9.0543791367575399E-2</v>
      </c>
      <c r="E131" s="75">
        <v>0.22141958138805901</v>
      </c>
      <c r="F131" s="7">
        <f>MAX((1-Parameters!$B$4)^Parameters!B$65*F130 + C130*Parameters!B$65 - IF(C130&gt;0,Parameters!$B$5,0)*C130^2/F130*Parameters!B$65, 0.0001)</f>
        <v>1E-4</v>
      </c>
      <c r="G131" s="7">
        <f>(1-Parameters!$B$4)^Parameters!B$65*G130+D130*Parameters!B$65-Parameters!$B$5*D130^2/G130*Parameters!B$65</f>
        <v>1.354796717658453</v>
      </c>
      <c r="H131" s="7">
        <f>(1-Parameters!$B$4)^Parameters!B$65*H130+E130*Parameters!B$65-Parameters!$B$5*E130^2/H130*Parameters!B$65</f>
        <v>3.2685057959981205</v>
      </c>
      <c r="I131" s="7">
        <f>I130 *(1-Parameters!$B$4)-C130*(C130&lt;0)*Parameters!B$65</f>
        <v>1.2865236049741881E-3</v>
      </c>
      <c r="J131" s="23">
        <f>J130*(1+Parameters!$B$51)^Parameters!B$65</f>
        <v>11.787164252503988</v>
      </c>
      <c r="K131" s="23">
        <f>K130*(1+Parameters!$B$53)^Parameters!B$65</f>
        <v>111.94238662749105</v>
      </c>
      <c r="L131" s="23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2.8420697379031485E-2</v>
      </c>
      <c r="M131" s="8">
        <f>M130+L131*Parameters!B$65</f>
        <v>3687.2420206348825</v>
      </c>
      <c r="N131" s="7">
        <f>M131*Parameters!$B$45</f>
        <v>2.2123452123809293</v>
      </c>
      <c r="O131" s="9">
        <f>EXP(-Parameters!$B$46/2*N131^2)</f>
        <v>0.95200076848934989</v>
      </c>
      <c r="P131" s="7">
        <f>MAX((Parameters!$B$62 + Parameters!$B$31*'6states'!A131 - '6states'!M131 + Parameters!$B$47/Parameters!$B$45)/Parameters!B$62,1)</f>
        <v>108.38315958730236</v>
      </c>
      <c r="Q131" s="8"/>
      <c r="R131" s="8"/>
      <c r="S131" s="7">
        <f>Parameters!B$61*EXP(-Parameters!B$60*A131)+(1-Parameters!B$61)*P131^-Parameters!B$63</f>
        <v>0.32915885603217954</v>
      </c>
      <c r="T131" s="7">
        <f>1-S131/Parameters!$B$12</f>
        <v>0.83542057198391029</v>
      </c>
      <c r="U131" s="7">
        <f t="shared" si="102"/>
        <v>6.0760935437340162</v>
      </c>
      <c r="V131" s="7">
        <f>(Parameters!$B$19*(F131+Parameters!$B$20)^T131+Parameters!$B$18*G131^T131)^(1/T131)</f>
        <v>0.34048794309038533</v>
      </c>
      <c r="W131" s="7">
        <f>(Parameters!$B$10*H131^Parameters!$B$9+Parameters!$B$11*V131^Parameters!$B$9)^(Parameters!$B$7/Parameters!$B$9)*O131</f>
        <v>1.3190646512687407</v>
      </c>
      <c r="X131" s="7">
        <f>W131 - D131 - E131 - LN(1+EXP(Parameters!$B$21*C131))/Parameters!$B$21 - IF(C131&gt;0, 0,Parameters!$B$6*C131^2/F131)</f>
        <v>1.0031964570897804</v>
      </c>
      <c r="Y131" s="7">
        <f>EXP(-Parameters!$B$55*A131)</f>
        <v>0.14694454621613023</v>
      </c>
      <c r="Z131" s="7">
        <f>IF(X131&gt;0,X131^(1-Parameters!$B$52)/(1-Parameters!$B$52)*Y131*Parameters!$B$65,-10+X131*1000)</f>
        <v>-0.41937286958311348</v>
      </c>
      <c r="AC131" s="23">
        <f t="shared" si="103"/>
        <v>3.52082602833047</v>
      </c>
      <c r="AD131" s="23">
        <f t="shared" si="104"/>
        <v>119.47102044670875</v>
      </c>
      <c r="AE131" s="23">
        <f t="shared" si="105"/>
        <v>1.6975464092404566</v>
      </c>
      <c r="AF131" s="23">
        <f t="shared" si="106"/>
        <v>0.13194832979955431</v>
      </c>
      <c r="AG131" s="23">
        <f t="shared" si="107"/>
        <v>1787.631641129512</v>
      </c>
      <c r="AH131" s="23">
        <f t="shared" si="108"/>
        <v>449.26815407662036</v>
      </c>
      <c r="AI131" s="23">
        <f t="shared" si="109"/>
        <v>1105.6831315222207</v>
      </c>
      <c r="AJ131" s="23">
        <f t="shared" si="110"/>
        <v>1740.4837763254186</v>
      </c>
      <c r="AK131" s="23">
        <f t="shared" si="111"/>
        <v>1323.7009697382678</v>
      </c>
      <c r="AL131" s="9">
        <f t="shared" si="122"/>
        <v>2.2132707008569952E-2</v>
      </c>
      <c r="AM131" s="9">
        <f t="shared" si="123"/>
        <v>2.0263540478240749E-2</v>
      </c>
      <c r="AN131" s="9">
        <f t="shared" ref="AN131:AO131" si="187">AVERAGE(AL129:AL133)</f>
        <v>2.2281103571813787E-2</v>
      </c>
      <c r="AO131" s="9">
        <f t="shared" si="187"/>
        <v>2.3952921020679342E-2</v>
      </c>
      <c r="AP131" s="23"/>
      <c r="AQ131" s="25">
        <f t="shared" si="100"/>
        <v>1740.4837763254186</v>
      </c>
      <c r="AR131" s="4"/>
      <c r="AS131" s="4"/>
      <c r="AT131" s="4"/>
      <c r="AU131" s="16"/>
      <c r="AV131" s="16"/>
      <c r="AY131" s="21">
        <f>-Y131*W131*X131^(-Parameters!B$52)*Parameters!B$46*Parameters!B$45*N131</f>
        <v>-5.1493056436855616E-6</v>
      </c>
      <c r="AZ131" s="7">
        <f>1000*EXP(-(Parameters!$B$54)*'6states'!A131)*AQ131*Parameters!B$46*Parameters!B$45*N131</f>
        <v>0.53816527316730611</v>
      </c>
      <c r="BA131" s="93">
        <f>SUM(AZ131:AZ$204)*EXP(Parameters!$B$54*A131)</f>
        <v>2974.1336882871278</v>
      </c>
      <c r="BB131" s="43">
        <f t="shared" si="166"/>
        <v>0.23852637503018409</v>
      </c>
      <c r="BC131" s="30">
        <f>IF(C131&lt;0,Parameters!$B$6*AC131^2/AF131,0)</f>
        <v>0</v>
      </c>
      <c r="BD131" s="30">
        <f>Parameters!$B$5*AD131^2/AG131</f>
        <v>7.9844887493484533</v>
      </c>
      <c r="BE131" s="30">
        <f t="shared" si="113"/>
        <v>0</v>
      </c>
      <c r="BF131" s="30">
        <f t="shared" si="114"/>
        <v>6.683201264619662E-2</v>
      </c>
      <c r="BH131" s="5"/>
      <c r="BI131" s="5"/>
      <c r="BJ131" s="5"/>
      <c r="BM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-5.8943558254876113E-19</v>
      </c>
      <c r="BN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-7.7775040641736344E-16</v>
      </c>
      <c r="BO131" s="7">
        <f t="shared" si="155"/>
        <v>0.92787717450950891</v>
      </c>
    </row>
    <row r="132" spans="1:67" x14ac:dyDescent="0.3">
      <c r="A132">
        <f>A131+Parameters!$B$65</f>
        <v>128</v>
      </c>
      <c r="B132">
        <v>2153</v>
      </c>
      <c r="C132" s="74">
        <v>1.50447659880848E-3</v>
      </c>
      <c r="D132" s="69">
        <v>9.4971896399414002E-2</v>
      </c>
      <c r="E132" s="75">
        <v>0.21743165122162</v>
      </c>
      <c r="F132" s="7">
        <f>MAX((1-Parameters!$B$4)^Parameters!B$65*F131 + C131*Parameters!B$65 - IF(C131&gt;0,Parameters!$B$5,0)*C131^2/F131*Parameters!B$65, 0.0001)</f>
        <v>1E-4</v>
      </c>
      <c r="G132" s="7">
        <f>(1-Parameters!$B$4)^Parameters!B$65*G131+D131*Parameters!B$65-Parameters!$B$5*D131^2/G131*Parameters!B$65</f>
        <v>1.3540725716755992</v>
      </c>
      <c r="H132" s="7">
        <f>(1-Parameters!$B$4)^Parameters!B$65*H131+E131*Parameters!B$65-Parameters!$B$5*E131^2/H131*Parameters!B$65</f>
        <v>3.2693366552811729</v>
      </c>
      <c r="I132" s="7">
        <f>I131 *(1-Parameters!$B$4)-C131*(C131&lt;0)*Parameters!B$65</f>
        <v>1.2056012702213116E-3</v>
      </c>
      <c r="J132" s="23">
        <f>J131*(1+Parameters!$B$51)^Parameters!B$65</f>
        <v>11.821347028836248</v>
      </c>
      <c r="K132" s="23">
        <f>K131*(1+Parameters!$B$53)^Parameters!B$65</f>
        <v>114.18123436004088</v>
      </c>
      <c r="L132" s="23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2.878389677751185E-2</v>
      </c>
      <c r="M132" s="8">
        <f>M131+L132*Parameters!B$65</f>
        <v>3687.2708045316599</v>
      </c>
      <c r="N132" s="7">
        <f>M132*Parameters!$B$45</f>
        <v>2.2123624827189956</v>
      </c>
      <c r="O132" s="9">
        <f>EXP(-Parameters!$B$46/2*N132^2)</f>
        <v>0.95200003736942695</v>
      </c>
      <c r="P132" s="7">
        <f>MAX((Parameters!$B$62 + Parameters!$B$31*'6states'!A132 - '6states'!M132 + Parameters!$B$47/Parameters!$B$45)/Parameters!B$62,1)</f>
        <v>109.44658390936682</v>
      </c>
      <c r="Q132" s="8"/>
      <c r="R132" s="8"/>
      <c r="S132" s="7">
        <f>Parameters!B$61*EXP(-Parameters!B$60*A132)+(1-Parameters!B$61)*P132^-Parameters!B$63</f>
        <v>0.32842163949560232</v>
      </c>
      <c r="T132" s="7">
        <f>1-S132/Parameters!$B$12</f>
        <v>0.83578918025219884</v>
      </c>
      <c r="U132" s="7">
        <f t="shared" si="102"/>
        <v>6.0897327078436341</v>
      </c>
      <c r="V132" s="7">
        <f>(Parameters!$B$19*(F132+Parameters!$B$20)^T132+Parameters!$B$18*G132^T132)^(1/T132)</f>
        <v>0.34049290056498682</v>
      </c>
      <c r="W132" s="7">
        <f>(Parameters!$B$10*H132^Parameters!$B$9+Parameters!$B$11*V132^Parameters!$B$9)^(Parameters!$B$7/Parameters!$B$9)*O132</f>
        <v>1.3191336388470971</v>
      </c>
      <c r="X132" s="7">
        <f>W132 - D132 - E132 - LN(1+EXP(Parameters!$B$21*C132))/Parameters!$B$21 - IF(C132&gt;0, 0,Parameters!$B$6*C132^2/F132)</f>
        <v>1.0035831937712409</v>
      </c>
      <c r="Y132" s="7">
        <f>EXP(-Parameters!$B$55*A132)</f>
        <v>0.14474235197813023</v>
      </c>
      <c r="Z132" s="7">
        <f>IF(X132&gt;0,X132^(1-Parameters!$B$52)/(1-Parameters!$B$52)*Y132*Parameters!$B$65,-10+X132*1000)</f>
        <v>-0.41303218808732201</v>
      </c>
      <c r="AC132" s="23">
        <f t="shared" si="103"/>
        <v>2.0307063989397851</v>
      </c>
      <c r="AD132" s="23">
        <f t="shared" si="104"/>
        <v>128.19078601187829</v>
      </c>
      <c r="AE132" s="23">
        <f t="shared" si="105"/>
        <v>1.6272916547504299</v>
      </c>
      <c r="AF132" s="23">
        <f t="shared" si="106"/>
        <v>0.13497759955509245</v>
      </c>
      <c r="AG132" s="23">
        <f t="shared" si="107"/>
        <v>1827.6946534816327</v>
      </c>
      <c r="AH132" s="23">
        <f t="shared" si="108"/>
        <v>459.58914383812703</v>
      </c>
      <c r="AI132" s="23">
        <f t="shared" si="109"/>
        <v>1131.083873097964</v>
      </c>
      <c r="AJ132" s="23">
        <f t="shared" si="110"/>
        <v>1780.5349206395542</v>
      </c>
      <c r="AK132" s="23">
        <f t="shared" si="111"/>
        <v>1354.6125044907533</v>
      </c>
      <c r="AL132" s="9">
        <f t="shared" si="122"/>
        <v>2.2750729417442273E-2</v>
      </c>
      <c r="AM132" s="9">
        <f t="shared" si="123"/>
        <v>2.3083860553544611E-2</v>
      </c>
      <c r="AN132" s="9">
        <f t="shared" ref="AN132:AO132" si="188">AVERAGE(AL130:AL134)</f>
        <v>2.2516347087269396E-2</v>
      </c>
      <c r="AO132" s="9">
        <f t="shared" si="188"/>
        <v>2.254174605496111E-2</v>
      </c>
      <c r="AP132" s="23"/>
      <c r="AQ132" s="25">
        <f t="shared" ref="AQ132:AQ195" si="189">W132*K132*J132</f>
        <v>1780.5349206395542</v>
      </c>
      <c r="AR132" s="4"/>
      <c r="AS132" s="4"/>
      <c r="AT132" s="4"/>
      <c r="AU132" s="16"/>
      <c r="AV132" s="16"/>
      <c r="AY132" s="21">
        <f>-Y132*W132*X132^(-Parameters!B$52)*Parameters!B$46*Parameters!B$45*N132</f>
        <v>-5.0698014431434819E-6</v>
      </c>
      <c r="AZ132" s="7">
        <f>1000*EXP(-(Parameters!$B$54)*'6states'!A132)*AQ132*Parameters!B$46*Parameters!B$45*N132</f>
        <v>0.53156434204105019</v>
      </c>
      <c r="BA132" s="93">
        <f>SUM(AZ132:AZ$204)*EXP(Parameters!$B$54*A132)</f>
        <v>3032.2829375007523</v>
      </c>
      <c r="BB132" s="43">
        <f t="shared" si="166"/>
        <v>0.23796529401993977</v>
      </c>
      <c r="BC132" s="30">
        <f>IF(C132&lt;0,Parameters!$B$6*AC132^2/AF132,0)</f>
        <v>0</v>
      </c>
      <c r="BD132" s="30">
        <f>Parameters!$B$5*AD132^2/AG132</f>
        <v>8.9910410292220675</v>
      </c>
      <c r="BE132" s="30">
        <f t="shared" si="113"/>
        <v>0</v>
      </c>
      <c r="BF132" s="30">
        <f t="shared" si="114"/>
        <v>7.0137966299613358E-2</v>
      </c>
      <c r="BH132" s="5"/>
      <c r="BI132" s="5"/>
      <c r="BJ132" s="5"/>
      <c r="BM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-7.6672569252961247E-19</v>
      </c>
      <c r="BN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-1.0349079349486298E-15</v>
      </c>
      <c r="BO132" s="7">
        <f t="shared" ref="BO132:BO142" si="190">I132/(F132+I132)</f>
        <v>0.92340693726266898</v>
      </c>
    </row>
    <row r="133" spans="1:67" x14ac:dyDescent="0.3">
      <c r="A133">
        <f>A132+Parameters!$B$65</f>
        <v>129</v>
      </c>
      <c r="B133">
        <v>2154</v>
      </c>
      <c r="C133" s="74">
        <v>5.9260506899655495E-4</v>
      </c>
      <c r="D133" s="69">
        <v>9.2664832888538606E-2</v>
      </c>
      <c r="E133" s="75">
        <v>0.21859296551420301</v>
      </c>
      <c r="F133" s="7">
        <f>MAX((1-Parameters!$B$4)^Parameters!B$65*F132 + C132*Parameters!B$65 - IF(C132&gt;0,Parameters!$B$5,0)*C132^2/F132*Parameters!B$65, 0.0001)</f>
        <v>1E-4</v>
      </c>
      <c r="G133" s="7">
        <f>(1-Parameters!$B$4)^Parameters!B$65*G132+D132*Parameters!B$65-Parameters!$B$5*D132^2/G132*Parameters!B$65</f>
        <v>1.3572121676475457</v>
      </c>
      <c r="H133" s="7">
        <f>(1-Parameters!$B$4)^Parameters!B$65*H132+E132*Parameters!B$65-Parameters!$B$5*E132^2/H132*Parameters!B$65</f>
        <v>3.2666664451650789</v>
      </c>
      <c r="I133" s="7">
        <f>I132 *(1-Parameters!$B$4)-C132*(C132&lt;0)*Parameters!B$65</f>
        <v>1.1297689503243912E-3</v>
      </c>
      <c r="J133" s="23">
        <f>J132*(1+Parameters!$B$51)^Parameters!B$65</f>
        <v>11.855628935219872</v>
      </c>
      <c r="K133" s="23">
        <f>K132*(1+Parameters!$B$53)^Parameters!B$65</f>
        <v>116.46485904724169</v>
      </c>
      <c r="L133" s="23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2.9151737645597867E-2</v>
      </c>
      <c r="M133" s="8">
        <f>M132+L133*Parameters!B$65</f>
        <v>3687.2999562693053</v>
      </c>
      <c r="N133" s="7">
        <f>M133*Parameters!$B$45</f>
        <v>2.2123799737615828</v>
      </c>
      <c r="O133" s="9">
        <f>EXP(-Parameters!$B$46/2*N133^2)</f>
        <v>0.95199929690098684</v>
      </c>
      <c r="P133" s="7">
        <f>MAX((Parameters!$B$62 + Parameters!$B$31*'6states'!A133 - '6states'!M133 + Parameters!$B$47/Parameters!$B$45)/Parameters!B$62,1)</f>
        <v>110.51000087461391</v>
      </c>
      <c r="Q133" s="8"/>
      <c r="R133" s="8"/>
      <c r="S133" s="7">
        <f>Parameters!B$61*EXP(-Parameters!B$60*A133)+(1-Parameters!B$61)*P133^-Parameters!B$63</f>
        <v>0.32769917473577781</v>
      </c>
      <c r="T133" s="7">
        <f>1-S133/Parameters!$B$12</f>
        <v>0.8361504126321111</v>
      </c>
      <c r="U133" s="7">
        <f t="shared" ref="U133:U196" si="191">1/(1-T133)</f>
        <v>6.103158488612582</v>
      </c>
      <c r="V133" s="7">
        <f>(Parameters!$B$19*(F133+Parameters!$B$20)^T133+Parameters!$B$18*G133^T133)^(1/T133)</f>
        <v>0.34143038911869905</v>
      </c>
      <c r="W133" s="7">
        <f>(Parameters!$B$10*H133^Parameters!$B$9+Parameters!$B$11*V133^Parameters!$B$9)^(Parameters!$B$7/Parameters!$B$9)*O133</f>
        <v>1.3192624451945723</v>
      </c>
      <c r="X133" s="7">
        <f>W133 - D133 - E133 - LN(1+EXP(Parameters!$B$21*C133))/Parameters!$B$21 - IF(C133&gt;0, 0,Parameters!$B$6*C133^2/F133)</f>
        <v>1.005384701683208</v>
      </c>
      <c r="Y133" s="7">
        <f>EXP(-Parameters!$B$55*A133)</f>
        <v>0.14257316107088844</v>
      </c>
      <c r="Z133" s="7">
        <f>IF(X133&gt;0,X133^(1-Parameters!$B$52)/(1-Parameters!$B$52)*Y133*Parameters!$B$65,-10+X133*1000)</f>
        <v>-0.40658695350610963</v>
      </c>
      <c r="AC133" s="23">
        <f t="shared" ref="AC133:AC196" si="192">C133*$J133*$K133</f>
        <v>0.81824783607166329</v>
      </c>
      <c r="AD133" s="23">
        <f t="shared" ref="AD133:AD196" si="193">D133*$J133*$K133</f>
        <v>127.94827948295833</v>
      </c>
      <c r="AE133" s="23">
        <f t="shared" ref="AE133:AE196" si="194">I133*J133*K133</f>
        <v>1.5599444676185543</v>
      </c>
      <c r="AF133" s="23">
        <f t="shared" ref="AF133:AF196" si="195">F133*J133*K133</f>
        <v>0.13807641528567827</v>
      </c>
      <c r="AG133" s="23">
        <f t="shared" ref="AG133:AG196" si="196">G133*J133*K133</f>
        <v>1873.989908908781</v>
      </c>
      <c r="AH133" s="23">
        <f t="shared" ref="AH133:AH196" si="197">V133*J133*K133</f>
        <v>471.43484199104216</v>
      </c>
      <c r="AI133" s="23">
        <f t="shared" ref="AI133:AI196" si="198">AH133/AH$4*100</f>
        <v>1160.237038106291</v>
      </c>
      <c r="AJ133" s="23">
        <f t="shared" ref="AJ133:AJ196" si="199">W133*J133*K133</f>
        <v>1821.5902925348512</v>
      </c>
      <c r="AK133" s="23">
        <f t="shared" ref="AK133:AK196" si="200">X133*J133*K133</f>
        <v>1388.1991559147837</v>
      </c>
      <c r="AL133" s="9">
        <f t="shared" si="122"/>
        <v>2.279607029507158E-2</v>
      </c>
      <c r="AM133" s="9">
        <f t="shared" si="123"/>
        <v>2.4491896992639539E-2</v>
      </c>
      <c r="AN133" s="9">
        <f t="shared" ref="AN133:AO133" si="201">AVERAGE(AL131:AL135)</f>
        <v>2.2636087746270305E-2</v>
      </c>
      <c r="AO133" s="9">
        <f t="shared" si="201"/>
        <v>2.1993580009587354E-2</v>
      </c>
      <c r="AP133" s="23"/>
      <c r="AQ133" s="25">
        <f t="shared" si="189"/>
        <v>1821.590292534851</v>
      </c>
      <c r="AR133" s="4"/>
      <c r="AS133" s="4"/>
      <c r="AT133" s="4"/>
      <c r="AU133" s="16"/>
      <c r="AV133" s="16"/>
      <c r="AY133" s="21">
        <f>-Y133*W133*X133^(-Parameters!B$52)*Parameters!B$46*Parameters!B$45*N133</f>
        <v>-4.9822720391850789E-6</v>
      </c>
      <c r="AZ133" s="7">
        <f>1000*EXP(-(Parameters!$B$54)*'6states'!A133)*AQ133*Parameters!B$46*Parameters!B$45*N133</f>
        <v>0.52506823429309113</v>
      </c>
      <c r="BA133" s="93">
        <f>SUM(AZ133:AZ$204)*EXP(Parameters!$B$54*A133)</f>
        <v>3091.4023104967082</v>
      </c>
      <c r="BB133" s="43">
        <f t="shared" si="166"/>
        <v>0.23638238517867061</v>
      </c>
      <c r="BC133" s="30">
        <f>IF(C133&lt;0,Parameters!$B$6*AC133^2/AF133,0)</f>
        <v>0</v>
      </c>
      <c r="BD133" s="30">
        <f>Parameters!$B$5*AD133^2/AG133</f>
        <v>8.7357792829214667</v>
      </c>
      <c r="BE133" s="30">
        <f t="shared" ref="BE133:BE196" si="202">ABS(BC133/AC133)</f>
        <v>0</v>
      </c>
      <c r="BF133" s="30">
        <f t="shared" ref="BF133:BF196" si="203">BD133/AD133</f>
        <v>6.8275863639768605E-2</v>
      </c>
      <c r="BH133" s="5"/>
      <c r="BI133" s="5"/>
      <c r="BJ133" s="5"/>
      <c r="BM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-1.0065703128641023E-18</v>
      </c>
      <c r="BN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-1.3898362053325887E-15</v>
      </c>
      <c r="BO133" s="7">
        <f t="shared" si="190"/>
        <v>0.91868391214982148</v>
      </c>
    </row>
    <row r="134" spans="1:67" x14ac:dyDescent="0.3">
      <c r="A134">
        <f>A133+Parameters!$B$65</f>
        <v>130</v>
      </c>
      <c r="B134">
        <v>2155</v>
      </c>
      <c r="C134" s="74">
        <v>2.6946570760755201E-3</v>
      </c>
      <c r="D134" s="69">
        <v>9.1661020248967995E-2</v>
      </c>
      <c r="E134" s="75">
        <v>0.22088020001942901</v>
      </c>
      <c r="F134" s="7">
        <f>MAX((1-Parameters!$B$4)^Parameters!B$65*F133 + C133*Parameters!B$65 - IF(C133&gt;0,Parameters!$B$5,0)*C133^2/F133*Parameters!B$65, 0.0001)</f>
        <v>1E-4</v>
      </c>
      <c r="G134" s="7">
        <f>(1-Parameters!$B$4)^Parameters!B$65*G133+D133*Parameters!B$65-Parameters!$B$5*D133^2/G133*Parameters!B$65</f>
        <v>1.3581815836965538</v>
      </c>
      <c r="H134" s="7">
        <f>(1-Parameters!$B$4)^Parameters!B$65*H133+E133*Parameters!B$65-Parameters!$B$5*E133^2/H133*Parameters!B$65</f>
        <v>3.2651586766419833</v>
      </c>
      <c r="I134" s="7">
        <f>I133 *(1-Parameters!$B$4)-C133*(C133&lt;0)*Parameters!B$65</f>
        <v>1.0587064833489871E-3</v>
      </c>
      <c r="J134" s="23">
        <f>J133*(1+Parameters!$B$51)^Parameters!B$65</f>
        <v>11.890010259132008</v>
      </c>
      <c r="K134" s="23">
        <f>K133*(1+Parameters!$B$53)^Parameters!B$65</f>
        <v>118.79415622818652</v>
      </c>
      <c r="L134" s="23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2.9524279298476171E-2</v>
      </c>
      <c r="M134" s="8">
        <f>M133+L134*Parameters!B$65</f>
        <v>3687.3294805486039</v>
      </c>
      <c r="N134" s="7">
        <f>M134*Parameters!$B$45</f>
        <v>2.2123976883291623</v>
      </c>
      <c r="O134" s="9">
        <f>EXP(-Parameters!$B$46/2*N134^2)</f>
        <v>0.95199854696442598</v>
      </c>
      <c r="P134" s="7">
        <f>MAX((Parameters!$B$62 + Parameters!$B$31*'6states'!A134 - '6states'!M134 + Parameters!$B$47/Parameters!$B$45)/Parameters!B$62,1)</f>
        <v>111.57341038902793</v>
      </c>
      <c r="Q134" s="8"/>
      <c r="R134" s="8"/>
      <c r="S134" s="7">
        <f>Parameters!B$61*EXP(-Parameters!B$60*A134)+(1-Parameters!B$61)*P134^-Parameters!B$63</f>
        <v>0.32699109002414589</v>
      </c>
      <c r="T134" s="7">
        <f>1-S134/Parameters!$B$12</f>
        <v>0.83650445498792703</v>
      </c>
      <c r="U134" s="7">
        <f t="shared" si="191"/>
        <v>6.1163746077983783</v>
      </c>
      <c r="V134" s="7">
        <f>(Parameters!$B$19*(F134+Parameters!$B$20)^T134+Parameters!$B$18*G134^T134)^(1/T134)</f>
        <v>0.34183898105814603</v>
      </c>
      <c r="W134" s="7">
        <f>(Parameters!$B$10*H134^Parameters!$B$9+Parameters!$B$11*V134^Parameters!$B$9)^(Parameters!$B$7/Parameters!$B$9)*O134</f>
        <v>1.319287839279496</v>
      </c>
      <c r="X134" s="7">
        <f>W134 - D134 - E134 - LN(1+EXP(Parameters!$B$21*C134))/Parameters!$B$21 - IF(C134&gt;0, 0,Parameters!$B$6*C134^2/F134)</f>
        <v>1.0028236123446239</v>
      </c>
      <c r="Y134" s="7">
        <f>EXP(-Parameters!$B$55*A134)</f>
        <v>0.14043647888778818</v>
      </c>
      <c r="Z134" s="7">
        <f>IF(X134&gt;0,X134^(1-Parameters!$B$52)/(1-Parameters!$B$52)*Y134*Parameters!$B$65,-10+X134*1000)</f>
        <v>-0.4008512984707161</v>
      </c>
      <c r="AC134" s="23">
        <f t="shared" si="192"/>
        <v>3.8061054016617639</v>
      </c>
      <c r="AD134" s="23">
        <f t="shared" si="193"/>
        <v>129.46786713191699</v>
      </c>
      <c r="AE134" s="23">
        <f t="shared" si="194"/>
        <v>1.495384515092925</v>
      </c>
      <c r="AF134" s="23">
        <f t="shared" si="195"/>
        <v>0.14124637362780684</v>
      </c>
      <c r="AG134" s="23">
        <f t="shared" si="196"/>
        <v>1918.3822342520982</v>
      </c>
      <c r="AH134" s="23">
        <f t="shared" si="197"/>
        <v>482.83516439087674</v>
      </c>
      <c r="AI134" s="23">
        <f t="shared" si="198"/>
        <v>1188.2940994782891</v>
      </c>
      <c r="AJ134" s="23">
        <f t="shared" si="199"/>
        <v>1863.4462306949367</v>
      </c>
      <c r="AK134" s="23">
        <f t="shared" si="200"/>
        <v>1416.4519863201567</v>
      </c>
      <c r="AL134" s="9">
        <f t="shared" ref="AL134:AL197" si="204">LN(AJ134)-LN(AJ133)</f>
        <v>2.2717678921355677E-2</v>
      </c>
      <c r="AM134" s="9">
        <f t="shared" ref="AM134:AM197" si="205">LN(AK134)-LN(AK133)</f>
        <v>2.014780783667014E-2</v>
      </c>
      <c r="AN134" s="9">
        <f t="shared" ref="AN134:AO134" si="206">AVERAGE(AL132:AL136)</f>
        <v>2.2792529670810958E-2</v>
      </c>
      <c r="AO134" s="9">
        <f t="shared" si="206"/>
        <v>2.1882918219136727E-2</v>
      </c>
      <c r="AP134" s="23"/>
      <c r="AQ134" s="25">
        <f t="shared" si="189"/>
        <v>1863.4462306949367</v>
      </c>
      <c r="AR134" s="4"/>
      <c r="AS134" s="4"/>
      <c r="AT134" s="4"/>
      <c r="AU134" s="16"/>
      <c r="AV134" s="16"/>
      <c r="AY134" s="21">
        <f>-Y134*W134*X134^(-Parameters!B$52)*Parameters!B$46*Parameters!B$45*N134</f>
        <v>-4.9246667912358427E-6</v>
      </c>
      <c r="AZ134" s="7">
        <f>1000*EXP(-(Parameters!$B$54)*'6states'!A134)*AQ134*Parameters!B$46*Parameters!B$45*N134</f>
        <v>0.51861090991936909</v>
      </c>
      <c r="BA134" s="93">
        <f>SUM(AZ134:AZ$204)*EXP(Parameters!$B$54*A134)</f>
        <v>3151.4986897030167</v>
      </c>
      <c r="BB134" s="43">
        <f t="shared" si="166"/>
        <v>0.23894397261831252</v>
      </c>
      <c r="BC134" s="30">
        <f>IF(C134&lt;0,Parameters!$B$6*AC134^2/AF134,0)</f>
        <v>0</v>
      </c>
      <c r="BD134" s="30">
        <f>Parameters!$B$5*AD134^2/AG134</f>
        <v>8.7375332821628877</v>
      </c>
      <c r="BE134" s="30">
        <f t="shared" si="202"/>
        <v>0</v>
      </c>
      <c r="BF134" s="30">
        <f t="shared" si="203"/>
        <v>6.7488045302083091E-2</v>
      </c>
      <c r="BH134" s="5"/>
      <c r="BI134" s="5"/>
      <c r="BJ134" s="5"/>
      <c r="BM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-1.3343291772741559E-18</v>
      </c>
      <c r="BN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-1.8846915751574953E-15</v>
      </c>
      <c r="BO134" s="7">
        <f t="shared" si="190"/>
        <v>0.91369686677598283</v>
      </c>
    </row>
    <row r="135" spans="1:67" x14ac:dyDescent="0.3">
      <c r="A135">
        <f>A134+Parameters!$B$65</f>
        <v>131</v>
      </c>
      <c r="B135">
        <v>2156</v>
      </c>
      <c r="C135" s="74">
        <v>4.7521697413744501E-4</v>
      </c>
      <c r="D135" s="69">
        <v>9.6049094449251499E-2</v>
      </c>
      <c r="E135" s="75">
        <v>0.21868988654886001</v>
      </c>
      <c r="F135" s="7">
        <f>MAX((1-Parameters!$B$4)^Parameters!B$65*F134 + C134*Parameters!B$65 - IF(C134&gt;0,Parameters!$B$5,0)*C134^2/F134*Parameters!B$65, 0.0001)</f>
        <v>1E-4</v>
      </c>
      <c r="G135" s="7">
        <f>(1-Parameters!$B$4)^Parameters!B$65*G134+D134*Parameters!B$65-Parameters!$B$5*D134^2/G134*Parameters!B$65</f>
        <v>1.3582269592440113</v>
      </c>
      <c r="H135" s="7">
        <f>(1-Parameters!$B$4)^Parameters!B$65*H134+E134*Parameters!B$65-Parameters!$B$5*E134^2/H134*Parameters!B$65</f>
        <v>3.2657183769691667</v>
      </c>
      <c r="I135" s="7">
        <f>I134 *(1-Parameters!$B$4)-C134*(C134&lt;0)*Parameters!B$65</f>
        <v>9.9211384554633584E-4</v>
      </c>
      <c r="J135" s="23">
        <f>J134*(1+Parameters!$B$51)^Parameters!B$65</f>
        <v>11.924491288883489</v>
      </c>
      <c r="K135" s="23">
        <f>K134*(1+Parameters!$B$53)^Parameters!B$65</f>
        <v>121.17003935275025</v>
      </c>
      <c r="L135" s="23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2.9901581809345736E-2</v>
      </c>
      <c r="M135" s="8">
        <f>M134+L135*Parameters!B$65</f>
        <v>3687.3593821304135</v>
      </c>
      <c r="N135" s="7">
        <f>M135*Parameters!$B$45</f>
        <v>2.2124156292782478</v>
      </c>
      <c r="O135" s="9">
        <f>EXP(-Parameters!$B$46/2*N135^2)</f>
        <v>0.9519977874386093</v>
      </c>
      <c r="P135" s="7">
        <f>MAX((Parameters!$B$62 + Parameters!$B$31*'6states'!A135 - '6states'!M135 + Parameters!$B$47/Parameters!$B$45)/Parameters!B$62,1)</f>
        <v>112.63681235739176</v>
      </c>
      <c r="Q135" s="8"/>
      <c r="R135" s="8"/>
      <c r="S135" s="7">
        <f>Parameters!B$61*EXP(-Parameters!B$60*A135)+(1-Parameters!B$61)*P135^-Parameters!B$63</f>
        <v>0.32629702371511721</v>
      </c>
      <c r="T135" s="7">
        <f>1-S135/Parameters!$B$12</f>
        <v>0.83685148814244137</v>
      </c>
      <c r="U135" s="7">
        <f t="shared" si="191"/>
        <v>6.1293847465374247</v>
      </c>
      <c r="V135" s="7">
        <f>(Parameters!$B$19*(F135+Parameters!$B$20)^T135+Parameters!$B$18*G135^T135)^(1/T135)</f>
        <v>0.34202019755121338</v>
      </c>
      <c r="W135" s="7">
        <f>(Parameters!$B$10*H135^Parameters!$B$9+Parameters!$B$11*V135^Parameters!$B$9)^(Parameters!$B$7/Parameters!$B$9)*O135</f>
        <v>1.3193997495568457</v>
      </c>
      <c r="X135" s="7">
        <f>W135 - D135 - E135 - LN(1+EXP(Parameters!$B$21*C135))/Parameters!$B$21 - IF(C135&gt;0, 0,Parameters!$B$6*C135^2/F135)</f>
        <v>1.0021042079629625</v>
      </c>
      <c r="Y135" s="7">
        <f>EXP(-Parameters!$B$55*A135)</f>
        <v>0.13833181823466795</v>
      </c>
      <c r="Z135" s="7">
        <f>IF(X135&gt;0,X135^(1-Parameters!$B$52)/(1-Parameters!$B$52)*Y135*Parameters!$B$65,-10+X135*1000)</f>
        <v>-0.39494310022217982</v>
      </c>
      <c r="AC135" s="23">
        <f t="shared" si="192"/>
        <v>0.68663676639489213</v>
      </c>
      <c r="AD135" s="23">
        <f t="shared" si="193"/>
        <v>138.78047969035077</v>
      </c>
      <c r="AE135" s="23">
        <f t="shared" si="194"/>
        <v>1.4334964445199101</v>
      </c>
      <c r="AF135" s="23">
        <f t="shared" si="195"/>
        <v>0.14448910787355398</v>
      </c>
      <c r="AG135" s="23">
        <f t="shared" si="196"/>
        <v>1962.4900163097718</v>
      </c>
      <c r="AH135" s="23">
        <f t="shared" si="197"/>
        <v>494.18193218911523</v>
      </c>
      <c r="AI135" s="23">
        <f t="shared" si="198"/>
        <v>1216.2193588984619</v>
      </c>
      <c r="AJ135" s="23">
        <f t="shared" si="199"/>
        <v>1906.3889274205922</v>
      </c>
      <c r="AK135" s="23">
        <f t="shared" si="200"/>
        <v>1447.9314300490287</v>
      </c>
      <c r="AL135" s="9">
        <f t="shared" si="204"/>
        <v>2.2783253088912048E-2</v>
      </c>
      <c r="AM135" s="9">
        <f t="shared" si="205"/>
        <v>2.1980794186841734E-2</v>
      </c>
      <c r="AN135" s="9">
        <f t="shared" ref="AN135:AO135" si="207">AVERAGE(AL133:AL137)</f>
        <v>2.2859434507028452E-2</v>
      </c>
      <c r="AO135" s="9">
        <f t="shared" si="207"/>
        <v>2.2117195816321454E-2</v>
      </c>
      <c r="AP135" s="23"/>
      <c r="AQ135" s="25">
        <f t="shared" si="189"/>
        <v>1906.3889274205922</v>
      </c>
      <c r="AR135" s="4"/>
      <c r="AS135" s="4"/>
      <c r="AT135" s="4"/>
      <c r="AU135" s="16"/>
      <c r="AV135" s="16"/>
      <c r="AY135" s="21">
        <f>-Y135*W135*X135^(-Parameters!B$52)*Parameters!B$46*Parameters!B$45*N135</f>
        <v>-4.8560160384300248E-6</v>
      </c>
      <c r="AZ135" s="7">
        <f>1000*EXP(-(Parameters!$B$54)*'6states'!A135)*AQ135*Parameters!B$46*Parameters!B$45*N135</f>
        <v>0.51226664089173624</v>
      </c>
      <c r="BA135" s="93">
        <f>SUM(AZ135:AZ$204)*EXP(Parameters!$B$54*A135)</f>
        <v>3212.5848304598899</v>
      </c>
      <c r="BB135" s="43">
        <f t="shared" si="166"/>
        <v>0.23890727437088097</v>
      </c>
      <c r="BC135" s="30">
        <f>IF(C135&lt;0,Parameters!$B$6*AC135^2/AF135,0)</f>
        <v>0</v>
      </c>
      <c r="BD135" s="30">
        <f>Parameters!$B$5*AD135^2/AG135</f>
        <v>9.8140736426777018</v>
      </c>
      <c r="BE135" s="30">
        <f t="shared" si="202"/>
        <v>0</v>
      </c>
      <c r="BF135" s="30">
        <f t="shared" si="203"/>
        <v>7.0716527746373409E-2</v>
      </c>
      <c r="BH135" s="5"/>
      <c r="BI135" s="5"/>
      <c r="BJ135" s="5"/>
      <c r="BM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-1.7869594121552837E-18</v>
      </c>
      <c r="BN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-2.5819617126856745E-15</v>
      </c>
      <c r="BO135" s="7">
        <f t="shared" si="190"/>
        <v>0.9084344545142411</v>
      </c>
    </row>
    <row r="136" spans="1:67" x14ac:dyDescent="0.3">
      <c r="A136">
        <f>A135+Parameters!$B$65</f>
        <v>132</v>
      </c>
      <c r="B136">
        <v>2157</v>
      </c>
      <c r="C136" s="74">
        <v>2.35320535277839E-4</v>
      </c>
      <c r="D136" s="69">
        <v>9.5569146773131497E-2</v>
      </c>
      <c r="E136" s="75">
        <v>0.22257184764631899</v>
      </c>
      <c r="F136" s="7">
        <f>MAX((1-Parameters!$B$4)^Parameters!B$65*F135 + C135*Parameters!B$65 - IF(C135&gt;0,Parameters!$B$5,0)*C135^2/F135*Parameters!B$65, 0.0001)</f>
        <v>1E-4</v>
      </c>
      <c r="G136" s="7">
        <f>(1-Parameters!$B$4)^Parameters!B$65*G135+D135*Parameters!B$65-Parameters!$B$5*D135^2/G135*Parameters!B$65</f>
        <v>1.3620513195041801</v>
      </c>
      <c r="H136" s="7">
        <f>(1-Parameters!$B$4)^Parameters!B$65*H135+E135*Parameters!B$65-Parameters!$B$5*E135^2/H135*Parameters!B$65</f>
        <v>3.2643499386763684</v>
      </c>
      <c r="I136" s="7">
        <f>I135 *(1-Parameters!$B$4)-C135*(C135&lt;0)*Parameters!B$65</f>
        <v>9.2970988466147138E-4</v>
      </c>
      <c r="J136" s="23">
        <f>J135*(1+Parameters!$B$51)^Parameters!B$65</f>
        <v>11.959072313621251</v>
      </c>
      <c r="K136" s="23">
        <f>K135*(1+Parameters!$B$53)^Parameters!B$65</f>
        <v>123.59344013980525</v>
      </c>
      <c r="L136" s="23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3.0283706019104861E-2</v>
      </c>
      <c r="M136" s="8">
        <f>M135+L136*Parameters!B$65</f>
        <v>3687.3896658364324</v>
      </c>
      <c r="N136" s="7">
        <f>M136*Parameters!$B$45</f>
        <v>2.2124337995018593</v>
      </c>
      <c r="O136" s="9">
        <f>EXP(-Parameters!$B$46/2*N136^2)</f>
        <v>0.95199701820084992</v>
      </c>
      <c r="P136" s="7">
        <f>MAX((Parameters!$B$62 + Parameters!$B$31*'6states'!A136 - '6states'!M136 + Parameters!$B$47/Parameters!$B$45)/Parameters!B$62,1)</f>
        <v>113.70020668327135</v>
      </c>
      <c r="Q136" s="8"/>
      <c r="R136" s="8"/>
      <c r="S136" s="7">
        <f>Parameters!B$61*EXP(-Parameters!B$60*A136)+(1-Parameters!B$61)*P136^-Parameters!B$63</f>
        <v>0.32561662395466406</v>
      </c>
      <c r="T136" s="7">
        <f>1-S136/Parameters!$B$12</f>
        <v>0.83719168802266797</v>
      </c>
      <c r="U136" s="7">
        <f t="shared" si="191"/>
        <v>6.1421925444398138</v>
      </c>
      <c r="V136" s="7">
        <f>(Parameters!$B$19*(F136+Parameters!$B$20)^T136+Parameters!$B$18*G136^T136)^(1/T136)</f>
        <v>0.34311540129160228</v>
      </c>
      <c r="W136" s="7">
        <f>(Parameters!$B$10*H136^Parameters!$B$9+Parameters!$B$11*V136^Parameters!$B$9)^(Parameters!$B$7/Parameters!$B$9)*O136</f>
        <v>1.3196854123452575</v>
      </c>
      <c r="X136" s="7">
        <f>W136 - D136 - E136 - LN(1+EXP(Parameters!$B$21*C136))/Parameters!$B$21 - IF(C136&gt;0, 0,Parameters!$B$6*C136^2/F136)</f>
        <v>0.99911419089659426</v>
      </c>
      <c r="Y136" s="7">
        <f>EXP(-Parameters!$B$55*A136)</f>
        <v>0.13625869921873399</v>
      </c>
      <c r="Z136" s="7">
        <f>IF(X136&gt;0,X136^(1-Parameters!$B$52)/(1-Parameters!$B$52)*Y136*Parameters!$B$65,-10+X136*1000)</f>
        <v>-0.38943134061128426</v>
      </c>
      <c r="AC136" s="23">
        <f t="shared" si="192"/>
        <v>0.34781855000697776</v>
      </c>
      <c r="AD136" s="23">
        <f t="shared" si="193"/>
        <v>141.25720909476885</v>
      </c>
      <c r="AE136" s="23">
        <f t="shared" si="194"/>
        <v>1.374169677237516</v>
      </c>
      <c r="AF136" s="23">
        <f t="shared" si="195"/>
        <v>0.14780628881211505</v>
      </c>
      <c r="AG136" s="23">
        <f t="shared" si="196"/>
        <v>2013.197507075572</v>
      </c>
      <c r="AH136" s="23">
        <f t="shared" si="197"/>
        <v>507.14614099191317</v>
      </c>
      <c r="AI136" s="23">
        <f t="shared" si="198"/>
        <v>1248.125263772238</v>
      </c>
      <c r="AJ136" s="23">
        <f t="shared" si="199"/>
        <v>1950.5780319823825</v>
      </c>
      <c r="AK136" s="23">
        <f t="shared" si="200"/>
        <v>1476.7536065594463</v>
      </c>
      <c r="AL136" s="9">
        <f t="shared" si="204"/>
        <v>2.2914916631273208E-2</v>
      </c>
      <c r="AM136" s="9">
        <f t="shared" si="205"/>
        <v>1.9710231525987609E-2</v>
      </c>
      <c r="AN136" s="9">
        <f t="shared" ref="AN136:AO136" si="208">AVERAGE(AL134:AL138)</f>
        <v>2.2889998001604895E-2</v>
      </c>
      <c r="AO136" s="9">
        <f t="shared" si="208"/>
        <v>1.361127410736369E-2</v>
      </c>
      <c r="AP136" s="23"/>
      <c r="AQ136" s="25">
        <f t="shared" si="189"/>
        <v>1950.5780319823825</v>
      </c>
      <c r="AR136" s="4"/>
      <c r="AS136" s="4"/>
      <c r="AT136" s="4"/>
      <c r="AU136" s="16"/>
      <c r="AV136" s="16"/>
      <c r="AY136" s="21">
        <f>-Y136*W136*X136^(-Parameters!B$52)*Parameters!B$46*Parameters!B$45*N136</f>
        <v>-4.8036551806063154E-6</v>
      </c>
      <c r="AZ136" s="7">
        <f>1000*EXP(-(Parameters!$B$54)*'6states'!A136)*AQ136*Parameters!B$46*Parameters!B$45*N136</f>
        <v>0.50606666109861886</v>
      </c>
      <c r="BA136" s="93">
        <f>SUM(AZ136:AZ$204)*EXP(Parameters!$B$54*A136)</f>
        <v>3274.6660339269115</v>
      </c>
      <c r="BB136" s="43">
        <f t="shared" si="166"/>
        <v>0.24125167405535763</v>
      </c>
      <c r="BC136" s="30">
        <f>IF(C136&lt;0,Parameters!$B$6*AC136^2/AF136,0)</f>
        <v>0</v>
      </c>
      <c r="BD136" s="30">
        <f>Parameters!$B$5*AD136^2/AG136</f>
        <v>9.9113966966054985</v>
      </c>
      <c r="BE136" s="30">
        <f t="shared" si="202"/>
        <v>0</v>
      </c>
      <c r="BF136" s="30">
        <f t="shared" si="203"/>
        <v>7.0165599052406491E-2</v>
      </c>
      <c r="BH136" s="5"/>
      <c r="BI136" s="5"/>
      <c r="BJ136" s="5"/>
      <c r="BM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-2.4189109056629993E-18</v>
      </c>
      <c r="BN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-3.5753024393320004E-15</v>
      </c>
      <c r="BO136" s="7">
        <f t="shared" si="190"/>
        <v>0.90288526750146114</v>
      </c>
    </row>
    <row r="137" spans="1:67" x14ac:dyDescent="0.3">
      <c r="A137">
        <f>A136+Parameters!$B$65</f>
        <v>133</v>
      </c>
      <c r="B137">
        <v>2158</v>
      </c>
      <c r="C137" s="74">
        <v>-1.4023687599986199E-4</v>
      </c>
      <c r="D137" s="69">
        <v>9.0568259962200096E-2</v>
      </c>
      <c r="E137" s="75">
        <v>0.22573246600199401</v>
      </c>
      <c r="F137" s="7">
        <f>MAX((1-Parameters!$B$4)^Parameters!B$65*F136 + C136*Parameters!B$65 - IF(C136&gt;0,Parameters!$B$5,0)*C136^2/F136*Parameters!B$65, 0.0001)</f>
        <v>1E-4</v>
      </c>
      <c r="G137" s="7">
        <f>(1-Parameters!$B$4)^Parameters!B$65*G136+D136*Parameters!B$65-Parameters!$B$5*D136^2/G136*Parameters!B$65</f>
        <v>1.3652417718462344</v>
      </c>
      <c r="H137" s="7">
        <f>(1-Parameters!$B$4)^Parameters!B$65*H136+E136*Parameters!B$65-Parameters!$B$5*E136^2/H136*Parameters!B$65</f>
        <v>3.2664186491807969</v>
      </c>
      <c r="I137" s="7">
        <f>I136 *(1-Parameters!$B$4)-C136*(C136&lt;0)*Parameters!B$65</f>
        <v>8.7123113291626489E-4</v>
      </c>
      <c r="J137" s="23">
        <f>J136*(1+Parameters!$B$51)^Parameters!B$65</f>
        <v>11.99375362333075</v>
      </c>
      <c r="K137" s="23">
        <f>K136*(1+Parameters!$B$53)^Parameters!B$65</f>
        <v>126.06530894260136</v>
      </c>
      <c r="L137" s="23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3.0670713546161885E-2</v>
      </c>
      <c r="M137" s="8">
        <f>M136+L137*Parameters!B$65</f>
        <v>3687.4203365499784</v>
      </c>
      <c r="N137" s="7">
        <f>M137*Parameters!$B$45</f>
        <v>2.2124522019299868</v>
      </c>
      <c r="O137" s="9">
        <f>EXP(-Parameters!$B$46/2*N137^2)</f>
        <v>0.95199623912688958</v>
      </c>
      <c r="P137" s="7">
        <f>MAX((Parameters!$B$62 + Parameters!$B$31*'6states'!A137 - '6states'!M137 + Parameters!$B$47/Parameters!$B$45)/Parameters!B$62,1)</f>
        <v>114.76359326900045</v>
      </c>
      <c r="Q137" s="8"/>
      <c r="R137" s="8"/>
      <c r="S137" s="7">
        <f>Parameters!B$61*EXP(-Parameters!B$60*A137)+(1-Parameters!B$61)*P137^-Parameters!B$63</f>
        <v>0.32494954839821522</v>
      </c>
      <c r="T137" s="7">
        <f>1-S137/Parameters!$B$12</f>
        <v>0.83752522580089239</v>
      </c>
      <c r="U137" s="7">
        <f t="shared" si="191"/>
        <v>6.1548015987671549</v>
      </c>
      <c r="V137" s="7">
        <f>(Parameters!$B$19*(F137+Parameters!$B$20)^T137+Parameters!$B$18*G137^T137)^(1/T137)</f>
        <v>0.34405434756730829</v>
      </c>
      <c r="W137" s="7">
        <f>(Parameters!$B$10*H137^Parameters!$B$9+Parameters!$B$11*V137^Parameters!$B$9)^(Parameters!$B$7/Parameters!$B$9)*O137</f>
        <v>1.3201959960131209</v>
      </c>
      <c r="X137" s="7">
        <f>W137 - D137 - E137 - LN(1+EXP(Parameters!$B$21*C137))/Parameters!$B$21 - IF(C137&gt;0, 0,Parameters!$B$6*C137^2/F137)</f>
        <v>1.0006708413806307</v>
      </c>
      <c r="Y137" s="7">
        <f>EXP(-Parameters!$B$55*A137)</f>
        <v>0.13421664913913783</v>
      </c>
      <c r="Z137" s="7">
        <f>IF(X137&gt;0,X137^(1-Parameters!$B$52)/(1-Parameters!$B$52)*Y137*Parameters!$B$65,-10+X137*1000)</f>
        <v>-0.38338614306476987</v>
      </c>
      <c r="AC137" s="23">
        <f t="shared" si="192"/>
        <v>-0.21203763145183444</v>
      </c>
      <c r="AD137" s="23">
        <f t="shared" si="193"/>
        <v>136.93886996682539</v>
      </c>
      <c r="AE137" s="23">
        <f t="shared" si="194"/>
        <v>1.3172982109986888</v>
      </c>
      <c r="AF137" s="23">
        <f t="shared" si="195"/>
        <v>0.15119962559066358</v>
      </c>
      <c r="AG137" s="23">
        <f t="shared" si="196"/>
        <v>2064.2404474388477</v>
      </c>
      <c r="AH137" s="23">
        <f t="shared" si="197"/>
        <v>520.20888535017036</v>
      </c>
      <c r="AI137" s="23">
        <f t="shared" si="198"/>
        <v>1280.2736721498518</v>
      </c>
      <c r="AJ137" s="23">
        <f t="shared" si="199"/>
        <v>1996.1314030347703</v>
      </c>
      <c r="AK137" s="23">
        <f t="shared" si="200"/>
        <v>1513.0105655624563</v>
      </c>
      <c r="AL137" s="9">
        <f t="shared" si="204"/>
        <v>2.3085253598529754E-2</v>
      </c>
      <c r="AM137" s="9">
        <f t="shared" si="205"/>
        <v>2.4255248539468255E-2</v>
      </c>
      <c r="AN137" s="9">
        <f t="shared" ref="AN137:AO137" si="209">AVERAGE(AL135:AL139)</f>
        <v>2.2981930219635238E-2</v>
      </c>
      <c r="AO137" s="9">
        <f t="shared" si="209"/>
        <v>2.1489568741046662E-2</v>
      </c>
      <c r="AP137" s="23"/>
      <c r="AQ137" s="25">
        <f t="shared" si="189"/>
        <v>1996.1314030347703</v>
      </c>
      <c r="AR137" s="4"/>
      <c r="AS137" s="4"/>
      <c r="AT137" s="4"/>
      <c r="AU137" s="16"/>
      <c r="AV137" s="16"/>
      <c r="AY137" s="21">
        <f>-Y137*W137*X137^(-Parameters!B$52)*Parameters!B$46*Parameters!B$45*N137</f>
        <v>-4.7235968812281009E-6</v>
      </c>
      <c r="AZ137" s="7">
        <f>1000*EXP(-(Parameters!$B$54)*'6states'!A137)*AQ137*Parameters!B$46*Parameters!B$45*N137</f>
        <v>0.50002693811774668</v>
      </c>
      <c r="BA137" s="93">
        <f>SUM(AZ137:AZ$204)*EXP(Parameters!$B$54*A137)</f>
        <v>3337.7433775465834</v>
      </c>
      <c r="BB137" s="43">
        <f t="shared" si="166"/>
        <v>0.2394799636137149</v>
      </c>
      <c r="BC137" s="30">
        <f>IF(C137&lt;0,Parameters!$B$6*AC137^2/AF137,0)</f>
        <v>1.486774751460767</v>
      </c>
      <c r="BD137" s="30">
        <f>Parameters!$B$5*AD137^2/AG137</f>
        <v>9.0843361445889137</v>
      </c>
      <c r="BE137" s="30">
        <f t="shared" si="202"/>
        <v>7.0118437999930991</v>
      </c>
      <c r="BF137" s="30">
        <f t="shared" si="203"/>
        <v>6.6338623553631418E-2</v>
      </c>
      <c r="BH137" s="5"/>
      <c r="BI137" s="5"/>
      <c r="BJ137" s="5"/>
      <c r="BM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-3.3113141320323183E-18</v>
      </c>
      <c r="BN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-5.0066945697635958E-15</v>
      </c>
      <c r="BO137" s="7">
        <f t="shared" si="190"/>
        <v>0.89703789694247626</v>
      </c>
    </row>
    <row r="138" spans="1:67" x14ac:dyDescent="0.3">
      <c r="A138">
        <f>A137+Parameters!$B$65</f>
        <v>134</v>
      </c>
      <c r="B138">
        <v>2159</v>
      </c>
      <c r="C138" s="74">
        <v>-8.5937223953046996E-4</v>
      </c>
      <c r="D138" s="69">
        <v>8.8864287359972705E-2</v>
      </c>
      <c r="E138" s="75">
        <v>0.232101462904718</v>
      </c>
      <c r="F138" s="7">
        <f>MAX((1-Parameters!$B$4)^Parameters!B$65*F137 + C137*Parameters!B$65 - IF(C137&gt;0,Parameters!$B$5,0)*C137^2/F137*Parameters!B$65, 0.0001)</f>
        <v>1E-4</v>
      </c>
      <c r="G138" s="7">
        <f>(1-Parameters!$B$4)^Parameters!B$65*G137+D137*Parameters!B$65-Parameters!$B$5*D137^2/G137*Parameters!B$65</f>
        <v>1.3639281506557668</v>
      </c>
      <c r="H138" s="7">
        <f>(1-Parameters!$B$4)^Parameters!B$65*H137+E137*Parameters!B$65-Parameters!$B$5*E137^2/H137*Parameters!B$65</f>
        <v>3.2710936836170683</v>
      </c>
      <c r="I138" s="7">
        <f>I137 *(1-Parameters!$B$4)-C137*(C137&lt;0)*Parameters!B$65</f>
        <v>9.5666757065569384E-4</v>
      </c>
      <c r="J138" s="23">
        <f>J137*(1+Parameters!$B$51)^Parameters!B$65</f>
        <v>12.028535508838408</v>
      </c>
      <c r="K138" s="23">
        <f>K137*(1+Parameters!$B$53)^Parameters!B$65</f>
        <v>128.58661512145341</v>
      </c>
      <c r="L138" s="23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3.1062666796371298E-2</v>
      </c>
      <c r="M138" s="8">
        <f>M137+L138*Parameters!B$65</f>
        <v>3687.4513992167749</v>
      </c>
      <c r="N138" s="7">
        <f>M138*Parameters!$B$45</f>
        <v>2.2124708395300647</v>
      </c>
      <c r="O138" s="9">
        <f>EXP(-Parameters!$B$46/2*N138^2)</f>
        <v>0.95199545009087805</v>
      </c>
      <c r="P138" s="7">
        <f>MAX((Parameters!$B$62 + Parameters!$B$31*'6states'!A138 - '6states'!M138 + Parameters!$B$47/Parameters!$B$45)/Parameters!B$62,1)</f>
        <v>115.82697201566451</v>
      </c>
      <c r="Q138" s="8"/>
      <c r="R138" s="8"/>
      <c r="S138" s="7">
        <f>Parameters!B$61*EXP(-Parameters!B$60*A138)+(1-Parameters!B$61)*P138^-Parameters!B$63</f>
        <v>0.32429546393750175</v>
      </c>
      <c r="T138" s="7">
        <f>1-S138/Parameters!$B$12</f>
        <v>0.83785226803124913</v>
      </c>
      <c r="U138" s="7">
        <f t="shared" si="191"/>
        <v>6.1672154636903596</v>
      </c>
      <c r="V138" s="7">
        <f>(Parameters!$B$19*(F138+Parameters!$B$20)^T138+Parameters!$B$18*G138^T138)^(1/T138)</f>
        <v>0.34389640045229297</v>
      </c>
      <c r="W138" s="7">
        <f>(Parameters!$B$10*H138^Parameters!$B$9+Parameters!$B$11*V138^Parameters!$B$9)^(Parameters!$B$7/Parameters!$B$9)*O138</f>
        <v>1.3205266902273038</v>
      </c>
      <c r="X138" s="7">
        <f>W138 - D138 - E138 - LN(1+EXP(Parameters!$B$21*C138))/Parameters!$B$21 - IF(C138&gt;0, 0,Parameters!$B$6*C138^2/F138)</f>
        <v>0.96072648501301439</v>
      </c>
      <c r="Y138" s="7">
        <f>EXP(-Parameters!$B$55*A138)</f>
        <v>0.13220520237919381</v>
      </c>
      <c r="Z138" s="7">
        <f>IF(X138&gt;0,X138^(1-Parameters!$B$52)/(1-Parameters!$B$52)*Y138*Parameters!$B$65,-10+X138*1000)</f>
        <v>-0.38306333360523581</v>
      </c>
      <c r="AC138" s="23">
        <f t="shared" si="192"/>
        <v>-1.3291984901584137</v>
      </c>
      <c r="AD138" s="23">
        <f t="shared" si="193"/>
        <v>137.44716335311773</v>
      </c>
      <c r="AE138" s="23">
        <f t="shared" si="194"/>
        <v>1.4796860219662469</v>
      </c>
      <c r="AF138" s="23">
        <f t="shared" si="195"/>
        <v>0.154670866594974</v>
      </c>
      <c r="AG138" s="23">
        <f t="shared" si="196"/>
        <v>2109.5994903520773</v>
      </c>
      <c r="AH138" s="23">
        <f t="shared" si="197"/>
        <v>531.90754276848372</v>
      </c>
      <c r="AI138" s="23">
        <f t="shared" si="198"/>
        <v>1309.0649587156038</v>
      </c>
      <c r="AJ138" s="23">
        <f t="shared" si="199"/>
        <v>2042.4700753924988</v>
      </c>
      <c r="AK138" s="23">
        <f t="shared" si="200"/>
        <v>1485.9639799770623</v>
      </c>
      <c r="AL138" s="9">
        <f t="shared" si="204"/>
        <v>2.2948887767953785E-2</v>
      </c>
      <c r="AM138" s="9">
        <f t="shared" si="205"/>
        <v>-1.8037711552149283E-2</v>
      </c>
      <c r="AN138" s="9">
        <f t="shared" ref="AN138:AO138" si="210">AVERAGE(AL136:AL140)</f>
        <v>2.3012253925336523E-2</v>
      </c>
      <c r="AO138" s="9">
        <f t="shared" si="210"/>
        <v>2.1568883246018446E-2</v>
      </c>
      <c r="AP138" s="23"/>
      <c r="AQ138" s="25">
        <f t="shared" si="189"/>
        <v>2042.4700753924988</v>
      </c>
      <c r="AR138" s="4"/>
      <c r="AS138" s="4"/>
      <c r="AT138" s="4"/>
      <c r="AU138" s="16"/>
      <c r="AV138" s="16"/>
      <c r="AY138" s="21">
        <f>-Y138*W138*X138^(-Parameters!B$52)*Parameters!B$46*Parameters!B$45*N138</f>
        <v>-4.9171211809020631E-6</v>
      </c>
      <c r="AZ138" s="7">
        <f>1000*EXP(-(Parameters!$B$54)*'6states'!A138)*AQ138*Parameters!B$46*Parameters!B$45*N138</f>
        <v>0.49399198131233779</v>
      </c>
      <c r="BA138" s="93">
        <f>SUM(AZ138:AZ$204)*EXP(Parameters!$B$54*A138)</f>
        <v>3401.8147188848616</v>
      </c>
      <c r="BB138" s="43">
        <f t="shared" si="166"/>
        <v>0.24240810912353458</v>
      </c>
      <c r="BC138" s="30">
        <f>IF(C138&lt;0,Parameters!$B$6*AC138^2/AF138,0)</f>
        <v>57.11381416339777</v>
      </c>
      <c r="BD138" s="30">
        <f>Parameters!$B$5*AD138^2/AG138</f>
        <v>8.9551229037629945</v>
      </c>
      <c r="BE138" s="30">
        <f t="shared" si="202"/>
        <v>42.968611976523498</v>
      </c>
      <c r="BF138" s="30">
        <f t="shared" si="203"/>
        <v>6.515320276749724E-2</v>
      </c>
      <c r="BH138" s="5"/>
      <c r="BI138" s="5"/>
      <c r="BJ138" s="5"/>
      <c r="BM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-2.0633652413270007E-18</v>
      </c>
      <c r="BN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-3.1914248997799484E-15</v>
      </c>
      <c r="BO138" s="7">
        <f t="shared" si="190"/>
        <v>0.90536285698827024</v>
      </c>
    </row>
    <row r="139" spans="1:67" x14ac:dyDescent="0.3">
      <c r="A139">
        <f>A138+Parameters!$B$65</f>
        <v>135</v>
      </c>
      <c r="B139">
        <v>2160</v>
      </c>
      <c r="C139" s="74">
        <v>7.55895362202136E-3</v>
      </c>
      <c r="D139" s="69">
        <v>9.4715555872903798E-2</v>
      </c>
      <c r="E139" s="75">
        <v>0.221775780899061</v>
      </c>
      <c r="F139" s="7">
        <f>MAX((1-Parameters!$B$4)^Parameters!B$65*F138 + C138*Parameters!B$65 - IF(C138&gt;0,Parameters!$B$5,0)*C138^2/F138*Parameters!B$65, 0.0001)</f>
        <v>1E-4</v>
      </c>
      <c r="G139" s="7">
        <f>(1-Parameters!$B$4)^Parameters!B$65*G138+D138*Parameters!B$65-Parameters!$B$5*D138^2/G138*Parameters!B$65</f>
        <v>1.3612115644063385</v>
      </c>
      <c r="H139" s="7">
        <f>(1-Parameters!$B$4)^Parameters!B$65*H138+E138*Parameters!B$65-Parameters!$B$5*E138^2/H138*Parameters!B$65</f>
        <v>3.2809745228155927</v>
      </c>
      <c r="I139" s="7">
        <f>I138 *(1-Parameters!$B$4)-C138*(C138&lt;0)*Parameters!B$65</f>
        <v>1.7558654199919207E-3</v>
      </c>
      <c r="J139" s="23">
        <f>J138*(1+Parameters!$B$51)^Parameters!B$65</f>
        <v>12.063418261814038</v>
      </c>
      <c r="K139" s="23">
        <f>K138*(1+Parameters!$B$53)^Parameters!B$65</f>
        <v>131.15834742388247</v>
      </c>
      <c r="L139" s="23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3.1459628973096829E-2</v>
      </c>
      <c r="M139" s="8">
        <f>M138+L139*Parameters!B$65</f>
        <v>3687.4828588457481</v>
      </c>
      <c r="N139" s="7">
        <f>M139*Parameters!$B$45</f>
        <v>2.2124897153074485</v>
      </c>
      <c r="O139" s="9">
        <f>EXP(-Parameters!$B$46/2*N139^2)</f>
        <v>0.95199465096535341</v>
      </c>
      <c r="P139" s="7">
        <f>MAX((Parameters!$B$62 + Parameters!$B$31*'6states'!A139 - '6states'!M139 + Parameters!$B$47/Parameters!$B$45)/Parameters!B$62,1)</f>
        <v>116.89034282308505</v>
      </c>
      <c r="Q139" s="8"/>
      <c r="R139" s="8"/>
      <c r="S139" s="7">
        <f>Parameters!B$61*EXP(-Parameters!B$60*A139)+(1-Parameters!B$61)*P139^-Parameters!B$63</f>
        <v>0.32365404643602086</v>
      </c>
      <c r="T139" s="7">
        <f>1-S139/Parameters!$B$12</f>
        <v>0.83817297678198954</v>
      </c>
      <c r="U139" s="7">
        <f t="shared" si="191"/>
        <v>6.1794376496243029</v>
      </c>
      <c r="V139" s="7">
        <f>(Parameters!$B$19*(F139+Parameters!$B$20)^T139+Parameters!$B$18*G139^T139)^(1/T139)</f>
        <v>0.34339388276647759</v>
      </c>
      <c r="W139" s="7">
        <f>(Parameters!$B$10*H139^Parameters!$B$9+Parameters!$B$11*V139^Parameters!$B$9)^(Parameters!$B$7/Parameters!$B$9)*O139</f>
        <v>1.3211592545991568</v>
      </c>
      <c r="X139" s="7">
        <f>W139 - D139 - E139 - LN(1+EXP(Parameters!$B$21*C139))/Parameters!$B$21 - IF(C139&gt;0, 0,Parameters!$B$6*C139^2/F139)</f>
        <v>0.99678051878360929</v>
      </c>
      <c r="Y139" s="7">
        <f>EXP(-Parameters!$B$55*A139)</f>
        <v>0.13022390030021183</v>
      </c>
      <c r="Z139" s="7">
        <f>IF(X139&gt;0,X139^(1-Parameters!$B$52)/(1-Parameters!$B$52)*Y139*Parameters!$B$65,-10+X139*1000)</f>
        <v>-0.37248845337737024</v>
      </c>
      <c r="AC139" s="23">
        <f t="shared" si="192"/>
        <v>11.959912508403489</v>
      </c>
      <c r="AD139" s="23">
        <f t="shared" si="193"/>
        <v>149.86065771386612</v>
      </c>
      <c r="AE139" s="23">
        <f t="shared" si="194"/>
        <v>2.7781618792388953</v>
      </c>
      <c r="AF139" s="23">
        <f t="shared" si="195"/>
        <v>0.1582218003502614</v>
      </c>
      <c r="AG139" s="23">
        <f t="shared" si="196"/>
        <v>2153.7334437796667</v>
      </c>
      <c r="AH139" s="23">
        <f t="shared" si="197"/>
        <v>543.32398360578691</v>
      </c>
      <c r="AI139" s="23">
        <f t="shared" si="198"/>
        <v>1337.1616887893647</v>
      </c>
      <c r="AJ139" s="23">
        <f t="shared" si="199"/>
        <v>2090.3619581208795</v>
      </c>
      <c r="AK139" s="23">
        <f t="shared" si="200"/>
        <v>1577.1240823601022</v>
      </c>
      <c r="AL139" s="9">
        <f t="shared" si="204"/>
        <v>2.3177340011507397E-2</v>
      </c>
      <c r="AM139" s="9">
        <f t="shared" si="205"/>
        <v>5.9539281005084987E-2</v>
      </c>
      <c r="AN139" s="9">
        <f t="shared" ref="AN139:AO139" si="211">AVERAGE(AL137:AL141)</f>
        <v>2.305041879532297E-2</v>
      </c>
      <c r="AO139" s="9">
        <f t="shared" si="211"/>
        <v>2.1574223720731388E-2</v>
      </c>
      <c r="AP139" s="23"/>
      <c r="AQ139" s="25">
        <f t="shared" si="189"/>
        <v>2090.3619581208795</v>
      </c>
      <c r="AR139" s="4"/>
      <c r="AS139" s="4"/>
      <c r="AT139" s="4"/>
      <c r="AU139" s="16"/>
      <c r="AV139" s="16"/>
      <c r="AY139" s="21">
        <f>-Y139*W139*X139^(-Parameters!B$52)*Parameters!B$46*Parameters!B$45*N139</f>
        <v>-4.6106808053155175E-6</v>
      </c>
      <c r="AZ139" s="7">
        <f>1000*EXP(-(Parameters!$B$54)*'6states'!A139)*AQ139*Parameters!B$46*Parameters!B$45*N139</f>
        <v>0.48814141875751144</v>
      </c>
      <c r="BA139" s="93">
        <f>SUM(AZ139:AZ$204)*EXP(Parameters!$B$54*A139)</f>
        <v>3466.8938375993471</v>
      </c>
      <c r="BB139" s="43">
        <f t="shared" si="166"/>
        <v>0.2452772360833243</v>
      </c>
      <c r="BC139" s="30">
        <f>IF(C139&lt;0,Parameters!$B$6*AC139^2/AF139,0)</f>
        <v>0</v>
      </c>
      <c r="BD139" s="30">
        <f>Parameters!$B$5*AD139^2/AG139</f>
        <v>10.427574867862841</v>
      </c>
      <c r="BE139" s="30">
        <f t="shared" si="202"/>
        <v>0</v>
      </c>
      <c r="BF139" s="30">
        <f t="shared" si="203"/>
        <v>6.958180370309433E-2</v>
      </c>
      <c r="BH139" s="5"/>
      <c r="BI139" s="5"/>
      <c r="BJ139" s="5"/>
      <c r="BM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-1.6488680364211915E-19</v>
      </c>
      <c r="BN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-2.608868692625613E-16</v>
      </c>
      <c r="BO139" s="7">
        <f t="shared" si="190"/>
        <v>0.94611678254103393</v>
      </c>
    </row>
    <row r="140" spans="1:67" x14ac:dyDescent="0.3">
      <c r="A140">
        <f>A139+Parameters!$B$65</f>
        <v>136</v>
      </c>
      <c r="B140">
        <v>2161</v>
      </c>
      <c r="C140" s="74">
        <v>4.2213340218240003E-3</v>
      </c>
      <c r="D140" s="69">
        <v>9.3851180771205106E-2</v>
      </c>
      <c r="E140" s="75">
        <v>0.226110946574306</v>
      </c>
      <c r="F140" s="7">
        <f>MAX((1-Parameters!$B$4)^Parameters!B$65*F139 + C139*Parameters!B$65 - IF(C139&gt;0,Parameters!$B$5,0)*C139^2/F139*Parameters!B$65, 0.0001)</f>
        <v>1E-4</v>
      </c>
      <c r="G140" s="7">
        <f>(1-Parameters!$B$4)^Parameters!B$65*G139+D139*Parameters!B$65-Parameters!$B$5*D139^2/G139*Parameters!B$65</f>
        <v>1.3637164336617058</v>
      </c>
      <c r="H140" s="7">
        <f>(1-Parameters!$B$4)^Parameters!B$65*H139+E139*Parameters!B$65-Parameters!$B$5*E139^2/H139*Parameters!B$65</f>
        <v>3.2813861866875653</v>
      </c>
      <c r="I140" s="7">
        <f>I139 *(1-Parameters!$B$4)-C139*(C139&lt;0)*Parameters!B$65</f>
        <v>1.645421485074429E-3</v>
      </c>
      <c r="J140" s="23">
        <f>J139*(1+Parameters!$B$51)^Parameters!B$65</f>
        <v>12.098402174773296</v>
      </c>
      <c r="K140" s="23">
        <f>K139*(1+Parameters!$B$53)^Parameters!B$65</f>
        <v>133.78151437236014</v>
      </c>
      <c r="L140" s="23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3.1861664087403145E-2</v>
      </c>
      <c r="M140" s="8">
        <f>M139+L140*Parameters!B$65</f>
        <v>3687.5147205098356</v>
      </c>
      <c r="N140" s="7">
        <f>M140*Parameters!$B$45</f>
        <v>2.2125088323059012</v>
      </c>
      <c r="O140" s="9">
        <f>EXP(-Parameters!$B$46/2*N140^2)</f>
        <v>0.95199384162122036</v>
      </c>
      <c r="P140" s="7">
        <f>MAX((Parameters!$B$62 + Parameters!$B$31*'6states'!A140 - '6states'!M140 + Parameters!$B$47/Parameters!$B$45)/Parameters!B$62,1)</f>
        <v>117.95370558980331</v>
      </c>
      <c r="Q140" s="8"/>
      <c r="R140" s="8"/>
      <c r="S140" s="7">
        <f>Parameters!B$61*EXP(-Parameters!B$60*A140)+(1-Parameters!B$61)*P140^-Parameters!B$63</f>
        <v>0.32302498047279588</v>
      </c>
      <c r="T140" s="7">
        <f>1-S140/Parameters!$B$12</f>
        <v>0.83848750976360209</v>
      </c>
      <c r="U140" s="7">
        <f t="shared" si="191"/>
        <v>6.1914716226364233</v>
      </c>
      <c r="V140" s="7">
        <f>(Parameters!$B$19*(F140+Parameters!$B$20)^T140+Parameters!$B$18*G140^T140)^(1/T140)</f>
        <v>0.34415777429364269</v>
      </c>
      <c r="W140" s="7">
        <f>(Parameters!$B$10*H140^Parameters!$B$9+Parameters!$B$11*V140^Parameters!$B$9)^(Parameters!$B$7/Parameters!$B$9)*O140</f>
        <v>1.321471668023126</v>
      </c>
      <c r="X140" s="7">
        <f>W140 - D140 - E140 - LN(1+EXP(Parameters!$B$21*C140))/Parameters!$B$21 - IF(C140&gt;0, 0,Parameters!$B$6*C140^2/F140)</f>
        <v>0.99646054011516116</v>
      </c>
      <c r="Y140" s="7">
        <f>EXP(-Parameters!$B$55*A140)</f>
        <v>0.12827229113692101</v>
      </c>
      <c r="Z140" s="7">
        <f>IF(X140&gt;0,X140^(1-Parameters!$B$52)/(1-Parameters!$B$52)*Y140*Parameters!$B$65,-10+X140*1000)</f>
        <v>-0.36694736273881362</v>
      </c>
      <c r="AC140" s="23">
        <f t="shared" si="192"/>
        <v>6.8324087929860724</v>
      </c>
      <c r="AD140" s="23">
        <f t="shared" si="193"/>
        <v>151.90213079993077</v>
      </c>
      <c r="AE140" s="23">
        <f t="shared" si="194"/>
        <v>2.6631847100156931</v>
      </c>
      <c r="AF140" s="23">
        <f t="shared" si="195"/>
        <v>0.16185425644270271</v>
      </c>
      <c r="AG140" s="23">
        <f t="shared" si="196"/>
        <v>2207.2330936900967</v>
      </c>
      <c r="AH140" s="23">
        <f t="shared" si="197"/>
        <v>557.03400657273028</v>
      </c>
      <c r="AI140" s="23">
        <f t="shared" si="198"/>
        <v>1370.9030991025165</v>
      </c>
      <c r="AJ140" s="23">
        <f t="shared" si="199"/>
        <v>2138.8581423798109</v>
      </c>
      <c r="AK140" s="23">
        <f t="shared" si="200"/>
        <v>1612.8137979483331</v>
      </c>
      <c r="AL140" s="9">
        <f t="shared" si="204"/>
        <v>2.2934871617418473E-2</v>
      </c>
      <c r="AM140" s="9">
        <f t="shared" si="205"/>
        <v>2.2377366711700653E-2</v>
      </c>
      <c r="AN140" s="9">
        <f t="shared" ref="AN140:AO140" si="212">AVERAGE(AL138:AL142)</f>
        <v>2.3092116454878565E-2</v>
      </c>
      <c r="AO140" s="9">
        <f t="shared" si="212"/>
        <v>2.1327933853370239E-2</v>
      </c>
      <c r="AP140" s="23"/>
      <c r="AQ140" s="25">
        <f t="shared" si="189"/>
        <v>2138.8581423798109</v>
      </c>
      <c r="AR140" s="4"/>
      <c r="AS140" s="4"/>
      <c r="AT140" s="4"/>
      <c r="AU140" s="16"/>
      <c r="AV140" s="16"/>
      <c r="AY140" s="21">
        <f>-Y140*W140*X140^(-Parameters!B$52)*Parameters!B$46*Parameters!B$45*N140</f>
        <v>-4.5446651196527288E-6</v>
      </c>
      <c r="AZ140" s="7">
        <f>1000*EXP(-(Parameters!$B$54)*'6states'!A140)*AQ140*Parameters!B$46*Parameters!B$45*N140</f>
        <v>0.48224325659733669</v>
      </c>
      <c r="BA140" s="93">
        <f>SUM(AZ140:AZ$204)*EXP(Parameters!$B$54*A140)</f>
        <v>3532.9737827726676</v>
      </c>
      <c r="BB140" s="43">
        <f t="shared" si="166"/>
        <v>0.24532002403979034</v>
      </c>
      <c r="BC140" s="30">
        <f>IF(C140&lt;0,Parameters!$B$6*AC140^2/AF140,0)</f>
        <v>0</v>
      </c>
      <c r="BD140" s="30">
        <f>Parameters!$B$5*AD140^2/AG140</f>
        <v>10.453928679994224</v>
      </c>
      <c r="BE140" s="30">
        <f t="shared" si="202"/>
        <v>0</v>
      </c>
      <c r="BF140" s="30">
        <f t="shared" si="203"/>
        <v>6.8820158248886057E-2</v>
      </c>
      <c r="BH140" s="5"/>
      <c r="BI140" s="5"/>
      <c r="BJ140" s="5"/>
      <c r="BM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-2.0655456097175488E-19</v>
      </c>
      <c r="BN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-3.3431734880932284E-16</v>
      </c>
      <c r="BO140" s="7">
        <f t="shared" si="190"/>
        <v>0.94270724816032858</v>
      </c>
    </row>
    <row r="141" spans="1:67" x14ac:dyDescent="0.3">
      <c r="A141">
        <f>A140+Parameters!$B$65</f>
        <v>137</v>
      </c>
      <c r="B141">
        <v>2162</v>
      </c>
      <c r="C141" s="74">
        <v>3.9158485934158204E-3</v>
      </c>
      <c r="D141" s="69">
        <v>9.6770248331983E-2</v>
      </c>
      <c r="E141" s="75">
        <v>0.226912762003014</v>
      </c>
      <c r="F141" s="7">
        <f>MAX((1-Parameters!$B$4)^Parameters!B$65*F140 + C140*Parameters!B$65 - IF(C140&gt;0,Parameters!$B$5,0)*C140^2/F140*Parameters!B$65, 0.0001)</f>
        <v>1E-4</v>
      </c>
      <c r="G141" s="7">
        <f>(1-Parameters!$B$4)^Parameters!B$65*G140+D140*Parameters!B$65-Parameters!$B$5*D140^2/G140*Parameters!B$65</f>
        <v>1.3653309976430705</v>
      </c>
      <c r="H141" s="7">
        <f>(1-Parameters!$B$4)^Parameters!B$65*H140+E140*Parameters!B$65-Parameters!$B$5*E140^2/H140*Parameters!B$65</f>
        <v>3.2855172828331738</v>
      </c>
      <c r="I141" s="7">
        <f>I140 *(1-Parameters!$B$4)-C140*(C140&lt;0)*Parameters!B$65</f>
        <v>1.5419244736632474E-3</v>
      </c>
      <c r="J141" s="23">
        <f>J140*(1+Parameters!$B$51)^Parameters!B$65</f>
        <v>12.133487541080138</v>
      </c>
      <c r="K141" s="23">
        <f>K140*(1+Parameters!$B$53)^Parameters!B$65</f>
        <v>136.45714465980734</v>
      </c>
      <c r="L141" s="23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3.2268836968377769E-2</v>
      </c>
      <c r="M141" s="8">
        <f>M140+L141*Parameters!B$65</f>
        <v>3687.5469893468039</v>
      </c>
      <c r="N141" s="7">
        <f>M141*Parameters!$B$45</f>
        <v>2.2125281936080823</v>
      </c>
      <c r="O141" s="9">
        <f>EXP(-Parameters!$B$46/2*N141^2)</f>
        <v>0.95199302192773028</v>
      </c>
      <c r="P141" s="7">
        <f>MAX((Parameters!$B$62 + Parameters!$B$31*'6states'!A141 - '6states'!M141 + Parameters!$B$47/Parameters!$B$45)/Parameters!B$62,1)</f>
        <v>119.01706021306393</v>
      </c>
      <c r="Q141" s="8"/>
      <c r="R141" s="8"/>
      <c r="S141" s="7">
        <f>Parameters!B$61*EXP(-Parameters!B$60*A141)+(1-Parameters!B$61)*P141^-Parameters!B$63</f>
        <v>0.3224079590941315</v>
      </c>
      <c r="T141" s="7">
        <f>1-S141/Parameters!$B$12</f>
        <v>0.83879602045293422</v>
      </c>
      <c r="U141" s="7">
        <f t="shared" si="191"/>
        <v>6.2033208039261583</v>
      </c>
      <c r="V141" s="7">
        <f>(Parameters!$B$19*(F141+Parameters!$B$20)^T141+Parameters!$B$18*G141^T141)^(1/T141)</f>
        <v>0.34470261867561641</v>
      </c>
      <c r="W141" s="7">
        <f>(Parameters!$B$10*H141^Parameters!$B$9+Parameters!$B$11*V141^Parameters!$B$9)^(Parameters!$B$7/Parameters!$B$9)*O141</f>
        <v>1.3220100270376489</v>
      </c>
      <c r="X141" s="7">
        <f>W141 - D141 - E141 - LN(1+EXP(Parameters!$B$21*C141))/Parameters!$B$21 - IF(C141&gt;0, 0,Parameters!$B$6*C141^2/F141)</f>
        <v>0.99351389110360211</v>
      </c>
      <c r="Y141" s="7">
        <f>EXP(-Parameters!$B$55*A141)</f>
        <v>0.12634992989446087</v>
      </c>
      <c r="Z141" s="7">
        <f>IF(X141&gt;0,X141^(1-Parameters!$B$52)/(1-Parameters!$B$52)*Y141*Parameters!$B$65,-10+X141*1000)</f>
        <v>-0.36182292538920191</v>
      </c>
      <c r="AC141" s="23">
        <f t="shared" si="192"/>
        <v>6.4834746850137766</v>
      </c>
      <c r="AD141" s="23">
        <f t="shared" si="193"/>
        <v>160.22260318691659</v>
      </c>
      <c r="AE141" s="23">
        <f t="shared" si="194"/>
        <v>2.5529659926096335</v>
      </c>
      <c r="AF141" s="23">
        <f t="shared" si="195"/>
        <v>0.16557010646211426</v>
      </c>
      <c r="AG141" s="23">
        <f t="shared" si="196"/>
        <v>2260.5799863578782</v>
      </c>
      <c r="AH141" s="23">
        <f t="shared" si="197"/>
        <v>570.72449271891378</v>
      </c>
      <c r="AI141" s="23">
        <f t="shared" si="198"/>
        <v>1404.5964278123722</v>
      </c>
      <c r="AJ141" s="23">
        <f t="shared" si="199"/>
        <v>2188.8534092060604</v>
      </c>
      <c r="AK141" s="23">
        <f t="shared" si="200"/>
        <v>1644.9620072161279</v>
      </c>
      <c r="AL141" s="9">
        <f t="shared" si="204"/>
        <v>2.3105740981205436E-2</v>
      </c>
      <c r="AM141" s="9">
        <f t="shared" si="205"/>
        <v>1.9736933899552334E-2</v>
      </c>
      <c r="AN141" s="9">
        <f t="shared" ref="AN141:AO141" si="213">AVERAGE(AL139:AL143)</f>
        <v>2.3156091347614982E-2</v>
      </c>
      <c r="AO141" s="9">
        <f t="shared" si="213"/>
        <v>3.0405807249787566E-2</v>
      </c>
      <c r="AP141" s="23"/>
      <c r="AQ141" s="25">
        <f t="shared" si="189"/>
        <v>2188.8534092060604</v>
      </c>
      <c r="AR141" s="4"/>
      <c r="AS141" s="4"/>
      <c r="AT141" s="4"/>
      <c r="AU141" s="16"/>
      <c r="AV141" s="16"/>
      <c r="AY141" s="21">
        <f>-Y141*W141*X141^(-Parameters!B$52)*Parameters!B$46*Parameters!B$45*N141</f>
        <v>-4.4963597525546028E-6</v>
      </c>
      <c r="AZ141" s="7">
        <f>1000*EXP(-(Parameters!$B$54)*'6states'!A141)*AQ141*Parameters!B$46*Parameters!B$45*N141</f>
        <v>0.47649782581340955</v>
      </c>
      <c r="BA141" s="93">
        <f>SUM(AZ141:AZ$204)*EXP(Parameters!$B$54*A141)</f>
        <v>3600.0735776679271</v>
      </c>
      <c r="BB141" s="43">
        <f t="shared" si="166"/>
        <v>0.24780361134059933</v>
      </c>
      <c r="BC141" s="30">
        <f>IF(C141&lt;0,Parameters!$B$6*AC141^2/AF141,0)</f>
        <v>0</v>
      </c>
      <c r="BD141" s="30">
        <f>Parameters!$B$5*AD141^2/AG141</f>
        <v>11.356060270776922</v>
      </c>
      <c r="BE141" s="30">
        <f t="shared" si="202"/>
        <v>0</v>
      </c>
      <c r="BF141" s="30">
        <f t="shared" si="203"/>
        <v>7.0876767977167854E-2</v>
      </c>
      <c r="BH141" s="5"/>
      <c r="BI141" s="5"/>
      <c r="BJ141" s="5"/>
      <c r="BM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-2.605776118814387E-19</v>
      </c>
      <c r="BN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-4.3143862940853287E-16</v>
      </c>
      <c r="BO141" s="7">
        <f t="shared" si="190"/>
        <v>0.93909585879008606</v>
      </c>
    </row>
    <row r="142" spans="1:67" x14ac:dyDescent="0.3">
      <c r="A142">
        <f>A141+Parameters!$B$65</f>
        <v>138</v>
      </c>
      <c r="B142">
        <v>2163</v>
      </c>
      <c r="C142" s="74">
        <v>3.8266673943657299E-3</v>
      </c>
      <c r="D142" s="69">
        <v>9.1726360063503404E-2</v>
      </c>
      <c r="E142" s="75">
        <v>0.23248849994401399</v>
      </c>
      <c r="F142" s="7">
        <f>MAX((1-Parameters!$B$4)^Parameters!B$65*F141 + C141*Parameters!B$65 - IF(C141&gt;0,Parameters!$B$5,0)*C141^2/F141*Parameters!B$65, 0.0001)</f>
        <v>1E-4</v>
      </c>
      <c r="G142" s="7">
        <f>(1-Parameters!$B$4)^Parameters!B$65*G141+D141*Parameters!B$65-Parameters!$B$5*D141^2/G141*Parameters!B$65</f>
        <v>1.3693631637851855</v>
      </c>
      <c r="H142" s="7">
        <f>(1-Parameters!$B$4)^Parameters!B$65*H141+E141*Parameters!B$65-Parameters!$B$5*E141^2/H141*Parameters!B$65</f>
        <v>3.2900993806847363</v>
      </c>
      <c r="I142" s="7">
        <f>I141 *(1-Parameters!$B$4)-C141*(C141&lt;0)*Parameters!B$65</f>
        <v>1.4449374242698292E-3</v>
      </c>
      <c r="J142" s="23">
        <f>J141*(1+Parameters!$B$51)^Parameters!B$65</f>
        <v>12.168674654949269</v>
      </c>
      <c r="K142" s="23">
        <f>K141*(1+Parameters!$B$53)^Parameters!B$65</f>
        <v>139.1862875530035</v>
      </c>
      <c r="L142" s="23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3.2681213273584919E-2</v>
      </c>
      <c r="M142" s="8">
        <f>M141+L142*Parameters!B$65</f>
        <v>3687.5796705600774</v>
      </c>
      <c r="N142" s="7">
        <f>M142*Parameters!$B$45</f>
        <v>2.2125478023360463</v>
      </c>
      <c r="O142" s="9">
        <f>EXP(-Parameters!$B$46/2*N142^2)</f>
        <v>0.95199219175245942</v>
      </c>
      <c r="P142" s="7">
        <f>MAX((Parameters!$B$62 + Parameters!$B$31*'6states'!A142 - '6states'!M142 + Parameters!$B$47/Parameters!$B$45)/Parameters!B$62,1)</f>
        <v>120.08040658879847</v>
      </c>
      <c r="Q142" s="8"/>
      <c r="R142" s="8"/>
      <c r="S142" s="7">
        <f>Parameters!B$61*EXP(-Parameters!B$60*A142)+(1-Parameters!B$61)*P142^-Parameters!B$63</f>
        <v>0.32180268357307157</v>
      </c>
      <c r="T142" s="7">
        <f>1-S142/Parameters!$B$12</f>
        <v>0.83909865821346419</v>
      </c>
      <c r="U142" s="7">
        <f t="shared" si="191"/>
        <v>6.2149885693723892</v>
      </c>
      <c r="V142" s="7">
        <f>(Parameters!$B$19*(F142+Parameters!$B$20)^T142+Parameters!$B$18*G142^T142)^(1/T142)</f>
        <v>0.34583359061170671</v>
      </c>
      <c r="W142" s="7">
        <f>(Parameters!$B$10*H142^Parameters!$B$9+Parameters!$B$11*V142^Parameters!$B$9)^(Parameters!$B$7/Parameters!$B$9)*O142</f>
        <v>1.3227972690980017</v>
      </c>
      <c r="X142" s="7">
        <f>W142 - D142 - E142 - LN(1+EXP(Parameters!$B$21*C142))/Parameters!$B$21 - IF(C142&gt;0, 0,Parameters!$B$6*C142^2/F142)</f>
        <v>0.99383720211543125</v>
      </c>
      <c r="Y142" s="7">
        <f>EXP(-Parameters!$B$55*A142)</f>
        <v>0.12445637824691602</v>
      </c>
      <c r="Z142" s="7">
        <f>IF(X142&gt;0,X142^(1-Parameters!$B$52)/(1-Parameters!$B$52)*Y142*Parameters!$B$65,-10+X142*1000)</f>
        <v>-0.35635985775388684</v>
      </c>
      <c r="AC142" s="23">
        <f t="shared" si="192"/>
        <v>6.4812749718890963</v>
      </c>
      <c r="AD142" s="23">
        <f t="shared" si="193"/>
        <v>155.35809634707255</v>
      </c>
      <c r="AE142" s="23">
        <f t="shared" si="194"/>
        <v>2.4473087934568705</v>
      </c>
      <c r="AF142" s="23">
        <f t="shared" si="195"/>
        <v>0.16937126496627147</v>
      </c>
      <c r="AG142" s="23">
        <f t="shared" si="196"/>
        <v>2319.3077124851247</v>
      </c>
      <c r="AH142" s="23">
        <f t="shared" si="197"/>
        <v>585.74272709732418</v>
      </c>
      <c r="AI142" s="23">
        <f t="shared" si="198"/>
        <v>1441.5574460078074</v>
      </c>
      <c r="AJ142" s="23">
        <f t="shared" si="199"/>
        <v>2240.4384676105792</v>
      </c>
      <c r="AK142" s="23">
        <f t="shared" si="200"/>
        <v>1683.2746409283059</v>
      </c>
      <c r="AL142" s="9">
        <f t="shared" si="204"/>
        <v>2.3293741896307729E-2</v>
      </c>
      <c r="AM142" s="9">
        <f t="shared" si="205"/>
        <v>2.3023799202662509E-2</v>
      </c>
      <c r="AN142" s="9">
        <f t="shared" ref="AN142:AO142" si="214">AVERAGE(AL140:AL144)</f>
        <v>2.3131848225778563E-2</v>
      </c>
      <c r="AO142" s="9">
        <f t="shared" si="214"/>
        <v>2.3881569795319989E-2</v>
      </c>
      <c r="AP142" s="23"/>
      <c r="AQ142" s="25">
        <f t="shared" si="189"/>
        <v>2240.4384676105792</v>
      </c>
      <c r="AR142" s="4"/>
      <c r="AS142" s="4"/>
      <c r="AT142" s="4"/>
      <c r="AU142" s="16"/>
      <c r="AV142" s="16"/>
      <c r="AY142" s="21">
        <f>-Y142*W142*X142^(-Parameters!B$52)*Parameters!B$46*Parameters!B$45*N142</f>
        <v>-4.4297052714325156E-6</v>
      </c>
      <c r="AZ142" s="7">
        <f>1000*EXP(-(Parameters!$B$54)*'6states'!A142)*AQ142*Parameters!B$46*Parameters!B$45*N142</f>
        <v>0.47090942160449922</v>
      </c>
      <c r="BA142" s="93">
        <f>SUM(AZ142:AZ$204)*EXP(Parameters!$B$54*A142)</f>
        <v>3668.1881957311562</v>
      </c>
      <c r="BB142" s="43">
        <f t="shared" si="166"/>
        <v>0.24799078064741575</v>
      </c>
      <c r="BC142" s="30">
        <f>IF(C142&lt;0,Parameters!$B$6*AC142^2/AF142,0)</f>
        <v>0</v>
      </c>
      <c r="BD142" s="30">
        <f>Parameters!$B$5*AD142^2/AG142</f>
        <v>10.406613133159697</v>
      </c>
      <c r="BE142" s="30">
        <f t="shared" si="202"/>
        <v>0</v>
      </c>
      <c r="BF142" s="30">
        <f t="shared" si="203"/>
        <v>6.6984684917296825E-2</v>
      </c>
      <c r="BH142" s="5"/>
      <c r="BI142" s="5"/>
      <c r="BJ142" s="5"/>
      <c r="BM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-3.3119050769198897E-19</v>
      </c>
      <c r="BN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-5.6094155232613823E-16</v>
      </c>
      <c r="BO142" s="7">
        <f t="shared" si="190"/>
        <v>0.93527245930542324</v>
      </c>
    </row>
    <row r="143" spans="1:67" x14ac:dyDescent="0.3">
      <c r="A143">
        <f>A142+Parameters!$B$65</f>
        <v>139</v>
      </c>
      <c r="B143">
        <v>2164</v>
      </c>
      <c r="C143" s="74">
        <v>3.7932732839339699E-3</v>
      </c>
      <c r="D143" s="69">
        <v>9.9508419237215207E-2</v>
      </c>
      <c r="E143" s="75">
        <v>0.220851085301386</v>
      </c>
      <c r="F143" s="7">
        <f>MAX((1-Parameters!$B$4)^Parameters!B$65*F142 + C142*Parameters!B$65 - IF(C142&gt;0,Parameters!$B$5,0)*C142^2/F142*Parameters!B$65, 0.0001)</f>
        <v>1E-4</v>
      </c>
      <c r="G143" s="7">
        <f>(1-Parameters!$B$4)^Parameters!B$65*G142+D142*Parameters!B$65-Parameters!$B$5*D142^2/G142*Parameters!B$65</f>
        <v>1.3688123195191366</v>
      </c>
      <c r="H143" s="7">
        <f>(1-Parameters!$B$4)^Parameters!B$65*H142+E142*Parameters!B$65-Parameters!$B$5*E142^2/H142*Parameters!B$65</f>
        <v>3.2992122800561448</v>
      </c>
      <c r="I143" s="7">
        <f>I142 *(1-Parameters!$B$4)-C142*(C142&lt;0)*Parameters!B$65</f>
        <v>1.354050860283257E-3</v>
      </c>
      <c r="J143" s="23">
        <f>J142*(1+Parameters!$B$51)^Parameters!B$65</f>
        <v>12.20396381144862</v>
      </c>
      <c r="K143" s="23">
        <f>K142*(1+Parameters!$B$53)^Parameters!B$65</f>
        <v>141.97001330406357</v>
      </c>
      <c r="L143" s="23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3.3098859499652966E-2</v>
      </c>
      <c r="M143" s="8">
        <f>M142+L143*Parameters!B$65</f>
        <v>3687.612769419577</v>
      </c>
      <c r="N143" s="7">
        <f>M143*Parameters!$B$45</f>
        <v>2.2125676616517462</v>
      </c>
      <c r="O143" s="9">
        <f>EXP(-Parameters!$B$46/2*N143^2)</f>
        <v>0.95199135096128717</v>
      </c>
      <c r="P143" s="7">
        <f>MAX((Parameters!$B$62 + Parameters!$B$31*'6states'!A143 - '6states'!M143 + Parameters!$B$47/Parameters!$B$45)/Parameters!B$62,1)</f>
        <v>121.14374461160845</v>
      </c>
      <c r="Q143" s="8"/>
      <c r="R143" s="8"/>
      <c r="S143" s="7">
        <f>Parameters!B$61*EXP(-Parameters!B$60*A143)+(1-Parameters!B$61)*P143^-Parameters!B$63</f>
        <v>0.321208863176284</v>
      </c>
      <c r="T143" s="7">
        <f>1-S143/Parameters!$B$12</f>
        <v>0.83939556841185803</v>
      </c>
      <c r="U143" s="7">
        <f t="shared" si="191"/>
        <v>6.2264782491458579</v>
      </c>
      <c r="V143" s="7">
        <f>(Parameters!$B$19*(F143+Parameters!$B$20)^T143+Parameters!$B$18*G143^T143)^(1/T143)</f>
        <v>0.34584623163662742</v>
      </c>
      <c r="W143" s="7">
        <f>(Parameters!$B$10*H143^Parameters!$B$9+Parameters!$B$11*V143^Parameters!$B$9)^(Parameters!$B$7/Parameters!$B$9)*O143</f>
        <v>1.3235519176561044</v>
      </c>
      <c r="X143" s="7">
        <f>W143 - D143 - E143 - LN(1+EXP(Parameters!$B$21*C143))/Parameters!$B$21 - IF(C143&gt;0, 0,Parameters!$B$6*C143^2/F143)</f>
        <v>0.99847252649166762</v>
      </c>
      <c r="Y143" s="7">
        <f>EXP(-Parameters!$B$55*A143)</f>
        <v>0.12259120443737162</v>
      </c>
      <c r="Z143" s="7">
        <f>IF(X143&gt;0,X143^(1-Parameters!$B$52)/(1-Parameters!$B$52)*Y143*Parameters!$B$65,-10+X143*1000)</f>
        <v>-0.35044803222328597</v>
      </c>
      <c r="AC143" s="23">
        <f t="shared" si="192"/>
        <v>6.5722135503253272</v>
      </c>
      <c r="AD143" s="23">
        <f t="shared" si="193"/>
        <v>172.40797915936903</v>
      </c>
      <c r="AE143" s="23">
        <f t="shared" si="194"/>
        <v>2.3460243292974923</v>
      </c>
      <c r="AF143" s="23">
        <f t="shared" si="195"/>
        <v>0.17325969046736711</v>
      </c>
      <c r="AG143" s="23">
        <f t="shared" si="196"/>
        <v>2371.599987878044</v>
      </c>
      <c r="AH143" s="23">
        <f t="shared" si="197"/>
        <v>599.21211042667414</v>
      </c>
      <c r="AI143" s="23">
        <f t="shared" si="198"/>
        <v>1474.7066238521131</v>
      </c>
      <c r="AJ143" s="23">
        <f t="shared" si="199"/>
        <v>2293.1819557058675</v>
      </c>
      <c r="AK143" s="23">
        <f t="shared" si="200"/>
        <v>1729.9504088011633</v>
      </c>
      <c r="AL143" s="9">
        <f t="shared" si="204"/>
        <v>2.3268762231635876E-2</v>
      </c>
      <c r="AM143" s="9">
        <f t="shared" si="205"/>
        <v>2.7351655429937338E-2</v>
      </c>
      <c r="AN143" s="9">
        <f t="shared" ref="AN143:AO143" si="215">AVERAGE(AL141:AL145)</f>
        <v>2.3109711671606092E-2</v>
      </c>
      <c r="AO143" s="9">
        <f t="shared" si="215"/>
        <v>2.3186393329189238E-2</v>
      </c>
      <c r="AP143" s="23"/>
      <c r="AQ143" s="25">
        <f t="shared" si="189"/>
        <v>2293.1819557058679</v>
      </c>
      <c r="AR143" s="4"/>
      <c r="AS143" s="4"/>
      <c r="AT143" s="4"/>
      <c r="AU143" s="16"/>
      <c r="AV143" s="16"/>
      <c r="AY143" s="21">
        <f>-Y143*W143*X143^(-Parameters!B$52)*Parameters!B$46*Parameters!B$45*N143</f>
        <v>-4.3385079794351762E-6</v>
      </c>
      <c r="AZ143" s="7">
        <f>1000*EXP(-(Parameters!$B$54)*'6states'!A143)*AQ143*Parameters!B$46*Parameters!B$45*N143</f>
        <v>0.46537498625761309</v>
      </c>
      <c r="BA143" s="93">
        <f>SUM(AZ143:AZ$204)*EXP(Parameters!$B$54*A143)</f>
        <v>3737.3099223273234</v>
      </c>
      <c r="BB143" s="43">
        <f t="shared" si="166"/>
        <v>0.2449112675508654</v>
      </c>
      <c r="BC143" s="30">
        <f>IF(C143&lt;0,Parameters!$B$6*AC143^2/AF143,0)</f>
        <v>0</v>
      </c>
      <c r="BD143" s="30">
        <f>Parameters!$B$5*AD143^2/AG143</f>
        <v>12.533526492557042</v>
      </c>
      <c r="BE143" s="30">
        <f t="shared" si="202"/>
        <v>0</v>
      </c>
      <c r="BF143" s="30">
        <f t="shared" si="203"/>
        <v>7.2696905060127215E-2</v>
      </c>
      <c r="BH143" s="5"/>
      <c r="BI143" s="5"/>
      <c r="BJ143" s="5"/>
      <c r="BM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-4.2427690743880807E-19</v>
      </c>
      <c r="BN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-7.3510085655299644E-16</v>
      </c>
    </row>
    <row r="144" spans="1:67" x14ac:dyDescent="0.3">
      <c r="A144">
        <f>A143+Parameters!$B$65</f>
        <v>140</v>
      </c>
      <c r="B144">
        <v>2165</v>
      </c>
      <c r="C144" s="74">
        <v>3.7656520822085199E-3</v>
      </c>
      <c r="D144" s="69">
        <v>9.7770541048776999E-2</v>
      </c>
      <c r="E144" s="75">
        <v>0.218861251865167</v>
      </c>
      <c r="F144" s="7">
        <f>MAX((1-Parameters!$B$4)^Parameters!B$65*F143 + C143*Parameters!B$65 - IF(C143&gt;0,Parameters!$B$5,0)*C143^2/F143*Parameters!B$65, 0.0001)</f>
        <v>1E-4</v>
      </c>
      <c r="G144" s="7">
        <f>(1-Parameters!$B$4)^Parameters!B$65*G143+D143*Parameters!B$65-Parameters!$B$5*D143^2/G143*Parameters!B$65</f>
        <v>1.3749884897526272</v>
      </c>
      <c r="H144" s="7">
        <f>(1-Parameters!$B$4)^Parameters!B$65*H143+E143*Parameters!B$65-Parameters!$B$5*E143^2/H143*Parameters!B$65</f>
        <v>3.2977590197764557</v>
      </c>
      <c r="I144" s="7">
        <f>I143 *(1-Parameters!$B$4)-C143*(C143&lt;0)*Parameters!B$65</f>
        <v>1.2688810611714402E-3</v>
      </c>
      <c r="J144" s="23">
        <f>J143*(1+Parameters!$B$51)^Parameters!B$65</f>
        <v>12.239355306501819</v>
      </c>
      <c r="K144" s="23">
        <f>K143*(1+Parameters!$B$53)^Parameters!B$65</f>
        <v>144.80941357014484</v>
      </c>
      <c r="L144" s="23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3.3521842992997125E-2</v>
      </c>
      <c r="M144" s="8">
        <f>M143+L144*Parameters!B$65</f>
        <v>3687.6462912625702</v>
      </c>
      <c r="N144" s="7">
        <f>M144*Parameters!$B$45</f>
        <v>2.2125877747575418</v>
      </c>
      <c r="O144" s="9">
        <f>EXP(-Parameters!$B$46/2*N144^2)</f>
        <v>0.95199049941837499</v>
      </c>
      <c r="P144" s="7">
        <f>MAX((Parameters!$B$62 + Parameters!$B$31*'6states'!A144 - '6states'!M144 + Parameters!$B$47/Parameters!$B$45)/Parameters!B$62,1)</f>
        <v>122.2070741747486</v>
      </c>
      <c r="Q144" s="8"/>
      <c r="R144" s="8"/>
      <c r="S144" s="7">
        <f>Parameters!B$61*EXP(-Parameters!B$60*A144)+(1-Parameters!B$61)*P144^-Parameters!B$63</f>
        <v>0.32062621493810761</v>
      </c>
      <c r="T144" s="7">
        <f>1-S144/Parameters!$B$12</f>
        <v>0.83968689253094619</v>
      </c>
      <c r="U144" s="7">
        <f t="shared" si="191"/>
        <v>6.2377931273837728</v>
      </c>
      <c r="V144" s="7">
        <f>(Parameters!$B$19*(F144+Parameters!$B$20)^T144+Parameters!$B$18*G144^T144)^(1/T144)</f>
        <v>0.34749542870600553</v>
      </c>
      <c r="W144" s="7">
        <f>(Parameters!$B$10*H144^Parameters!$B$9+Parameters!$B$11*V144^Parameters!$B$9)^(Parameters!$B$7/Parameters!$B$9)*O144</f>
        <v>1.3240254289089732</v>
      </c>
      <c r="X144" s="7">
        <f>W144 - D144 - E144 - LN(1+EXP(Parameters!$B$21*C144))/Parameters!$B$21 - IF(C144&gt;0, 0,Parameters!$B$6*C144^2/F144)</f>
        <v>1.0026946460891113</v>
      </c>
      <c r="Y144" s="7">
        <f>EXP(-Parameters!$B$55*A144)</f>
        <v>0.12075398317946676</v>
      </c>
      <c r="Z144" s="7">
        <f>IF(X144&gt;0,X144^(1-Parameters!$B$52)/(1-Parameters!$B$52)*Y144*Parameters!$B$65,-10+X144*1000)</f>
        <v>-0.34468658186376805</v>
      </c>
      <c r="AC144" s="23">
        <f t="shared" si="192"/>
        <v>6.6741433329718793</v>
      </c>
      <c r="AD144" s="23">
        <f t="shared" si="193"/>
        <v>173.28595166419171</v>
      </c>
      <c r="AE144" s="23">
        <f t="shared" si="194"/>
        <v>2.2489316298665702</v>
      </c>
      <c r="AF144" s="23">
        <f t="shared" si="195"/>
        <v>0.17723738644111689</v>
      </c>
      <c r="AG144" s="23">
        <f t="shared" si="196"/>
        <v>2436.9936631037408</v>
      </c>
      <c r="AH144" s="23">
        <f t="shared" si="197"/>
        <v>615.89181584087873</v>
      </c>
      <c r="AI144" s="23">
        <f t="shared" si="198"/>
        <v>1515.7566487601787</v>
      </c>
      <c r="AJ144" s="23">
        <f t="shared" si="199"/>
        <v>2346.6680660140519</v>
      </c>
      <c r="AK144" s="23">
        <f t="shared" si="200"/>
        <v>1777.1497847133476</v>
      </c>
      <c r="AL144" s="9">
        <f t="shared" si="204"/>
        <v>2.3056124402325295E-2</v>
      </c>
      <c r="AM144" s="9">
        <f t="shared" si="205"/>
        <v>2.6918093732747117E-2</v>
      </c>
      <c r="AN144" s="9">
        <f t="shared" ref="AN144:AO144" si="216">AVERAGE(AL142:AL146)</f>
        <v>2.3093554311747866E-2</v>
      </c>
      <c r="AO144" s="9">
        <f t="shared" si="216"/>
        <v>2.1993111456523096E-2</v>
      </c>
      <c r="AP144" s="23"/>
      <c r="AQ144" s="25">
        <f t="shared" si="189"/>
        <v>2346.6680660140519</v>
      </c>
      <c r="AR144" s="4"/>
      <c r="AS144" s="4"/>
      <c r="AT144" s="4"/>
      <c r="AU144" s="16"/>
      <c r="AV144" s="16"/>
      <c r="AY144" s="21">
        <f>-Y144*W144*X144^(-Parameters!B$52)*Parameters!B$46*Parameters!B$45*N144</f>
        <v>-4.2507725560926713E-6</v>
      </c>
      <c r="AZ144" s="7">
        <f>1000*EXP(-(Parameters!$B$54)*'6states'!A144)*AQ144*Parameters!B$46*Parameters!B$45*N144</f>
        <v>0.4598078649859873</v>
      </c>
      <c r="BA144" s="93">
        <f>SUM(AZ144:AZ$204)*EXP(Parameters!$B$54*A144)</f>
        <v>3807.4426869504068</v>
      </c>
      <c r="BB144" s="43">
        <f t="shared" si="166"/>
        <v>0.24198738030293515</v>
      </c>
      <c r="BC144" s="30">
        <f>IF(C144&lt;0,Parameters!$B$6*AC144^2/AF144,0)</f>
        <v>0</v>
      </c>
      <c r="BD144" s="30">
        <f>Parameters!$B$5*AD144^2/AG144</f>
        <v>12.321747692163088</v>
      </c>
      <c r="BE144" s="30">
        <f t="shared" si="202"/>
        <v>0</v>
      </c>
      <c r="BF144" s="30">
        <f t="shared" si="203"/>
        <v>7.1106443273839193E-2</v>
      </c>
      <c r="BH144" s="5"/>
      <c r="BI144" s="5"/>
      <c r="BJ144" s="5"/>
      <c r="BM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-5.4808847128446082E-19</v>
      </c>
      <c r="BN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-9.7141768188964978E-16</v>
      </c>
    </row>
    <row r="145" spans="1:66" x14ac:dyDescent="0.3">
      <c r="A145">
        <f>A144+Parameters!$B$65</f>
        <v>141</v>
      </c>
      <c r="B145">
        <v>2166</v>
      </c>
      <c r="C145" s="74">
        <v>3.7473853958939199E-3</v>
      </c>
      <c r="D145" s="69">
        <v>9.2859852034970602E-2</v>
      </c>
      <c r="E145" s="75">
        <v>0.227752213887187</v>
      </c>
      <c r="F145" s="7">
        <f>MAX((1-Parameters!$B$4)^Parameters!B$65*F144 + C144*Parameters!B$65 - IF(C144&gt;0,Parameters!$B$5,0)*C144^2/F144*Parameters!B$65, 0.0001)</f>
        <v>1E-4</v>
      </c>
      <c r="G145" s="7">
        <f>(1-Parameters!$B$4)^Parameters!B$65*G144+D144*Parameters!B$65-Parameters!$B$5*D144^2/G144*Parameters!B$65</f>
        <v>1.3793201393650267</v>
      </c>
      <c r="H145" s="7">
        <f>(1-Parameters!$B$4)^Parameters!B$65*H144+E144*Parameters!B$65-Parameters!$B$5*E144^2/H144*Parameters!B$65</f>
        <v>3.2946661389921963</v>
      </c>
      <c r="I145" s="7">
        <f>I144 *(1-Parameters!$B$4)-C144*(C144&lt;0)*Parameters!B$65</f>
        <v>1.1890684424237566E-3</v>
      </c>
      <c r="J145" s="23">
        <f>J144*(1+Parameters!$B$51)^Parameters!B$65</f>
        <v>12.274849436890673</v>
      </c>
      <c r="K145" s="23">
        <f>K144*(1+Parameters!$B$53)^Parameters!B$65</f>
        <v>147.70560184154775</v>
      </c>
      <c r="L145" s="23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3.3950231960679263E-2</v>
      </c>
      <c r="M145" s="8">
        <f>M144+L145*Parameters!B$65</f>
        <v>3687.6802414945309</v>
      </c>
      <c r="N145" s="7">
        <f>M145*Parameters!$B$45</f>
        <v>2.2126081448967185</v>
      </c>
      <c r="O145" s="9">
        <f>EXP(-Parameters!$B$46/2*N145^2)</f>
        <v>0.95198963698614358</v>
      </c>
      <c r="P145" s="7">
        <f>MAX((Parameters!$B$62 + Parameters!$B$31*'6states'!A145 - '6states'!M145 + Parameters!$B$47/Parameters!$B$45)/Parameters!B$62,1)</f>
        <v>123.27039517010941</v>
      </c>
      <c r="Q145" s="8"/>
      <c r="R145" s="8"/>
      <c r="S145" s="7">
        <f>Parameters!B$61*EXP(-Parameters!B$60*A145)+(1-Parameters!B$61)*P145^-Parameters!B$63</f>
        <v>0.32005446344150873</v>
      </c>
      <c r="T145" s="7">
        <f>1-S145/Parameters!$B$12</f>
        <v>0.83997276827924561</v>
      </c>
      <c r="U145" s="7">
        <f t="shared" si="191"/>
        <v>6.2489364419237603</v>
      </c>
      <c r="V145" s="7">
        <f>(Parameters!$B$19*(F145+Parameters!$B$20)^T145+Parameters!$B$18*G145^T145)^(1/T145)</f>
        <v>0.34869354216625109</v>
      </c>
      <c r="W145" s="7">
        <f>(Parameters!$B$10*H145^Parameters!$B$9+Parameters!$B$11*V145^Parameters!$B$9)^(Parameters!$B$7/Parameters!$B$9)*O145</f>
        <v>1.3241919467495422</v>
      </c>
      <c r="X145" s="7">
        <f>W145 - D145 - E145 - LN(1+EXP(Parameters!$B$21*C145))/Parameters!$B$21 - IF(C145&gt;0, 0,Parameters!$B$6*C145^2/F145)</f>
        <v>0.99889468732063391</v>
      </c>
      <c r="Y145" s="7">
        <f>EXP(-Parameters!$B$55*A145)</f>
        <v>0.11894429556042277</v>
      </c>
      <c r="Z145" s="7">
        <f>IF(X145&gt;0,X145^(1-Parameters!$B$52)/(1-Parameters!$B$52)*Y145*Parameters!$B$65,-10+X145*1000)</f>
        <v>-0.3399724132697885</v>
      </c>
      <c r="AC145" s="23">
        <f t="shared" si="192"/>
        <v>6.7942496438230346</v>
      </c>
      <c r="AD145" s="23">
        <f t="shared" si="193"/>
        <v>168.36085696052558</v>
      </c>
      <c r="AE145" s="23">
        <f t="shared" si="194"/>
        <v>2.1558572145450912</v>
      </c>
      <c r="AF145" s="23">
        <f t="shared" si="195"/>
        <v>0.18130640235903203</v>
      </c>
      <c r="AG145" s="23">
        <f t="shared" si="196"/>
        <v>2500.7957216963164</v>
      </c>
      <c r="AH145" s="23">
        <f t="shared" si="197"/>
        <v>632.20371655990425</v>
      </c>
      <c r="AI145" s="23">
        <f t="shared" si="198"/>
        <v>1555.9014783111638</v>
      </c>
      <c r="AJ145" s="23">
        <f t="shared" si="199"/>
        <v>2400.8447789796242</v>
      </c>
      <c r="AK145" s="23">
        <f t="shared" si="200"/>
        <v>1811.0600209365434</v>
      </c>
      <c r="AL145" s="9">
        <f t="shared" si="204"/>
        <v>2.2824188846556126E-2</v>
      </c>
      <c r="AM145" s="9">
        <f t="shared" si="205"/>
        <v>1.8901484381046885E-2</v>
      </c>
      <c r="AN145" s="9">
        <f t="shared" ref="AN145:AO145" si="217">AVERAGE(AL143:AL147)</f>
        <v>2.313808809622948E-2</v>
      </c>
      <c r="AO145" s="9">
        <f t="shared" si="217"/>
        <v>2.3439644520970228E-2</v>
      </c>
      <c r="AP145" s="23"/>
      <c r="AQ145" s="25">
        <f t="shared" si="189"/>
        <v>2400.8447789796242</v>
      </c>
      <c r="AR145" s="4"/>
      <c r="AS145" s="4"/>
      <c r="AT145" s="4"/>
      <c r="AU145" s="16"/>
      <c r="AV145" s="16"/>
      <c r="AY145" s="21">
        <f>-Y145*W145*X145^(-Parameters!B$52)*Parameters!B$46*Parameters!B$45*N145</f>
        <v>-4.2091536167502219E-6</v>
      </c>
      <c r="AZ145" s="7">
        <f>1000*EXP(-(Parameters!$B$54)*'6states'!A145)*AQ145*Parameters!B$46*Parameters!B$45*N145</f>
        <v>0.45420203619475252</v>
      </c>
      <c r="BA145" s="93">
        <f>SUM(AZ145:AZ$204)*EXP(Parameters!$B$54*A145)</f>
        <v>3878.6020497061213</v>
      </c>
      <c r="BB145" s="43">
        <f t="shared" si="166"/>
        <v>0.24494896839861308</v>
      </c>
      <c r="BC145" s="30">
        <f>IF(C145&lt;0,Parameters!$B$6*AC145^2/AF145,0)</f>
        <v>0</v>
      </c>
      <c r="BD145" s="30">
        <f>Parameters!$B$5*AD145^2/AG145</f>
        <v>11.334543605687067</v>
      </c>
      <c r="BE145" s="30">
        <f t="shared" si="202"/>
        <v>0</v>
      </c>
      <c r="BF145" s="30">
        <f t="shared" si="203"/>
        <v>6.7322914662667696E-2</v>
      </c>
      <c r="BH145" s="5"/>
      <c r="BI145" s="5"/>
      <c r="BJ145" s="5"/>
      <c r="BM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-7.1431028868642561E-19</v>
      </c>
      <c r="BN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-1.2950902860977738E-15</v>
      </c>
    </row>
    <row r="146" spans="1:66" x14ac:dyDescent="0.3">
      <c r="A146">
        <f>A145+Parameters!$B$65</f>
        <v>142</v>
      </c>
      <c r="B146">
        <v>2167</v>
      </c>
      <c r="C146" s="74">
        <v>3.7538830504967001E-3</v>
      </c>
      <c r="D146" s="69">
        <v>9.6738471355398897E-2</v>
      </c>
      <c r="E146" s="75">
        <v>0.233179486163857</v>
      </c>
      <c r="F146" s="7">
        <f>MAX((1-Parameters!$B$4)^Parameters!B$65*F145 + C145*Parameters!B$65 - IF(C145&gt;0,Parameters!$B$5,0)*C145^2/F145*Parameters!B$65, 0.0001)</f>
        <v>1E-4</v>
      </c>
      <c r="G146" s="7">
        <f>(1-Parameters!$B$4)^Parameters!B$65*G145+D145*Parameters!B$65-Parameters!$B$5*D145^2/G145*Parameters!B$65</f>
        <v>1.379169158739799</v>
      </c>
      <c r="H146" s="7">
        <f>(1-Parameters!$B$4)^Parameters!B$65*H145+E145*Parameters!B$65-Parameters!$B$5*E145^2/H145*Parameters!B$65</f>
        <v>3.2994398991031653</v>
      </c>
      <c r="I146" s="7">
        <f>I145 *(1-Parameters!$B$4)-C145*(C145&lt;0)*Parameters!B$65</f>
        <v>1.1142760373953023E-3</v>
      </c>
      <c r="J146" s="23">
        <f>J145*(1+Parameters!$B$51)^Parameters!B$65</f>
        <v>12.310446500257655</v>
      </c>
      <c r="K146" s="23">
        <f>K145*(1+Parameters!$B$53)^Parameters!B$65</f>
        <v>150.65971387837871</v>
      </c>
      <c r="L146" s="23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3.4384095481406418E-2</v>
      </c>
      <c r="M146" s="8">
        <f>M145+L146*Parameters!B$65</f>
        <v>3687.7146255900125</v>
      </c>
      <c r="N146" s="7">
        <f>M146*Parameters!$B$45</f>
        <v>2.2126287753540073</v>
      </c>
      <c r="O146" s="9">
        <f>EXP(-Parameters!$B$46/2*N146^2)</f>
        <v>0.9519887635252513</v>
      </c>
      <c r="P146" s="7">
        <f>MAX((Parameters!$B$62 + Parameters!$B$31*'6states'!A146 - '6states'!M146 + Parameters!$B$47/Parameters!$B$45)/Parameters!B$62,1)</f>
        <v>124.33370748819976</v>
      </c>
      <c r="Q146" s="8"/>
      <c r="R146" s="8"/>
      <c r="S146" s="7">
        <f>Parameters!B$61*EXP(-Parameters!B$60*A146)+(1-Parameters!B$61)*P146^-Parameters!B$63</f>
        <v>0.31949334060570467</v>
      </c>
      <c r="T146" s="7">
        <f>1-S146/Parameters!$B$12</f>
        <v>0.84025332969714772</v>
      </c>
      <c r="U146" s="7">
        <f t="shared" si="191"/>
        <v>6.2599113840944014</v>
      </c>
      <c r="V146" s="7">
        <f>(Parameters!$B$19*(F146+Parameters!$B$20)^T146+Parameters!$B$18*G146^T146)^(1/T146)</f>
        <v>0.34879651748111906</v>
      </c>
      <c r="W146" s="7">
        <f>(Parameters!$B$10*H146^Parameters!$B$9+Parameters!$B$11*V146^Parameters!$B$9)^(Parameters!$B$7/Parameters!$B$9)*O146</f>
        <v>1.3246243974999932</v>
      </c>
      <c r="X146" s="7">
        <f>W146 - D146 - E146 - LN(1+EXP(Parameters!$B$21*C146))/Parameters!$B$21 - IF(C146&gt;0, 0,Parameters!$B$6*C146^2/F146)</f>
        <v>0.99001634106851943</v>
      </c>
      <c r="Y146" s="7">
        <f>EXP(-Parameters!$B$55*A146)</f>
        <v>0.11716172894552528</v>
      </c>
      <c r="Z146" s="7">
        <f>IF(X146&gt;0,X146^(1-Parameters!$B$52)/(1-Parameters!$B$52)*Y146*Parameters!$B$65,-10+X146*1000)</f>
        <v>-0.33592544448627998</v>
      </c>
      <c r="AC146" s="23">
        <f t="shared" si="192"/>
        <v>6.9622831514234162</v>
      </c>
      <c r="AD146" s="23">
        <f t="shared" si="193"/>
        <v>179.41971557239449</v>
      </c>
      <c r="AE146" s="23">
        <f t="shared" si="194"/>
        <v>2.066634782393038</v>
      </c>
      <c r="AF146" s="23">
        <f t="shared" si="195"/>
        <v>0.18546883474439069</v>
      </c>
      <c r="AG146" s="23">
        <f t="shared" si="196"/>
        <v>2557.928967868721</v>
      </c>
      <c r="AH146" s="23">
        <f t="shared" si="197"/>
        <v>646.90883660124643</v>
      </c>
      <c r="AI146" s="23">
        <f t="shared" si="198"/>
        <v>1592.0918982845958</v>
      </c>
      <c r="AJ146" s="23">
        <f t="shared" si="199"/>
        <v>2456.7654347831426</v>
      </c>
      <c r="AK146" s="23">
        <f t="shared" si="200"/>
        <v>1836.1717715588354</v>
      </c>
      <c r="AL146" s="9">
        <f t="shared" si="204"/>
        <v>2.3024954181914303E-2</v>
      </c>
      <c r="AM146" s="9">
        <f t="shared" si="205"/>
        <v>1.3770524536221629E-2</v>
      </c>
      <c r="AN146" s="9">
        <f t="shared" ref="AN146:AO146" si="218">AVERAGE(AL144:AL148)</f>
        <v>2.3108747450064727E-2</v>
      </c>
      <c r="AO146" s="9">
        <f t="shared" si="218"/>
        <v>2.2046522134626833E-2</v>
      </c>
      <c r="AP146" s="23"/>
      <c r="AQ146" s="25">
        <f t="shared" si="189"/>
        <v>2456.7654347831431</v>
      </c>
      <c r="AR146" s="4"/>
      <c r="AS146" s="4"/>
      <c r="AT146" s="4"/>
      <c r="AU146" s="16"/>
      <c r="AV146" s="16"/>
      <c r="AY146" s="21">
        <f>-Y146*W146*X146^(-Parameters!B$52)*Parameters!B$46*Parameters!B$45*N146</f>
        <v>-4.197756042982561E-6</v>
      </c>
      <c r="AZ146" s="7">
        <f>1000*EXP(-(Parameters!$B$54)*'6states'!A146)*AQ146*Parameters!B$46*Parameters!B$45*N146</f>
        <v>0.44875468994560158</v>
      </c>
      <c r="BA146" s="93">
        <f>SUM(AZ146:AZ$204)*EXP(Parameters!$B$54*A146)</f>
        <v>3950.8055630723629</v>
      </c>
      <c r="BB146" s="43">
        <f t="shared" si="166"/>
        <v>0.25189921097595847</v>
      </c>
      <c r="BC146" s="30">
        <f>IF(C146&lt;0,Parameters!$B$6*AC146^2/AF146,0)</f>
        <v>0</v>
      </c>
      <c r="BD146" s="30">
        <f>Parameters!$B$5*AD146^2/AG146</f>
        <v>12.584960231675629</v>
      </c>
      <c r="BE146" s="30">
        <f t="shared" si="202"/>
        <v>0</v>
      </c>
      <c r="BF146" s="30">
        <f t="shared" si="203"/>
        <v>7.0142571520227903E-2</v>
      </c>
      <c r="BH146" s="5"/>
      <c r="BI146" s="5"/>
      <c r="BJ146" s="5"/>
      <c r="BM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-9.3965573109987198E-19</v>
      </c>
      <c r="BN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-1.7427685350798177E-15</v>
      </c>
    </row>
    <row r="147" spans="1:66" x14ac:dyDescent="0.3">
      <c r="A147">
        <f>A146+Parameters!$B$65</f>
        <v>143</v>
      </c>
      <c r="B147">
        <v>2168</v>
      </c>
      <c r="C147" s="74">
        <v>3.8080798851394702E-3</v>
      </c>
      <c r="D147" s="69">
        <v>9.8353424775255702E-2</v>
      </c>
      <c r="E147" s="75">
        <v>0.22509656045371901</v>
      </c>
      <c r="F147" s="7">
        <f>MAX((1-Parameters!$B$4)^Parameters!B$65*F146 + C146*Parameters!B$65 - IF(C146&gt;0,Parameters!$B$5,0)*C146^2/F146*Parameters!B$65, 0.0001)</f>
        <v>1E-4</v>
      </c>
      <c r="G147" s="7">
        <f>(1-Parameters!$B$4)^Parameters!B$65*G146+D146*Parameters!B$65-Parameters!$B$5*D146^2/G146*Parameters!B$65</f>
        <v>1.3823724048646611</v>
      </c>
      <c r="H147" s="7">
        <f>(1-Parameters!$B$4)^Parameters!B$65*H146+E146*Parameters!B$65-Parameters!$B$5*E146^2/H146*Parameters!B$65</f>
        <v>3.3086052511060151</v>
      </c>
      <c r="I147" s="7">
        <f>I146 *(1-Parameters!$B$4)-C146*(C146&lt;0)*Parameters!B$65</f>
        <v>1.044188074643138E-3</v>
      </c>
      <c r="J147" s="23">
        <f>J146*(1+Parameters!$B$51)^Parameters!B$65</f>
        <v>12.346146795108401</v>
      </c>
      <c r="K147" s="23">
        <f>K146*(1+Parameters!$B$53)^Parameters!B$65</f>
        <v>153.67290815594629</v>
      </c>
      <c r="L147" s="23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3.48235035166699E-2</v>
      </c>
      <c r="M147" s="8">
        <f>M146+L147*Parameters!B$65</f>
        <v>3687.7494490935292</v>
      </c>
      <c r="N147" s="7">
        <f>M147*Parameters!$B$45</f>
        <v>2.2126496694561175</v>
      </c>
      <c r="O147" s="9">
        <f>EXP(-Parameters!$B$46/2*N147^2)</f>
        <v>0.95198787889457059</v>
      </c>
      <c r="P147" s="7">
        <f>MAX((Parameters!$B$62 + Parameters!$B$31*'6states'!A147 - '6states'!M147 + Parameters!$B$47/Parameters!$B$45)/Parameters!B$62,1)</f>
        <v>125.39701101812942</v>
      </c>
      <c r="Q147" s="8"/>
      <c r="R147" s="8"/>
      <c r="S147" s="7">
        <f>Parameters!B$61*EXP(-Parameters!B$60*A147)+(1-Parameters!B$61)*P147^-Parameters!B$63</f>
        <v>0.31894258548022369</v>
      </c>
      <c r="T147" s="7">
        <f>1-S147/Parameters!$B$12</f>
        <v>0.84052870725988815</v>
      </c>
      <c r="U147" s="7">
        <f t="shared" si="191"/>
        <v>6.2707210985596396</v>
      </c>
      <c r="V147" s="7">
        <f>(Parameters!$B$19*(F147+Parameters!$B$20)^T147+Parameters!$B$18*G147^T147)^(1/T147)</f>
        <v>0.34971540633346415</v>
      </c>
      <c r="W147" s="7">
        <f>(Parameters!$B$10*H147^Parameters!$B$9+Parameters!$B$11*V147^Parameters!$B$9)^(Parameters!$B$7/Parameters!$B$9)*O147</f>
        <v>1.3257083575770476</v>
      </c>
      <c r="X147" s="7">
        <f>W147 - D147 - E147 - LN(1+EXP(Parameters!$B$21*C147))/Parameters!$B$21 - IF(C147&gt;0, 0,Parameters!$B$6*C147^2/F147)</f>
        <v>0.99752726651137136</v>
      </c>
      <c r="Y147" s="7">
        <f>EXP(-Parameters!$B$55*A147)</f>
        <v>0.11540587688403768</v>
      </c>
      <c r="Z147" s="7">
        <f>IF(X147&gt;0,X147^(1-Parameters!$B$52)/(1-Parameters!$B$52)*Y147*Parameters!$B$65,-10+X147*1000)</f>
        <v>-0.33001692201889249</v>
      </c>
      <c r="AC147" s="23">
        <f t="shared" si="192"/>
        <v>7.2249491833947497</v>
      </c>
      <c r="AD147" s="23">
        <f t="shared" si="193"/>
        <v>186.60283330375435</v>
      </c>
      <c r="AE147" s="23">
        <f t="shared" si="194"/>
        <v>1.9811049150107758</v>
      </c>
      <c r="AF147" s="23">
        <f t="shared" si="195"/>
        <v>0.18972682825245241</v>
      </c>
      <c r="AG147" s="23">
        <f t="shared" si="196"/>
        <v>2622.7313183868714</v>
      </c>
      <c r="AH147" s="23">
        <f t="shared" si="197"/>
        <v>663.50394834665758</v>
      </c>
      <c r="AI147" s="23">
        <f t="shared" si="198"/>
        <v>1632.9337317333518</v>
      </c>
      <c r="AJ147" s="23">
        <f t="shared" si="199"/>
        <v>2515.2244187086126</v>
      </c>
      <c r="AK147" s="23">
        <f t="shared" si="200"/>
        <v>1892.5768437054126</v>
      </c>
      <c r="AL147" s="9">
        <f t="shared" si="204"/>
        <v>2.3516410818715805E-2</v>
      </c>
      <c r="AM147" s="9">
        <f t="shared" si="205"/>
        <v>3.0256464524898163E-2</v>
      </c>
      <c r="AN147" s="9">
        <f t="shared" ref="AN147:AO147" si="219">AVERAGE(AL145:AL149)</f>
        <v>2.3144304196966205E-2</v>
      </c>
      <c r="AO147" s="9">
        <f t="shared" si="219"/>
        <v>2.1551000247058381E-2</v>
      </c>
      <c r="AP147" s="23"/>
      <c r="AQ147" s="25">
        <f t="shared" si="189"/>
        <v>2515.2244187086126</v>
      </c>
      <c r="AR147" s="4"/>
      <c r="AS147" s="4"/>
      <c r="AT147" s="4"/>
      <c r="AU147" s="16"/>
      <c r="AV147" s="16"/>
      <c r="AY147" s="21">
        <f>-Y147*W147*X147^(-Parameters!B$52)*Parameters!B$46*Parameters!B$45*N147</f>
        <v>-4.0962592715562586E-6</v>
      </c>
      <c r="AZ147" s="7">
        <f>1000*EXP(-(Parameters!$B$54)*'6states'!A147)*AQ147*Parameters!B$46*Parameters!B$45*N147</f>
        <v>0.44359067974713506</v>
      </c>
      <c r="BA147" s="93">
        <f>SUM(AZ147:AZ$204)*EXP(Parameters!$B$54*A147)</f>
        <v>4024.0422936634554</v>
      </c>
      <c r="BB147" s="43">
        <f t="shared" si="166"/>
        <v>0.24685524779539947</v>
      </c>
      <c r="BC147" s="30">
        <f>IF(C147&lt;0,Parameters!$B$6*AC147^2/AF147,0)</f>
        <v>0</v>
      </c>
      <c r="BD147" s="30">
        <f>Parameters!$B$5*AD147^2/AG147</f>
        <v>13.276471422320677</v>
      </c>
      <c r="BE147" s="30">
        <f t="shared" si="202"/>
        <v>0</v>
      </c>
      <c r="BF147" s="30">
        <f t="shared" si="203"/>
        <v>7.114828423161762E-2</v>
      </c>
      <c r="BH147" s="5"/>
      <c r="BI147" s="5"/>
      <c r="BJ147" s="5"/>
      <c r="BM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-1.2482784361171193E-18</v>
      </c>
      <c r="BN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-2.3683190846043259E-15</v>
      </c>
    </row>
    <row r="148" spans="1:66" x14ac:dyDescent="0.3">
      <c r="A148">
        <f>A147+Parameters!$B$65</f>
        <v>144</v>
      </c>
      <c r="B148">
        <v>2169</v>
      </c>
      <c r="C148" s="74">
        <v>3.9159407572787698E-3</v>
      </c>
      <c r="D148" s="69">
        <v>9.07963547461621E-2</v>
      </c>
      <c r="E148" s="75">
        <v>0.23543727133818801</v>
      </c>
      <c r="F148" s="7">
        <f>MAX((1-Parameters!$B$4)^Parameters!B$65*F147 + C147*Parameters!B$65 - IF(C147&gt;0,Parameters!$B$5,0)*C147^2/F147*Parameters!B$65, 0.0001)</f>
        <v>1E-4</v>
      </c>
      <c r="G148" s="7">
        <f>(1-Parameters!$B$4)^Parameters!B$65*G147+D147*Parameters!B$65-Parameters!$B$5*D147^2/G147*Parameters!B$65</f>
        <v>1.3867769279528668</v>
      </c>
      <c r="H148" s="7">
        <f>(1-Parameters!$B$4)^Parameters!B$65*H147+E147*Parameters!B$65-Parameters!$B$5*E147^2/H147*Parameters!B$65</f>
        <v>3.310276395973534</v>
      </c>
      <c r="I148" s="7">
        <f>I147 *(1-Parameters!$B$4)-C147*(C147&lt;0)*Parameters!B$65</f>
        <v>9.7850864474808468E-4</v>
      </c>
      <c r="J148" s="23">
        <f>J147*(1+Parameters!$B$51)^Parameters!B$65</f>
        <v>12.381950620814214</v>
      </c>
      <c r="K148" s="23">
        <f>K147*(1+Parameters!$B$53)^Parameters!B$65</f>
        <v>156.7463663190652</v>
      </c>
      <c r="L148" s="23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3.5268526922026748E-2</v>
      </c>
      <c r="M148" s="8">
        <f>M147+L148*Parameters!B$65</f>
        <v>3687.7847176204514</v>
      </c>
      <c r="N148" s="7">
        <f>M148*Parameters!$B$45</f>
        <v>2.2126708305722707</v>
      </c>
      <c r="O148" s="9">
        <f>EXP(-Parameters!$B$46/2*N148^2)</f>
        <v>0.95198698295116602</v>
      </c>
      <c r="P148" s="7">
        <f>MAX((Parameters!$B$62 + Parameters!$B$31*'6states'!A148 - '6states'!M148 + Parameters!$B$47/Parameters!$B$45)/Parameters!B$62,1)</f>
        <v>126.46030564759097</v>
      </c>
      <c r="Q148" s="8"/>
      <c r="R148" s="8"/>
      <c r="S148" s="7">
        <f>Parameters!B$61*EXP(-Parameters!B$60*A148)+(1-Parameters!B$61)*P148^-Parameters!B$63</f>
        <v>0.31840194404518019</v>
      </c>
      <c r="T148" s="7">
        <f>1-S148/Parameters!$B$12</f>
        <v>0.84079902797740991</v>
      </c>
      <c r="U148" s="7">
        <f t="shared" si="191"/>
        <v>6.2813686832144677</v>
      </c>
      <c r="V148" s="7">
        <f>(Parameters!$B$19*(F148+Parameters!$B$20)^T148+Parameters!$B$18*G148^T148)^(1/T148)</f>
        <v>0.35092570365654208</v>
      </c>
      <c r="W148" s="7">
        <f>(Parameters!$B$10*H148^Parameters!$B$9+Parameters!$B$11*V148^Parameters!$B$9)^(Parameters!$B$7/Parameters!$B$9)*O148</f>
        <v>1.3262700845161712</v>
      </c>
      <c r="X148" s="7">
        <f>W148 - D148 - E148 - LN(1+EXP(Parameters!$B$21*C148))/Parameters!$B$21 - IF(C148&gt;0, 0,Parameters!$B$6*C148^2/F148)</f>
        <v>0.99522326241904124</v>
      </c>
      <c r="Y148" s="7">
        <f>EXP(-Parameters!$B$55*A148)</f>
        <v>0.11367633901652432</v>
      </c>
      <c r="Z148" s="7">
        <f>IF(X148&gt;0,X148^(1-Parameters!$B$52)/(1-Parameters!$B$52)*Y148*Parameters!$B$65,-10+X148*1000)</f>
        <v>-0.32533429946560283</v>
      </c>
      <c r="AC148" s="23">
        <f t="shared" si="192"/>
        <v>7.6001587267275736</v>
      </c>
      <c r="AD148" s="23">
        <f t="shared" si="193"/>
        <v>176.21990490955011</v>
      </c>
      <c r="AE148" s="23">
        <f t="shared" si="194"/>
        <v>1.8991147916978337</v>
      </c>
      <c r="AF148" s="23">
        <f t="shared" si="195"/>
        <v>0.19408257677547217</v>
      </c>
      <c r="AG148" s="23">
        <f t="shared" si="196"/>
        <v>2691.4923958986569</v>
      </c>
      <c r="AH148" s="23">
        <f t="shared" si="197"/>
        <v>681.08564822407413</v>
      </c>
      <c r="AI148" s="23">
        <f t="shared" si="198"/>
        <v>1676.2036336873425</v>
      </c>
      <c r="AJ148" s="23">
        <f t="shared" si="199"/>
        <v>2574.0591550312174</v>
      </c>
      <c r="AK148" s="23">
        <f t="shared" si="200"/>
        <v>1931.5549523717946</v>
      </c>
      <c r="AL148" s="9">
        <f t="shared" si="204"/>
        <v>2.3122059000812101E-2</v>
      </c>
      <c r="AM148" s="9">
        <f t="shared" si="205"/>
        <v>2.0386043498220374E-2</v>
      </c>
      <c r="AN148" s="9">
        <f t="shared" ref="AN148:AO148" si="220">AVERAGE(AL146:AL150)</f>
        <v>2.3198522732649173E-2</v>
      </c>
      <c r="AO148" s="9">
        <f t="shared" si="220"/>
        <v>2.1833402643607159E-2</v>
      </c>
      <c r="AP148" s="23"/>
      <c r="AQ148" s="25">
        <f t="shared" si="189"/>
        <v>2574.0591550312174</v>
      </c>
      <c r="AR148" s="4"/>
      <c r="AS148" s="4"/>
      <c r="AT148" s="4"/>
      <c r="AU148" s="16"/>
      <c r="AV148" s="16"/>
      <c r="AY148" s="21">
        <f>-Y148*W148*X148^(-Parameters!B$52)*Parameters!B$46*Parameters!B$45*N148</f>
        <v>-4.0492395539366058E-6</v>
      </c>
      <c r="AZ148" s="7">
        <f>1000*EXP(-(Parameters!$B$54)*'6states'!A148)*AQ148*Parameters!B$46*Parameters!B$45*N148</f>
        <v>0.4383132631570299</v>
      </c>
      <c r="BA148" s="93">
        <f>SUM(AZ148:AZ$204)*EXP(Parameters!$B$54*A148)</f>
        <v>4098.278960445894</v>
      </c>
      <c r="BB148" s="43">
        <f t="shared" si="166"/>
        <v>0.24893087063942093</v>
      </c>
      <c r="BC148" s="30">
        <f>IF(C148&lt;0,Parameters!$B$6*AC148^2/AF148,0)</f>
        <v>0</v>
      </c>
      <c r="BD148" s="30">
        <f>Parameters!$B$5*AD148^2/AG148</f>
        <v>11.537634263299678</v>
      </c>
      <c r="BE148" s="30">
        <f t="shared" si="202"/>
        <v>0</v>
      </c>
      <c r="BF148" s="30">
        <f t="shared" si="203"/>
        <v>6.5472934338613439E-2</v>
      </c>
      <c r="BH148" s="5"/>
      <c r="BI148" s="5"/>
      <c r="BJ148" s="5"/>
      <c r="BM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-1.6754587304917217E-18</v>
      </c>
      <c r="BN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-3.251773476947947E-15</v>
      </c>
    </row>
    <row r="149" spans="1:66" x14ac:dyDescent="0.3">
      <c r="A149">
        <f>A148+Parameters!$B$65</f>
        <v>145</v>
      </c>
      <c r="B149">
        <v>2170</v>
      </c>
      <c r="C149" s="74">
        <v>5.43248586659144E-3</v>
      </c>
      <c r="D149" s="69">
        <v>9.6282821082897097E-2</v>
      </c>
      <c r="E149" s="75">
        <v>0.22771009844163001</v>
      </c>
      <c r="F149" s="7">
        <f>MAX((1-Parameters!$B$4)^Parameters!B$65*F148 + C148*Parameters!B$65 - IF(C148&gt;0,Parameters!$B$5,0)*C148^2/F148*Parameters!B$65, 0.0001)</f>
        <v>1E-4</v>
      </c>
      <c r="G149" s="7">
        <f>(1-Parameters!$B$4)^Parameters!B$65*G148+D148*Parameters!B$65-Parameters!$B$5*D148^2/G148*Parameters!B$65</f>
        <v>1.3844003101583127</v>
      </c>
      <c r="H149" s="7">
        <f>(1-Parameters!$B$4)^Parameters!B$65*H148+E148*Parameters!B$65-Parameters!$B$5*E148^2/H148*Parameters!B$65</f>
        <v>3.3207522425869507</v>
      </c>
      <c r="I149" s="7">
        <f>I148 *(1-Parameters!$B$4)-C148*(C148&lt;0)*Parameters!B$65</f>
        <v>9.1696045099343019E-4</v>
      </c>
      <c r="J149" s="23">
        <f>J148*(1+Parameters!$B$51)^Parameters!B$65</f>
        <v>12.417858277614574</v>
      </c>
      <c r="K149" s="23">
        <f>K148*(1+Parameters!$B$53)^Parameters!B$65</f>
        <v>159.8812936454465</v>
      </c>
      <c r="L149" s="23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3.5719237458525378E-2</v>
      </c>
      <c r="M149" s="8">
        <f>M148+L149*Parameters!B$65</f>
        <v>3687.82043685791</v>
      </c>
      <c r="N149" s="7">
        <f>M149*Parameters!$B$45</f>
        <v>2.2126922621147456</v>
      </c>
      <c r="O149" s="9">
        <f>EXP(-Parameters!$B$46/2*N149^2)</f>
        <v>0.95198607555027015</v>
      </c>
      <c r="P149" s="7">
        <f>MAX((Parameters!$B$62 + Parameters!$B$31*'6states'!A149 - '6states'!M149 + Parameters!$B$47/Parameters!$B$45)/Parameters!B$62,1)</f>
        <v>127.5235912628418</v>
      </c>
      <c r="Q149" s="8"/>
      <c r="R149" s="8"/>
      <c r="S149" s="7">
        <f>Parameters!B$61*EXP(-Parameters!B$60*A149)+(1-Parameters!B$61)*P149^-Parameters!B$63</f>
        <v>0.31787116901755097</v>
      </c>
      <c r="T149" s="7">
        <f>1-S149/Parameters!$B$12</f>
        <v>0.84106441549122457</v>
      </c>
      <c r="U149" s="7">
        <f t="shared" si="191"/>
        <v>6.2918571891292618</v>
      </c>
      <c r="V149" s="7">
        <f>(Parameters!$B$19*(F149+Parameters!$B$20)^T149+Parameters!$B$18*G149^T149)^(1/T149)</f>
        <v>0.35047823371445685</v>
      </c>
      <c r="W149" s="7">
        <f>(Parameters!$B$10*H149^Parameters!$B$9+Parameters!$B$11*V149^Parameters!$B$9)^(Parameters!$B$7/Parameters!$B$9)*O149</f>
        <v>1.3269804627874722</v>
      </c>
      <c r="X149" s="7">
        <f>W149 - D149 - E149 - LN(1+EXP(Parameters!$B$21*C149))/Parameters!$B$21 - IF(C149&gt;0, 0,Parameters!$B$6*C149^2/F149)</f>
        <v>0.99695850597652758</v>
      </c>
      <c r="Y149" s="7">
        <f>EXP(-Parameters!$B$55*A149)</f>
        <v>0.11197272098356298</v>
      </c>
      <c r="Z149" s="7">
        <f>IF(X149&gt;0,X149^(1-Parameters!$B$52)/(1-Parameters!$B$52)*Y149*Parameters!$B$65,-10+X149*1000)</f>
        <v>-0.32026332516627515</v>
      </c>
      <c r="AC149" s="23">
        <f t="shared" si="192"/>
        <v>10.785566422200198</v>
      </c>
      <c r="AD149" s="23">
        <f t="shared" si="193"/>
        <v>191.15829982968344</v>
      </c>
      <c r="AE149" s="23">
        <f t="shared" si="194"/>
        <v>1.8205179164001462</v>
      </c>
      <c r="AF149" s="23">
        <f t="shared" si="195"/>
        <v>0.19853832457308343</v>
      </c>
      <c r="AG149" s="23">
        <f t="shared" si="196"/>
        <v>2748.565181172884</v>
      </c>
      <c r="AH149" s="23">
        <f t="shared" si="197"/>
        <v>695.83361321001826</v>
      </c>
      <c r="AI149" s="23">
        <f t="shared" si="198"/>
        <v>1712.4994983313736</v>
      </c>
      <c r="AJ149" s="23">
        <f t="shared" si="199"/>
        <v>2634.5647782303959</v>
      </c>
      <c r="AK149" s="23">
        <f t="shared" si="200"/>
        <v>1979.3447144546417</v>
      </c>
      <c r="AL149" s="9">
        <f t="shared" si="204"/>
        <v>2.3233908136832682E-2</v>
      </c>
      <c r="AM149" s="9">
        <f t="shared" si="205"/>
        <v>2.4440484294904863E-2</v>
      </c>
      <c r="AN149" s="9">
        <f t="shared" ref="AN149:AO149" si="221">AVERAGE(AL147:AL151)</f>
        <v>2.3202113528861191E-2</v>
      </c>
      <c r="AO149" s="9">
        <f t="shared" si="221"/>
        <v>2.4228526680318652E-2</v>
      </c>
      <c r="AP149" s="23"/>
      <c r="AQ149" s="25">
        <f t="shared" si="189"/>
        <v>2634.5647782303959</v>
      </c>
      <c r="AR149" s="4"/>
      <c r="AS149" s="4"/>
      <c r="AT149" s="4"/>
      <c r="AU149" s="16"/>
      <c r="AV149" s="16"/>
      <c r="AY149" s="21">
        <f>-Y149*W149*X149^(-Parameters!B$52)*Parameters!B$46*Parameters!B$45*N149</f>
        <v>-3.9813560995355575E-6</v>
      </c>
      <c r="AZ149" s="7">
        <f>1000*EXP(-(Parameters!$B$54)*'6states'!A149)*AQ149*Parameters!B$46*Parameters!B$45*N149</f>
        <v>0.43314712952437867</v>
      </c>
      <c r="BA149" s="93">
        <f>SUM(AZ149:AZ$204)*EXP(Parameters!$B$54*A149)</f>
        <v>4173.540860244123</v>
      </c>
      <c r="BB149" s="43">
        <f t="shared" si="166"/>
        <v>0.24825188812435361</v>
      </c>
      <c r="BC149" s="30">
        <f>IF(C149&lt;0,Parameters!$B$6*AC149^2/AF149,0)</f>
        <v>0</v>
      </c>
      <c r="BD149" s="30">
        <f>Parameters!$B$5*AD149^2/AG149</f>
        <v>13.294753147597522</v>
      </c>
      <c r="BE149" s="30">
        <f t="shared" si="202"/>
        <v>0</v>
      </c>
      <c r="BF149" s="30">
        <f t="shared" si="203"/>
        <v>6.9548396064637349E-2</v>
      </c>
      <c r="BH149" s="5"/>
      <c r="BI149" s="5"/>
      <c r="BJ149" s="5"/>
      <c r="BM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-2.2732991054290711E-18</v>
      </c>
      <c r="BN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-4.5133699564537715E-15</v>
      </c>
    </row>
    <row r="150" spans="1:66" x14ac:dyDescent="0.3">
      <c r="A150">
        <f>A149+Parameters!$B$65</f>
        <v>146</v>
      </c>
      <c r="B150">
        <v>2171</v>
      </c>
      <c r="C150" s="74">
        <v>9.3005474179176494E-3</v>
      </c>
      <c r="D150" s="69">
        <v>9.6733272458161504E-2</v>
      </c>
      <c r="E150" s="75">
        <v>0.22669103809847899</v>
      </c>
      <c r="F150" s="7">
        <f>MAX((1-Parameters!$B$4)^Parameters!B$65*F149 + C149*Parameters!B$65 - IF(C149&gt;0,Parameters!$B$5,0)*C149^2/F149*Parameters!B$65, 0.0001)</f>
        <v>1E-4</v>
      </c>
      <c r="G150" s="7">
        <f>(1-Parameters!$B$4)^Parameters!B$65*G149+D149*Parameters!B$65-Parameters!$B$5*D149^2/G149*Parameters!B$65</f>
        <v>1.386908035957358</v>
      </c>
      <c r="H150" s="7">
        <f>(1-Parameters!$B$4)^Parameters!B$65*H149+E149*Parameters!B$65-Parameters!$B$5*E149^2/H149*Parameters!B$65</f>
        <v>3.323972524054279</v>
      </c>
      <c r="I150" s="7">
        <f>I149 *(1-Parameters!$B$4)-C149*(C149&lt;0)*Parameters!B$65</f>
        <v>8.5928363862594343E-4</v>
      </c>
      <c r="J150" s="23">
        <f>J149*(1+Parameters!$B$51)^Parameters!B$65</f>
        <v>12.453870066619654</v>
      </c>
      <c r="K150" s="23">
        <f>K149*(1+Parameters!$B$53)^Parameters!B$65</f>
        <v>163.07891951835543</v>
      </c>
      <c r="L150" s="23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3.6175707804277174E-2</v>
      </c>
      <c r="M150" s="8">
        <f>M149+L150*Parameters!B$65</f>
        <v>3687.8566125657144</v>
      </c>
      <c r="N150" s="7">
        <f>M150*Parameters!$B$45</f>
        <v>2.2127139675394285</v>
      </c>
      <c r="O150" s="9">
        <f>EXP(-Parameters!$B$46/2*N150^2)</f>
        <v>0.95198515654526072</v>
      </c>
      <c r="P150" s="7">
        <f>MAX((Parameters!$B$62 + Parameters!$B$31*'6states'!A150 - '6states'!M150 + Parameters!$B$47/Parameters!$B$45)/Parameters!B$62,1)</f>
        <v>128.58686774868573</v>
      </c>
      <c r="Q150" s="8"/>
      <c r="R150" s="8"/>
      <c r="S150" s="7">
        <f>Parameters!B$61*EXP(-Parameters!B$60*A150)+(1-Parameters!B$61)*P150^-Parameters!B$63</f>
        <v>0.31735001966325188</v>
      </c>
      <c r="T150" s="7">
        <f>1-S150/Parameters!$B$12</f>
        <v>0.84132499016837403</v>
      </c>
      <c r="U150" s="7">
        <f t="shared" si="191"/>
        <v>6.3021896205402799</v>
      </c>
      <c r="V150" s="7">
        <f>(Parameters!$B$19*(F150+Parameters!$B$20)^T150+Parameters!$B$18*G150^T150)^(1/T150)</f>
        <v>0.35122129222433668</v>
      </c>
      <c r="W150" s="7">
        <f>(Parameters!$B$10*H150^Parameters!$B$9+Parameters!$B$11*V150^Parameters!$B$9)^(Parameters!$B$7/Parameters!$B$9)*O150</f>
        <v>1.3275071809734922</v>
      </c>
      <c r="X150" s="7">
        <f>W150 - D150 - E150 - LN(1+EXP(Parameters!$B$21*C150))/Parameters!$B$21 - IF(C150&gt;0, 0,Parameters!$B$6*C150^2/F150)</f>
        <v>0.99458365874741927</v>
      </c>
      <c r="Y150" s="7">
        <f>EXP(-Parameters!$B$55*A150)</f>
        <v>0.11029463433582516</v>
      </c>
      <c r="Z150" s="7">
        <f>IF(X150&gt;0,X150^(1-Parameters!$B$52)/(1-Parameters!$B$52)*Y150*Parameters!$B$65,-10+X150*1000)</f>
        <v>-0.31572711344888088</v>
      </c>
      <c r="AC150" s="23">
        <f t="shared" si="192"/>
        <v>18.889073956768197</v>
      </c>
      <c r="AD150" s="23">
        <f t="shared" si="193"/>
        <v>196.4617624573676</v>
      </c>
      <c r="AE150" s="23">
        <f t="shared" si="194"/>
        <v>1.7451738559578667</v>
      </c>
      <c r="AF150" s="23">
        <f t="shared" si="195"/>
        <v>0.20309636742863224</v>
      </c>
      <c r="AG150" s="23">
        <f t="shared" si="196"/>
        <v>2816.7598406051829</v>
      </c>
      <c r="AH150" s="23">
        <f t="shared" si="197"/>
        <v>713.31768614352893</v>
      </c>
      <c r="AI150" s="23">
        <f t="shared" si="198"/>
        <v>1755.5291329437348</v>
      </c>
      <c r="AJ150" s="23">
        <f t="shared" si="199"/>
        <v>2696.1188619114018</v>
      </c>
      <c r="AK150" s="23">
        <f t="shared" si="200"/>
        <v>2019.9632819547926</v>
      </c>
      <c r="AL150" s="9">
        <f t="shared" si="204"/>
        <v>2.3095281524970979E-2</v>
      </c>
      <c r="AM150" s="9">
        <f t="shared" si="205"/>
        <v>2.0313496363790762E-2</v>
      </c>
      <c r="AN150" s="9">
        <f t="shared" ref="AN150:AO150" si="222">AVERAGE(AL148:AL152)</f>
        <v>2.3072354451131004E-2</v>
      </c>
      <c r="AO150" s="9">
        <f t="shared" si="222"/>
        <v>2.0908239741048541E-2</v>
      </c>
      <c r="AP150" s="23"/>
      <c r="AQ150" s="25">
        <f t="shared" si="189"/>
        <v>2696.1188619114018</v>
      </c>
      <c r="AR150" s="4"/>
      <c r="AS150" s="4"/>
      <c r="AT150" s="4"/>
      <c r="AU150" s="16"/>
      <c r="AV150" s="16"/>
      <c r="AY150" s="21">
        <f>-Y150*W150*X150^(-Parameters!B$52)*Parameters!B$46*Parameters!B$45*N150</f>
        <v>-3.9359363638005518E-6</v>
      </c>
      <c r="AZ150" s="7">
        <f>1000*EXP(-(Parameters!$B$54)*'6states'!A150)*AQ150*Parameters!B$46*Parameters!B$45*N150</f>
        <v>0.42798260503822905</v>
      </c>
      <c r="BA150" s="93">
        <f>SUM(AZ150:AZ$204)*EXP(Parameters!$B$54*A150)</f>
        <v>4249.8183971933167</v>
      </c>
      <c r="BB150" s="43">
        <f t="shared" si="166"/>
        <v>0.25063883852632962</v>
      </c>
      <c r="BC150" s="30">
        <f>IF(C150&lt;0,Parameters!$B$6*AC150^2/AF150,0)</f>
        <v>0</v>
      </c>
      <c r="BD150" s="30">
        <f>Parameters!$B$5*AD150^2/AG150</f>
        <v>13.702703209359335</v>
      </c>
      <c r="BE150" s="30">
        <f t="shared" si="202"/>
        <v>0</v>
      </c>
      <c r="BF150" s="30">
        <f t="shared" si="203"/>
        <v>6.9747430940068231E-2</v>
      </c>
      <c r="BH150" s="5"/>
      <c r="BI150" s="5"/>
      <c r="BJ150" s="5"/>
      <c r="BM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-3.1196216141413138E-18</v>
      </c>
      <c r="BN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-6.3358381758394706E-15</v>
      </c>
    </row>
    <row r="151" spans="1:66" x14ac:dyDescent="0.3">
      <c r="A151">
        <f>A150+Parameters!$B$65</f>
        <v>147</v>
      </c>
      <c r="B151">
        <v>2172</v>
      </c>
      <c r="C151" s="74">
        <v>9.6290264758559802E-3</v>
      </c>
      <c r="D151" s="69">
        <v>0.10033157070774799</v>
      </c>
      <c r="E151" s="75">
        <v>0.220203953637224</v>
      </c>
      <c r="F151" s="7">
        <f>MAX((1-Parameters!$B$4)^Parameters!B$65*F150 + C150*Parameters!B$65 - IF(C150&gt;0,Parameters!$B$5,0)*C150^2/F150*Parameters!B$65, 0.0001)</f>
        <v>1E-4</v>
      </c>
      <c r="G151" s="7">
        <f>(1-Parameters!$B$4)^Parameters!B$65*G150+D150*Parameters!B$65-Parameters!$B$5*D150^2/G150*Parameters!B$65</f>
        <v>1.3896578957134194</v>
      </c>
      <c r="H151" s="7">
        <f>(1-Parameters!$B$4)^Parameters!B$65*H150+E150*Parameters!B$65-Parameters!$B$5*E150^2/H150*Parameters!B$65</f>
        <v>3.3261256267513457</v>
      </c>
      <c r="I151" s="7">
        <f>I150 *(1-Parameters!$B$4)-C150*(C150&lt;0)*Parameters!B$65</f>
        <v>8.0523469775637161E-4</v>
      </c>
      <c r="J151" s="23">
        <f>J150*(1+Parameters!$B$51)^Parameters!B$65</f>
        <v>12.489986289812849</v>
      </c>
      <c r="K151" s="23">
        <f>K150*(1+Parameters!$B$53)^Parameters!B$65</f>
        <v>166.34049790872254</v>
      </c>
      <c r="L151" s="23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3.6638011566176007E-2</v>
      </c>
      <c r="M151" s="8">
        <f>M150+L151*Parameters!B$65</f>
        <v>3687.8932505772805</v>
      </c>
      <c r="N151" s="7">
        <f>M151*Parameters!$B$45</f>
        <v>2.2127359503463682</v>
      </c>
      <c r="O151" s="9">
        <f>EXP(-Parameters!$B$46/2*N151^2)</f>
        <v>0.95198422578763653</v>
      </c>
      <c r="P151" s="7">
        <f>MAX((Parameters!$B$62 + Parameters!$B$31*'6states'!A151 - '6states'!M151 + Parameters!$B$47/Parameters!$B$45)/Parameters!B$62,1)</f>
        <v>129.6501349884544</v>
      </c>
      <c r="Q151" s="8"/>
      <c r="R151" s="8"/>
      <c r="S151" s="7">
        <f>Parameters!B$61*EXP(-Parameters!B$60*A151)+(1-Parameters!B$61)*P151^-Parameters!B$63</f>
        <v>0.31683826161481715</v>
      </c>
      <c r="T151" s="7">
        <f>1-S151/Parameters!$B$12</f>
        <v>0.84158086919259145</v>
      </c>
      <c r="U151" s="7">
        <f t="shared" si="191"/>
        <v>6.3123689348839331</v>
      </c>
      <c r="V151" s="7">
        <f>(Parameters!$B$19*(F151+Parameters!$B$20)^T151+Parameters!$B$18*G151^T151)^(1/T151)</f>
        <v>0.35202167485883307</v>
      </c>
      <c r="W151" s="7">
        <f>(Parameters!$B$10*H151^Parameters!$B$9+Parameters!$B$11*V151^Parameters!$B$9)^(Parameters!$B$7/Parameters!$B$9)*O151</f>
        <v>1.3279645564399485</v>
      </c>
      <c r="X151" s="7">
        <f>W151 - D151 - E151 - LN(1+EXP(Parameters!$B$21*C151))/Parameters!$B$21 - IF(C151&gt;0, 0,Parameters!$B$6*C151^2/F151)</f>
        <v>0.99761948942066159</v>
      </c>
      <c r="Y151" s="7">
        <f>EXP(-Parameters!$B$55*A151)</f>
        <v>0.1086416964455041</v>
      </c>
      <c r="Z151" s="7">
        <f>IF(X151&gt;0,X151^(1-Parameters!$B$52)/(1-Parameters!$B$52)*Y151*Parameters!$B$65,-10+X151*1000)</f>
        <v>-0.31066388603788114</v>
      </c>
      <c r="AC151" s="23">
        <f t="shared" si="192"/>
        <v>20.005174299476817</v>
      </c>
      <c r="AD151" s="23">
        <f t="shared" si="193"/>
        <v>208.44792199726021</v>
      </c>
      <c r="AE151" s="23">
        <f t="shared" si="194"/>
        <v>1.6729479891860757</v>
      </c>
      <c r="AF151" s="23">
        <f t="shared" si="195"/>
        <v>0.20775905383205873</v>
      </c>
      <c r="AG151" s="23">
        <f t="shared" si="196"/>
        <v>2887.1400956366979</v>
      </c>
      <c r="AH151" s="23">
        <f t="shared" si="197"/>
        <v>731.3569009704778</v>
      </c>
      <c r="AI151" s="23">
        <f t="shared" si="198"/>
        <v>1799.9250140207214</v>
      </c>
      <c r="AJ151" s="23">
        <f t="shared" si="199"/>
        <v>2758.9665976847327</v>
      </c>
      <c r="AK151" s="23">
        <f t="shared" si="200"/>
        <v>2072.6448120645819</v>
      </c>
      <c r="AL151" s="9">
        <f t="shared" si="204"/>
        <v>2.3042908162974385E-2</v>
      </c>
      <c r="AM151" s="9">
        <f t="shared" si="205"/>
        <v>2.5746144719779096E-2</v>
      </c>
      <c r="AN151" s="9">
        <f t="shared" ref="AN151:AO151" si="223">AVERAGE(AL149:AL153)</f>
        <v>2.3118761296782253E-2</v>
      </c>
      <c r="AO151" s="9">
        <f t="shared" si="223"/>
        <v>2.1610091688590138E-2</v>
      </c>
      <c r="AP151" s="23"/>
      <c r="AQ151" s="25">
        <f t="shared" si="189"/>
        <v>2758.9665976847327</v>
      </c>
      <c r="AR151" s="4"/>
      <c r="AS151" s="4"/>
      <c r="AT151" s="4"/>
      <c r="AU151" s="16"/>
      <c r="AV151" s="16"/>
      <c r="AY151" s="21">
        <f>-Y151*W151*X151^(-Parameters!B$52)*Parameters!B$46*Parameters!B$45*N151</f>
        <v>-3.8624002223220731E-6</v>
      </c>
      <c r="AZ151" s="7">
        <f>1000*EXP(-(Parameters!$B$54)*'6states'!A151)*AQ151*Parameters!B$46*Parameters!B$45*N151</f>
        <v>0.42285756442217354</v>
      </c>
      <c r="BA151" s="93">
        <f>SUM(AZ151:AZ$204)*EXP(Parameters!$B$54*A151)</f>
        <v>4327.1188335667803</v>
      </c>
      <c r="BB151" s="43">
        <f t="shared" si="166"/>
        <v>0.24862452030040927</v>
      </c>
      <c r="BC151" s="30">
        <f>IF(C151&lt;0,Parameters!$B$6*AC151^2/AF151,0)</f>
        <v>0</v>
      </c>
      <c r="BD151" s="30">
        <f>Parameters!$B$5*AD151^2/AG151</f>
        <v>15.049680564736772</v>
      </c>
      <c r="BE151" s="30">
        <f t="shared" si="202"/>
        <v>0</v>
      </c>
      <c r="BF151" s="30">
        <f t="shared" si="203"/>
        <v>7.2198755547846535E-2</v>
      </c>
      <c r="BH151" s="5"/>
      <c r="BI151" s="5"/>
      <c r="BJ151" s="5"/>
      <c r="BM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-4.3320255717426126E-18</v>
      </c>
      <c r="BN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-9.0001753396152847E-15</v>
      </c>
    </row>
    <row r="152" spans="1:66" x14ac:dyDescent="0.3">
      <c r="A152">
        <f>A151+Parameters!$B$65</f>
        <v>148</v>
      </c>
      <c r="B152">
        <v>2173</v>
      </c>
      <c r="C152" s="74">
        <v>9.6290149812695604E-3</v>
      </c>
      <c r="D152" s="69">
        <v>9.6841390401461405E-2</v>
      </c>
      <c r="E152" s="75">
        <v>0.232900036711188</v>
      </c>
      <c r="F152" s="7">
        <f>MAX((1-Parameters!$B$4)^Parameters!B$65*F151 + C151*Parameters!B$65 - IF(C151&gt;0,Parameters!$B$5,0)*C151^2/F151*Parameters!B$65, 0.0001)</f>
        <v>1E-4</v>
      </c>
      <c r="G152" s="7">
        <f>(1-Parameters!$B$4)^Parameters!B$65*G151+D151*Parameters!B$65-Parameters!$B$5*D151^2/G151*Parameters!B$65</f>
        <v>1.395336170233533</v>
      </c>
      <c r="H152" s="7">
        <f>(1-Parameters!$B$4)^Parameters!B$65*H151+E151*Parameters!B$65-Parameters!$B$5*E151^2/H151*Parameters!B$65</f>
        <v>3.3225378209333774</v>
      </c>
      <c r="I152" s="7">
        <f>I151 *(1-Parameters!$B$4)-C151*(C151&lt;0)*Parameters!B$65</f>
        <v>7.5458543526749587E-4</v>
      </c>
      <c r="J152" s="23">
        <f>J151*(1+Parameters!$B$51)^Parameters!B$65</f>
        <v>12.526207250053305</v>
      </c>
      <c r="K152" s="23">
        <f>K151*(1+Parameters!$B$53)^Parameters!B$65</f>
        <v>169.667307866897</v>
      </c>
      <c r="L152" s="23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3.7106223291767562E-2</v>
      </c>
      <c r="M152" s="8">
        <f>M151+L152*Parameters!B$65</f>
        <v>3687.9303568005721</v>
      </c>
      <c r="N152" s="7">
        <f>M152*Parameters!$B$45</f>
        <v>2.2127582140803432</v>
      </c>
      <c r="O152" s="9">
        <f>EXP(-Parameters!$B$46/2*N152^2)</f>
        <v>0.9519832831269931</v>
      </c>
      <c r="P152" s="7">
        <f>MAX((Parameters!$B$62 + Parameters!$B$31*'6states'!A152 - '6states'!M152 + Parameters!$B$47/Parameters!$B$45)/Parameters!B$62,1)</f>
        <v>130.71339286398856</v>
      </c>
      <c r="Q152" s="8"/>
      <c r="R152" s="8"/>
      <c r="S152" s="7">
        <f>Parameters!B$61*EXP(-Parameters!B$60*A152)+(1-Parameters!B$61)*P152^-Parameters!B$63</f>
        <v>0.31633566669449653</v>
      </c>
      <c r="T152" s="7">
        <f>1-S152/Parameters!$B$12</f>
        <v>0.84183216665275173</v>
      </c>
      <c r="U152" s="7">
        <f t="shared" si="191"/>
        <v>6.3223980428723348</v>
      </c>
      <c r="V152" s="7">
        <f>(Parameters!$B$19*(F152+Parameters!$B$20)^T152+Parameters!$B$18*G152^T152)^(1/T152)</f>
        <v>0.35353636759291018</v>
      </c>
      <c r="W152" s="7">
        <f>(Parameters!$B$10*H152^Parameters!$B$9+Parameters!$B$11*V152^Parameters!$B$9)^(Parameters!$B$7/Parameters!$B$9)*O152</f>
        <v>1.3281892471590746</v>
      </c>
      <c r="X152" s="7">
        <f>W152 - D152 - E152 - LN(1+EXP(Parameters!$B$21*C152))/Parameters!$B$21 - IF(C152&gt;0, 0,Parameters!$B$6*C152^2/F152)</f>
        <v>0.98863828826076317</v>
      </c>
      <c r="Y152" s="7">
        <f>EXP(-Parameters!$B$55*A152)</f>
        <v>0.10701353041907032</v>
      </c>
      <c r="Z152" s="7">
        <f>IF(X152&gt;0,X152^(1-Parameters!$B$52)/(1-Parameters!$B$52)*Y152*Parameters!$B$65,-10+X152*1000)</f>
        <v>-0.30697820932126019</v>
      </c>
      <c r="AC152" s="23">
        <f t="shared" si="192"/>
        <v>20.464428661739209</v>
      </c>
      <c r="AD152" s="23">
        <f t="shared" si="193"/>
        <v>205.81583154968231</v>
      </c>
      <c r="AE152" s="23">
        <f t="shared" si="194"/>
        <v>1.6037112663400477</v>
      </c>
      <c r="AF152" s="23">
        <f t="shared" si="195"/>
        <v>0.21252878618993515</v>
      </c>
      <c r="AG152" s="23">
        <f t="shared" si="196"/>
        <v>2965.4910258664549</v>
      </c>
      <c r="AH152" s="23">
        <f t="shared" si="197"/>
        <v>751.36655078519925</v>
      </c>
      <c r="AI152" s="23">
        <f t="shared" si="198"/>
        <v>1849.1702856186525</v>
      </c>
      <c r="AJ152" s="23">
        <f t="shared" si="199"/>
        <v>2822.784485292419</v>
      </c>
      <c r="AK152" s="23">
        <f t="shared" si="200"/>
        <v>2101.1409538495523</v>
      </c>
      <c r="AL152" s="9">
        <f t="shared" si="204"/>
        <v>2.286761543006488E-2</v>
      </c>
      <c r="AM152" s="9">
        <f t="shared" si="205"/>
        <v>1.3655029828547605E-2</v>
      </c>
      <c r="AN152" s="9">
        <f t="shared" ref="AN152:AO152" si="224">AVERAGE(AL150:AL154)</f>
        <v>2.3131790223520278E-2</v>
      </c>
      <c r="AO152" s="9">
        <f t="shared" si="224"/>
        <v>2.2543169672274745E-2</v>
      </c>
      <c r="AP152" s="23"/>
      <c r="AQ152" s="25">
        <f t="shared" si="189"/>
        <v>2822.784485292419</v>
      </c>
      <c r="AR152" s="4"/>
      <c r="AS152" s="4"/>
      <c r="AT152" s="4"/>
      <c r="AU152" s="16"/>
      <c r="AV152" s="16"/>
      <c r="AY152" s="21">
        <f>-Y152*W152*X152^(-Parameters!B$52)*Parameters!B$46*Parameters!B$45*N152</f>
        <v>-3.8519389575745908E-6</v>
      </c>
      <c r="AZ152" s="7">
        <f>1000*EXP(-(Parameters!$B$54)*'6states'!A152)*AQ152*Parameters!B$46*Parameters!B$45*N152</f>
        <v>0.41772071873229488</v>
      </c>
      <c r="BA152" s="93">
        <f>SUM(AZ152:AZ$204)*EXP(Parameters!$B$54*A152)</f>
        <v>4405.4429126403438</v>
      </c>
      <c r="BB152" s="43">
        <f t="shared" si="166"/>
        <v>0.25551361962899044</v>
      </c>
      <c r="BC152" s="30">
        <f>IF(C152&lt;0,Parameters!$B$6*AC152^2/AF152,0)</f>
        <v>0</v>
      </c>
      <c r="BD152" s="30">
        <f>Parameters!$B$5*AD152^2/AG152</f>
        <v>14.284365100754419</v>
      </c>
      <c r="BE152" s="30">
        <f t="shared" si="202"/>
        <v>0</v>
      </c>
      <c r="BF152" s="30">
        <f t="shared" si="203"/>
        <v>6.9403626500453564E-2</v>
      </c>
      <c r="BH152" s="5"/>
      <c r="BI152" s="5"/>
      <c r="BJ152" s="5"/>
      <c r="BM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-6.0903568038475209E-18</v>
      </c>
      <c r="BN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-1.2943761389853263E-14</v>
      </c>
    </row>
    <row r="153" spans="1:66" x14ac:dyDescent="0.3">
      <c r="A153">
        <f>A152+Parameters!$B$65</f>
        <v>149</v>
      </c>
      <c r="B153">
        <v>2174</v>
      </c>
      <c r="C153" s="74">
        <v>9.6289450580761896E-3</v>
      </c>
      <c r="D153" s="69">
        <v>9.9891966273427696E-2</v>
      </c>
      <c r="E153" s="75">
        <v>0.22953667423665999</v>
      </c>
      <c r="F153" s="7">
        <f>MAX((1-Parameters!$B$4)^Parameters!B$65*F152 + C152*Parameters!B$65 - IF(C152&gt;0,Parameters!$B$5,0)*C152^2/F152*Parameters!B$65, 0.0001)</f>
        <v>1E-4</v>
      </c>
      <c r="G153" s="7">
        <f>(1-Parameters!$B$4)^Parameters!B$65*G152+D152*Parameters!B$65-Parameters!$B$5*D152^2/G152*Parameters!B$65</f>
        <v>1.3976897718380976</v>
      </c>
      <c r="H153" s="7">
        <f>(1-Parameters!$B$4)^Parameters!B$65*H152+E152*Parameters!B$65-Parameters!$B$5*E152^2/H152*Parameters!B$65</f>
        <v>3.3301246276091048</v>
      </c>
      <c r="I153" s="7">
        <f>I152 *(1-Parameters!$B$4)-C152*(C152&lt;0)*Parameters!B$65</f>
        <v>7.0712201138917045E-4</v>
      </c>
      <c r="J153" s="23">
        <f>J152*(1+Parameters!$B$51)^Parameters!B$65</f>
        <v>12.56253325107846</v>
      </c>
      <c r="K153" s="23">
        <f>K152*(1+Parameters!$B$53)^Parameters!B$65</f>
        <v>173.06065402423494</v>
      </c>
      <c r="L153" s="23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3.758041848127025E-2</v>
      </c>
      <c r="M153" s="8">
        <f>M152+L153*Parameters!B$65</f>
        <v>3687.9679372190535</v>
      </c>
      <c r="N153" s="7">
        <f>M153*Parameters!$B$45</f>
        <v>2.2127807623314317</v>
      </c>
      <c r="O153" s="9">
        <f>EXP(-Parameters!$B$46/2*N153^2)</f>
        <v>0.95198232841099839</v>
      </c>
      <c r="P153" s="7">
        <f>MAX((Parameters!$B$62 + Parameters!$B$31*'6states'!A153 - '6states'!M153 + Parameters!$B$47/Parameters!$B$45)/Parameters!B$62,1)</f>
        <v>131.77664125561893</v>
      </c>
      <c r="Q153" s="8"/>
      <c r="R153" s="8"/>
      <c r="S153" s="7">
        <f>Parameters!B$61*EXP(-Parameters!B$60*A153)+(1-Parameters!B$61)*P153^-Parameters!B$63</f>
        <v>0.31584201274258855</v>
      </c>
      <c r="T153" s="7">
        <f>1-S153/Parameters!$B$12</f>
        <v>0.84207899362870575</v>
      </c>
      <c r="U153" s="7">
        <f t="shared" si="191"/>
        <v>6.3322798086079883</v>
      </c>
      <c r="V153" s="7">
        <f>(Parameters!$B$19*(F153+Parameters!$B$20)^T153+Parameters!$B$18*G153^T153)^(1/T153)</f>
        <v>0.35423659049149103</v>
      </c>
      <c r="W153" s="7">
        <f>(Parameters!$B$10*H153^Parameters!$B$9+Parameters!$B$11*V153^Parameters!$B$9)^(Parameters!$B$7/Parameters!$B$9)*O153</f>
        <v>1.3290603770200302</v>
      </c>
      <c r="X153" s="7">
        <f>W153 - D153 - E153 - LN(1+EXP(Parameters!$B$21*C153))/Parameters!$B$21 - IF(C153&gt;0, 0,Parameters!$B$6*C153^2/F153)</f>
        <v>0.98982227096145192</v>
      </c>
      <c r="Y153" s="7">
        <f>EXP(-Parameters!$B$55*A153)</f>
        <v>0.10540976501133419</v>
      </c>
      <c r="Z153" s="7">
        <f>IF(X153&gt;0,X153^(1-Parameters!$B$52)/(1-Parameters!$B$52)*Y153*Parameters!$B$65,-10+X153*1000)</f>
        <v>-0.30225101878789079</v>
      </c>
      <c r="AC153" s="23">
        <f t="shared" si="192"/>
        <v>20.934098996323744</v>
      </c>
      <c r="AD153" s="23">
        <f t="shared" si="193"/>
        <v>217.17314807518153</v>
      </c>
      <c r="AE153" s="23">
        <f t="shared" si="194"/>
        <v>1.5373399785353028</v>
      </c>
      <c r="AF153" s="23">
        <f t="shared" si="195"/>
        <v>0.21740802206328366</v>
      </c>
      <c r="AG153" s="23">
        <f t="shared" si="196"/>
        <v>3038.6896875340303</v>
      </c>
      <c r="AH153" s="23">
        <f t="shared" si="197"/>
        <v>770.13876481196462</v>
      </c>
      <c r="AI153" s="23">
        <f t="shared" si="198"/>
        <v>1895.3701335321537</v>
      </c>
      <c r="AJ153" s="23">
        <f t="shared" si="199"/>
        <v>2889.4838777060681</v>
      </c>
      <c r="AK153" s="23">
        <f t="shared" si="200"/>
        <v>2151.9530212391687</v>
      </c>
      <c r="AL153" s="9">
        <f t="shared" si="204"/>
        <v>2.335409322906834E-2</v>
      </c>
      <c r="AM153" s="9">
        <f t="shared" si="205"/>
        <v>2.3895303235928367E-2</v>
      </c>
      <c r="AN153" s="9">
        <f t="shared" ref="AN153:AO153" si="225">AVERAGE(AL151:AL155)</f>
        <v>2.3105633605103114E-2</v>
      </c>
      <c r="AO153" s="9">
        <f t="shared" si="225"/>
        <v>2.0356484753662939E-2</v>
      </c>
      <c r="AP153" s="23"/>
      <c r="AQ153" s="25">
        <f t="shared" si="189"/>
        <v>2889.4838777060686</v>
      </c>
      <c r="AR153" s="4"/>
      <c r="AS153" s="4"/>
      <c r="AT153" s="4"/>
      <c r="AU153" s="16"/>
      <c r="AV153" s="16"/>
      <c r="AY153" s="21">
        <f>-Y153*W153*X153^(-Parameters!B$52)*Parameters!B$46*Parameters!B$45*N153</f>
        <v>-3.7906091107907857E-6</v>
      </c>
      <c r="AZ153" s="7">
        <f>1000*EXP(-(Parameters!$B$54)*'6states'!A153)*AQ153*Parameters!B$46*Parameters!B$45*N153</f>
        <v>0.41284712023351877</v>
      </c>
      <c r="BA153" s="93">
        <f>SUM(AZ153:AZ$204)*EXP(Parameters!$B$54*A153)</f>
        <v>4484.8003436769932</v>
      </c>
      <c r="BB153" s="43">
        <f t="shared" si="166"/>
        <v>0.25511074698380987</v>
      </c>
      <c r="BC153" s="30">
        <f>IF(C153&lt;0,Parameters!$B$6*AC153^2/AF153,0)</f>
        <v>0</v>
      </c>
      <c r="BD153" s="30">
        <f>Parameters!$B$5*AD153^2/AG153</f>
        <v>15.521221676030889</v>
      </c>
      <c r="BE153" s="30">
        <f t="shared" si="202"/>
        <v>0</v>
      </c>
      <c r="BF153" s="30">
        <f t="shared" si="203"/>
        <v>7.1469340540469189E-2</v>
      </c>
      <c r="BH153" s="5"/>
      <c r="BI153" s="5"/>
      <c r="BJ153" s="5"/>
      <c r="BM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-8.673047575739946E-18</v>
      </c>
      <c r="BN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-1.8855901187023791E-14</v>
      </c>
    </row>
    <row r="154" spans="1:66" x14ac:dyDescent="0.3">
      <c r="A154">
        <f>A153+Parameters!$B$65</f>
        <v>150</v>
      </c>
      <c r="B154">
        <v>2175</v>
      </c>
      <c r="C154" s="74">
        <v>9.6288675648393204E-3</v>
      </c>
      <c r="D154" s="69">
        <v>9.4249595618732904E-2</v>
      </c>
      <c r="E154" s="75">
        <v>0.22961502867022601</v>
      </c>
      <c r="F154" s="7">
        <f>MAX((1-Parameters!$B$4)^Parameters!B$65*F153 + C153*Parameters!B$65 - IF(C153&gt;0,Parameters!$B$5,0)*C153^2/F153*Parameters!B$65, 0.0001)</f>
        <v>1E-4</v>
      </c>
      <c r="G154" s="7">
        <f>(1-Parameters!$B$4)^Parameters!B$65*G153+D153*Parameters!B$65-Parameters!$B$5*D153^2/G153*Parameters!B$65</f>
        <v>1.4025278385080564</v>
      </c>
      <c r="H154" s="7">
        <f>(1-Parameters!$B$4)^Parameters!B$65*H153+E153*Parameters!B$65-Parameters!$B$5*E153^2/H153*Parameters!B$65</f>
        <v>3.3343751075013</v>
      </c>
      <c r="I154" s="7">
        <f>I153 *(1-Parameters!$B$4)-C153*(C153&lt;0)*Parameters!B$65</f>
        <v>6.6264403687279171E-4</v>
      </c>
      <c r="J154" s="23">
        <f>J153*(1+Parameters!$B$51)^Parameters!B$65</f>
        <v>12.598964597506585</v>
      </c>
      <c r="K154" s="23">
        <f>K153*(1+Parameters!$B$53)^Parameters!B$65</f>
        <v>176.52186710471963</v>
      </c>
      <c r="L154" s="23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3.8060673599749774E-2</v>
      </c>
      <c r="M154" s="8">
        <f>M153+L154*Parameters!B$65</f>
        <v>3688.0059978926533</v>
      </c>
      <c r="N154" s="7">
        <f>M154*Parameters!$B$45</f>
        <v>2.2128035987355918</v>
      </c>
      <c r="O154" s="9">
        <f>EXP(-Parameters!$B$46/2*N154^2)</f>
        <v>0.95198136148536816</v>
      </c>
      <c r="P154" s="7">
        <f>MAX((Parameters!$B$62 + Parameters!$B$31*'6states'!A154 - '6states'!M154 + Parameters!$B$47/Parameters!$B$45)/Parameters!B$62,1)</f>
        <v>132.83988004214694</v>
      </c>
      <c r="Q154" s="8"/>
      <c r="R154" s="8"/>
      <c r="S154" s="7">
        <f>Parameters!B$61*EXP(-Parameters!B$60*A154)+(1-Parameters!B$61)*P154^-Parameters!B$63</f>
        <v>0.31535708345083874</v>
      </c>
      <c r="T154" s="7">
        <f>1-S154/Parameters!$B$12</f>
        <v>0.8423214582745806</v>
      </c>
      <c r="U154" s="7">
        <f t="shared" si="191"/>
        <v>6.3420170497352446</v>
      </c>
      <c r="V154" s="7">
        <f>(Parameters!$B$19*(F154+Parameters!$B$20)^T154+Parameters!$B$18*G154^T154)^(1/T154)</f>
        <v>0.35554302665622234</v>
      </c>
      <c r="W154" s="7">
        <f>(Parameters!$B$10*H154^Parameters!$B$9+Parameters!$B$11*V154^Parameters!$B$9)^(Parameters!$B$7/Parameters!$B$9)*O154</f>
        <v>1.3298588801787616</v>
      </c>
      <c r="X154" s="7">
        <f>W154 - D154 - E154 - LN(1+EXP(Parameters!$B$21*C154))/Parameters!$B$21 - IF(C154&gt;0, 0,Parameters!$B$6*C154^2/F154)</f>
        <v>0.99618486374938442</v>
      </c>
      <c r="Y154" s="7">
        <f>EXP(-Parameters!$B$55*A154)</f>
        <v>0.10383003454079688</v>
      </c>
      <c r="Z154" s="7">
        <f>IF(X154&gt;0,X154^(1-Parameters!$B$52)/(1-Parameters!$B$52)*Y154*Parameters!$B$65,-10+X154*1000)</f>
        <v>-0.29705439044190657</v>
      </c>
      <c r="AC154" s="23">
        <f t="shared" si="192"/>
        <v>21.414531696684033</v>
      </c>
      <c r="AD154" s="23">
        <f t="shared" si="193"/>
        <v>209.61041775536026</v>
      </c>
      <c r="AE154" s="23">
        <f t="shared" si="194"/>
        <v>1.4737155367104542</v>
      </c>
      <c r="AF154" s="23">
        <f t="shared" si="195"/>
        <v>0.22239927543381249</v>
      </c>
      <c r="AG154" s="23">
        <f t="shared" si="196"/>
        <v>3119.2117505994293</v>
      </c>
      <c r="AH154" s="23">
        <f t="shared" si="197"/>
        <v>790.72511513888537</v>
      </c>
      <c r="AI154" s="23">
        <f t="shared" si="198"/>
        <v>1946.0347089968132</v>
      </c>
      <c r="AJ154" s="23">
        <f t="shared" si="199"/>
        <v>2957.5965138097781</v>
      </c>
      <c r="AK154" s="23">
        <f t="shared" si="200"/>
        <v>2215.5079189599433</v>
      </c>
      <c r="AL154" s="9">
        <f t="shared" si="204"/>
        <v>2.3299052770522799E-2</v>
      </c>
      <c r="AM154" s="9">
        <f t="shared" si="205"/>
        <v>2.9105874213327887E-2</v>
      </c>
      <c r="AN154" s="9">
        <f t="shared" ref="AN154:AO154" si="226">AVERAGE(AL152:AL156)</f>
        <v>2.3232594874765942E-2</v>
      </c>
      <c r="AO154" s="9">
        <f t="shared" si="226"/>
        <v>1.9501203237320831E-2</v>
      </c>
      <c r="AP154" s="23"/>
      <c r="AQ154" s="25">
        <f t="shared" si="189"/>
        <v>2957.5965138097786</v>
      </c>
      <c r="AR154" s="4"/>
      <c r="AS154" s="4"/>
      <c r="AT154" s="4"/>
      <c r="AU154" s="16"/>
      <c r="AV154" s="16"/>
      <c r="AY154" s="21">
        <f>-Y154*W154*X154^(-Parameters!B$52)*Parameters!B$46*Parameters!B$45*N154</f>
        <v>-3.7039048011874613E-6</v>
      </c>
      <c r="AZ154" s="7">
        <f>1000*EXP(-(Parameters!$B$54)*'6states'!A154)*AQ154*Parameters!B$46*Parameters!B$45*N154</f>
        <v>0.4080079781294198</v>
      </c>
      <c r="BA154" s="93">
        <f>SUM(AZ154:AZ$204)*EXP(Parameters!$B$54*A154)</f>
        <v>4565.1483524266332</v>
      </c>
      <c r="BB154" s="43">
        <f t="shared" si="166"/>
        <v>0.25077359472079436</v>
      </c>
      <c r="BC154" s="30">
        <f>IF(C154&lt;0,Parameters!$B$6*AC154^2/AF154,0)</f>
        <v>0</v>
      </c>
      <c r="BD154" s="30">
        <f>Parameters!$B$5*AD154^2/AG154</f>
        <v>14.085778954613524</v>
      </c>
      <c r="BE154" s="30">
        <f t="shared" si="202"/>
        <v>0</v>
      </c>
      <c r="BF154" s="30">
        <f t="shared" si="203"/>
        <v>6.719980383347772E-2</v>
      </c>
      <c r="BH154" s="5"/>
      <c r="BI154" s="5"/>
      <c r="BJ154" s="5"/>
      <c r="BM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-1.2516599360756995E-17</v>
      </c>
      <c r="BN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-2.783682628727676E-14</v>
      </c>
    </row>
    <row r="155" spans="1:66" x14ac:dyDescent="0.3">
      <c r="A155">
        <f>A154+Parameters!$B$65</f>
        <v>151</v>
      </c>
      <c r="B155">
        <v>2176</v>
      </c>
      <c r="C155" s="74">
        <v>9.6288778876867896E-3</v>
      </c>
      <c r="D155" s="69">
        <v>9.8961957786819904E-2</v>
      </c>
      <c r="E155" s="75">
        <v>0.23843612396047201</v>
      </c>
      <c r="F155" s="7">
        <f>MAX((1-Parameters!$B$4)^Parameters!B$65*F154 + C154*Parameters!B$65 - IF(C154&gt;0,Parameters!$B$5,0)*C154^2/F154*Parameters!B$65, 0.0001)</f>
        <v>1E-4</v>
      </c>
      <c r="G155" s="7">
        <f>(1-Parameters!$B$4)^Parameters!B$65*G154+D154*Parameters!B$65-Parameters!$B$5*D154^2/G154*Parameters!B$65</f>
        <v>1.4022248787476692</v>
      </c>
      <c r="H155" s="7">
        <f>(1-Parameters!$B$4)^Parameters!B$65*H154+E154*Parameters!B$65-Parameters!$B$5*E154^2/H154*Parameters!B$65</f>
        <v>3.3384459652449756</v>
      </c>
      <c r="I155" s="7">
        <f>I154 *(1-Parameters!$B$4)-C154*(C154&lt;0)*Parameters!B$65</f>
        <v>6.2096372695349315E-4</v>
      </c>
      <c r="J155" s="23">
        <f>J154*(1+Parameters!$B$51)^Parameters!B$65</f>
        <v>12.635501594839353</v>
      </c>
      <c r="K155" s="23">
        <f>K154*(1+Parameters!$B$53)^Parameters!B$65</f>
        <v>180.05230444681402</v>
      </c>
      <c r="L155" s="23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3.854706608944939E-2</v>
      </c>
      <c r="M155" s="8">
        <f>M154+L155*Parameters!B$65</f>
        <v>3688.0445449587428</v>
      </c>
      <c r="N155" s="7">
        <f>M155*Parameters!$B$45</f>
        <v>2.2128267269752455</v>
      </c>
      <c r="O155" s="9">
        <f>EXP(-Parameters!$B$46/2*N155^2)</f>
        <v>0.95198038219384074</v>
      </c>
      <c r="P155" s="7">
        <f>MAX((Parameters!$B$62 + Parameters!$B$31*'6states'!A155 - '6states'!M155 + Parameters!$B$47/Parameters!$B$45)/Parameters!B$62,1)</f>
        <v>133.90310910082516</v>
      </c>
      <c r="Q155" s="8"/>
      <c r="R155" s="8"/>
      <c r="S155" s="7">
        <f>Parameters!B$61*EXP(-Parameters!B$60*A155)+(1-Parameters!B$61)*P155^-Parameters!B$63</f>
        <v>0.31488066820073657</v>
      </c>
      <c r="T155" s="7">
        <f>1-S155/Parameters!$B$12</f>
        <v>0.84255966589963172</v>
      </c>
      <c r="U155" s="7">
        <f t="shared" si="191"/>
        <v>6.3516125376264734</v>
      </c>
      <c r="V155" s="7">
        <f>(Parameters!$B$19*(F155+Parameters!$B$20)^T155+Parameters!$B$18*G155^T155)^(1/T155)</f>
        <v>0.35558964620151784</v>
      </c>
      <c r="W155" s="7">
        <f>(Parameters!$B$10*H155^Parameters!$B$9+Parameters!$B$11*V155^Parameters!$B$9)^(Parameters!$B$7/Parameters!$B$9)*O155</f>
        <v>1.3302127601801017</v>
      </c>
      <c r="X155" s="7">
        <f>W155 - D155 - E155 - LN(1+EXP(Parameters!$B$21*C155))/Parameters!$B$21 - IF(C155&gt;0, 0,Parameters!$B$6*C155^2/F155)</f>
        <v>0.9830052765137326</v>
      </c>
      <c r="Y155" s="7">
        <f>EXP(-Parameters!$B$55*A155)</f>
        <v>0.10227397880626984</v>
      </c>
      <c r="Z155" s="7">
        <f>IF(X155&gt;0,X155^(1-Parameters!$B$52)/(1-Parameters!$B$52)*Y155*Parameters!$B$65,-10+X155*1000)</f>
        <v>-0.29396969399039635</v>
      </c>
      <c r="AC155" s="23">
        <f t="shared" si="192"/>
        <v>21.906190000382818</v>
      </c>
      <c r="AD155" s="23">
        <f t="shared" si="193"/>
        <v>225.14351883724481</v>
      </c>
      <c r="AE155" s="23">
        <f t="shared" si="194"/>
        <v>1.4127242597379108</v>
      </c>
      <c r="AF155" s="23">
        <f t="shared" si="195"/>
        <v>0.22750511799922193</v>
      </c>
      <c r="AG155" s="23">
        <f t="shared" si="196"/>
        <v>3190.1333650093311</v>
      </c>
      <c r="AH155" s="23">
        <f t="shared" si="197"/>
        <v>808.98464418377887</v>
      </c>
      <c r="AI155" s="23">
        <f t="shared" si="198"/>
        <v>1990.9728001374453</v>
      </c>
      <c r="AJ155" s="23">
        <f t="shared" si="199"/>
        <v>3026.3021096884472</v>
      </c>
      <c r="AK155" s="23">
        <f t="shared" si="200"/>
        <v>2236.387314271145</v>
      </c>
      <c r="AL155" s="9">
        <f t="shared" si="204"/>
        <v>2.2964498432885172E-2</v>
      </c>
      <c r="AM155" s="9">
        <f t="shared" si="205"/>
        <v>9.380071770731746E-3</v>
      </c>
      <c r="AN155" s="9">
        <f t="shared" ref="AN155:AO155" si="227">AVERAGE(AL153:AL157)</f>
        <v>2.3409638259285971E-2</v>
      </c>
      <c r="AO155" s="9">
        <f t="shared" si="227"/>
        <v>2.1308080617577295E-2</v>
      </c>
      <c r="AP155" s="23"/>
      <c r="AQ155" s="25">
        <f t="shared" si="189"/>
        <v>3026.3021096884472</v>
      </c>
      <c r="AR155" s="4"/>
      <c r="AS155" s="4"/>
      <c r="AT155" s="4"/>
      <c r="AU155" s="16"/>
      <c r="AV155" s="16"/>
      <c r="AY155" s="21">
        <f>-Y155*W155*X155^(-Parameters!B$52)*Parameters!B$46*Parameters!B$45*N155</f>
        <v>-3.7156139202882569E-6</v>
      </c>
      <c r="AZ155" s="7">
        <f>1000*EXP(-(Parameters!$B$54)*'6states'!A155)*AQ155*Parameters!B$46*Parameters!B$45*N155</f>
        <v>0.40309073231928266</v>
      </c>
      <c r="BA155" s="93">
        <f>SUM(AZ155:AZ$204)*EXP(Parameters!$B$54*A155)</f>
        <v>4646.4832156743669</v>
      </c>
      <c r="BB155" s="43">
        <f t="shared" si="166"/>
        <v>0.26088079292518113</v>
      </c>
      <c r="BC155" s="30">
        <f>IF(C155&lt;0,Parameters!$B$6*AC155^2/AF155,0)</f>
        <v>0</v>
      </c>
      <c r="BD155" s="30">
        <f>Parameters!$B$5*AD155^2/AG155</f>
        <v>15.889493721610773</v>
      </c>
      <c r="BE155" s="30">
        <f t="shared" si="202"/>
        <v>0</v>
      </c>
      <c r="BF155" s="30">
        <f t="shared" si="203"/>
        <v>7.0574955049437657E-2</v>
      </c>
      <c r="BH155" s="5"/>
      <c r="BI155" s="5"/>
      <c r="BJ155" s="5"/>
      <c r="BM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-1.8314140581709297E-17</v>
      </c>
      <c r="BN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-4.1665607140961129E-14</v>
      </c>
    </row>
    <row r="156" spans="1:66" x14ac:dyDescent="0.3">
      <c r="A156">
        <f>A155+Parameters!$B$65</f>
        <v>152</v>
      </c>
      <c r="B156">
        <v>2177</v>
      </c>
      <c r="C156" s="74">
        <v>9.6288451567491593E-3</v>
      </c>
      <c r="D156" s="69">
        <v>9.8814587223970601E-2</v>
      </c>
      <c r="E156" s="75">
        <v>0.241093890038412</v>
      </c>
      <c r="F156" s="7">
        <f>MAX((1-Parameters!$B$4)^Parameters!B$65*F155 + C155*Parameters!B$65 - IF(C155&gt;0,Parameters!$B$5,0)*C155^2/F155*Parameters!B$65, 0.0001)</f>
        <v>1E-4</v>
      </c>
      <c r="G156" s="7">
        <f>(1-Parameters!$B$4)^Parameters!B$65*G155+D155*Parameters!B$65-Parameters!$B$5*D155^2/G155*Parameters!B$65</f>
        <v>1.4060026559388517</v>
      </c>
      <c r="H156" s="7">
        <f>(1-Parameters!$B$4)^Parameters!B$65*H155+E155*Parameters!B$65-Parameters!$B$5*E155^2/H155*Parameters!B$65</f>
        <v>3.349864421969488</v>
      </c>
      <c r="I156" s="7">
        <f>I155 *(1-Parameters!$B$4)-C155*(C155&lt;0)*Parameters!B$65</f>
        <v>5.8190510852811842E-4</v>
      </c>
      <c r="J156" s="23">
        <f>J155*(1+Parameters!$B$51)^Parameters!B$65</f>
        <v>12.672144549464386</v>
      </c>
      <c r="K156" s="23">
        <f>K155*(1+Parameters!$B$53)^Parameters!B$65</f>
        <v>183.65335053575029</v>
      </c>
      <c r="L156" s="23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3.9039674382277553E-2</v>
      </c>
      <c r="M156" s="8">
        <f>M155+L156*Parameters!B$65</f>
        <v>3688.0835846331252</v>
      </c>
      <c r="N156" s="7">
        <f>M156*Parameters!$B$45</f>
        <v>2.2128501507798748</v>
      </c>
      <c r="O156" s="9">
        <f>EXP(-Parameters!$B$46/2*N156^2)</f>
        <v>0.95197939037815149</v>
      </c>
      <c r="P156" s="7">
        <f>MAX((Parameters!$B$62 + Parameters!$B$31*'6states'!A156 - '6states'!M156 + Parameters!$B$47/Parameters!$B$45)/Parameters!B$62,1)</f>
        <v>134.96632830733751</v>
      </c>
      <c r="Q156" s="8"/>
      <c r="R156" s="8"/>
      <c r="S156" s="7">
        <f>Parameters!B$61*EXP(-Parameters!B$60*A156)+(1-Parameters!B$61)*P156^-Parameters!B$63</f>
        <v>0.31441256190655154</v>
      </c>
      <c r="T156" s="7">
        <f>1-S156/Parameters!$B$12</f>
        <v>0.84279371904672429</v>
      </c>
      <c r="U156" s="7">
        <f t="shared" si="191"/>
        <v>6.3610689976007793</v>
      </c>
      <c r="V156" s="7">
        <f>(Parameters!$B$19*(F156+Parameters!$B$20)^T156+Parameters!$B$18*G156^T156)^(1/T156)</f>
        <v>0.35663344767286081</v>
      </c>
      <c r="W156" s="7">
        <f>(Parameters!$B$10*H156^Parameters!$B$9+Parameters!$B$11*V156^Parameters!$B$9)^(Parameters!$B$7/Parameters!$B$9)*O156</f>
        <v>1.3315160544333813</v>
      </c>
      <c r="X156" s="7">
        <f>W156 - D156 - E156 - LN(1+EXP(Parameters!$B$21*C156))/Parameters!$B$21 - IF(C156&gt;0, 0,Parameters!$B$6*C156^2/F156)</f>
        <v>0.98179820625738001</v>
      </c>
      <c r="Y156" s="7">
        <f>EXP(-Parameters!$B$55*A156)</f>
        <v>0.10074124300474355</v>
      </c>
      <c r="Z156" s="7">
        <f>IF(X156&gt;0,X156^(1-Parameters!$B$52)/(1-Parameters!$B$52)*Y156*Parameters!$B$65,-10+X156*1000)</f>
        <v>-0.28968864926340832</v>
      </c>
      <c r="AC156" s="23">
        <f t="shared" si="192"/>
        <v>22.409036136295995</v>
      </c>
      <c r="AD156" s="23">
        <f t="shared" si="193"/>
        <v>229.96939091320104</v>
      </c>
      <c r="AE156" s="23">
        <f t="shared" si="194"/>
        <v>1.3542571713038456</v>
      </c>
      <c r="AF156" s="23">
        <f t="shared" si="195"/>
        <v>0.23272818049824803</v>
      </c>
      <c r="AG156" s="23">
        <f t="shared" si="196"/>
        <v>3272.1643989235317</v>
      </c>
      <c r="AH156" s="23">
        <f t="shared" si="197"/>
        <v>829.98653381722056</v>
      </c>
      <c r="AI156" s="23">
        <f t="shared" si="198"/>
        <v>2042.6600494718987</v>
      </c>
      <c r="AJ156" s="23">
        <f t="shared" si="199"/>
        <v>3098.81308652487</v>
      </c>
      <c r="AK156" s="23">
        <f t="shared" si="200"/>
        <v>2284.921101587237</v>
      </c>
      <c r="AL156" s="9">
        <f t="shared" si="204"/>
        <v>2.3677714511288528E-2</v>
      </c>
      <c r="AM156" s="9">
        <f t="shared" si="205"/>
        <v>2.1469737138068545E-2</v>
      </c>
      <c r="AN156" s="9">
        <f t="shared" ref="AN156:AO156" si="228">AVERAGE(AL154:AL158)</f>
        <v>2.3492019264084264E-2</v>
      </c>
      <c r="AO156" s="9">
        <f t="shared" si="228"/>
        <v>2.3267832621452912E-2</v>
      </c>
      <c r="AP156" s="23"/>
      <c r="AQ156" s="25">
        <f t="shared" si="189"/>
        <v>3098.81308652487</v>
      </c>
      <c r="AR156" s="4"/>
      <c r="AS156" s="4"/>
      <c r="AT156" s="4"/>
      <c r="AU156" s="16"/>
      <c r="AV156" s="16"/>
      <c r="AY156" s="21">
        <f>-Y156*W156*X156^(-Parameters!B$52)*Parameters!B$46*Parameters!B$45*N156</f>
        <v>-3.6696361827886039E-6</v>
      </c>
      <c r="AZ156" s="7">
        <f>1000*EXP(-(Parameters!$B$54)*'6states'!A156)*AQ156*Parameters!B$46*Parameters!B$45*N156</f>
        <v>0.39851692885061174</v>
      </c>
      <c r="BA156" s="93">
        <f>SUM(AZ156:AZ$204)*EXP(Parameters!$B$54*A156)</f>
        <v>4728.8237477847943</v>
      </c>
      <c r="BB156" s="43">
        <f t="shared" si="166"/>
        <v>0.26251078329496769</v>
      </c>
      <c r="BC156" s="30">
        <f>IF(C156&lt;0,Parameters!$B$6*AC156^2/AF156,0)</f>
        <v>0</v>
      </c>
      <c r="BD156" s="30">
        <f>Parameters!$B$5*AD156^2/AG156</f>
        <v>16.16236665076698</v>
      </c>
      <c r="BE156" s="30">
        <f t="shared" si="202"/>
        <v>0</v>
      </c>
      <c r="BF156" s="30">
        <f t="shared" si="203"/>
        <v>7.0280512491626576E-2</v>
      </c>
      <c r="BH156" s="5"/>
      <c r="BI156" s="5"/>
      <c r="BJ156" s="5"/>
      <c r="BM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-2.7180756983082484E-17</v>
      </c>
    </row>
    <row r="157" spans="1:66" x14ac:dyDescent="0.3">
      <c r="A157">
        <f>A156+Parameters!$B$65</f>
        <v>153</v>
      </c>
      <c r="B157">
        <v>2178</v>
      </c>
      <c r="C157" s="74">
        <v>9.6288188857586599E-3</v>
      </c>
      <c r="D157" s="69">
        <v>0.101745583851616</v>
      </c>
      <c r="E157" s="75">
        <v>0.23957646141272801</v>
      </c>
      <c r="F157" s="7">
        <f>MAX((1-Parameters!$B$4)^Parameters!B$65*F156 + C156*Parameters!B$65 - IF(C156&gt;0,Parameters!$B$5,0)*C156^2/F156*Parameters!B$65, 0.0001)</f>
        <v>1E-4</v>
      </c>
      <c r="G157" s="7">
        <f>(1-Parameters!$B$4)^Parameters!B$65*G156+D156*Parameters!B$65-Parameters!$B$5*D156^2/G156*Parameters!B$65</f>
        <v>1.4094349362725191</v>
      </c>
      <c r="H157" s="7">
        <f>(1-Parameters!$B$4)^Parameters!B$65*H156+E156*Parameters!B$65-Parameters!$B$5*E156^2/H156*Parameters!B$65</f>
        <v>3.36290001409282</v>
      </c>
      <c r="I157" s="7">
        <f>I156 *(1-Parameters!$B$4)-C156*(C156&lt;0)*Parameters!B$65</f>
        <v>5.4530327720169977E-4</v>
      </c>
      <c r="J157" s="23">
        <f>J156*(1+Parameters!$B$51)^Parameters!B$65</f>
        <v>12.708893768657832</v>
      </c>
      <c r="K157" s="23">
        <f>K156*(1+Parameters!$B$53)^Parameters!B$65</f>
        <v>187.32641754646531</v>
      </c>
      <c r="L157" s="23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3.9538577912455325E-2</v>
      </c>
      <c r="M157" s="8">
        <f>M156+L157*Parameters!B$65</f>
        <v>3688.1231232110376</v>
      </c>
      <c r="N157" s="7">
        <f>M157*Parameters!$B$45</f>
        <v>2.2128738739266223</v>
      </c>
      <c r="O157" s="9">
        <f>EXP(-Parameters!$B$46/2*N157^2)</f>
        <v>0.95197838587800743</v>
      </c>
      <c r="P157" s="7">
        <f>MAX((Parameters!$B$62 + Parameters!$B$31*'6states'!A157 - '6states'!M157 + Parameters!$B$47/Parameters!$B$45)/Parameters!B$62,1)</f>
        <v>136.02953753577924</v>
      </c>
      <c r="Q157" s="8"/>
      <c r="R157" s="8"/>
      <c r="S157" s="7">
        <f>Parameters!B$61*EXP(-Parameters!B$60*A157)+(1-Parameters!B$61)*P157^-Parameters!B$63</f>
        <v>0.31395256486295525</v>
      </c>
      <c r="T157" s="7">
        <f>1-S157/Parameters!$B$12</f>
        <v>0.84302371756852235</v>
      </c>
      <c r="U157" s="7">
        <f t="shared" si="191"/>
        <v>6.3703891091733178</v>
      </c>
      <c r="V157" s="7">
        <f>(Parameters!$B$19*(F157+Parameters!$B$20)^T157+Parameters!$B$18*G157^T157)^(1/T157)</f>
        <v>0.35759121248834574</v>
      </c>
      <c r="W157" s="7">
        <f>(Parameters!$B$10*H157^Parameters!$B$9+Parameters!$B$11*V157^Parameters!$B$9)^(Parameters!$B$7/Parameters!$B$9)*O157</f>
        <v>1.3329207479759166</v>
      </c>
      <c r="X157" s="7">
        <f>W157 - D157 - E157 - LN(1+EXP(Parameters!$B$21*C157))/Parameters!$B$21 - IF(C157&gt;0, 0,Parameters!$B$6*C157^2/F157)</f>
        <v>0.98178935668400302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-0.28534811122019782</v>
      </c>
      <c r="AC157" s="23">
        <f t="shared" si="192"/>
        <v>22.923440244262817</v>
      </c>
      <c r="AD157" s="23">
        <f t="shared" si="193"/>
        <v>242.22688568686098</v>
      </c>
      <c r="AE157" s="23">
        <f t="shared" si="194"/>
        <v>1.2982098051944972</v>
      </c>
      <c r="AF157" s="23">
        <f t="shared" si="195"/>
        <v>0.23807115406612683</v>
      </c>
      <c r="AG157" s="23">
        <f t="shared" si="196"/>
        <v>3355.4580185951654</v>
      </c>
      <c r="AH157" s="23">
        <f t="shared" si="197"/>
        <v>851.32152641006053</v>
      </c>
      <c r="AI157" s="23">
        <f t="shared" si="198"/>
        <v>2095.1670905497126</v>
      </c>
      <c r="AJ157" s="23">
        <f t="shared" si="199"/>
        <v>3173.2998074931143</v>
      </c>
      <c r="AK157" s="23">
        <f t="shared" si="200"/>
        <v>2337.3572519560084</v>
      </c>
      <c r="AL157" s="9">
        <f t="shared" si="204"/>
        <v>2.375283235266501E-2</v>
      </c>
      <c r="AM157" s="9">
        <f t="shared" si="205"/>
        <v>2.2689416729829937E-2</v>
      </c>
      <c r="AN157" s="9">
        <f t="shared" ref="AN157:AO157" si="229">AVERAGE(AL155:AL159)</f>
        <v>2.3471302038133322E-2</v>
      </c>
      <c r="AO157" s="9">
        <f t="shared" si="229"/>
        <v>2.1197482301426439E-2</v>
      </c>
      <c r="AP157" s="23"/>
      <c r="AQ157" s="25">
        <f t="shared" si="189"/>
        <v>3173.2998074931143</v>
      </c>
      <c r="AR157" s="4"/>
      <c r="AS157" s="4"/>
      <c r="AT157" s="4"/>
      <c r="AU157" s="16"/>
      <c r="AV157" s="16"/>
      <c r="AY157" s="21">
        <f>-Y157*W157*X157^(-Parameters!B$52)*Parameters!B$46*Parameters!B$45*N157</f>
        <v>-3.6185370538311733E-6</v>
      </c>
      <c r="AZ157" s="7">
        <f>1000*EXP(-(Parameters!$B$54)*'6states'!A157)*AQ157*Parameters!B$46*Parameters!B$45*N157</f>
        <v>0.39402467399291941</v>
      </c>
      <c r="BA157" s="93">
        <f>SUM(AZ157:AZ$204)*EXP(Parameters!$B$54*A157)</f>
        <v>4812.1006414778349</v>
      </c>
      <c r="BB157" s="43">
        <f t="shared" si="166"/>
        <v>0.26329462174178991</v>
      </c>
      <c r="BC157" s="30">
        <f>IF(C157&lt;0,Parameters!$B$6*AC157^2/AF157,0)</f>
        <v>0</v>
      </c>
      <c r="BD157" s="30">
        <f>Parameters!$B$5*AD157^2/AG157</f>
        <v>17.486096927572554</v>
      </c>
      <c r="BE157" s="30">
        <f t="shared" si="202"/>
        <v>0</v>
      </c>
      <c r="BF157" s="30">
        <f t="shared" si="203"/>
        <v>7.2188918575197797E-2</v>
      </c>
      <c r="BH157" s="5"/>
      <c r="BI157" s="5"/>
      <c r="BJ157" s="5"/>
      <c r="BM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-4.0934315451247863E-17</v>
      </c>
    </row>
    <row r="158" spans="1:66" x14ac:dyDescent="0.3">
      <c r="A158">
        <f>A157+Parameters!$B$65</f>
        <v>154</v>
      </c>
      <c r="B158">
        <v>2179</v>
      </c>
      <c r="C158" s="74">
        <v>9.6287990345078206E-3</v>
      </c>
      <c r="D158" s="69">
        <v>0.104169415318873</v>
      </c>
      <c r="E158" s="75">
        <v>0.22772142738200701</v>
      </c>
      <c r="F158" s="7">
        <f>MAX((1-Parameters!$B$4)^Parameters!B$65*F157 + C157*Parameters!B$65 - IF(C157&gt;0,Parameters!$B$5,0)*C157^2/F157*Parameters!B$65, 0.0001)</f>
        <v>1E-4</v>
      </c>
      <c r="G158" s="7">
        <f>(1-Parameters!$B$4)^Parameters!B$65*G157+D157*Parameters!B$65-Parameters!$B$5*D157^2/G157*Parameters!B$65</f>
        <v>1.4151821589645435</v>
      </c>
      <c r="H158" s="7">
        <f>(1-Parameters!$B$4)^Parameters!B$65*H157+E157*Parameters!B$65-Parameters!$B$5*E157^2/H157*Parameters!B$65</f>
        <v>3.3738823907000182</v>
      </c>
      <c r="I158" s="7">
        <f>I157 *(1-Parameters!$B$4)-C157*(C157&lt;0)*Parameters!B$65</f>
        <v>5.1100370106571286E-4</v>
      </c>
      <c r="J158" s="23">
        <f>J157*(1+Parameters!$B$51)^Parameters!B$65</f>
        <v>12.745749560586939</v>
      </c>
      <c r="K158" s="23">
        <f>K157*(1+Parameters!$B$53)^Parameters!B$65</f>
        <v>191.07294589739462</v>
      </c>
      <c r="L158" s="23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4.0043857129325192E-2</v>
      </c>
      <c r="M158" s="8">
        <f>M157+L158*Parameters!B$65</f>
        <v>3688.1631670681668</v>
      </c>
      <c r="N158" s="7">
        <f>M158*Parameters!$B$45</f>
        <v>2.2128979002408999</v>
      </c>
      <c r="O158" s="9">
        <f>EXP(-Parameters!$B$46/2*N158^2)</f>
        <v>0.95197736853106052</v>
      </c>
      <c r="P158" s="7">
        <f>MAX((Parameters!$B$62 + Parameters!$B$31*'6states'!A158 - '6states'!M158 + Parameters!$B$47/Parameters!$B$45)/Parameters!B$62,1)</f>
        <v>137.09273665863668</v>
      </c>
      <c r="Q158" s="8"/>
      <c r="R158" s="8"/>
      <c r="S158" s="7">
        <f>Parameters!B$61*EXP(-Parameters!B$60*A158)+(1-Parameters!B$61)*P158^-Parameters!B$63</f>
        <v>0.31350048259708269</v>
      </c>
      <c r="T158" s="7">
        <f>1-S158/Parameters!$B$12</f>
        <v>0.84324975870145868</v>
      </c>
      <c r="U158" s="7">
        <f t="shared" si="191"/>
        <v>6.3795755063332447</v>
      </c>
      <c r="V158" s="7">
        <f>(Parameters!$B$19*(F158+Parameters!$B$20)^T158+Parameters!$B$18*G158^T158)^(1/T158)</f>
        <v>0.35911486196720138</v>
      </c>
      <c r="W158" s="7">
        <f>(Parameters!$B$10*H158^Parameters!$B$9+Parameters!$B$11*V158^Parameters!$B$9)^(Parameters!$B$7/Parameters!$B$9)*O158</f>
        <v>1.334344491142188</v>
      </c>
      <c r="X158" s="7">
        <f>W158 - D158 - E158 - LN(1+EXP(Parameters!$B$21*C158))/Parameters!$B$21 - IF(C158&gt;0, 0,Parameters!$B$6*C158^2/F158)</f>
        <v>0.99264432121847379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-0.27999210498667965</v>
      </c>
      <c r="AC158" s="23">
        <f t="shared" si="192"/>
        <v>23.449668240291206</v>
      </c>
      <c r="AD158" s="23">
        <f t="shared" si="193"/>
        <v>253.69085191812212</v>
      </c>
      <c r="AE158" s="23">
        <f t="shared" si="194"/>
        <v>1.2444820186409069</v>
      </c>
      <c r="AF158" s="23">
        <f t="shared" si="195"/>
        <v>0.24353679162117695</v>
      </c>
      <c r="AG158" s="23">
        <f t="shared" si="196"/>
        <v>3446.4892255375535</v>
      </c>
      <c r="AH158" s="23">
        <f t="shared" si="197"/>
        <v>874.57681306974041</v>
      </c>
      <c r="AI158" s="23">
        <f t="shared" si="198"/>
        <v>2152.4001215246535</v>
      </c>
      <c r="AJ158" s="23">
        <f t="shared" si="199"/>
        <v>3249.6197629016046</v>
      </c>
      <c r="AK158" s="23">
        <f t="shared" si="200"/>
        <v>2417.4541321052807</v>
      </c>
      <c r="AL158" s="9">
        <f t="shared" si="204"/>
        <v>2.3765998253059806E-2</v>
      </c>
      <c r="AM158" s="9">
        <f t="shared" si="205"/>
        <v>3.3694063255306439E-2</v>
      </c>
      <c r="AN158" s="9">
        <f t="shared" ref="AN158:AO158" si="230">AVERAGE(AL156:AL160)</f>
        <v>2.3560580291610123E-2</v>
      </c>
      <c r="AO158" s="9">
        <f t="shared" si="230"/>
        <v>2.320600285976937E-2</v>
      </c>
      <c r="AP158" s="23"/>
      <c r="AQ158" s="25">
        <f t="shared" si="189"/>
        <v>3249.6197629016042</v>
      </c>
      <c r="AR158" s="4"/>
      <c r="AS158" s="4"/>
      <c r="AT158" s="4"/>
      <c r="AU158" s="16"/>
      <c r="AV158" s="16"/>
      <c r="AY158" s="21">
        <f>-Y158*W158*X158^(-Parameters!B$52)*Parameters!B$46*Parameters!B$45*N158</f>
        <v>-3.5155786555565909E-6</v>
      </c>
      <c r="AZ158" s="7">
        <f>1000*EXP(-(Parameters!$B$54)*'6states'!A158)*AQ158*Parameters!B$46*Parameters!B$45*N158</f>
        <v>0.38958824034564826</v>
      </c>
      <c r="BA158" s="93">
        <f>SUM(AZ158:AZ$204)*EXP(Parameters!$B$54*A158)</f>
        <v>4896.2926815847686</v>
      </c>
      <c r="BB158" s="43">
        <f t="shared" si="166"/>
        <v>0.25594563023455047</v>
      </c>
      <c r="BC158" s="30">
        <f>IF(C158&lt;0,Parameters!$B$6*AC158^2/AF158,0)</f>
        <v>0</v>
      </c>
      <c r="BD158" s="30">
        <f>Parameters!$B$5*AD158^2/AG158</f>
        <v>18.673799375335172</v>
      </c>
      <c r="BE158" s="30">
        <f t="shared" si="202"/>
        <v>0</v>
      </c>
      <c r="BF158" s="30">
        <f t="shared" si="203"/>
        <v>7.3608485422888156E-2</v>
      </c>
      <c r="BH158" s="5"/>
      <c r="BI158" s="5"/>
      <c r="BJ158" s="5"/>
      <c r="BM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-6.2578497306438763E-17</v>
      </c>
    </row>
    <row r="159" spans="1:66" x14ac:dyDescent="0.3">
      <c r="A159">
        <f>A158+Parameters!$B$65</f>
        <v>155</v>
      </c>
      <c r="B159">
        <v>2180</v>
      </c>
      <c r="C159" s="74">
        <v>9.62880296036237E-3</v>
      </c>
      <c r="D159" s="69">
        <v>0.10219460949472201</v>
      </c>
      <c r="E159" s="75">
        <v>0.23426719520712999</v>
      </c>
      <c r="F159" s="7">
        <f>MAX((1-Parameters!$B$4)^Parameters!B$65*F158 + C158*Parameters!B$65 - IF(C158&gt;0,Parameters!$B$5,0)*C158^2/F158*Parameters!B$65, 0.0001)</f>
        <v>1E-4</v>
      </c>
      <c r="G159" s="7">
        <f>(1-Parameters!$B$4)^Parameters!B$65*G158+D158*Parameters!B$65-Parameters!$B$5*D158^2/G158*Parameters!B$65</f>
        <v>1.4226688635955367</v>
      </c>
      <c r="H159" s="7">
        <f>(1-Parameters!$B$4)^Parameters!B$65*H158+E158*Parameters!B$65-Parameters!$B$5*E158^2/H158*Parameters!B$65</f>
        <v>3.3740164745806052</v>
      </c>
      <c r="I159" s="7">
        <f>I158 *(1-Parameters!$B$4)-C158*(C158&lt;0)*Parameters!B$65</f>
        <v>4.7886156826867953E-4</v>
      </c>
      <c r="J159" s="23">
        <f>J158*(1+Parameters!$B$51)^Parameters!B$65</f>
        <v>12.782712234312639</v>
      </c>
      <c r="K159" s="23">
        <f>K158*(1+Parameters!$B$53)^Parameters!B$65</f>
        <v>194.89440481534251</v>
      </c>
      <c r="L159" s="23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4.0555593510323881E-2</v>
      </c>
      <c r="M159" s="8">
        <f>M158+L159*Parameters!B$65</f>
        <v>3688.2037226616771</v>
      </c>
      <c r="N159" s="7">
        <f>M159*Parameters!$B$45</f>
        <v>2.212922233597006</v>
      </c>
      <c r="O159" s="9">
        <f>EXP(-Parameters!$B$46/2*N159^2)</f>
        <v>0.95197633817288196</v>
      </c>
      <c r="P159" s="7">
        <f>MAX((Parameters!$B$62 + Parameters!$B$31*'6states'!A159 - '6states'!M159 + Parameters!$B$47/Parameters!$B$45)/Parameters!B$62,1)</f>
        <v>138.15592554676644</v>
      </c>
      <c r="Q159" s="8"/>
      <c r="R159" s="8"/>
      <c r="S159" s="7">
        <f>Parameters!B$61*EXP(-Parameters!B$60*A159)+(1-Parameters!B$61)*P159^-Parameters!B$63</f>
        <v>0.31305612572488967</v>
      </c>
      <c r="T159" s="7">
        <f>1-S159/Parameters!$B$12</f>
        <v>0.84347193713755519</v>
      </c>
      <c r="U159" s="7">
        <f t="shared" si="191"/>
        <v>6.3886307778483742</v>
      </c>
      <c r="V159" s="7">
        <f>(Parameters!$B$19*(F159+Parameters!$B$20)^T159+Parameters!$B$18*G159^T159)^(1/T159)</f>
        <v>0.3610639254880923</v>
      </c>
      <c r="W159" s="7">
        <f>(Parameters!$B$10*H159^Parameters!$B$9+Parameters!$B$11*V159^Parameters!$B$9)^(Parameters!$B$7/Parameters!$B$9)*O159</f>
        <v>1.3350078735498945</v>
      </c>
      <c r="X159" s="7">
        <f>W159 - D159 - E159 - LN(1+EXP(Parameters!$B$21*C159))/Parameters!$B$21 - IF(C159&gt;0, 0,Parameters!$B$6*C159^2/F159)</f>
        <v>0.98873673790631689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-0.27617698605488827</v>
      </c>
      <c r="AC159" s="23">
        <f t="shared" si="192"/>
        <v>23.988035504151171</v>
      </c>
      <c r="AD159" s="23">
        <f t="shared" si="193"/>
        <v>254.59529403434777</v>
      </c>
      <c r="AE159" s="23">
        <f t="shared" si="194"/>
        <v>1.1929778133885809</v>
      </c>
      <c r="AF159" s="23">
        <f t="shared" si="195"/>
        <v>0.2491279092832159</v>
      </c>
      <c r="AG159" s="23">
        <f t="shared" si="196"/>
        <v>3544.2651958988472</v>
      </c>
      <c r="AH159" s="23">
        <f t="shared" si="197"/>
        <v>899.51100874439271</v>
      </c>
      <c r="AI159" s="23">
        <f t="shared" si="198"/>
        <v>2213.7650754065962</v>
      </c>
      <c r="AJ159" s="23">
        <f t="shared" si="199"/>
        <v>3325.8772041411703</v>
      </c>
      <c r="AK159" s="23">
        <f t="shared" si="200"/>
        <v>2463.2191634610772</v>
      </c>
      <c r="AL159" s="9">
        <f t="shared" si="204"/>
        <v>2.3195466640768103E-2</v>
      </c>
      <c r="AM159" s="9">
        <f t="shared" si="205"/>
        <v>1.8754122613195534E-2</v>
      </c>
      <c r="AN159" s="9">
        <f t="shared" ref="AN159:AO159" si="231">AVERAGE(AL157:AL161)</f>
        <v>2.354258586288651E-2</v>
      </c>
      <c r="AO159" s="9">
        <f t="shared" si="231"/>
        <v>2.2299822996965802E-2</v>
      </c>
      <c r="AP159" s="23"/>
      <c r="AQ159" s="25">
        <f t="shared" si="189"/>
        <v>3325.8772041411703</v>
      </c>
      <c r="AR159" s="4"/>
      <c r="AS159" s="4"/>
      <c r="AT159" s="4"/>
      <c r="AU159" s="16"/>
      <c r="AV159" s="16"/>
      <c r="AY159" s="21">
        <f>-Y159*W159*X159^(-Parameters!B$52)*Parameters!B$46*Parameters!B$45*N159</f>
        <v>-3.4831497471392741E-6</v>
      </c>
      <c r="AZ159" s="7">
        <f>1000*EXP(-(Parameters!$B$54)*'6states'!A159)*AQ159*Parameters!B$46*Parameters!B$45*N159</f>
        <v>0.38498210401322924</v>
      </c>
      <c r="BA159" s="93">
        <f>SUM(AZ159:AZ$204)*EXP(Parameters!$B$54*A159)</f>
        <v>4981.3818314127011</v>
      </c>
      <c r="BB159" s="43">
        <f t="shared" si="166"/>
        <v>0.25924237191345639</v>
      </c>
      <c r="BC159" s="30">
        <f>IF(C159&lt;0,Parameters!$B$6*AC159^2/AF159,0)</f>
        <v>0</v>
      </c>
      <c r="BD159" s="30">
        <f>Parameters!$B$5*AD159^2/AG159</f>
        <v>18.288350380620312</v>
      </c>
      <c r="BE159" s="30">
        <f t="shared" si="202"/>
        <v>0</v>
      </c>
      <c r="BF159" s="30">
        <f t="shared" si="203"/>
        <v>7.183302601874883E-2</v>
      </c>
      <c r="BH159" s="5"/>
      <c r="BI159" s="5"/>
      <c r="BJ159" s="5"/>
      <c r="BM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-9.7144208622817841E-17</v>
      </c>
    </row>
    <row r="160" spans="1:66" x14ac:dyDescent="0.3">
      <c r="A160">
        <f>A159+Parameters!$B$65</f>
        <v>156</v>
      </c>
      <c r="B160">
        <v>2181</v>
      </c>
      <c r="C160" s="74">
        <v>9.6288126612092493E-3</v>
      </c>
      <c r="D160" s="69">
        <v>0.104097069150815</v>
      </c>
      <c r="E160" s="75">
        <v>0.23654976510970599</v>
      </c>
      <c r="F160" s="7">
        <f>MAX((1-Parameters!$B$4)^Parameters!B$65*F159 + C159*Parameters!B$65 - IF(C159&gt;0,Parameters!$B$5,0)*C159^2/F159*Parameters!B$65, 0.0001)</f>
        <v>1E-4</v>
      </c>
      <c r="G160" s="7">
        <f>(1-Parameters!$B$4)^Parameters!B$65*G159+D159*Parameters!B$65-Parameters!$B$5*D159^2/G159*Parameters!B$65</f>
        <v>1.4280366535272893</v>
      </c>
      <c r="H160" s="7">
        <f>(1-Parameters!$B$4)^Parameters!B$65*H159+E159*Parameters!B$65-Parameters!$B$5*E159^2/H159*Parameters!B$65</f>
        <v>3.3797922212136222</v>
      </c>
      <c r="I160" s="7">
        <f>I159 *(1-Parameters!$B$4)-C159*(C159&lt;0)*Parameters!B$65</f>
        <v>4.4874117562457961E-4</v>
      </c>
      <c r="J160" s="23">
        <f>J159*(1+Parameters!$B$51)^Parameters!B$65</f>
        <v>12.819782099792144</v>
      </c>
      <c r="K160" s="23">
        <f>K159*(1+Parameters!$B$53)^Parameters!B$65</f>
        <v>198.79229291164935</v>
      </c>
      <c r="L160" s="23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4.1073869574120667E-2</v>
      </c>
      <c r="M160" s="8">
        <f>M159+L160*Parameters!B$65</f>
        <v>3688.2447965312513</v>
      </c>
      <c r="N160" s="7">
        <f>M160*Parameters!$B$45</f>
        <v>2.2129468779187507</v>
      </c>
      <c r="O160" s="9">
        <f>EXP(-Parameters!$B$46/2*N160^2)</f>
        <v>0.95197529463693498</v>
      </c>
      <c r="P160" s="7">
        <f>MAX((Parameters!$B$62 + Parameters!$B$31*'6states'!A160 - '6states'!M160 + Parameters!$B$47/Parameters!$B$45)/Parameters!B$62,1)</f>
        <v>139.21910406937499</v>
      </c>
      <c r="Q160" s="8"/>
      <c r="R160" s="8"/>
      <c r="S160" s="7">
        <f>Parameters!B$61*EXP(-Parameters!B$60*A160)+(1-Parameters!B$61)*P160^-Parameters!B$63</f>
        <v>0.31261930981167119</v>
      </c>
      <c r="T160" s="7">
        <f>1-S160/Parameters!$B$12</f>
        <v>0.84369034509416441</v>
      </c>
      <c r="U160" s="7">
        <f t="shared" si="191"/>
        <v>6.3975574675948339</v>
      </c>
      <c r="V160" s="7">
        <f>(Parameters!$B$19*(F160+Parameters!$B$20)^T160+Parameters!$B$18*G160^T160)^(1/T160)</f>
        <v>0.36249267441092381</v>
      </c>
      <c r="W160" s="7">
        <f>(Parameters!$B$10*H160^Parameters!$B$9+Parameters!$B$11*V160^Parameters!$B$9)^(Parameters!$B$7/Parameters!$B$9)*O160</f>
        <v>1.3359593512186909</v>
      </c>
      <c r="X160" s="7">
        <f>W160 - D160 - E160 - LN(1+EXP(Parameters!$B$21*C160))/Parameters!$B$21 - IF(C160&gt;0, 0,Parameters!$B$6*C160^2/F160)</f>
        <v>0.9855031768270055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-0.27235011567800788</v>
      </c>
      <c r="AC160" s="23">
        <f t="shared" si="192"/>
        <v>24.538777545610337</v>
      </c>
      <c r="AD160" s="23">
        <f t="shared" si="193"/>
        <v>265.28866153275703</v>
      </c>
      <c r="AE160" s="23">
        <f t="shared" si="194"/>
        <v>1.1436051641723721</v>
      </c>
      <c r="AF160" s="23">
        <f t="shared" si="195"/>
        <v>0.25484738782453997</v>
      </c>
      <c r="AG160" s="23">
        <f t="shared" si="196"/>
        <v>3639.3141086912724</v>
      </c>
      <c r="AH160" s="23">
        <f t="shared" si="197"/>
        <v>923.80311179155376</v>
      </c>
      <c r="AI160" s="23">
        <f t="shared" si="198"/>
        <v>2273.5497904475487</v>
      </c>
      <c r="AJ160" s="23">
        <f t="shared" si="199"/>
        <v>3404.6575089785047</v>
      </c>
      <c r="AK160" s="23">
        <f t="shared" si="200"/>
        <v>2511.5291030714802</v>
      </c>
      <c r="AL160" s="9">
        <f t="shared" si="204"/>
        <v>2.3410889700269166E-2</v>
      </c>
      <c r="AM160" s="9">
        <f t="shared" si="205"/>
        <v>1.9422674562446396E-2</v>
      </c>
      <c r="AN160" s="9">
        <f t="shared" ref="AN160:AO160" si="232">AVERAGE(AL158:AL162)</f>
        <v>2.3572648026422626E-2</v>
      </c>
      <c r="AO160" s="9">
        <f t="shared" si="232"/>
        <v>2.3444782855081493E-2</v>
      </c>
      <c r="AP160" s="23"/>
      <c r="AQ160" s="25">
        <f t="shared" si="189"/>
        <v>3404.6575089785042</v>
      </c>
      <c r="AR160" s="4"/>
      <c r="AS160" s="4"/>
      <c r="AT160" s="4"/>
      <c r="AU160" s="16"/>
      <c r="AV160" s="16"/>
      <c r="AY160" s="21">
        <f>-Y160*W160*X160^(-Parameters!B$52)*Parameters!B$46*Parameters!B$45*N160</f>
        <v>-3.4486500008289124E-6</v>
      </c>
      <c r="AZ160" s="7">
        <f>1000*EXP(-(Parameters!$B$54)*'6states'!A160)*AQ160*Parameters!B$46*Parameters!B$45*N160</f>
        <v>0.38051244217771835</v>
      </c>
      <c r="BA160" s="93">
        <f>SUM(AZ160:AZ$204)*EXP(Parameters!$B$54*A160)</f>
        <v>5067.4018080634169</v>
      </c>
      <c r="BB160" s="43">
        <f t="shared" si="166"/>
        <v>0.26219034778431038</v>
      </c>
      <c r="BC160" s="30">
        <f>IF(C160&lt;0,Parameters!$B$6*AC160^2/AF160,0)</f>
        <v>0</v>
      </c>
      <c r="BD160" s="30">
        <f>Parameters!$B$5*AD160^2/AG160</f>
        <v>19.338279641696072</v>
      </c>
      <c r="BE160" s="30">
        <f t="shared" si="202"/>
        <v>0</v>
      </c>
      <c r="BF160" s="30">
        <f t="shared" si="203"/>
        <v>7.2895236192777282E-2</v>
      </c>
      <c r="BH160" s="5"/>
      <c r="BI160" s="5"/>
      <c r="BJ160" s="5"/>
      <c r="BM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-1.5317392040893057E-16</v>
      </c>
    </row>
    <row r="161" spans="1:65" x14ac:dyDescent="0.3">
      <c r="A161">
        <f>A160+Parameters!$B$65</f>
        <v>157</v>
      </c>
      <c r="B161">
        <v>2182</v>
      </c>
      <c r="C161" s="74">
        <v>9.6288227113196598E-3</v>
      </c>
      <c r="D161" s="69">
        <v>0.102646468553255</v>
      </c>
      <c r="E161" s="75">
        <v>0.24484875138434201</v>
      </c>
      <c r="F161" s="7">
        <f>MAX((1-Parameters!$B$4)^Parameters!B$65*F160 + C160*Parameters!B$65 - IF(C160&gt;0,Parameters!$B$5,0)*C160^2/F160*Parameters!B$65, 0.0001)</f>
        <v>1E-4</v>
      </c>
      <c r="G161" s="7">
        <f>(1-Parameters!$B$4)^Parameters!B$65*G160+D160*Parameters!B$65-Parameters!$B$5*D160^2/G160*Parameters!B$65</f>
        <v>1.4347220367285134</v>
      </c>
      <c r="H161" s="7">
        <f>(1-Parameters!$B$4)^Parameters!B$65*H160+E160*Parameters!B$65-Parameters!$B$5*E160^2/H160*Parameters!B$65</f>
        <v>3.3871970700006915</v>
      </c>
      <c r="I161" s="7">
        <f>I160 *(1-Parameters!$B$4)-C160*(C160&lt;0)*Parameters!B$65</f>
        <v>4.2051535567779358E-4</v>
      </c>
      <c r="J161" s="23">
        <f>J160*(1+Parameters!$B$51)^Parameters!B$65</f>
        <v>12.85695946788154</v>
      </c>
      <c r="K161" s="23">
        <f>K160*(1+Parameters!$B$53)^Parameters!B$65</f>
        <v>202.76813876988234</v>
      </c>
      <c r="L161" s="23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4.1598768893923714E-2</v>
      </c>
      <c r="M161" s="8">
        <f>M160+L161*Parameters!B$65</f>
        <v>3688.2863953001452</v>
      </c>
      <c r="N161" s="7">
        <f>M161*Parameters!$B$45</f>
        <v>2.2129718371800871</v>
      </c>
      <c r="O161" s="9">
        <f>EXP(-Parameters!$B$46/2*N161^2)</f>
        <v>0.95197423775454793</v>
      </c>
      <c r="P161" s="7">
        <f>MAX((Parameters!$B$62 + Parameters!$B$31*'6states'!A161 - '6states'!M161 + Parameters!$B$47/Parameters!$B$45)/Parameters!B$62,1)</f>
        <v>140.28227209399708</v>
      </c>
      <c r="Q161" s="8"/>
      <c r="R161" s="8"/>
      <c r="S161" s="7">
        <f>Parameters!B$61*EXP(-Parameters!B$60*A161)+(1-Parameters!B$61)*P161^-Parameters!B$63</f>
        <v>0.31218985523660775</v>
      </c>
      <c r="T161" s="7">
        <f>1-S161/Parameters!$B$12</f>
        <v>0.8439050723816961</v>
      </c>
      <c r="U161" s="7">
        <f t="shared" si="191"/>
        <v>6.4063580749099156</v>
      </c>
      <c r="V161" s="7">
        <f>(Parameters!$B$19*(F161+Parameters!$B$20)^T161+Parameters!$B$18*G161^T161)^(1/T161)</f>
        <v>0.36424360424548585</v>
      </c>
      <c r="W161" s="7">
        <f>(Parameters!$B$10*H161^Parameters!$B$9+Parameters!$B$11*V161^Parameters!$B$9)^(Parameters!$B$7/Parameters!$B$9)*O161</f>
        <v>1.3371479642926618</v>
      </c>
      <c r="X161" s="7">
        <f>W161 - D161 - E161 - LN(1+EXP(Parameters!$B$21*C161))/Parameters!$B$21 - IF(C161&gt;0, 0,Parameters!$B$6*C161^2/F161)</f>
        <v>0.97984339470360871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-0.2688098590458427</v>
      </c>
      <c r="AC161" s="23">
        <f t="shared" si="192"/>
        <v>25.102165000956798</v>
      </c>
      <c r="AD161" s="23">
        <f t="shared" si="193"/>
        <v>267.59746935211695</v>
      </c>
      <c r="AE161" s="23">
        <f t="shared" si="194"/>
        <v>1.0962758542901136</v>
      </c>
      <c r="AF161" s="23">
        <f t="shared" si="195"/>
        <v>0.2606981741542157</v>
      </c>
      <c r="AG161" s="23">
        <f t="shared" si="196"/>
        <v>3740.2941539394101</v>
      </c>
      <c r="AH161" s="23">
        <f t="shared" si="197"/>
        <v>949.57642574148872</v>
      </c>
      <c r="AI161" s="23">
        <f t="shared" si="198"/>
        <v>2336.9798782899406</v>
      </c>
      <c r="AJ161" s="23">
        <f t="shared" si="199"/>
        <v>3485.9203286512329</v>
      </c>
      <c r="AK161" s="23">
        <f t="shared" si="200"/>
        <v>2554.4338395629925</v>
      </c>
      <c r="AL161" s="9">
        <f t="shared" si="204"/>
        <v>2.3587742367670472E-2</v>
      </c>
      <c r="AM161" s="9">
        <f t="shared" si="205"/>
        <v>1.6938837824050701E-2</v>
      </c>
      <c r="AN161" s="9">
        <f t="shared" ref="AN161:AO161" si="233">AVERAGE(AL159:AL163)</f>
        <v>2.3544313153566775E-2</v>
      </c>
      <c r="AO161" s="9">
        <f t="shared" si="233"/>
        <v>2.0478273704677186E-2</v>
      </c>
      <c r="AP161" s="23"/>
      <c r="AQ161" s="25">
        <f t="shared" si="189"/>
        <v>3485.9203286512334</v>
      </c>
      <c r="AR161" s="4"/>
      <c r="AS161" s="4"/>
      <c r="AT161" s="4"/>
      <c r="AU161" s="16"/>
      <c r="AV161" s="16"/>
      <c r="AY161" s="21">
        <f>-Y161*W161*X161^(-Parameters!B$52)*Parameters!B$46*Parameters!B$45*N161</f>
        <v>-3.4265670193667825E-6</v>
      </c>
      <c r="AZ161" s="7">
        <f>1000*EXP(-(Parameters!$B$54)*'6states'!A161)*AQ161*Parameters!B$46*Parameters!B$45*N161</f>
        <v>0.37616124605864232</v>
      </c>
      <c r="BA161" s="93">
        <f>SUM(AZ161:AZ$204)*EXP(Parameters!$B$54*A161)</f>
        <v>5154.316068347267</v>
      </c>
      <c r="BB161" s="43">
        <f t="shared" si="166"/>
        <v>0.26707892633096281</v>
      </c>
      <c r="BC161" s="30">
        <f>IF(C161&lt;0,Parameters!$B$6*AC161^2/AF161,0)</f>
        <v>0</v>
      </c>
      <c r="BD161" s="30">
        <f>Parameters!$B$5*AD161^2/AG161</f>
        <v>19.145126735082229</v>
      </c>
      <c r="BE161" s="30">
        <f t="shared" si="202"/>
        <v>0</v>
      </c>
      <c r="BF161" s="30">
        <f t="shared" si="203"/>
        <v>7.1544498464184647E-2</v>
      </c>
      <c r="BH161" s="5"/>
      <c r="BI161" s="5"/>
      <c r="BJ161" s="5"/>
      <c r="BM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-2.4537346602516532E-16</v>
      </c>
    </row>
    <row r="162" spans="1:65" x14ac:dyDescent="0.3">
      <c r="A162">
        <f>A161+Parameters!$B$65</f>
        <v>158</v>
      </c>
      <c r="B162">
        <v>2183</v>
      </c>
      <c r="C162" s="74">
        <v>9.6288702196636999E-3</v>
      </c>
      <c r="D162" s="69">
        <v>9.9012061529838394E-2</v>
      </c>
      <c r="E162" s="75">
        <v>0.244478352175554</v>
      </c>
      <c r="F162" s="7">
        <f>MAX((1-Parameters!$B$4)^Parameters!B$65*F161 + C161*Parameters!B$65 - IF(C161&gt;0,Parameters!$B$5,0)*C161^2/F161*Parameters!B$65, 0.0001)</f>
        <v>1E-4</v>
      </c>
      <c r="G162" s="7">
        <f>(1-Parameters!$B$4)^Parameters!B$65*G161+D161*Parameters!B$65-Parameters!$B$5*D161^2/G161*Parameters!B$65</f>
        <v>1.4397806990597828</v>
      </c>
      <c r="H162" s="7">
        <f>(1-Parameters!$B$4)^Parameters!B$65*H161+E161*Parameters!B$65-Parameters!$B$5*E161^2/H161*Parameters!B$65</f>
        <v>3.4012918569900572</v>
      </c>
      <c r="I162" s="7">
        <f>I161 *(1-Parameters!$B$4)-C161*(C161&lt;0)*Parameters!B$65</f>
        <v>3.9406493980566039E-4</v>
      </c>
      <c r="J162" s="23">
        <f>J161*(1+Parameters!$B$51)^Parameters!B$65</f>
        <v>12.894244650338395</v>
      </c>
      <c r="K162" s="23">
        <f>K161*(1+Parameters!$B$53)^Parameters!B$65</f>
        <v>206.82350154527998</v>
      </c>
      <c r="L162" s="23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4.213037611095647E-2</v>
      </c>
      <c r="M162" s="8">
        <f>M161+L162*Parameters!B$65</f>
        <v>3688.328525676256</v>
      </c>
      <c r="N162" s="7">
        <f>M162*Parameters!$B$45</f>
        <v>2.2129971154057535</v>
      </c>
      <c r="O162" s="9">
        <f>EXP(-Parameters!$B$46/2*N162^2)</f>
        <v>0.95197316735488657</v>
      </c>
      <c r="P162" s="7">
        <f>MAX((Parameters!$B$62 + Parameters!$B$31*'6states'!A162 - '6states'!M162 + Parameters!$B$47/Parameters!$B$45)/Parameters!B$62,1)</f>
        <v>141.3454294864749</v>
      </c>
      <c r="Q162" s="8"/>
      <c r="R162" s="8"/>
      <c r="S162" s="7">
        <f>Parameters!B$61*EXP(-Parameters!B$60*A162)+(1-Parameters!B$61)*P162^-Parameters!B$63</f>
        <v>0.31176758706121438</v>
      </c>
      <c r="T162" s="7">
        <f>1-S162/Parameters!$B$12</f>
        <v>0.84411620646939278</v>
      </c>
      <c r="U162" s="7">
        <f t="shared" si="191"/>
        <v>6.4150350549664656</v>
      </c>
      <c r="V162" s="7">
        <f>(Parameters!$B$19*(F162+Parameters!$B$20)^T162+Parameters!$B$18*G162^T162)^(1/T162)</f>
        <v>0.36559457204284262</v>
      </c>
      <c r="W162" s="7">
        <f>(Parameters!$B$10*H162^Parameters!$B$9+Parameters!$B$11*V162^Parameters!$B$9)^(Parameters!$B$7/Parameters!$B$9)*O162</f>
        <v>1.3387598142232626</v>
      </c>
      <c r="X162" s="7">
        <f>W162 - D162 - E162 - LN(1+EXP(Parameters!$B$21*C162))/Parameters!$B$21 - IF(C162&gt;0, 0,Parameters!$B$6*C162^2/F162)</f>
        <v>0.98546000586258176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-0.26425215001536745</v>
      </c>
      <c r="AC162" s="23">
        <f t="shared" si="192"/>
        <v>25.678587201860271</v>
      </c>
      <c r="AD162" s="23">
        <f t="shared" si="193"/>
        <v>264.048616091817</v>
      </c>
      <c r="AE162" s="23">
        <f t="shared" si="194"/>
        <v>1.0509053179812085</v>
      </c>
      <c r="AF162" s="23">
        <f t="shared" si="195"/>
        <v>0.2666832828364481</v>
      </c>
      <c r="AG162" s="23">
        <f t="shared" si="196"/>
        <v>3839.6544338981903</v>
      </c>
      <c r="AH162" s="23">
        <f t="shared" si="197"/>
        <v>974.97960659571606</v>
      </c>
      <c r="AI162" s="23">
        <f t="shared" si="198"/>
        <v>2399.4990404042833</v>
      </c>
      <c r="AJ162" s="23">
        <f t="shared" si="199"/>
        <v>3570.2486218657305</v>
      </c>
      <c r="AK162" s="23">
        <f t="shared" si="200"/>
        <v>2628.057094674587</v>
      </c>
      <c r="AL162" s="9">
        <f t="shared" si="204"/>
        <v>2.3903143170345587E-2</v>
      </c>
      <c r="AM162" s="9">
        <f t="shared" si="205"/>
        <v>2.8414216020408389E-2</v>
      </c>
      <c r="AN162" s="9">
        <f t="shared" ref="AN162:AO162" si="234">AVERAGE(AL160:AL164)</f>
        <v>2.3670758598876775E-2</v>
      </c>
      <c r="AO162" s="9">
        <f t="shared" si="234"/>
        <v>2.0738155381886614E-2</v>
      </c>
      <c r="AP162" s="23"/>
      <c r="AQ162" s="25">
        <f t="shared" si="189"/>
        <v>3570.2486218657309</v>
      </c>
      <c r="AR162" s="4"/>
      <c r="AS162" s="4"/>
      <c r="AT162" s="4"/>
      <c r="AU162" s="16"/>
      <c r="AV162" s="16"/>
      <c r="AY162" s="21">
        <f>-Y162*W162*X162^(-Parameters!B$52)*Parameters!B$46*Parameters!B$45*N162</f>
        <v>-3.3533462096631861E-6</v>
      </c>
      <c r="AZ162" s="7">
        <f>1000*EXP(-(Parameters!$B$54)*'6states'!A162)*AQ162*Parameters!B$46*Parameters!B$45*N162</f>
        <v>0.37197716322857349</v>
      </c>
      <c r="BA162" s="93">
        <f>SUM(AZ162:AZ$204)*EXP(Parameters!$B$54*A162)</f>
        <v>5242.0878755252852</v>
      </c>
      <c r="BB162" s="43">
        <f t="shared" si="166"/>
        <v>0.26376597218817249</v>
      </c>
      <c r="BC162" s="30">
        <f>IF(C162&lt;0,Parameters!$B$6*AC162^2/AF162,0)</f>
        <v>0</v>
      </c>
      <c r="BD162" s="30">
        <f>Parameters!$B$5*AD162^2/AG162</f>
        <v>18.158319416578117</v>
      </c>
      <c r="BE162" s="30">
        <f t="shared" si="202"/>
        <v>0</v>
      </c>
      <c r="BF162" s="30">
        <f t="shared" si="203"/>
        <v>6.876884902992246E-2</v>
      </c>
      <c r="BH162" s="5"/>
      <c r="BI162" s="5"/>
      <c r="BJ162" s="5"/>
      <c r="BM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-3.9940928833835571E-16</v>
      </c>
    </row>
    <row r="163" spans="1:65" x14ac:dyDescent="0.3">
      <c r="A163">
        <f>A162+Parameters!$B$65</f>
        <v>159</v>
      </c>
      <c r="B163">
        <v>2184</v>
      </c>
      <c r="C163" s="74">
        <v>9.6288993568932908E-3</v>
      </c>
      <c r="D163" s="69">
        <v>0.102605080813658</v>
      </c>
      <c r="E163" s="75">
        <v>0.24589930785717301</v>
      </c>
      <c r="F163" s="7">
        <f>MAX((1-Parameters!$B$4)^Parameters!B$65*F162 + C162*Parameters!B$65 - IF(C162&gt;0,Parameters!$B$5,0)*C162^2/F162*Parameters!B$65, 0.0001)</f>
        <v>1E-4</v>
      </c>
      <c r="G163" s="7">
        <f>(1-Parameters!$B$4)^Parameters!B$65*G162+D162*Parameters!B$65-Parameters!$B$5*D162^2/G162*Parameters!B$65</f>
        <v>1.4414216091072742</v>
      </c>
      <c r="H163" s="7">
        <f>(1-Parameters!$B$4)^Parameters!B$65*H162+E162*Parameters!B$65-Parameters!$B$5*E162^2/H162*Parameters!B$65</f>
        <v>3.4142563150816829</v>
      </c>
      <c r="I163" s="7">
        <f>I162 *(1-Parameters!$B$4)-C162*(C162&lt;0)*Parameters!B$65</f>
        <v>3.6927825509188437E-4</v>
      </c>
      <c r="J163" s="23">
        <f>J162*(1+Parameters!$B$51)^Parameters!B$65</f>
        <v>12.931637959824375</v>
      </c>
      <c r="K163" s="23">
        <f>K162*(1+Parameters!$B$53)^Parameters!B$65</f>
        <v>210.95997157618558</v>
      </c>
      <c r="L163" s="23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4.266877694810628E-2</v>
      </c>
      <c r="M163" s="8">
        <f>M162+L163*Parameters!B$65</f>
        <v>3688.3711944532042</v>
      </c>
      <c r="N163" s="7">
        <f>M163*Parameters!$B$45</f>
        <v>2.2130227166719223</v>
      </c>
      <c r="O163" s="9">
        <f>EXP(-Parameters!$B$46/2*N163^2)</f>
        <v>0.95197208326492666</v>
      </c>
      <c r="P163" s="7">
        <f>MAX((Parameters!$B$62 + Parameters!$B$31*'6states'!A163 - '6states'!M163 + Parameters!$B$47/Parameters!$B$45)/Parameters!B$62,1)</f>
        <v>142.40857611093594</v>
      </c>
      <c r="Q163" s="8"/>
      <c r="R163" s="8"/>
      <c r="S163" s="7">
        <f>Parameters!B$61*EXP(-Parameters!B$60*A163)+(1-Parameters!B$61)*P163^-Parameters!B$63</f>
        <v>0.31135233490156938</v>
      </c>
      <c r="T163" s="7">
        <f>1-S163/Parameters!$B$12</f>
        <v>0.84432383254921528</v>
      </c>
      <c r="U163" s="7">
        <f t="shared" si="191"/>
        <v>6.4235908191672229</v>
      </c>
      <c r="V163" s="7">
        <f>(Parameters!$B$19*(F163+Parameters!$B$20)^T163+Parameters!$B$18*G163^T163)^(1/T163)</f>
        <v>0.36610559849097446</v>
      </c>
      <c r="W163" s="7">
        <f>(Parameters!$B$10*H163^Parameters!$B$9+Parameters!$B$11*V163^Parameters!$B$9)^(Parameters!$B$7/Parameters!$B$9)*O163</f>
        <v>1.339999937229617</v>
      </c>
      <c r="X163" s="7">
        <f>W163 - D163 - E163 - LN(1+EXP(Parameters!$B$21*C163))/Parameters!$B$21 - IF(C163&gt;0, 0,Parameters!$B$6*C163^2/F163)</f>
        <v>0.98168612630228724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-0.2606417034633815</v>
      </c>
      <c r="AC163" s="23">
        <f t="shared" si="192"/>
        <v>26.268195694892171</v>
      </c>
      <c r="AD163" s="23">
        <f t="shared" si="193"/>
        <v>279.91260913677274</v>
      </c>
      <c r="AE163" s="23">
        <f t="shared" si="194"/>
        <v>1.0074124893285485</v>
      </c>
      <c r="AF163" s="23">
        <f t="shared" si="195"/>
        <v>0.27280579764380725</v>
      </c>
      <c r="AG163" s="23">
        <f t="shared" si="196"/>
        <v>3932.2817181353012</v>
      </c>
      <c r="AH163" s="23">
        <f t="shared" si="197"/>
        <v>998.75729818193736</v>
      </c>
      <c r="AI163" s="23">
        <f t="shared" si="198"/>
        <v>2458.0177496759375</v>
      </c>
      <c r="AJ163" s="23">
        <f t="shared" si="199"/>
        <v>3655.5975171857735</v>
      </c>
      <c r="AK163" s="23">
        <f t="shared" si="200"/>
        <v>2678.0966672175477</v>
      </c>
      <c r="AL163" s="9">
        <f t="shared" si="204"/>
        <v>2.3624323888780552E-2</v>
      </c>
      <c r="AM163" s="9">
        <f t="shared" si="205"/>
        <v>1.8861517503284908E-2</v>
      </c>
      <c r="AN163" s="9">
        <f t="shared" ref="AN163:AO163" si="235">AVERAGE(AL161:AL165)</f>
        <v>2.3783613680769377E-2</v>
      </c>
      <c r="AO163" s="9">
        <f t="shared" si="235"/>
        <v>2.2101640735582607E-2</v>
      </c>
      <c r="AP163" s="23"/>
      <c r="AQ163" s="25">
        <f t="shared" si="189"/>
        <v>3655.5975171857731</v>
      </c>
      <c r="AR163" s="4"/>
      <c r="AS163" s="4"/>
      <c r="AT163" s="4"/>
      <c r="AU163" s="16"/>
      <c r="AV163" s="16"/>
      <c r="AY163" s="21">
        <f>-Y163*W163*X163^(-Parameters!B$52)*Parameters!B$46*Parameters!B$45*N163</f>
        <v>-3.3233589728825449E-6</v>
      </c>
      <c r="AZ163" s="7">
        <f>1000*EXP(-(Parameters!$B$54)*'6states'!A163)*AQ163*Parameters!B$46*Parameters!B$45*N163</f>
        <v>0.3677371275605707</v>
      </c>
      <c r="BA163" s="93">
        <f>SUM(AZ163:AZ$204)*EXP(Parameters!$B$54*A163)</f>
        <v>5330.6630628068015</v>
      </c>
      <c r="BB163" s="43">
        <f t="shared" si="166"/>
        <v>0.26726366030146764</v>
      </c>
      <c r="BC163" s="30">
        <f>IF(C163&lt;0,Parameters!$B$6*AC163^2/AF163,0)</f>
        <v>0</v>
      </c>
      <c r="BD163" s="30">
        <f>Parameters!$B$5*AD163^2/AG163</f>
        <v>19.92509041058991</v>
      </c>
      <c r="BE163" s="30">
        <f t="shared" si="202"/>
        <v>0</v>
      </c>
      <c r="BF163" s="30">
        <f t="shared" si="203"/>
        <v>7.1183254202221311E-2</v>
      </c>
      <c r="BH163" s="5"/>
      <c r="BI163" s="5"/>
      <c r="BJ163" s="5"/>
      <c r="BM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-6.6069516807765114E-16</v>
      </c>
    </row>
    <row r="164" spans="1:65" x14ac:dyDescent="0.3">
      <c r="A164">
        <f>A163+Parameters!$B$65</f>
        <v>160</v>
      </c>
      <c r="B164">
        <v>2185</v>
      </c>
      <c r="C164" s="74">
        <v>9.6289393154864195E-3</v>
      </c>
      <c r="D164" s="69">
        <v>0.10052203866107</v>
      </c>
      <c r="E164" s="75">
        <v>0.25208941024306403</v>
      </c>
      <c r="F164" s="7">
        <f>MAX((1-Parameters!$B$4)^Parameters!B$65*F163 + C163*Parameters!B$65 - IF(C163&gt;0,Parameters!$B$5,0)*C163^2/F163*Parameters!B$65, 0.0001)</f>
        <v>1E-4</v>
      </c>
      <c r="G164" s="7">
        <f>(1-Parameters!$B$4)^Parameters!B$65*G163+D163*Parameters!B$65-Parameters!$B$5*D163^2/G163*Parameters!B$65</f>
        <v>1.4460575071580866</v>
      </c>
      <c r="H164" s="7">
        <f>(1-Parameters!$B$4)^Parameters!B$65*H163+E163*Parameters!B$65-Parameters!$B$5*E163^2/H163*Parameters!B$65</f>
        <v>3.4276889035716329</v>
      </c>
      <c r="I164" s="7">
        <f>I163 *(1-Parameters!$B$4)-C163*(C163&lt;0)*Parameters!B$65</f>
        <v>3.4605065284660488E-4</v>
      </c>
      <c r="J164" s="23">
        <f>J163*(1+Parameters!$B$51)^Parameters!B$65</f>
        <v>12.969139709907864</v>
      </c>
      <c r="K164" s="23">
        <f>K163*(1+Parameters!$B$53)^Parameters!B$65</f>
        <v>215.1791710077093</v>
      </c>
      <c r="L164" s="23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4.3214058223747319E-2</v>
      </c>
      <c r="M164" s="8">
        <f>M163+L164*Parameters!B$65</f>
        <v>3688.4144085114281</v>
      </c>
      <c r="N164" s="7">
        <f>M164*Parameters!$B$45</f>
        <v>2.2130486451068565</v>
      </c>
      <c r="O164" s="9">
        <f>EXP(-Parameters!$B$46/2*N164^2)</f>
        <v>0.95197098530942548</v>
      </c>
      <c r="P164" s="7">
        <f>MAX((Parameters!$B$62 + Parameters!$B$31*'6states'!A164 - '6states'!M164 + Parameters!$B$47/Parameters!$B$45)/Parameters!B$62,1)</f>
        <v>143.47171182977144</v>
      </c>
      <c r="Q164" s="8"/>
      <c r="R164" s="8"/>
      <c r="S164" s="7">
        <f>Parameters!B$61*EXP(-Parameters!B$60*A164)+(1-Parameters!B$61)*P164^-Parameters!B$63</f>
        <v>0.31094393280420451</v>
      </c>
      <c r="T164" s="7">
        <f>1-S164/Parameters!$B$12</f>
        <v>0.84452803359789774</v>
      </c>
      <c r="U164" s="7">
        <f t="shared" si="191"/>
        <v>6.4320277355575932</v>
      </c>
      <c r="V164" s="7">
        <f>(Parameters!$B$19*(F164+Parameters!$B$20)^T164+Parameters!$B$18*G164^T164)^(1/T164)</f>
        <v>0.36735046860090248</v>
      </c>
      <c r="W164" s="7">
        <f>(Parameters!$B$10*H164^Parameters!$B$9+Parameters!$B$11*V164^Parameters!$B$9)^(Parameters!$B$7/Parameters!$B$9)*O164</f>
        <v>1.3415140049237055</v>
      </c>
      <c r="X164" s="7">
        <f>W164 - D164 - E164 - LN(1+EXP(Parameters!$B$21*C164))/Parameters!$B$21 - IF(C164&gt;0, 0,Parameters!$B$6*C164^2/F164)</f>
        <v>0.97909309591094518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-0.25697335316066328</v>
      </c>
      <c r="AC164" s="23">
        <f t="shared" si="192"/>
        <v>26.871372443651072</v>
      </c>
      <c r="AD164" s="23">
        <f t="shared" si="193"/>
        <v>280.52572055494886</v>
      </c>
      <c r="AE164" s="23">
        <f t="shared" si="194"/>
        <v>0.96571965741379029</v>
      </c>
      <c r="AF164" s="23">
        <f t="shared" si="195"/>
        <v>0.27906887314611378</v>
      </c>
      <c r="AG164" s="23">
        <f t="shared" si="196"/>
        <v>4035.496390270856</v>
      </c>
      <c r="AH164" s="23">
        <f t="shared" si="197"/>
        <v>1025.1608132215069</v>
      </c>
      <c r="AI164" s="23">
        <f t="shared" si="198"/>
        <v>2522.9988103793112</v>
      </c>
      <c r="AJ164" s="23">
        <f t="shared" si="199"/>
        <v>3743.7480166378859</v>
      </c>
      <c r="AK164" s="23">
        <f t="shared" si="200"/>
        <v>2732.3440698100735</v>
      </c>
      <c r="AL164" s="9">
        <f t="shared" si="204"/>
        <v>2.3827693867318089E-2</v>
      </c>
      <c r="AM164" s="9">
        <f t="shared" si="205"/>
        <v>2.0053530999242675E-2</v>
      </c>
      <c r="AN164" s="9">
        <f t="shared" ref="AN164:AO164" si="236">AVERAGE(AL162:AL166)</f>
        <v>2.382429034162321E-2</v>
      </c>
      <c r="AO164" s="9">
        <f t="shared" si="236"/>
        <v>2.3676562486175001E-2</v>
      </c>
      <c r="AP164" s="23"/>
      <c r="AQ164" s="25">
        <f t="shared" si="189"/>
        <v>3743.7480166378864</v>
      </c>
      <c r="AR164" s="4"/>
      <c r="AS164" s="4"/>
      <c r="AT164" s="4"/>
      <c r="AU164" s="16"/>
      <c r="AV164" s="16"/>
      <c r="AY164" s="21">
        <f>-Y164*W164*X164^(-Parameters!B$52)*Parameters!B$46*Parameters!B$45*N164</f>
        <v>-3.2890132776208556E-6</v>
      </c>
      <c r="AZ164" s="7">
        <f>1000*EXP(-(Parameters!$B$54)*'6states'!A164)*AQ164*Parameters!B$46*Parameters!B$45*N164</f>
        <v>0.36361941800510134</v>
      </c>
      <c r="BA164" s="93">
        <f>SUM(AZ164:AZ$204)*EXP(Parameters!$B$54*A164)</f>
        <v>5420.0420495943845</v>
      </c>
      <c r="BB164" s="43">
        <f t="shared" si="166"/>
        <v>0.27002356061144644</v>
      </c>
      <c r="BC164" s="30">
        <f>IF(C164&lt;0,Parameters!$B$6*AC164^2/AF164,0)</f>
        <v>0</v>
      </c>
      <c r="BD164" s="30">
        <f>Parameters!$B$5*AD164^2/AG164</f>
        <v>19.500619572501069</v>
      </c>
      <c r="BE164" s="30">
        <f t="shared" si="202"/>
        <v>0</v>
      </c>
      <c r="BF164" s="30">
        <f t="shared" si="203"/>
        <v>6.9514551228757382E-2</v>
      </c>
      <c r="BH164" s="5"/>
      <c r="BI164" s="5"/>
      <c r="BJ164" s="5"/>
      <c r="BM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-1.1106835695393741E-15</v>
      </c>
    </row>
    <row r="165" spans="1:65" x14ac:dyDescent="0.3">
      <c r="A165">
        <f>A164+Parameters!$B$65</f>
        <v>161</v>
      </c>
      <c r="B165">
        <v>2186</v>
      </c>
      <c r="C165" s="74">
        <v>9.6290241563303201E-3</v>
      </c>
      <c r="D165" s="69">
        <v>0.11107945476284201</v>
      </c>
      <c r="E165" s="75">
        <v>0.23977199169098901</v>
      </c>
      <c r="F165" s="7">
        <f>MAX((1-Parameters!$B$4)^Parameters!B$65*F164 + C164*Parameters!B$65 - IF(C164&gt;0,Parameters!$B$5,0)*C164^2/F164*Parameters!B$65, 0.0001)</f>
        <v>1E-4</v>
      </c>
      <c r="G165" s="7">
        <f>(1-Parameters!$B$4)^Parameters!B$65*G164+D164*Parameters!B$65-Parameters!$B$5*D164^2/G164*Parameters!B$65</f>
        <v>1.4486347842127887</v>
      </c>
      <c r="H165" s="7">
        <f>(1-Parameters!$B$4)^Parameters!B$65*H164+E164*Parameters!B$65-Parameters!$B$5*E164^2/H164*Parameters!B$65</f>
        <v>3.4456367639098757</v>
      </c>
      <c r="I165" s="7">
        <f>I164 *(1-Parameters!$B$4)-C164*(C164&lt;0)*Parameters!B$65</f>
        <v>3.2428406678255343E-4</v>
      </c>
      <c r="J165" s="23">
        <f>J164*(1+Parameters!$B$51)^Parameters!B$65</f>
        <v>13.006750215066596</v>
      </c>
      <c r="K165" s="23">
        <f>K164*(1+Parameters!$B$53)^Parameters!B$65</f>
        <v>219.48275442786348</v>
      </c>
      <c r="L165" s="23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4.3766307865740373E-2</v>
      </c>
      <c r="M165" s="8">
        <f>M164+L165*Parameters!B$65</f>
        <v>3688.4581748192936</v>
      </c>
      <c r="N165" s="7">
        <f>M165*Parameters!$B$45</f>
        <v>2.2130749048915761</v>
      </c>
      <c r="O165" s="9">
        <f>EXP(-Parameters!$B$46/2*N165^2)</f>
        <v>0.95196987331089333</v>
      </c>
      <c r="P165" s="7">
        <f>MAX((Parameters!$B$62 + Parameters!$B$31*'6states'!A165 - '6states'!M165 + Parameters!$B$47/Parameters!$B$45)/Parameters!B$62,1)</f>
        <v>144.53483650361414</v>
      </c>
      <c r="Q165" s="8"/>
      <c r="R165" s="8"/>
      <c r="S165" s="7">
        <f>Parameters!B$61*EXP(-Parameters!B$60*A165)+(1-Parameters!B$61)*P165^-Parameters!B$63</f>
        <v>0.31054221912554508</v>
      </c>
      <c r="T165" s="7">
        <f>1-S165/Parameters!$B$12</f>
        <v>0.84472889043722743</v>
      </c>
      <c r="U165" s="7">
        <f t="shared" si="191"/>
        <v>6.4403481292553195</v>
      </c>
      <c r="V165" s="7">
        <f>(Parameters!$B$19*(F165+Parameters!$B$20)^T165+Parameters!$B$18*G165^T165)^(1/T165)</f>
        <v>0.3680886791248974</v>
      </c>
      <c r="W165" s="7">
        <f>(Parameters!$B$10*H165^Parameters!$B$9+Parameters!$B$11*V165^Parameters!$B$9)^(Parameters!$B$7/Parameters!$B$9)*O165</f>
        <v>1.3432278562402957</v>
      </c>
      <c r="X165" s="7">
        <f>W165 - D165 - E165 - LN(1+EXP(Parameters!$B$21*C165))/Parameters!$B$21 - IF(C165&gt;0, 0,Parameters!$B$6*C165^2/F165)</f>
        <v>0.9825668693094024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-0.25280863281848304</v>
      </c>
      <c r="AC165" s="23">
        <f t="shared" si="192"/>
        <v>27.488527612236251</v>
      </c>
      <c r="AD165" s="23">
        <f t="shared" si="193"/>
        <v>317.10489140201753</v>
      </c>
      <c r="AE165" s="23">
        <f t="shared" si="194"/>
        <v>0.92575232746717895</v>
      </c>
      <c r="AF165" s="23">
        <f t="shared" si="195"/>
        <v>0.2854757363358022</v>
      </c>
      <c r="AG165" s="23">
        <f t="shared" si="196"/>
        <v>4135.5008170480178</v>
      </c>
      <c r="AH165" s="23">
        <f t="shared" si="197"/>
        <v>1050.8038671005293</v>
      </c>
      <c r="AI165" s="23">
        <f t="shared" si="198"/>
        <v>2586.1083182700372</v>
      </c>
      <c r="AJ165" s="23">
        <f t="shared" si="199"/>
        <v>3834.5896132695952</v>
      </c>
      <c r="AK165" s="23">
        <f t="shared" si="200"/>
        <v>2804.9900051526561</v>
      </c>
      <c r="AL165" s="9">
        <f t="shared" si="204"/>
        <v>2.3975165109732188E-2</v>
      </c>
      <c r="AM165" s="9">
        <f t="shared" si="205"/>
        <v>2.6240101330926358E-2</v>
      </c>
      <c r="AN165" s="9">
        <f t="shared" ref="AN165:AO165" si="237">AVERAGE(AL163:AL167)</f>
        <v>2.3784156938785727E-2</v>
      </c>
      <c r="AO165" s="9">
        <f t="shared" si="237"/>
        <v>1.9114603320304725E-2</v>
      </c>
      <c r="AP165" s="23"/>
      <c r="AQ165" s="25">
        <f t="shared" si="189"/>
        <v>3834.5896132695952</v>
      </c>
      <c r="AR165" s="4"/>
      <c r="AS165" s="4"/>
      <c r="AT165" s="4"/>
      <c r="AU165" s="16"/>
      <c r="AV165" s="16"/>
      <c r="AY165" s="21">
        <f>-Y165*W165*X165^(-Parameters!B$52)*Parameters!B$46*Parameters!B$45*N165</f>
        <v>-3.2284267650998651E-6</v>
      </c>
      <c r="AZ165" s="7">
        <f>1000*EXP(-(Parameters!$B$54)*'6states'!A165)*AQ165*Parameters!B$46*Parameters!B$45*N165</f>
        <v>0.35960089686528274</v>
      </c>
      <c r="BA165" s="93">
        <f>SUM(AZ165:AZ$204)*EXP(Parameters!$B$54*A165)</f>
        <v>5510.1760361880652</v>
      </c>
      <c r="BB165" s="43">
        <f t="shared" si="166"/>
        <v>0.26836881690285125</v>
      </c>
      <c r="BC165" s="30">
        <f>IF(C165&lt;0,Parameters!$B$6*AC165^2/AF165,0)</f>
        <v>0</v>
      </c>
      <c r="BD165" s="30">
        <f>Parameters!$B$5*AD165^2/AG165</f>
        <v>24.315195812937443</v>
      </c>
      <c r="BE165" s="30">
        <f t="shared" si="202"/>
        <v>0</v>
      </c>
      <c r="BF165" s="30">
        <f t="shared" si="203"/>
        <v>7.6678715693827809E-2</v>
      </c>
      <c r="BH165" s="5"/>
      <c r="BI165" s="5"/>
      <c r="BJ165" s="5"/>
      <c r="BM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-1.8974333827838475E-15</v>
      </c>
    </row>
    <row r="166" spans="1:65" x14ac:dyDescent="0.3">
      <c r="A166">
        <f>A165+Parameters!$B$65</f>
        <v>162</v>
      </c>
      <c r="B166">
        <v>2187</v>
      </c>
      <c r="C166" s="74">
        <v>9.6291180599523893E-3</v>
      </c>
      <c r="D166" s="69">
        <v>0.105531971317835</v>
      </c>
      <c r="E166" s="75">
        <v>0.24470758306611401</v>
      </c>
      <c r="F166" s="7">
        <f>MAX((1-Parameters!$B$4)^Parameters!B$65*F165 + C165*Parameters!B$65 - IF(C165&gt;0,Parameters!$B$5,0)*C165^2/F165*Parameters!B$65, 0.0001)</f>
        <v>1E-4</v>
      </c>
      <c r="G166" s="7">
        <f>(1-Parameters!$B$4)^Parameters!B$65*G165+D165*Parameters!B$65-Parameters!$B$5*D165^2/G165*Parameters!B$65</f>
        <v>1.4600776811174609</v>
      </c>
      <c r="H166" s="7">
        <f>(1-Parameters!$B$4)^Parameters!B$65*H165+E165*Parameters!B$65-Parameters!$B$5*E165^2/H165*Parameters!B$65</f>
        <v>3.4519931571235549</v>
      </c>
      <c r="I166" s="7">
        <f>I165 *(1-Parameters!$B$4)-C165*(C165&lt;0)*Parameters!B$65</f>
        <v>3.0388659898193085E-4</v>
      </c>
      <c r="J166" s="23">
        <f>J165*(1+Parameters!$B$51)^Parameters!B$65</f>
        <v>13.044469790690288</v>
      </c>
      <c r="K166" s="23">
        <f>K165*(1+Parameters!$B$53)^Parameters!B$65</f>
        <v>223.87240951642076</v>
      </c>
      <c r="L166" s="23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4.4325614925611302E-2</v>
      </c>
      <c r="M166" s="8">
        <f>M165+L166*Parameters!B$65</f>
        <v>3688.5025004342192</v>
      </c>
      <c r="N166" s="7">
        <f>M166*Parameters!$B$45</f>
        <v>2.2131015002605312</v>
      </c>
      <c r="O166" s="9">
        <f>EXP(-Parameters!$B$46/2*N166^2)</f>
        <v>0.95196874708956469</v>
      </c>
      <c r="P166" s="7">
        <f>MAX((Parameters!$B$62 + Parameters!$B$31*'6states'!A166 - '6states'!M166 + Parameters!$B$47/Parameters!$B$45)/Parameters!B$62,1)</f>
        <v>145.59794999131563</v>
      </c>
      <c r="Q166" s="8"/>
      <c r="R166" s="8"/>
      <c r="S166" s="7">
        <f>Parameters!B$61*EXP(-Parameters!B$60*A166)+(1-Parameters!B$61)*P166^-Parameters!B$63</f>
        <v>0.31014703641478797</v>
      </c>
      <c r="T166" s="7">
        <f>1-S166/Parameters!$B$12</f>
        <v>0.84492648179260599</v>
      </c>
      <c r="U166" s="7">
        <f t="shared" si="191"/>
        <v>6.4485542828957323</v>
      </c>
      <c r="V166" s="7">
        <f>(Parameters!$B$19*(F166+Parameters!$B$20)^T166+Parameters!$B$18*G166^T166)^(1/T166)</f>
        <v>0.3710036849786274</v>
      </c>
      <c r="W166" s="7">
        <f>(Parameters!$B$10*H166^Parameters!$B$9+Parameters!$B$11*V166^Parameters!$B$9)^(Parameters!$B$7/Parameters!$B$9)*O166</f>
        <v>1.3446963971446522</v>
      </c>
      <c r="X166" s="7">
        <f>W166 - D166 - E166 - LN(1+EXP(Parameters!$B$21*C166))/Parameters!$B$21 - IF(C166&gt;0, 0,Parameters!$B$6*C166^2/F166)</f>
        <v>0.9846472133300479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-0.24883562921132305</v>
      </c>
      <c r="AC166" s="23">
        <f t="shared" si="192"/>
        <v>28.119883455612786</v>
      </c>
      <c r="AD166" s="23">
        <f t="shared" si="193"/>
        <v>308.18468688639848</v>
      </c>
      <c r="AE166" s="23">
        <f t="shared" si="194"/>
        <v>0.88743908776383706</v>
      </c>
      <c r="AF166" s="23">
        <f t="shared" si="195"/>
        <v>0.29202968829059955</v>
      </c>
      <c r="AG166" s="23">
        <f t="shared" si="196"/>
        <v>4263.8603009679355</v>
      </c>
      <c r="AH166" s="23">
        <f t="shared" si="197"/>
        <v>1083.4409047897234</v>
      </c>
      <c r="AI166" s="23">
        <f t="shared" si="198"/>
        <v>2666.4305527937922</v>
      </c>
      <c r="AJ166" s="23">
        <f t="shared" si="199"/>
        <v>3926.9126970364505</v>
      </c>
      <c r="AK166" s="23">
        <f t="shared" si="200"/>
        <v>2875.4621878498137</v>
      </c>
      <c r="AL166" s="9">
        <f t="shared" si="204"/>
        <v>2.3791125671939639E-2</v>
      </c>
      <c r="AM166" s="9">
        <f t="shared" si="205"/>
        <v>2.4813446577012677E-2</v>
      </c>
      <c r="AN166" s="9">
        <f t="shared" ref="AN166:AO166" si="238">AVERAGE(AL164:AL168)</f>
        <v>2.3974792470234263E-2</v>
      </c>
      <c r="AO166" s="9">
        <f t="shared" si="238"/>
        <v>1.9356625438708263E-2</v>
      </c>
      <c r="AP166" s="23"/>
      <c r="AQ166" s="25">
        <f t="shared" si="189"/>
        <v>3926.91269703645</v>
      </c>
      <c r="AR166" s="4"/>
      <c r="AS166" s="4"/>
      <c r="AT166" s="4"/>
      <c r="AU166" s="16"/>
      <c r="AV166" s="16"/>
      <c r="AY166" s="21">
        <f>-Y166*W166*X166^(-Parameters!B$52)*Parameters!B$46*Parameters!B$45*N166</f>
        <v>-3.1744817468916363E-6</v>
      </c>
      <c r="AZ166" s="7">
        <f>1000*EXP(-(Parameters!$B$54)*'6states'!A166)*AQ166*Parameters!B$46*Parameters!B$45*N166</f>
        <v>0.35556139673747977</v>
      </c>
      <c r="BA166" s="93">
        <f>SUM(AZ166:AZ$204)*EXP(Parameters!$B$54*A166)</f>
        <v>5601.0175303573633</v>
      </c>
      <c r="BB166" s="43">
        <f t="shared" si="166"/>
        <v>0.26762076049883959</v>
      </c>
      <c r="BC166" s="30">
        <f>IF(C166&lt;0,Parameters!$B$6*AC166^2/AF166,0)</f>
        <v>0</v>
      </c>
      <c r="BD166" s="30">
        <f>Parameters!$B$5*AD166^2/AG166</f>
        <v>22.275073414039067</v>
      </c>
      <c r="BE166" s="30">
        <f t="shared" si="202"/>
        <v>0</v>
      </c>
      <c r="BF166" s="30">
        <f t="shared" si="203"/>
        <v>7.2278326477168531E-2</v>
      </c>
      <c r="BH166" s="5"/>
      <c r="BI166" s="5"/>
      <c r="BJ166" s="5"/>
      <c r="BM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-3.2936325099200314E-15</v>
      </c>
    </row>
    <row r="167" spans="1:65" x14ac:dyDescent="0.3">
      <c r="A167">
        <f>A166+Parameters!$B$65</f>
        <v>163</v>
      </c>
      <c r="B167">
        <v>2188</v>
      </c>
      <c r="C167" s="74">
        <v>9.6290737622843799E-3</v>
      </c>
      <c r="D167" s="69">
        <v>0.105205347381019</v>
      </c>
      <c r="E167" s="75">
        <v>0.26307358992688101</v>
      </c>
      <c r="F167" s="7">
        <f>MAX((1-Parameters!$B$4)^Parameters!B$65*F166 + C166*Parameters!B$65 - IF(C166&gt;0,Parameters!$B$5,0)*C166^2/F166*Parameters!B$65, 0.0001)</f>
        <v>1E-4</v>
      </c>
      <c r="G167" s="7">
        <f>(1-Parameters!$B$4)^Parameters!B$65*G166+D166*Parameters!B$65-Parameters!$B$5*D166^2/G166*Parameters!B$65</f>
        <v>1.4661430920163181</v>
      </c>
      <c r="H167" s="7">
        <f>(1-Parameters!$B$4)^Parameters!B$65*H166+E166*Parameters!B$65-Parameters!$B$5*E166^2/H166*Parameters!B$65</f>
        <v>3.4622233486154079</v>
      </c>
      <c r="I167" s="7">
        <f>I166 *(1-Parameters!$B$4)-C166*(C166&lt;0)*Parameters!B$65</f>
        <v>2.8477213190596741E-4</v>
      </c>
      <c r="J167" s="23">
        <f>J166*(1+Parameters!$B$51)^Parameters!B$65</f>
        <v>13.082298753083288</v>
      </c>
      <c r="K167" s="23">
        <f>K166*(1+Parameters!$B$53)^Parameters!B$65</f>
        <v>228.34985770674919</v>
      </c>
      <c r="L167" s="23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4.489206959291088E-2</v>
      </c>
      <c r="M167" s="8">
        <f>M166+L167*Parameters!B$65</f>
        <v>3688.5473925038123</v>
      </c>
      <c r="N167" s="7">
        <f>M167*Parameters!$B$45</f>
        <v>2.2131284355022873</v>
      </c>
      <c r="O167" s="9">
        <f>EXP(-Parameters!$B$46/2*N167^2)</f>
        <v>0.95196760646336898</v>
      </c>
      <c r="P167" s="7">
        <f>MAX((Parameters!$B$62 + Parameters!$B$31*'6states'!A167 - '6states'!M167 + Parameters!$B$47/Parameters!$B$45)/Parameters!B$62,1)</f>
        <v>146.66105214992376</v>
      </c>
      <c r="Q167" s="8"/>
      <c r="R167" s="8"/>
      <c r="S167" s="7">
        <f>Parameters!B$61*EXP(-Parameters!B$60*A167)+(1-Parameters!B$61)*P167^-Parameters!B$63</f>
        <v>0.30975823130011404</v>
      </c>
      <c r="T167" s="7">
        <f>1-S167/Parameters!$B$12</f>
        <v>0.84512088434994292</v>
      </c>
      <c r="U167" s="7">
        <f t="shared" si="191"/>
        <v>6.4566484370911468</v>
      </c>
      <c r="V167" s="7">
        <f>(Parameters!$B$19*(F167+Parameters!$B$20)^T167+Parameters!$B$18*G167^T167)^(1/T167)</f>
        <v>0.37259714120915471</v>
      </c>
      <c r="W167" s="7">
        <f>(Parameters!$B$10*H167^Parameters!$B$9+Parameters!$B$11*V167^Parameters!$B$9)^(Parameters!$B$7/Parameters!$B$9)*O167</f>
        <v>1.3460472118709044</v>
      </c>
      <c r="X167" s="7">
        <f>W167 - D167 - E167 - LN(1+EXP(Parameters!$B$21*C167))/Parameters!$B$21 - IF(C167&gt;0, 0,Parameters!$B$6*C167^2/F167)</f>
        <v>0.96795868709492938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-0.2465772812173615</v>
      </c>
      <c r="AC167" s="23">
        <f t="shared" si="192"/>
        <v>28.765327407744294</v>
      </c>
      <c r="AD167" s="23">
        <f t="shared" si="193"/>
        <v>314.28425383071743</v>
      </c>
      <c r="AE167" s="23">
        <f t="shared" si="194"/>
        <v>0.85071148202868785</v>
      </c>
      <c r="AF167" s="23">
        <f t="shared" si="195"/>
        <v>0.2987341058743751</v>
      </c>
      <c r="AG167" s="23">
        <f t="shared" si="196"/>
        <v>4379.8694567738648</v>
      </c>
      <c r="AH167" s="23">
        <f t="shared" si="197"/>
        <v>1113.0747383046512</v>
      </c>
      <c r="AI167" s="23">
        <f t="shared" si="198"/>
        <v>2739.3616732003488</v>
      </c>
      <c r="AJ167" s="23">
        <f t="shared" si="199"/>
        <v>4021.1021030295024</v>
      </c>
      <c r="AK167" s="23">
        <f t="shared" si="200"/>
        <v>2891.6227291263776</v>
      </c>
      <c r="AL167" s="9">
        <f t="shared" si="204"/>
        <v>2.370247615615817E-2</v>
      </c>
      <c r="AM167" s="9">
        <f t="shared" si="205"/>
        <v>5.6044201910570024E-3</v>
      </c>
      <c r="AN167" s="9">
        <f t="shared" ref="AN167:AO167" si="239">AVERAGE(AL165:AL169)</f>
        <v>2.4151992876203465E-2</v>
      </c>
      <c r="AO167" s="9">
        <f t="shared" si="239"/>
        <v>2.1395549208336993E-2</v>
      </c>
      <c r="AP167" s="23"/>
      <c r="AQ167" s="25">
        <f t="shared" si="189"/>
        <v>4021.1021030295019</v>
      </c>
      <c r="AR167" s="4"/>
      <c r="AS167" s="4"/>
      <c r="AT167" s="4"/>
      <c r="AU167" s="16"/>
      <c r="AV167" s="16"/>
      <c r="AY167" s="21">
        <f>-Y167*W167*X167^(-Parameters!B$52)*Parameters!B$46*Parameters!B$45*N167</f>
        <v>-3.2031590308082333E-6</v>
      </c>
      <c r="AZ167" s="7">
        <f>1000*EXP(-(Parameters!$B$54)*'6states'!A167)*AQ167*Parameters!B$46*Parameters!B$45*N167</f>
        <v>0.35153616252239089</v>
      </c>
      <c r="BA167" s="93">
        <f>SUM(AZ167:AZ$204)*EXP(Parameters!$B$54*A167)</f>
        <v>5692.5507771149823</v>
      </c>
      <c r="BB167" s="43">
        <f t="shared" si="166"/>
        <v>0.28075390501713582</v>
      </c>
      <c r="BC167" s="30">
        <f>IF(C167&lt;0,Parameters!$B$6*AC167^2/AF167,0)</f>
        <v>0</v>
      </c>
      <c r="BD167" s="30">
        <f>Parameters!$B$5*AD167^2/AG167</f>
        <v>22.551948906414772</v>
      </c>
      <c r="BE167" s="30">
        <f t="shared" si="202"/>
        <v>0</v>
      </c>
      <c r="BF167" s="30">
        <f t="shared" si="203"/>
        <v>7.1756534511467768E-2</v>
      </c>
      <c r="BH167" s="5"/>
      <c r="BI167" s="5"/>
      <c r="BJ167" s="5"/>
      <c r="BM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-5.8079697612181255E-15</v>
      </c>
    </row>
    <row r="168" spans="1:65" x14ac:dyDescent="0.3">
      <c r="A168">
        <f>A167+Parameters!$B$65</f>
        <v>164</v>
      </c>
      <c r="B168">
        <v>2189</v>
      </c>
      <c r="C168" s="74">
        <v>9.6291377918239097E-3</v>
      </c>
      <c r="D168" s="69">
        <v>0.10584243310779699</v>
      </c>
      <c r="E168" s="75">
        <v>0.26750743942456101</v>
      </c>
      <c r="F168" s="7">
        <f>MAX((1-Parameters!$B$4)^Parameters!B$65*F167 + C167*Parameters!B$65 - IF(C167&gt;0,Parameters!$B$5,0)*C167^2/F167*Parameters!B$65, 0.0001)</f>
        <v>1E-4</v>
      </c>
      <c r="G168" s="7">
        <f>(1-Parameters!$B$4)^Parameters!B$65*G167+D167*Parameters!B$65-Parameters!$B$5*D167^2/G167*Parameters!B$65</f>
        <v>1.4715788677693737</v>
      </c>
      <c r="H168" s="7">
        <f>(1-Parameters!$B$4)^Parameters!B$65*H167+E167*Parameters!B$65-Parameters!$B$5*E167^2/H167*Parameters!B$65</f>
        <v>3.4875337054211197</v>
      </c>
      <c r="I168" s="7">
        <f>I167 *(1-Parameters!$B$4)-C167*(C167&lt;0)*Parameters!B$65</f>
        <v>2.6685996480908206E-4</v>
      </c>
      <c r="J168" s="23">
        <f>J167*(1+Parameters!$B$51)^Parameters!B$65</f>
        <v>13.120237419467228</v>
      </c>
      <c r="K168" s="23">
        <f>K167*(1+Parameters!$B$53)^Parameters!B$65</f>
        <v>232.91685486088417</v>
      </c>
      <c r="L168" s="23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4.5465763209758064E-2</v>
      </c>
      <c r="M168" s="8">
        <f>M167+L168*Parameters!B$65</f>
        <v>3688.5928582670222</v>
      </c>
      <c r="N168" s="7">
        <f>M168*Parameters!$B$45</f>
        <v>2.2131557149602132</v>
      </c>
      <c r="O168" s="9">
        <f>EXP(-Parameters!$B$46/2*N168^2)</f>
        <v>0.95196645124790091</v>
      </c>
      <c r="P168" s="7">
        <f>MAX((Parameters!$B$62 + Parameters!$B$31*'6states'!A168 - '6states'!M168 + Parameters!$B$47/Parameters!$B$45)/Parameters!B$62,1)</f>
        <v>147.72414283465957</v>
      </c>
      <c r="Q168" s="8"/>
      <c r="R168" s="8"/>
      <c r="S168" s="7">
        <f>Parameters!B$61*EXP(-Parameters!B$60*A168)+(1-Parameters!B$61)*P168^-Parameters!B$63</f>
        <v>0.30937565437813136</v>
      </c>
      <c r="T168" s="7">
        <f>1-S168/Parameters!$B$12</f>
        <v>0.84531217281093429</v>
      </c>
      <c r="U168" s="7">
        <f t="shared" si="191"/>
        <v>6.4646327909031891</v>
      </c>
      <c r="V168" s="7">
        <f>(Parameters!$B$19*(F168+Parameters!$B$20)^T168+Parameters!$B$18*G168^T168)^(1/T168)</f>
        <v>0.37403504372726243</v>
      </c>
      <c r="W168" s="7">
        <f>(Parameters!$B$10*H168^Parameters!$B$9+Parameters!$B$11*V168^Parameters!$B$9)^(Parameters!$B$7/Parameters!$B$9)*O168</f>
        <v>1.3485789082106985</v>
      </c>
      <c r="X168" s="7">
        <f>W168 - D168 - E168 - LN(1+EXP(Parameters!$B$21*C168))/Parameters!$B$21 - IF(C168&gt;0, 0,Parameters!$B$6*C168^2/F168)</f>
        <v>0.96541938755594159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-0.24310533802440998</v>
      </c>
      <c r="AC168" s="23">
        <f t="shared" si="192"/>
        <v>29.425917463805682</v>
      </c>
      <c r="AD168" s="23">
        <f t="shared" si="193"/>
        <v>323.44647756966731</v>
      </c>
      <c r="AE168" s="23">
        <f t="shared" si="194"/>
        <v>0.81550388712204025</v>
      </c>
      <c r="AF168" s="23">
        <f t="shared" si="195"/>
        <v>0.30559244347703901</v>
      </c>
      <c r="AG168" s="23">
        <f t="shared" si="196"/>
        <v>4497.0338197081737</v>
      </c>
      <c r="AH168" s="23">
        <f t="shared" si="197"/>
        <v>1143.0228295865525</v>
      </c>
      <c r="AI168" s="23">
        <f t="shared" si="198"/>
        <v>2813.0662058969592</v>
      </c>
      <c r="AJ168" s="23">
        <f t="shared" si="199"/>
        <v>4121.1552378170491</v>
      </c>
      <c r="AK168" s="23">
        <f t="shared" si="200"/>
        <v>2950.2486962332669</v>
      </c>
      <c r="AL168" s="9">
        <f t="shared" si="204"/>
        <v>2.4577501546023228E-2</v>
      </c>
      <c r="AM168" s="9">
        <f t="shared" si="205"/>
        <v>2.0071628095302607E-2</v>
      </c>
      <c r="AN168" s="9">
        <f t="shared" ref="AN168:AO168" si="240">AVERAGE(AL166:AL170)</f>
        <v>2.4227305018500546E-2</v>
      </c>
      <c r="AO168" s="9">
        <f t="shared" si="240"/>
        <v>1.7385700083340082E-2</v>
      </c>
      <c r="AP168" s="23"/>
      <c r="AQ168" s="25">
        <f t="shared" si="189"/>
        <v>4121.1552378170481</v>
      </c>
      <c r="AR168" s="4"/>
      <c r="AS168" s="4"/>
      <c r="AT168" s="4"/>
      <c r="AU168" s="16"/>
      <c r="AV168" s="16"/>
      <c r="AY168" s="21">
        <f>-Y168*W168*X168^(-Parameters!B$52)*Parameters!B$46*Parameters!B$45*N168</f>
        <v>-3.1723578109429594E-6</v>
      </c>
      <c r="AZ168" s="7">
        <f>1000*EXP(-(Parameters!$B$54)*'6states'!A168)*AQ168*Parameters!B$46*Parameters!B$45*N168</f>
        <v>0.34786080502623029</v>
      </c>
      <c r="BA168" s="93">
        <f>SUM(AZ168:AZ$204)*EXP(Parameters!$B$54*A168)</f>
        <v>5784.748817498732</v>
      </c>
      <c r="BB168" s="43">
        <f t="shared" si="166"/>
        <v>0.28398709782011972</v>
      </c>
      <c r="BC168" s="30">
        <f>IF(C168&lt;0,Parameters!$B$6*AC168^2/AF168,0)</f>
        <v>0</v>
      </c>
      <c r="BD168" s="30">
        <f>Parameters!$B$5*AD168^2/AG168</f>
        <v>23.263695148064119</v>
      </c>
      <c r="BE168" s="30">
        <f t="shared" si="202"/>
        <v>0</v>
      </c>
      <c r="BF168" s="30">
        <f t="shared" si="203"/>
        <v>7.1924404071005352E-2</v>
      </c>
    </row>
    <row r="169" spans="1:65" x14ac:dyDescent="0.3">
      <c r="A169">
        <f>A168+Parameters!$B$65</f>
        <v>165</v>
      </c>
      <c r="B169">
        <v>2190</v>
      </c>
      <c r="C169" s="74">
        <v>9.6293022868294206E-3</v>
      </c>
      <c r="D169" s="69">
        <v>0.110264941096699</v>
      </c>
      <c r="E169" s="75">
        <v>0.25848903197075201</v>
      </c>
      <c r="F169" s="7">
        <f>MAX((1-Parameters!$B$4)^Parameters!B$65*F168 + C168*Parameters!B$65 - IF(C168&gt;0,Parameters!$B$5,0)*C168^2/F168*Parameters!B$65, 0.0001)</f>
        <v>1E-4</v>
      </c>
      <c r="G169" s="7">
        <f>(1-Parameters!$B$4)^Parameters!B$65*G168+D168*Parameters!B$65-Parameters!$B$5*D168^2/G168*Parameters!B$65</f>
        <v>1.4772463361677735</v>
      </c>
      <c r="H169" s="7">
        <f>(1-Parameters!$B$4)^Parameters!B$65*H168+E168*Parameters!B$65-Parameters!$B$5*E168^2/H168*Parameters!B$65</f>
        <v>3.5151564106741819</v>
      </c>
      <c r="I169" s="7">
        <f>I168 *(1-Parameters!$B$4)-C168*(C168&lt;0)*Parameters!B$65</f>
        <v>2.500744730225908E-4</v>
      </c>
      <c r="J169" s="23">
        <f>J168*(1+Parameters!$B$51)^Parameters!B$65</f>
        <v>13.158286107983683</v>
      </c>
      <c r="K169" s="23">
        <f>K168*(1+Parameters!$B$53)^Parameters!B$65</f>
        <v>237.57519195810187</v>
      </c>
      <c r="L169" s="23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4.6046788285569157E-2</v>
      </c>
      <c r="M169" s="8">
        <f>M168+L169*Parameters!B$65</f>
        <v>3688.6389050553075</v>
      </c>
      <c r="N169" s="7">
        <f>M169*Parameters!$B$45</f>
        <v>2.2131833430331844</v>
      </c>
      <c r="O169" s="9">
        <f>EXP(-Parameters!$B$46/2*N169^2)</f>
        <v>0.95196528125639013</v>
      </c>
      <c r="P169" s="7">
        <f>MAX((Parameters!$B$62 + Parameters!$B$31*'6states'!A169 - '6states'!M169 + Parameters!$B$47/Parameters!$B$45)/Parameters!B$62,1)</f>
        <v>148.78722189889385</v>
      </c>
      <c r="Q169" s="8"/>
      <c r="R169" s="8"/>
      <c r="S169" s="7">
        <f>Parameters!B$61*EXP(-Parameters!B$60*A169)+(1-Parameters!B$61)*P169^-Parameters!B$63</f>
        <v>0.30899916010645162</v>
      </c>
      <c r="T169" s="7">
        <f>1-S169/Parameters!$B$12</f>
        <v>0.84550041994677416</v>
      </c>
      <c r="U169" s="7">
        <f t="shared" si="191"/>
        <v>6.4725095023267718</v>
      </c>
      <c r="V169" s="7">
        <f>(Parameters!$B$19*(F169+Parameters!$B$20)^T169+Parameters!$B$18*G169^T169)^(1/T169)</f>
        <v>0.37552906961240246</v>
      </c>
      <c r="W169" s="7">
        <f>(Parameters!$B$10*H169^Parameters!$B$9+Parameters!$B$11*V169^Parameters!$B$9)^(Parameters!$B$7/Parameters!$B$9)*O169</f>
        <v>1.3512993930724591</v>
      </c>
      <c r="X169" s="7">
        <f>W169 - D169 - E169 - LN(1+EXP(Parameters!$B$21*C169))/Parameters!$B$21 - IF(C169&gt;0, 0,Parameters!$B$6*C169^2/F169)</f>
        <v>0.9727356160584153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-0.23883010404656546</v>
      </c>
      <c r="AC169" s="23">
        <f t="shared" si="192"/>
        <v>30.101991901872783</v>
      </c>
      <c r="AD169" s="23">
        <f t="shared" si="193"/>
        <v>344.69728595945895</v>
      </c>
      <c r="AE169" s="23">
        <f t="shared" si="194"/>
        <v>0.7817533957872812</v>
      </c>
      <c r="AF169" s="23">
        <f t="shared" si="195"/>
        <v>0.31260823479438488</v>
      </c>
      <c r="AG169" s="23">
        <f t="shared" si="196"/>
        <v>4617.9936950588017</v>
      </c>
      <c r="AH169" s="23">
        <f t="shared" si="197"/>
        <v>1173.934795655108</v>
      </c>
      <c r="AI169" s="23">
        <f t="shared" si="198"/>
        <v>2889.1429078266492</v>
      </c>
      <c r="AJ169" s="23">
        <f t="shared" si="199"/>
        <v>4224.2731794710498</v>
      </c>
      <c r="AK169" s="23">
        <f t="shared" si="200"/>
        <v>3040.851638576497</v>
      </c>
      <c r="AL169" s="9">
        <f t="shared" si="204"/>
        <v>2.4713695897164101E-2</v>
      </c>
      <c r="AM169" s="9">
        <f t="shared" si="205"/>
        <v>3.024814984738633E-2</v>
      </c>
      <c r="AN169" s="9">
        <f t="shared" ref="AN169:AO169" si="241">AVERAGE(AL167:AL171)</f>
        <v>2.4500642692353126E-2</v>
      </c>
      <c r="AO169" s="9">
        <f t="shared" si="241"/>
        <v>1.8078013024788397E-2</v>
      </c>
      <c r="AP169" s="23"/>
      <c r="AQ169" s="25">
        <f t="shared" si="189"/>
        <v>4224.2731794710508</v>
      </c>
      <c r="AR169" s="4"/>
      <c r="AS169" s="4"/>
      <c r="AT169" s="4"/>
      <c r="AU169" s="16"/>
      <c r="AV169" s="16"/>
      <c r="AY169" s="21">
        <f>-Y169*W169*X169^(-Parameters!B$52)*Parameters!B$46*Parameters!B$45*N169</f>
        <v>-3.0994067682236115E-6</v>
      </c>
      <c r="AZ169" s="7">
        <f>1000*EXP(-(Parameters!$B$54)*'6states'!A169)*AQ169*Parameters!B$46*Parameters!B$45*N169</f>
        <v>0.34427081259936199</v>
      </c>
      <c r="BA169" s="93">
        <f>SUM(AZ169:AZ$204)*EXP(Parameters!$B$54*A169)</f>
        <v>5877.4732213278248</v>
      </c>
      <c r="BB169" s="43">
        <f t="shared" si="166"/>
        <v>0.28001439007083961</v>
      </c>
      <c r="BC169" s="30">
        <f>IF(C169&lt;0,Parameters!$B$6*AC169^2/AF169,0)</f>
        <v>0</v>
      </c>
      <c r="BD169" s="30">
        <f>Parameters!$B$5*AD169^2/AG169</f>
        <v>25.728969503563629</v>
      </c>
      <c r="BE169" s="30">
        <f t="shared" si="202"/>
        <v>0</v>
      </c>
      <c r="BF169" s="30">
        <f t="shared" si="203"/>
        <v>7.464221666830792E-2</v>
      </c>
    </row>
    <row r="170" spans="1:65" x14ac:dyDescent="0.3">
      <c r="A170">
        <f>A169+Parameters!$B$65</f>
        <v>166</v>
      </c>
      <c r="B170">
        <v>2191</v>
      </c>
      <c r="C170" s="74">
        <v>9.62925125336145E-3</v>
      </c>
      <c r="D170" s="69">
        <v>0.113554869319138</v>
      </c>
      <c r="E170" s="75">
        <v>0.27336079389705298</v>
      </c>
      <c r="F170" s="7">
        <f>MAX((1-Parameters!$B$4)^Parameters!B$65*F169 + C169*Parameters!B$65 - IF(C169&gt;0,Parameters!$B$5,0)*C169^2/F169*Parameters!B$65, 0.0001)</f>
        <v>1E-4</v>
      </c>
      <c r="G170" s="7">
        <f>(1-Parameters!$B$4)^Parameters!B$65*G169+D169*Parameters!B$65-Parameters!$B$5*D169^2/G169*Parameters!B$65</f>
        <v>1.4863620630952616</v>
      </c>
      <c r="H170" s="7">
        <f>(1-Parameters!$B$4)^Parameters!B$65*H169+E169*Parameters!B$65-Parameters!$B$5*E169^2/H169*Parameters!B$65</f>
        <v>3.5335339659858098</v>
      </c>
      <c r="I170" s="7">
        <f>I169 *(1-Parameters!$B$4)-C169*(C169&lt;0)*Parameters!B$65</f>
        <v>2.3434478866946984E-4</v>
      </c>
      <c r="J170" s="23">
        <f>J169*(1+Parameters!$B$51)^Parameters!B$65</f>
        <v>13.196445137696834</v>
      </c>
      <c r="K170" s="23">
        <f>K169*(1+Parameters!$B$53)^Parameters!B$65</f>
        <v>242.32669579726391</v>
      </c>
      <c r="L170" s="23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4.6635238511975187E-2</v>
      </c>
      <c r="M170" s="8">
        <f>M169+L170*Parameters!B$65</f>
        <v>3688.6855402938195</v>
      </c>
      <c r="N170" s="7">
        <f>M170*Parameters!$B$45</f>
        <v>2.2132113241762914</v>
      </c>
      <c r="O170" s="9">
        <f>EXP(-Parameters!$B$46/2*N170^2)</f>
        <v>0.95196409629967138</v>
      </c>
      <c r="P170" s="7">
        <f>MAX((Parameters!$B$62 + Parameters!$B$31*'6states'!A170 - '6states'!M170 + Parameters!$B$47/Parameters!$B$45)/Parameters!B$62,1)</f>
        <v>149.8502891941236</v>
      </c>
      <c r="Q170" s="8"/>
      <c r="R170" s="8"/>
      <c r="S170" s="7">
        <f>Parameters!B$61*EXP(-Parameters!B$60*A170)+(1-Parameters!B$61)*P170^-Parameters!B$63</f>
        <v>0.30862860669930503</v>
      </c>
      <c r="T170" s="7">
        <f>1-S170/Parameters!$B$12</f>
        <v>0.84568569665034743</v>
      </c>
      <c r="U170" s="7">
        <f t="shared" si="191"/>
        <v>6.4802806887845854</v>
      </c>
      <c r="V170" s="7">
        <f>(Parameters!$B$19*(F170+Parameters!$B$20)^T170+Parameters!$B$18*G170^T170)^(1/T170)</f>
        <v>0.37787041104267327</v>
      </c>
      <c r="W170" s="7">
        <f>(Parameters!$B$10*H170^Parameters!$B$9+Parameters!$B$11*V170^Parameters!$B$9)^(Parameters!$B$7/Parameters!$B$9)*O170</f>
        <v>1.3535353379900612</v>
      </c>
      <c r="X170" s="7">
        <f>W170 - D170 - E170 - LN(1+EXP(Parameters!$B$21*C170))/Parameters!$B$21 - IF(C170&gt;0, 0,Parameters!$B$6*C170^2/F170)</f>
        <v>0.95680991917072788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-0.23661399223293259</v>
      </c>
      <c r="AC170" s="23">
        <f t="shared" si="192"/>
        <v>30.792910234532126</v>
      </c>
      <c r="AD170" s="23">
        <f t="shared" si="193"/>
        <v>363.13154633052011</v>
      </c>
      <c r="AE170" s="23">
        <f t="shared" si="194"/>
        <v>0.74939970425118108</v>
      </c>
      <c r="AF170" s="23">
        <f t="shared" si="195"/>
        <v>0.31978509464879434</v>
      </c>
      <c r="AG170" s="23">
        <f t="shared" si="196"/>
        <v>4753.1643302929542</v>
      </c>
      <c r="AH170" s="23">
        <f t="shared" si="197"/>
        <v>1208.3732516026007</v>
      </c>
      <c r="AI170" s="23">
        <f t="shared" si="198"/>
        <v>2973.8985698322845</v>
      </c>
      <c r="AJ170" s="23">
        <f t="shared" si="199"/>
        <v>4328.4042616963952</v>
      </c>
      <c r="AK170" s="23">
        <f t="shared" si="200"/>
        <v>3059.7355056291649</v>
      </c>
      <c r="AL170" s="9">
        <f t="shared" si="204"/>
        <v>2.4351725821217585E-2</v>
      </c>
      <c r="AM170" s="9">
        <f t="shared" si="205"/>
        <v>6.1908557059418001E-3</v>
      </c>
      <c r="AN170" s="9">
        <f t="shared" ref="AN170:AO170" si="242">AVERAGE(AL168:AL172)</f>
        <v>2.4740296431408026E-2</v>
      </c>
      <c r="AO170" s="9">
        <f t="shared" si="242"/>
        <v>2.1540770909014916E-2</v>
      </c>
      <c r="AP170" s="23"/>
      <c r="AQ170" s="25">
        <f t="shared" si="189"/>
        <v>4328.4042616963952</v>
      </c>
      <c r="AR170" s="4"/>
      <c r="AS170" s="4"/>
      <c r="AT170" s="4"/>
      <c r="AU170" s="16"/>
      <c r="AV170" s="16"/>
      <c r="AY170" s="21">
        <f>-Y170*W170*X170^(-Parameters!B$52)*Parameters!B$46*Parameters!B$45*N170</f>
        <v>-3.126961893779189E-6</v>
      </c>
      <c r="AZ170" s="7">
        <f>1000*EXP(-(Parameters!$B$54)*'6states'!A170)*AQ170*Parameters!B$46*Parameters!B$45*N170</f>
        <v>0.34059461653203998</v>
      </c>
      <c r="BA170" s="93">
        <f>SUM(AZ170:AZ$204)*EXP(Parameters!$B$54*A170)</f>
        <v>5970.6579804684325</v>
      </c>
      <c r="BB170" s="43">
        <f t="shared" si="166"/>
        <v>0.29296975360717492</v>
      </c>
      <c r="BC170" s="30">
        <f>IF(C170&lt;0,Parameters!$B$6*AC170^2/AF170,0)</f>
        <v>0</v>
      </c>
      <c r="BD170" s="30">
        <f>Parameters!$B$5*AD170^2/AG170</f>
        <v>27.7424702318818</v>
      </c>
      <c r="BE170" s="30">
        <f t="shared" si="202"/>
        <v>0</v>
      </c>
      <c r="BF170" s="30">
        <f t="shared" si="203"/>
        <v>7.6397852272054534E-2</v>
      </c>
    </row>
    <row r="171" spans="1:65" x14ac:dyDescent="0.3">
      <c r="A171">
        <f>A170+Parameters!$B$65</f>
        <v>167</v>
      </c>
      <c r="B171">
        <v>2192</v>
      </c>
      <c r="C171" s="74">
        <v>9.6294174382378101E-3</v>
      </c>
      <c r="D171" s="69">
        <v>0.112481272299693</v>
      </c>
      <c r="E171" s="75">
        <v>0.27241655983095903</v>
      </c>
      <c r="F171" s="7">
        <f>MAX((1-Parameters!$B$4)^Parameters!B$65*F170 + C170*Parameters!B$65 - IF(C170&gt;0,Parameters!$B$5,0)*C170^2/F170*Parameters!B$65, 0.0001)</f>
        <v>1E-4</v>
      </c>
      <c r="G171" s="7">
        <f>(1-Parameters!$B$4)^Parameters!B$65*G170+D170*Parameters!B$65-Parameters!$B$5*D170^2/G170*Parameters!B$65</f>
        <v>1.4977494105146918</v>
      </c>
      <c r="H171" s="7">
        <f>(1-Parameters!$B$4)^Parameters!B$65*H170+E170*Parameters!B$65-Parameters!$B$5*E170^2/H170*Parameters!B$65</f>
        <v>3.5634877713316584</v>
      </c>
      <c r="I171" s="7">
        <f>I170 *(1-Parameters!$B$4)-C170*(C170&lt;0)*Parameters!B$65</f>
        <v>2.1960450146216019E-4</v>
      </c>
      <c r="J171" s="23">
        <f>J170*(1+Parameters!$B$51)^Parameters!B$65</f>
        <v>13.234714828596154</v>
      </c>
      <c r="K171" s="23">
        <f>K170*(1+Parameters!$B$53)^Parameters!B$65</f>
        <v>247.1732297132092</v>
      </c>
      <c r="L171" s="23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4.7231208777930037E-2</v>
      </c>
      <c r="M171" s="8">
        <f>M170+L171*Parameters!B$65</f>
        <v>3688.7327715025976</v>
      </c>
      <c r="N171" s="7">
        <f>M171*Parameters!$B$45</f>
        <v>2.2132396629015583</v>
      </c>
      <c r="O171" s="9">
        <f>EXP(-Parameters!$B$46/2*N171^2)</f>
        <v>0.95196289618615304</v>
      </c>
      <c r="P171" s="7">
        <f>MAX((Parameters!$B$62 + Parameters!$B$31*'6states'!A171 - '6states'!M171 + Parameters!$B$47/Parameters!$B$45)/Parameters!B$62,1)</f>
        <v>150.91334456994804</v>
      </c>
      <c r="Q171" s="8"/>
      <c r="R171" s="8"/>
      <c r="S171" s="7">
        <f>Parameters!B$61*EXP(-Parameters!B$60*A171)+(1-Parameters!B$61)*P171^-Parameters!B$63</f>
        <v>0.3082638560261004</v>
      </c>
      <c r="T171" s="7">
        <f>1-S171/Parameters!$B$12</f>
        <v>0.8458680719869498</v>
      </c>
      <c r="U171" s="7">
        <f t="shared" si="191"/>
        <v>6.4879484276309771</v>
      </c>
      <c r="V171" s="7">
        <f>(Parameters!$B$19*(F171+Parameters!$B$20)^T171+Parameters!$B$18*G171^T171)^(1/T171)</f>
        <v>0.38077027671933794</v>
      </c>
      <c r="W171" s="7">
        <f>(Parameters!$B$10*H171^Parameters!$B$9+Parameters!$B$11*V171^Parameters!$B$9)^(Parameters!$B$7/Parameters!$B$9)*O171</f>
        <v>1.3568682974800363</v>
      </c>
      <c r="X171" s="7">
        <f>W171 - D171 - E171 - LN(1+EXP(Parameters!$B$21*C171))/Parameters!$B$21 - IF(C171&gt;0, 0,Parameters!$B$6*C171^2/F171)</f>
        <v>0.96216055232096853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-0.23261350169938519</v>
      </c>
      <c r="AC171" s="23">
        <f t="shared" si="192"/>
        <v>31.500397502833103</v>
      </c>
      <c r="AD171" s="23">
        <f t="shared" si="193"/>
        <v>367.95629764630377</v>
      </c>
      <c r="AE171" s="23">
        <f t="shared" si="194"/>
        <v>0.71838500447597886</v>
      </c>
      <c r="AF171" s="23">
        <f t="shared" si="195"/>
        <v>0.32712672085174133</v>
      </c>
      <c r="AG171" s="23">
        <f t="shared" si="196"/>
        <v>4899.5385331929965</v>
      </c>
      <c r="AH171" s="23">
        <f t="shared" si="197"/>
        <v>1245.6013202100717</v>
      </c>
      <c r="AI171" s="23">
        <f t="shared" si="198"/>
        <v>3065.5196809769946</v>
      </c>
      <c r="AJ171" s="23">
        <f t="shared" si="199"/>
        <v>4438.6787678232931</v>
      </c>
      <c r="AK171" s="23">
        <f t="shared" si="200"/>
        <v>3147.4842641365872</v>
      </c>
      <c r="AL171" s="9">
        <f t="shared" si="204"/>
        <v>2.5157814041202542E-2</v>
      </c>
      <c r="AM171" s="9">
        <f t="shared" si="205"/>
        <v>2.8275011284254248E-2</v>
      </c>
      <c r="AN171" s="9">
        <f t="shared" ref="AN171:AO171" si="243">AVERAGE(AL169:AL173)</f>
        <v>2.4804205983778617E-2</v>
      </c>
      <c r="AO171" s="9">
        <f t="shared" si="243"/>
        <v>2.0275312214209151E-2</v>
      </c>
      <c r="AP171" s="23"/>
      <c r="AQ171" s="25">
        <f t="shared" si="189"/>
        <v>4438.6787678232931</v>
      </c>
      <c r="AR171" s="4"/>
      <c r="AS171" s="4"/>
      <c r="AT171" s="4"/>
      <c r="AU171" s="16"/>
      <c r="AV171" s="16"/>
      <c r="AY171" s="21">
        <f>-Y171*W171*X171^(-Parameters!B$52)*Parameters!B$46*Parameters!B$45*N171</f>
        <v>-3.0645651886804298E-6</v>
      </c>
      <c r="AZ171" s="7">
        <f>1000*EXP(-(Parameters!$B$54)*'6states'!A171)*AQ171*Parameters!B$46*Parameters!B$45*N171</f>
        <v>0.33722945720555464</v>
      </c>
      <c r="BA171" s="93">
        <f>SUM(AZ171:AZ$204)*EXP(Parameters!$B$54*A171)</f>
        <v>6064.2914419654126</v>
      </c>
      <c r="BB171" s="43">
        <f t="shared" si="166"/>
        <v>0.29076311260392945</v>
      </c>
      <c r="BC171" s="30">
        <f>IF(C171&lt;0,Parameters!$B$6*AC171^2/AF171,0)</f>
        <v>0</v>
      </c>
      <c r="BD171" s="30">
        <f>Parameters!$B$5*AD171^2/AG171</f>
        <v>27.633589584066673</v>
      </c>
      <c r="BE171" s="30">
        <f t="shared" si="202"/>
        <v>0</v>
      </c>
      <c r="BF171" s="30">
        <f t="shared" si="203"/>
        <v>7.5100194672111112E-2</v>
      </c>
    </row>
    <row r="172" spans="1:65" x14ac:dyDescent="0.3">
      <c r="A172">
        <f>A171+Parameters!$B$65</f>
        <v>168</v>
      </c>
      <c r="B172">
        <v>2193</v>
      </c>
      <c r="C172" s="74">
        <v>9.6295449954409505E-3</v>
      </c>
      <c r="D172" s="69">
        <v>0.11564192624615401</v>
      </c>
      <c r="E172" s="75">
        <v>0.27203584253079199</v>
      </c>
      <c r="F172" s="7">
        <f>MAX((1-Parameters!$B$4)^Parameters!B$65*F171 + C171*Parameters!B$65 - IF(C171&gt;0,Parameters!$B$5,0)*C171^2/F171*Parameters!B$65, 0.0001)</f>
        <v>1E-4</v>
      </c>
      <c r="G172" s="7">
        <f>(1-Parameters!$B$4)^Parameters!B$65*G171+D171*Parameters!B$65-Parameters!$B$5*D171^2/G171*Parameters!B$65</f>
        <v>1.5075748794463371</v>
      </c>
      <c r="H172" s="7">
        <f>(1-Parameters!$B$4)^Parameters!B$65*H171+E171*Parameters!B$65-Parameters!$B$5*E171^2/H171*Parameters!B$65</f>
        <v>3.5909356278437952</v>
      </c>
      <c r="I172" s="7">
        <f>I171 *(1-Parameters!$B$4)-C171*(C171&lt;0)*Parameters!B$65</f>
        <v>2.0579137832019032E-4</v>
      </c>
      <c r="J172" s="23">
        <f>J171*(1+Parameters!$B$51)^Parameters!B$65</f>
        <v>13.273095501599082</v>
      </c>
      <c r="K172" s="23">
        <f>K171*(1+Parameters!$B$53)^Parameters!B$65</f>
        <v>252.11669430747338</v>
      </c>
      <c r="L172" s="23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4.7834795185011658E-2</v>
      </c>
      <c r="M172" s="8">
        <f>M171+L172*Parameters!B$65</f>
        <v>3688.7806062977825</v>
      </c>
      <c r="N172" s="7">
        <f>M172*Parameters!$B$45</f>
        <v>2.2132683637786692</v>
      </c>
      <c r="O172" s="9">
        <f>EXP(-Parameters!$B$46/2*N172^2)</f>
        <v>0.95196168072178622</v>
      </c>
      <c r="P172" s="7">
        <f>MAX((Parameters!$B$62 + Parameters!$B$31*'6states'!A172 - '6states'!M172 + Parameters!$B$47/Parameters!$B$45)/Parameters!B$62,1)</f>
        <v>151.97638787404435</v>
      </c>
      <c r="Q172" s="8"/>
      <c r="R172" s="8"/>
      <c r="S172" s="7">
        <f>Parameters!B$61*EXP(-Parameters!B$60*A172)+(1-Parameters!B$61)*P172^-Parameters!B$63</f>
        <v>0.3079047735128434</v>
      </c>
      <c r="T172" s="7">
        <f>1-S172/Parameters!$B$12</f>
        <v>0.84604761324357836</v>
      </c>
      <c r="U172" s="7">
        <f t="shared" si="191"/>
        <v>6.4955147566641287</v>
      </c>
      <c r="V172" s="7">
        <f>(Parameters!$B$19*(F172+Parameters!$B$20)^T172+Parameters!$B$18*G172^T172)^(1/T172)</f>
        <v>0.38328576127983521</v>
      </c>
      <c r="W172" s="7">
        <f>(Parameters!$B$10*H172^Parameters!$B$9+Parameters!$B$11*V172^Parameters!$B$9)^(Parameters!$B$7/Parameters!$B$9)*O172</f>
        <v>1.3598598410798435</v>
      </c>
      <c r="X172" s="7">
        <f>W172 - D172 - E172 - LN(1+EXP(Parameters!$B$21*C172))/Parameters!$B$21 - IF(C172&gt;0, 0,Parameters!$B$6*C172^2/F172)</f>
        <v>0.96237203844053665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-0.2291097995217434</v>
      </c>
      <c r="AC172" s="23">
        <f t="shared" si="192"/>
        <v>32.224010482168495</v>
      </c>
      <c r="AD172" s="23">
        <f t="shared" si="193"/>
        <v>386.98055259085305</v>
      </c>
      <c r="AE172" s="23">
        <f t="shared" si="194"/>
        <v>0.68865388087072876</v>
      </c>
      <c r="AF172" s="23">
        <f t="shared" si="195"/>
        <v>0.33463689610905561</v>
      </c>
      <c r="AG172" s="23">
        <f t="shared" si="196"/>
        <v>5044.9017830990588</v>
      </c>
      <c r="AH172" s="23">
        <f t="shared" si="197"/>
        <v>1282.6155747748048</v>
      </c>
      <c r="AI172" s="23">
        <f t="shared" si="198"/>
        <v>3156.6145794841232</v>
      </c>
      <c r="AJ172" s="23">
        <f t="shared" si="199"/>
        <v>4550.5927636231236</v>
      </c>
      <c r="AK172" s="23">
        <f t="shared" si="200"/>
        <v>3220.4519184588589</v>
      </c>
      <c r="AL172" s="9">
        <f t="shared" si="204"/>
        <v>2.4900744851432677E-2</v>
      </c>
      <c r="AM172" s="9">
        <f t="shared" si="205"/>
        <v>2.29182096121896E-2</v>
      </c>
      <c r="AN172" s="9">
        <f t="shared" ref="AN172:AO172" si="244">AVERAGE(AL170:AL174)</f>
        <v>2.4925653794851853E-2</v>
      </c>
      <c r="AO172" s="9">
        <f t="shared" si="244"/>
        <v>1.7857125893691261E-2</v>
      </c>
      <c r="AP172" s="23"/>
      <c r="AQ172" s="25">
        <f t="shared" si="189"/>
        <v>4550.5927636231236</v>
      </c>
      <c r="AR172" s="4"/>
      <c r="AS172" s="4"/>
      <c r="AT172" s="4"/>
      <c r="AU172" s="16"/>
      <c r="AV172" s="16"/>
      <c r="AY172" s="21">
        <f>-Y172*W172*X172^(-Parameters!B$52)*Parameters!B$46*Parameters!B$45*N172</f>
        <v>-3.024434936465937E-6</v>
      </c>
      <c r="AZ172" s="7">
        <f>1000*EXP(-(Parameters!$B$54)*'6states'!A172)*AQ172*Parameters!B$46*Parameters!B$45*N172</f>
        <v>0.33381177731439704</v>
      </c>
      <c r="BA172" s="93">
        <f>SUM(AZ172:AZ$204)*EXP(Parameters!$B$54*A172)</f>
        <v>6158.219706264149</v>
      </c>
      <c r="BB172" s="43">
        <f t="shared" si="166"/>
        <v>0.29216784095697051</v>
      </c>
      <c r="BC172" s="30">
        <f>IF(C172&lt;0,Parameters!$B$6*AC172^2/AF172,0)</f>
        <v>0</v>
      </c>
      <c r="BD172" s="30">
        <f>Parameters!$B$5*AD172^2/AG172</f>
        <v>29.684214781983098</v>
      </c>
      <c r="BE172" s="30">
        <f t="shared" si="202"/>
        <v>0</v>
      </c>
      <c r="BF172" s="30">
        <f t="shared" si="203"/>
        <v>7.6707252039529841E-2</v>
      </c>
    </row>
    <row r="173" spans="1:65" x14ac:dyDescent="0.3">
      <c r="A173">
        <f>A172+Parameters!$B$65</f>
        <v>169</v>
      </c>
      <c r="B173">
        <v>2194</v>
      </c>
      <c r="C173" s="74">
        <v>9.6295704196140801E-3</v>
      </c>
      <c r="D173" s="69">
        <v>0.11615341208374599</v>
      </c>
      <c r="E173" s="75">
        <v>0.28309614211349499</v>
      </c>
      <c r="F173" s="7">
        <f>MAX((1-Parameters!$B$4)^Parameters!B$65*F172 + C172*Parameters!B$65 - IF(C172&gt;0,Parameters!$B$5,0)*C172^2/F172*Parameters!B$65, 0.0001)</f>
        <v>1E-4</v>
      </c>
      <c r="G173" s="7">
        <f>(1-Parameters!$B$4)^Parameters!B$65*G172+D172*Parameters!B$65-Parameters!$B$5*D172^2/G172*Parameters!B$65</f>
        <v>1.519519771392416</v>
      </c>
      <c r="H173" s="7">
        <f>(1-Parameters!$B$4)^Parameters!B$65*H172+E172*Parameters!B$65-Parameters!$B$5*E172^2/H172*Parameters!B$65</f>
        <v>3.6164932021652536</v>
      </c>
      <c r="I173" s="7">
        <f>I172 *(1-Parameters!$B$4)-C172*(C172&lt;0)*Parameters!B$65</f>
        <v>1.9284710062385035E-4</v>
      </c>
      <c r="J173" s="23">
        <f>J172*(1+Parameters!$B$51)^Parameters!B$65</f>
        <v>13.311587478553719</v>
      </c>
      <c r="K173" s="23">
        <f>K172*(1+Parameters!$B$53)^Parameters!B$65</f>
        <v>257.15902819362287</v>
      </c>
      <c r="L173" s="23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4.8446095062919053E-2</v>
      </c>
      <c r="M173" s="8">
        <f>M172+L173*Parameters!B$65</f>
        <v>3688.8290523928454</v>
      </c>
      <c r="N173" s="7">
        <f>M173*Parameters!$B$45</f>
        <v>2.213297431435707</v>
      </c>
      <c r="O173" s="9">
        <f>EXP(-Parameters!$B$46/2*N173^2)</f>
        <v>0.95196044971003335</v>
      </c>
      <c r="P173" s="7">
        <f>MAX((Parameters!$B$62 + Parameters!$B$31*'6states'!A173 - '6states'!M173 + Parameters!$B$47/Parameters!$B$45)/Parameters!B$62,1)</f>
        <v>153.03941895214311</v>
      </c>
      <c r="Q173" s="8"/>
      <c r="R173" s="8"/>
      <c r="S173" s="7">
        <f>Parameters!B$61*EXP(-Parameters!B$60*A173)+(1-Parameters!B$61)*P173^-Parameters!B$63</f>
        <v>0.30755122804632595</v>
      </c>
      <c r="T173" s="7">
        <f>1-S173/Parameters!$B$12</f>
        <v>0.84622438597683702</v>
      </c>
      <c r="U173" s="7">
        <f t="shared" si="191"/>
        <v>6.5029816746455751</v>
      </c>
      <c r="V173" s="7">
        <f>(Parameters!$B$19*(F173+Parameters!$B$20)^T173+Parameters!$B$18*G173^T173)^(1/T173)</f>
        <v>0.38632268423058541</v>
      </c>
      <c r="W173" s="7">
        <f>(Parameters!$B$10*H173^Parameters!$B$9+Parameters!$B$11*V173^Parameters!$B$9)^(Parameters!$B$7/Parameters!$B$9)*O173</f>
        <v>1.3628529437677115</v>
      </c>
      <c r="X173" s="7">
        <f>W173 - D173 - E173 - LN(1+EXP(Parameters!$B$21*C173))/Parameters!$B$21 - IF(C173&gt;0, 0,Parameters!$B$6*C173^2/F173)</f>
        <v>0.95379333162395952</v>
      </c>
      <c r="Y173" s="7">
        <f>EXP(-Parameters!$B$55*A173)</f>
        <v>7.79334516839401E-2</v>
      </c>
      <c r="Z173" s="7">
        <f>IF(X173&gt;0,X173^(1-Parameters!$B$52)/(1-Parameters!$B$52)*Y173*Parameters!$B$65,-10+X173*1000)</f>
        <v>-0.22638459394393964</v>
      </c>
      <c r="AC173" s="23">
        <f t="shared" si="192"/>
        <v>32.96389634671791</v>
      </c>
      <c r="AD173" s="23">
        <f t="shared" si="193"/>
        <v>397.61576782774716</v>
      </c>
      <c r="AE173" s="23">
        <f t="shared" si="194"/>
        <v>0.66015321127735693</v>
      </c>
      <c r="AF173" s="23">
        <f t="shared" si="195"/>
        <v>0.34231948996992728</v>
      </c>
      <c r="AG173" s="23">
        <f t="shared" si="196"/>
        <v>5201.6123314227234</v>
      </c>
      <c r="AH173" s="23">
        <f t="shared" si="197"/>
        <v>1322.4578422962727</v>
      </c>
      <c r="AI173" s="23">
        <f t="shared" si="198"/>
        <v>3254.6694331841913</v>
      </c>
      <c r="AJ173" s="23">
        <f t="shared" si="199"/>
        <v>4665.3112461457704</v>
      </c>
      <c r="AK173" s="23">
        <f t="shared" si="200"/>
        <v>3265.0204681823157</v>
      </c>
      <c r="AL173" s="9">
        <f t="shared" si="204"/>
        <v>2.4897049307876173E-2</v>
      </c>
      <c r="AM173" s="9">
        <f t="shared" si="205"/>
        <v>1.3744334621273779E-2</v>
      </c>
      <c r="AN173" s="9">
        <f t="shared" ref="AN173:AO173" si="245">AVERAGE(AL171:AL175)</f>
        <v>2.5160479120392765E-2</v>
      </c>
      <c r="AO173" s="9">
        <f t="shared" si="245"/>
        <v>2.338956973327342E-2</v>
      </c>
      <c r="AP173" s="23"/>
      <c r="AQ173" s="25">
        <f t="shared" si="189"/>
        <v>4665.3112461457704</v>
      </c>
      <c r="AR173" s="4"/>
      <c r="AS173" s="4"/>
      <c r="AT173" s="4"/>
      <c r="AU173" s="16"/>
      <c r="AV173" s="16"/>
      <c r="AY173" s="21">
        <f>-Y173*W173*X173^(-Parameters!B$52)*Parameters!B$46*Parameters!B$45*N173</f>
        <v>-3.0220156957337968E-6</v>
      </c>
      <c r="AZ173" s="7">
        <f>1000*EXP(-(Parameters!$B$54)*'6states'!A173)*AQ173*Parameters!B$46*Parameters!B$45*N173</f>
        <v>0.33042756777364585</v>
      </c>
      <c r="BA173" s="93">
        <f>SUM(AZ173:AZ$204)*EXP(Parameters!$B$54*A173)</f>
        <v>6252.4078814585191</v>
      </c>
      <c r="BB173" s="43">
        <f t="shared" si="166"/>
        <v>0.30001705355419883</v>
      </c>
      <c r="BC173" s="30">
        <f>IF(C173&lt;0,Parameters!$B$6*AC173^2/AF173,0)</f>
        <v>0</v>
      </c>
      <c r="BD173" s="30">
        <f>Parameters!$B$5*AD173^2/AG173</f>
        <v>30.394094898265234</v>
      </c>
      <c r="BE173" s="30">
        <f t="shared" si="202"/>
        <v>0</v>
      </c>
      <c r="BF173" s="30">
        <f t="shared" si="203"/>
        <v>7.6440869194685429E-2</v>
      </c>
    </row>
    <row r="174" spans="1:65" x14ac:dyDescent="0.3">
      <c r="A174">
        <f>A173+Parameters!$B$65</f>
        <v>170</v>
      </c>
      <c r="B174">
        <v>2195</v>
      </c>
      <c r="C174" s="74">
        <v>9.62965105154635E-3</v>
      </c>
      <c r="D174" s="69">
        <v>0.114312520602752</v>
      </c>
      <c r="E174" s="75">
        <v>0.29283729377766599</v>
      </c>
      <c r="F174" s="7">
        <f>MAX((1-Parameters!$B$4)^Parameters!B$65*F173 + C173*Parameters!B$65 - IF(C173&gt;0,Parameters!$B$5,0)*C173^2/F173*Parameters!B$65, 0.0001)</f>
        <v>1E-4</v>
      </c>
      <c r="G174" s="7">
        <f>(1-Parameters!$B$4)^Parameters!B$65*G173+D173*Parameters!B$65-Parameters!$B$5*D173^2/G173*Parameters!B$65</f>
        <v>1.531216522075969</v>
      </c>
      <c r="H174" s="7">
        <f>(1-Parameters!$B$4)^Parameters!B$65*H173+E173*Parameters!B$65-Parameters!$B$5*E173^2/H173*Parameters!B$65</f>
        <v>3.6499513864489774</v>
      </c>
      <c r="I174" s="7">
        <f>I173 *(1-Parameters!$B$4)-C173*(C173&lt;0)*Parameters!B$65</f>
        <v>1.8071701799461017E-4</v>
      </c>
      <c r="J174" s="23">
        <f>J173*(1+Parameters!$B$51)^Parameters!B$65</f>
        <v>13.350191082241523</v>
      </c>
      <c r="K174" s="23">
        <f>K173*(1+Parameters!$B$53)^Parameters!B$65</f>
        <v>262.30220875749535</v>
      </c>
      <c r="L174" s="23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4.9065206985167663E-2</v>
      </c>
      <c r="M174" s="8">
        <f>M173+L174*Parameters!B$65</f>
        <v>3688.8781175998306</v>
      </c>
      <c r="N174" s="7">
        <f>M174*Parameters!$B$45</f>
        <v>2.2133268705598983</v>
      </c>
      <c r="O174" s="9">
        <f>EXP(-Parameters!$B$46/2*N174^2)</f>
        <v>0.95195920295183567</v>
      </c>
      <c r="P174" s="7">
        <f>MAX((Parameters!$B$62 + Parameters!$B$31*'6states'!A174 - '6states'!M174 + Parameters!$B$47/Parameters!$B$45)/Parameters!B$62,1)</f>
        <v>154.10243764800339</v>
      </c>
      <c r="Q174" s="8"/>
      <c r="R174" s="8"/>
      <c r="S174" s="7">
        <f>Parameters!B$61*EXP(-Parameters!B$60*A174)+(1-Parameters!B$61)*P174^-Parameters!B$63</f>
        <v>0.30720309188100459</v>
      </c>
      <c r="T174" s="7">
        <f>1-S174/Parameters!$B$12</f>
        <v>0.84639845405949776</v>
      </c>
      <c r="U174" s="7">
        <f t="shared" si="191"/>
        <v>6.5103511418260815</v>
      </c>
      <c r="V174" s="7">
        <f>(Parameters!$B$19*(F174+Parameters!$B$20)^T174+Parameters!$B$18*G174^T174)^(1/T174)</f>
        <v>0.38929854355976867</v>
      </c>
      <c r="W174" s="7">
        <f>(Parameters!$B$10*H174^Parameters!$B$9+Parameters!$B$11*V174^Parameters!$B$9)^(Parameters!$B$7/Parameters!$B$9)*O174</f>
        <v>1.3664317224365539</v>
      </c>
      <c r="X174" s="7">
        <f>W174 - D174 - E174 - LN(1+EXP(Parameters!$B$21*C174))/Parameters!$B$21 - IF(C174&gt;0, 0,Parameters!$B$6*C174^2/F174)</f>
        <v>0.94947177372746705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-0.22334657663400875</v>
      </c>
      <c r="AC174" s="23">
        <f t="shared" si="192"/>
        <v>33.720963834705209</v>
      </c>
      <c r="AD174" s="23">
        <f t="shared" si="193"/>
        <v>400.29782517201323</v>
      </c>
      <c r="AE174" s="23">
        <f t="shared" si="194"/>
        <v>0.63283207205451542</v>
      </c>
      <c r="AF174" s="23">
        <f t="shared" si="195"/>
        <v>0.3501784608206569</v>
      </c>
      <c r="AG174" s="23">
        <f t="shared" si="196"/>
        <v>5361.9904488372222</v>
      </c>
      <c r="AH174" s="23">
        <f t="shared" si="197"/>
        <v>1363.2396478348323</v>
      </c>
      <c r="AI174" s="23">
        <f t="shared" si="198"/>
        <v>3355.0365614746033</v>
      </c>
      <c r="AJ174" s="23">
        <f t="shared" si="199"/>
        <v>4784.9495737935149</v>
      </c>
      <c r="AK174" s="23">
        <f t="shared" si="200"/>
        <v>3324.845643165434</v>
      </c>
      <c r="AL174" s="9">
        <f t="shared" si="204"/>
        <v>2.5320934952530294E-2</v>
      </c>
      <c r="AM174" s="9">
        <f t="shared" si="205"/>
        <v>1.815721824479688E-2</v>
      </c>
      <c r="AN174" s="9">
        <f t="shared" ref="AN174:AO174" si="246">AVERAGE(AL172:AL176)</f>
        <v>2.5134120909859801E-2</v>
      </c>
      <c r="AO174" s="9">
        <f t="shared" si="246"/>
        <v>2.0416932435604097E-2</v>
      </c>
      <c r="AP174" s="23"/>
      <c r="AQ174" s="25">
        <f t="shared" si="189"/>
        <v>4784.9495737935149</v>
      </c>
      <c r="AR174" s="4"/>
      <c r="AS174" s="4"/>
      <c r="AT174" s="4"/>
      <c r="AU174" s="16"/>
      <c r="AV174" s="16"/>
      <c r="AY174" s="21">
        <f>-Y174*W174*X174^(-Parameters!B$52)*Parameters!B$46*Parameters!B$45*N174</f>
        <v>-3.0029360684935331E-6</v>
      </c>
      <c r="AZ174" s="7">
        <f>1000*EXP(-(Parameters!$B$54)*'6states'!A174)*AQ174*Parameters!B$46*Parameters!B$45*N174</f>
        <v>0.32721639538779118</v>
      </c>
      <c r="BA174" s="93">
        <f>SUM(AZ174:AZ$204)*EXP(Parameters!$B$54*A174)</f>
        <v>6346.7876182388527</v>
      </c>
      <c r="BB174" s="43">
        <f t="shared" ref="BB174:BB204" si="247">(C174+D174+E174)/W174</f>
        <v>0.30501301937632397</v>
      </c>
      <c r="BC174" s="30">
        <f>IF(C174&lt;0,Parameters!$B$6*AC174^2/AF174,0)</f>
        <v>0</v>
      </c>
      <c r="BD174" s="30">
        <f>Parameters!$B$5*AD174^2/AG174</f>
        <v>29.884116796998821</v>
      </c>
      <c r="BE174" s="30">
        <f t="shared" si="202"/>
        <v>0</v>
      </c>
      <c r="BF174" s="30">
        <f t="shared" si="203"/>
        <v>7.4654706865212736E-2</v>
      </c>
    </row>
    <row r="175" spans="1:65" x14ac:dyDescent="0.3">
      <c r="A175">
        <f>A174+Parameters!$B$65</f>
        <v>171</v>
      </c>
      <c r="B175">
        <v>2196</v>
      </c>
      <c r="C175" s="74">
        <v>9.62995444818141E-3</v>
      </c>
      <c r="D175" s="69">
        <v>0.122807560989389</v>
      </c>
      <c r="E175" s="75">
        <v>0.27756060227417001</v>
      </c>
      <c r="F175" s="7">
        <f>MAX((1-Parameters!$B$4)^Parameters!B$65*F174 + C174*Parameters!B$65 - IF(C174&gt;0,Parameters!$B$5,0)*C174^2/F174*Parameters!B$65, 0.0001)</f>
        <v>1E-4</v>
      </c>
      <c r="G175" s="7">
        <f>(1-Parameters!$B$4)^Parameters!B$65*G174+D174*Parameters!B$65-Parameters!$B$5*D174^2/G174*Parameters!B$65</f>
        <v>1.5406815557235205</v>
      </c>
      <c r="H175" s="7">
        <f>(1-Parameters!$B$4)^Parameters!B$65*H174+E174*Parameters!B$65-Parameters!$B$5*E174^2/H174*Parameters!B$65</f>
        <v>3.6897122660253756</v>
      </c>
      <c r="I175" s="7">
        <f>I174 *(1-Parameters!$B$4)-C174*(C174&lt;0)*Parameters!B$65</f>
        <v>1.693499175627492E-4</v>
      </c>
      <c r="J175" s="23">
        <f>J174*(1+Parameters!$B$51)^Parameters!B$65</f>
        <v>13.388906636380021</v>
      </c>
      <c r="K175" s="23">
        <f>K174*(1+Parameters!$B$53)^Parameters!B$65</f>
        <v>267.54825293264525</v>
      </c>
      <c r="L175" s="23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4.969223078498583E-2</v>
      </c>
      <c r="M175" s="8">
        <f>M174+L175*Parameters!B$65</f>
        <v>3688.9278098306154</v>
      </c>
      <c r="N175" s="7">
        <f>M175*Parameters!$B$45</f>
        <v>2.2133566858983689</v>
      </c>
      <c r="O175" s="9">
        <f>EXP(-Parameters!$B$46/2*N175^2)</f>
        <v>0.951957940245581</v>
      </c>
      <c r="P175" s="7">
        <f>MAX((Parameters!$B$62 + Parameters!$B$31*'6states'!A175 - '6states'!M175 + Parameters!$B$47/Parameters!$B$45)/Parameters!B$62,1)</f>
        <v>155.16544380338772</v>
      </c>
      <c r="Q175" s="8"/>
      <c r="R175" s="8"/>
      <c r="S175" s="7">
        <f>Parameters!B$61*EXP(-Parameters!B$60*A175)+(1-Parameters!B$61)*P175^-Parameters!B$63</f>
        <v>0.30686024054848776</v>
      </c>
      <c r="T175" s="7">
        <f>1-S175/Parameters!$B$12</f>
        <v>0.84656987972575615</v>
      </c>
      <c r="U175" s="7">
        <f t="shared" si="191"/>
        <v>6.5176250804769067</v>
      </c>
      <c r="V175" s="7">
        <f>(Parameters!$B$19*(F175+Parameters!$B$20)^T175+Parameters!$B$18*G175^T175)^(1/T175)</f>
        <v>0.39172483217289777</v>
      </c>
      <c r="W175" s="7">
        <f>(Parameters!$B$10*H175^Parameters!$B$9+Parameters!$B$11*V175^Parameters!$B$9)^(Parameters!$B$7/Parameters!$B$9)*O175</f>
        <v>1.3703006686000703</v>
      </c>
      <c r="X175" s="7">
        <f>W175 - D175 - E175 - LN(1+EXP(Parameters!$B$21*C175))/Parameters!$B$21 - IF(C175&gt;0, 0,Parameters!$B$6*C175^2/F175)</f>
        <v>0.96012208360111206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-0.21914214753197417</v>
      </c>
      <c r="AC175" s="23">
        <f t="shared" si="192"/>
        <v>34.49621654334949</v>
      </c>
      <c r="AD175" s="23">
        <f t="shared" si="193"/>
        <v>439.91861434511702</v>
      </c>
      <c r="AE175" s="23">
        <f t="shared" si="194"/>
        <v>0.60664164708964052</v>
      </c>
      <c r="AF175" s="23">
        <f t="shared" si="195"/>
        <v>0.35821785792417743</v>
      </c>
      <c r="AG175" s="23">
        <f t="shared" si="196"/>
        <v>5518.9964663456876</v>
      </c>
      <c r="AH175" s="23">
        <f t="shared" si="197"/>
        <v>1403.2283027668336</v>
      </c>
      <c r="AI175" s="23">
        <f t="shared" si="198"/>
        <v>3453.4516857369745</v>
      </c>
      <c r="AJ175" s="23">
        <f t="shared" si="199"/>
        <v>4908.6617021798538</v>
      </c>
      <c r="AK175" s="23">
        <f t="shared" si="200"/>
        <v>3439.3287613328839</v>
      </c>
      <c r="AL175" s="9">
        <f t="shared" si="204"/>
        <v>2.5525852448922137E-2</v>
      </c>
      <c r="AM175" s="9">
        <f t="shared" si="205"/>
        <v>3.3853074903852587E-2</v>
      </c>
      <c r="AN175" s="9">
        <f t="shared" ref="AN175:AO175" si="248">AVERAGE(AL173:AL177)</f>
        <v>2.5243113598703106E-2</v>
      </c>
      <c r="AO175" s="9">
        <f t="shared" si="248"/>
        <v>1.8531627871750091E-2</v>
      </c>
      <c r="AP175" s="23"/>
      <c r="AQ175" s="25">
        <f t="shared" si="189"/>
        <v>4908.6617021798538</v>
      </c>
      <c r="AR175" s="4"/>
      <c r="AS175" s="4"/>
      <c r="AT175" s="4"/>
      <c r="AU175" s="16"/>
      <c r="AV175" s="16"/>
      <c r="AY175" s="21">
        <f>-Y175*W175*X175^(-Parameters!B$52)*Parameters!B$46*Parameters!B$45*N175</f>
        <v>-2.9220125907462177E-6</v>
      </c>
      <c r="AZ175" s="7">
        <f>1000*EXP(-(Parameters!$B$54)*'6states'!A175)*AQ175*Parameters!B$46*Parameters!B$45*N175</f>
        <v>0.3241028924958918</v>
      </c>
      <c r="BA175" s="93">
        <f>SUM(AZ175:AZ$204)*EXP(Parameters!$B$54*A175)</f>
        <v>6441.2296389457206</v>
      </c>
      <c r="BB175" s="43">
        <f t="shared" si="247"/>
        <v>0.29920303412725008</v>
      </c>
      <c r="BC175" s="30">
        <f>IF(C175&lt;0,Parameters!$B$6*AC175^2/AF175,0)</f>
        <v>0</v>
      </c>
      <c r="BD175" s="30">
        <f>Parameters!$B$5*AD175^2/AG175</f>
        <v>35.065865402785704</v>
      </c>
      <c r="BE175" s="30">
        <f t="shared" si="202"/>
        <v>0</v>
      </c>
      <c r="BF175" s="30">
        <f t="shared" si="203"/>
        <v>7.9709892374039124E-2</v>
      </c>
    </row>
    <row r="176" spans="1:65" x14ac:dyDescent="0.3">
      <c r="A176">
        <f>A175+Parameters!$B$65</f>
        <v>172</v>
      </c>
      <c r="B176">
        <v>2197</v>
      </c>
      <c r="C176" s="74">
        <v>9.6299809195649899E-3</v>
      </c>
      <c r="D176" s="69">
        <v>0.12575469434390699</v>
      </c>
      <c r="E176" s="75">
        <v>0.286681662350113</v>
      </c>
      <c r="F176" s="7">
        <f>MAX((1-Parameters!$B$4)^Parameters!B$65*F175 + C175*Parameters!B$65 - IF(C175&gt;0,Parameters!$B$5,0)*C175^2/F175*Parameters!B$65, 0.0001)</f>
        <v>1E-4</v>
      </c>
      <c r="G176" s="7">
        <f>(1-Parameters!$B$4)^Parameters!B$65*G175+D175*Parameters!B$65-Parameters!$B$5*D175^2/G175*Parameters!B$65</f>
        <v>1.5567912693887178</v>
      </c>
      <c r="H176" s="7">
        <f>(1-Parameters!$B$4)^Parameters!B$65*H175+E175*Parameters!B$65-Parameters!$B$5*E175^2/H175*Parameters!B$65</f>
        <v>3.7143103202303744</v>
      </c>
      <c r="I176" s="7">
        <f>I175 *(1-Parameters!$B$4)-C175*(C175&lt;0)*Parameters!B$65</f>
        <v>1.586978077480523E-4</v>
      </c>
      <c r="J176" s="23">
        <f>J175*(1+Parameters!$B$51)^Parameters!B$65</f>
        <v>13.427734465625521</v>
      </c>
      <c r="K176" s="23">
        <f>K175*(1+Parameters!$B$53)^Parameters!B$65</f>
        <v>272.89921799129814</v>
      </c>
      <c r="L176" s="23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5.0327267571415917E-2</v>
      </c>
      <c r="M176" s="8">
        <f>M175+L176*Parameters!B$65</f>
        <v>3688.9781370981868</v>
      </c>
      <c r="N176" s="7">
        <f>M176*Parameters!$B$45</f>
        <v>2.213386882258912</v>
      </c>
      <c r="O176" s="9">
        <f>EXP(-Parameters!$B$46/2*N176^2)</f>
        <v>0.95195666138707091</v>
      </c>
      <c r="P176" s="7">
        <f>MAX((Parameters!$B$62 + Parameters!$B$31*'6states'!A176 - '6states'!M176 + Parameters!$B$47/Parameters!$B$45)/Parameters!B$62,1)</f>
        <v>156.22843725803625</v>
      </c>
      <c r="Q176" s="8"/>
      <c r="R176" s="8"/>
      <c r="S176" s="7">
        <f>Parameters!B$61*EXP(-Parameters!B$60*A176)+(1-Parameters!B$61)*P176^-Parameters!B$63</f>
        <v>0.30652255276955354</v>
      </c>
      <c r="T176" s="7">
        <f>1-S176/Parameters!$B$12</f>
        <v>0.84673872361522329</v>
      </c>
      <c r="U176" s="7">
        <f t="shared" si="191"/>
        <v>6.5248053754257329</v>
      </c>
      <c r="V176" s="7">
        <f>(Parameters!$B$19*(F176+Parameters!$B$20)^T176+Parameters!$B$18*G176^T176)^(1/T176)</f>
        <v>0.39578751715132948</v>
      </c>
      <c r="W176" s="7">
        <f>(Parameters!$B$10*H176^Parameters!$B$9+Parameters!$B$11*V176^Parameters!$B$9)^(Parameters!$B$7/Parameters!$B$9)*O176</f>
        <v>1.3734938850809706</v>
      </c>
      <c r="X176" s="7">
        <f>W176 - D176 - E176 - LN(1+EXP(Parameters!$B$21*C176))/Parameters!$B$21 - IF(C176&gt;0, 0,Parameters!$B$6*C176^2/F176)</f>
        <v>0.9512470815752232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-0.21656070629098356</v>
      </c>
      <c r="AC176" s="23">
        <f t="shared" si="192"/>
        <v>35.2882776849724</v>
      </c>
      <c r="AD176" s="23">
        <f t="shared" si="193"/>
        <v>460.81779509871325</v>
      </c>
      <c r="AE176" s="23">
        <f t="shared" si="194"/>
        <v>0.58153514057664479</v>
      </c>
      <c r="AF176" s="23">
        <f t="shared" si="195"/>
        <v>0.36644182350640064</v>
      </c>
      <c r="AG176" s="23">
        <f t="shared" si="196"/>
        <v>5704.7343157364594</v>
      </c>
      <c r="AH176" s="23">
        <f t="shared" si="197"/>
        <v>1450.3309950600401</v>
      </c>
      <c r="AI176" s="23">
        <f t="shared" si="198"/>
        <v>3569.3749975615601</v>
      </c>
      <c r="AJ176" s="23">
        <f t="shared" si="199"/>
        <v>5033.0560382396152</v>
      </c>
      <c r="AK176" s="23">
        <f t="shared" si="200"/>
        <v>3485.7671517756662</v>
      </c>
      <c r="AL176" s="9">
        <f t="shared" si="204"/>
        <v>2.5026022988537733E-2</v>
      </c>
      <c r="AM176" s="9">
        <f t="shared" si="205"/>
        <v>1.3411824795907634E-2</v>
      </c>
      <c r="AN176" s="9">
        <f t="shared" ref="AN176:AO176" si="249">AVERAGE(AL174:AL178)</f>
        <v>2.543392213827609E-2</v>
      </c>
      <c r="AO176" s="9">
        <f t="shared" si="249"/>
        <v>2.0084724774802609E-2</v>
      </c>
      <c r="AP176" s="23"/>
      <c r="AQ176" s="25">
        <f t="shared" si="189"/>
        <v>5033.0560382396152</v>
      </c>
      <c r="AR176" s="4"/>
      <c r="AS176" s="4"/>
      <c r="AT176" s="4"/>
      <c r="AU176" s="16"/>
      <c r="AV176" s="16"/>
      <c r="AY176" s="21">
        <f>-Y176*W176*X176^(-Parameters!B$52)*Parameters!B$46*Parameters!B$45*N176</f>
        <v>-2.9213644224919246E-6</v>
      </c>
      <c r="AZ176" s="7">
        <f>1000*EXP(-(Parameters!$B$54)*'6states'!A176)*AQ176*Parameters!B$46*Parameters!B$45*N176</f>
        <v>0.3208586554621467</v>
      </c>
      <c r="BA176" s="93">
        <f>SUM(AZ176:AZ$204)*EXP(Parameters!$B$54*A176)</f>
        <v>6535.6234306040087</v>
      </c>
      <c r="BB176" s="43">
        <f t="shared" si="247"/>
        <v>0.30729393279293937</v>
      </c>
      <c r="BC176" s="30">
        <f>IF(C176&lt;0,Parameters!$B$6*AC176^2/AF176,0)</f>
        <v>0</v>
      </c>
      <c r="BD176" s="30">
        <f>Parameters!$B$5*AD176^2/AG176</f>
        <v>37.22400177232894</v>
      </c>
      <c r="BE176" s="30">
        <f t="shared" si="202"/>
        <v>0</v>
      </c>
      <c r="BF176" s="30">
        <f t="shared" si="203"/>
        <v>8.0778134369474744E-2</v>
      </c>
    </row>
    <row r="177" spans="1:58" x14ac:dyDescent="0.3">
      <c r="A177">
        <f>A176+Parameters!$B$65</f>
        <v>173</v>
      </c>
      <c r="B177">
        <v>2198</v>
      </c>
      <c r="C177" s="74">
        <v>9.6300089340840903E-3</v>
      </c>
      <c r="D177" s="69">
        <v>0.12702570998509399</v>
      </c>
      <c r="E177" s="75">
        <v>0.29790687316848902</v>
      </c>
      <c r="F177" s="7">
        <f>MAX((1-Parameters!$B$4)^Parameters!B$65*F176 + C176*Parameters!B$65 - IF(C176&gt;0,Parameters!$B$5,0)*C176^2/F176*Parameters!B$65, 0.0001)</f>
        <v>1E-4</v>
      </c>
      <c r="G177" s="7">
        <f>(1-Parameters!$B$4)^Parameters!B$65*G176+D176*Parameters!B$65-Parameters!$B$5*D176^2/G176*Parameters!B$65</f>
        <v>1.57446556329077</v>
      </c>
      <c r="H177" s="7">
        <f>(1-Parameters!$B$4)^Parameters!B$65*H176+E176*Parameters!B$65-Parameters!$B$5*E176^2/H176*Parameters!B$65</f>
        <v>3.7452349089182881</v>
      </c>
      <c r="I177" s="7">
        <f>I176 *(1-Parameters!$B$4)-C176*(C176&lt;0)*Parameters!B$65</f>
        <v>1.487157156406998E-4</v>
      </c>
      <c r="J177" s="23">
        <f>J176*(1+Parameters!$B$51)^Parameters!B$65</f>
        <v>13.466674895575833</v>
      </c>
      <c r="K177" s="23">
        <f>K176*(1+Parameters!$B$53)^Parameters!B$65</f>
        <v>278.3572023511241</v>
      </c>
      <c r="L177" s="23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5.0970419745623712E-2</v>
      </c>
      <c r="M177" s="8">
        <f>M176+L177*Parameters!B$65</f>
        <v>3689.0291075179325</v>
      </c>
      <c r="N177" s="7">
        <f>M177*Parameters!$B$45</f>
        <v>2.2134174645107594</v>
      </c>
      <c r="O177" s="9">
        <f>EXP(-Parameters!$B$46/2*N177^2)</f>
        <v>0.95195536616948728</v>
      </c>
      <c r="P177" s="7">
        <f>MAX((Parameters!$B$62 + Parameters!$B$31*'6states'!A177 - '6states'!M177 + Parameters!$B$47/Parameters!$B$45)/Parameters!B$62,1)</f>
        <v>157.29141784964136</v>
      </c>
      <c r="Q177" s="8"/>
      <c r="R177" s="8"/>
      <c r="S177" s="7">
        <f>Parameters!B$61*EXP(-Parameters!B$60*A177)+(1-Parameters!B$61)*P177^-Parameters!B$63</f>
        <v>0.3061899103686242</v>
      </c>
      <c r="T177" s="7">
        <f>1-S177/Parameters!$B$12</f>
        <v>0.84690504481568785</v>
      </c>
      <c r="U177" s="7">
        <f t="shared" si="191"/>
        <v>6.5318938745962765</v>
      </c>
      <c r="V177" s="7">
        <f>(Parameters!$B$19*(F177+Parameters!$B$20)^T177+Parameters!$B$18*G177^T177)^(1/T177)</f>
        <v>0.4002361360210942</v>
      </c>
      <c r="W177" s="7">
        <f>(Parameters!$B$10*H177^Parameters!$B$9+Parameters!$B$11*V177^Parameters!$B$9)^(Parameters!$B$7/Parameters!$B$9)*O177</f>
        <v>1.3772724424569882</v>
      </c>
      <c r="X177" s="7">
        <f>W177 - D177 - E177 - LN(1+EXP(Parameters!$B$21*C177))/Parameters!$B$21 - IF(C177&gt;0, 0,Parameters!$B$6*C177^2/F177)</f>
        <v>0.94252938595352631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-0.21400369195008453</v>
      </c>
      <c r="AC177" s="23">
        <f t="shared" si="192"/>
        <v>36.098530977776072</v>
      </c>
      <c r="AD177" s="23">
        <f t="shared" si="193"/>
        <v>476.16171057135534</v>
      </c>
      <c r="AE177" s="23">
        <f t="shared" si="194"/>
        <v>0.55746769340339453</v>
      </c>
      <c r="AF177" s="23">
        <f t="shared" si="195"/>
        <v>0.37485459489046058</v>
      </c>
      <c r="AG177" s="23">
        <f t="shared" si="196"/>
        <v>5901.9565089634234</v>
      </c>
      <c r="AH177" s="23">
        <f t="shared" si="197"/>
        <v>1500.3035462871051</v>
      </c>
      <c r="AI177" s="23">
        <f t="shared" si="198"/>
        <v>3692.3612507146663</v>
      </c>
      <c r="AJ177" s="23">
        <f t="shared" si="199"/>
        <v>5162.7690347100943</v>
      </c>
      <c r="AK177" s="23">
        <f t="shared" si="200"/>
        <v>3533.1147114396363</v>
      </c>
      <c r="AL177" s="9">
        <f t="shared" si="204"/>
        <v>2.5445708295649183E-2</v>
      </c>
      <c r="AM177" s="9">
        <f t="shared" si="205"/>
        <v>1.3491686792919566E-2</v>
      </c>
      <c r="AN177" s="9">
        <f t="shared" ref="AN177:AO177" si="250">AVERAGE(AL175:AL179)</f>
        <v>2.5549072856028587E-2</v>
      </c>
      <c r="AO177" s="9">
        <f t="shared" si="250"/>
        <v>1.8638450521190463E-2</v>
      </c>
      <c r="AP177" s="23"/>
      <c r="AQ177" s="25">
        <f t="shared" si="189"/>
        <v>5162.7690347100943</v>
      </c>
      <c r="AR177" s="4"/>
      <c r="AS177" s="4"/>
      <c r="AT177" s="4"/>
      <c r="AU177" s="16"/>
      <c r="AV177" s="16"/>
      <c r="AY177" s="21">
        <f>-Y177*W177*X177^(-Parameters!B$52)*Parameters!B$46*Parameters!B$45*N177</f>
        <v>-2.9216279374178555E-6</v>
      </c>
      <c r="AZ177" s="7">
        <f>1000*EXP(-(Parameters!$B$54)*'6states'!A177)*AQ177*Parameters!B$46*Parameters!B$45*N177</f>
        <v>0.31778028796704694</v>
      </c>
      <c r="BA177" s="93">
        <f>SUM(AZ177:AZ$204)*EXP(Parameters!$B$54*A177)</f>
        <v>6629.9482932070378</v>
      </c>
      <c r="BB177" s="43">
        <f t="shared" si="247"/>
        <v>0.31552405950447121</v>
      </c>
      <c r="BC177" s="30">
        <f>IF(C177&lt;0,Parameters!$B$6*AC177^2/AF177,0)</f>
        <v>0</v>
      </c>
      <c r="BD177" s="30">
        <f>Parameters!$B$5*AD177^2/AG177</f>
        <v>38.416070038791318</v>
      </c>
      <c r="BE177" s="30">
        <f t="shared" si="202"/>
        <v>0</v>
      </c>
      <c r="BF177" s="30">
        <f t="shared" si="203"/>
        <v>8.0678620699457665E-2</v>
      </c>
    </row>
    <row r="178" spans="1:58" x14ac:dyDescent="0.3">
      <c r="A178">
        <f>A177+Parameters!$B$65</f>
        <v>174</v>
      </c>
      <c r="B178">
        <v>2199</v>
      </c>
      <c r="C178" s="74">
        <v>9.6301620920634708E-3</v>
      </c>
      <c r="D178" s="69">
        <v>0.12627642400022901</v>
      </c>
      <c r="E178" s="75">
        <v>0.30412457526319198</v>
      </c>
      <c r="F178" s="7">
        <f>MAX((1-Parameters!$B$4)^Parameters!B$65*F177 + C177*Parameters!B$65 - IF(C177&gt;0,Parameters!$B$5,0)*C177^2/F177*Parameters!B$65, 0.0001)</f>
        <v>1E-4</v>
      </c>
      <c r="G178" s="7">
        <f>(1-Parameters!$B$4)^Parameters!B$65*G177+D177*Parameters!B$65-Parameters!$B$5*D177^2/G177*Parameters!B$65</f>
        <v>1.592209130269908</v>
      </c>
      <c r="H178" s="7">
        <f>(1-Parameters!$B$4)^Parameters!B$65*H177+E177*Parameters!B$65-Parameters!$B$5*E177^2/H177*Parameters!B$65</f>
        <v>3.7838701275200046</v>
      </c>
      <c r="I178" s="7">
        <f>I177 *(1-Parameters!$B$4)-C177*(C177&lt;0)*Parameters!B$65</f>
        <v>1.393614971268998E-4</v>
      </c>
      <c r="J178" s="23">
        <f>J177*(1+Parameters!$B$51)^Parameters!B$65</f>
        <v>13.505728252773002</v>
      </c>
      <c r="K178" s="23">
        <f>K177*(1+Parameters!$B$53)^Parameters!B$65</f>
        <v>283.92434639814661</v>
      </c>
      <c r="L178" s="23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5.1621791017421127E-2</v>
      </c>
      <c r="M178" s="8">
        <f>M177+L178*Parameters!B$65</f>
        <v>3689.0807293089501</v>
      </c>
      <c r="N178" s="7">
        <f>M178*Parameters!$B$45</f>
        <v>2.2134484375853698</v>
      </c>
      <c r="O178" s="9">
        <f>EXP(-Parameters!$B$46/2*N178^2)</f>
        <v>0.95195405438335867</v>
      </c>
      <c r="P178" s="7">
        <f>MAX((Parameters!$B$62 + Parameters!$B$31*'6states'!A178 - '6states'!M178 + Parameters!$B$47/Parameters!$B$45)/Parameters!B$62,1)</f>
        <v>158.35438541382101</v>
      </c>
      <c r="Q178" s="8"/>
      <c r="R178" s="8"/>
      <c r="S178" s="7">
        <f>Parameters!B$61*EXP(-Parameters!B$60*A178)+(1-Parameters!B$61)*P178^-Parameters!B$63</f>
        <v>0.30586219819062399</v>
      </c>
      <c r="T178" s="7">
        <f>1-S178/Parameters!$B$12</f>
        <v>0.847068900904688</v>
      </c>
      <c r="U178" s="7">
        <f t="shared" si="191"/>
        <v>6.5388923895509645</v>
      </c>
      <c r="V178" s="7">
        <f>(Parameters!$B$19*(F178+Parameters!$B$20)^T178+Parameters!$B$18*G178^T178)^(1/T178)</f>
        <v>0.40470245939967597</v>
      </c>
      <c r="W178" s="7">
        <f>(Parameters!$B$10*H178^Parameters!$B$9+Parameters!$B$11*V178^Parameters!$B$9)^(Parameters!$B$7/Parameters!$B$9)*O178</f>
        <v>1.3816213681390639</v>
      </c>
      <c r="X178" s="7">
        <f>W178 - D178 - E178 - LN(1+EXP(Parameters!$B$21*C178))/Parameters!$B$21 - IF(C178&gt;0, 0,Parameters!$B$6*C178^2/F178)</f>
        <v>0.94140975043901687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-0.21088422388586245</v>
      </c>
      <c r="AC178" s="23">
        <f t="shared" si="192"/>
        <v>36.927868352327607</v>
      </c>
      <c r="AD178" s="23">
        <f t="shared" si="193"/>
        <v>484.22021528860733</v>
      </c>
      <c r="AE178" s="23">
        <f t="shared" si="194"/>
        <v>0.53439630299958196</v>
      </c>
      <c r="AF178" s="23">
        <f t="shared" si="195"/>
        <v>0.38346050667995574</v>
      </c>
      <c r="AG178" s="23">
        <f t="shared" si="196"/>
        <v>6105.4931983375054</v>
      </c>
      <c r="AH178" s="23">
        <f t="shared" si="197"/>
        <v>1551.8741013602396</v>
      </c>
      <c r="AI178" s="23">
        <f t="shared" si="198"/>
        <v>3819.2803129945132</v>
      </c>
      <c r="AJ178" s="23">
        <f t="shared" si="199"/>
        <v>5297.9722986645902</v>
      </c>
      <c r="AK178" s="23">
        <f t="shared" si="200"/>
        <v>3609.9345989679609</v>
      </c>
      <c r="AL178" s="9">
        <f t="shared" si="204"/>
        <v>2.5851092005741094E-2</v>
      </c>
      <c r="AM178" s="9">
        <f t="shared" si="205"/>
        <v>2.1509819136536379E-2</v>
      </c>
      <c r="AN178" s="9">
        <f t="shared" ref="AN178:AO178" si="251">AVERAGE(AL176:AL180)</f>
        <v>2.5720935860906024E-2</v>
      </c>
      <c r="AO178" s="9">
        <f t="shared" si="251"/>
        <v>1.7397321829245627E-2</v>
      </c>
      <c r="AP178" s="23"/>
      <c r="AQ178" s="25">
        <f t="shared" si="189"/>
        <v>5297.9722986645902</v>
      </c>
      <c r="AR178" s="4"/>
      <c r="AS178" s="4"/>
      <c r="AT178" s="4"/>
      <c r="AU178" s="16"/>
      <c r="AV178" s="16"/>
      <c r="AY178" s="21">
        <f>-Y178*W178*X178^(-Parameters!B$52)*Parameters!B$46*Parameters!B$45*N178</f>
        <v>-2.8916065686859668E-6</v>
      </c>
      <c r="AZ178" s="7">
        <f>1000*EXP(-(Parameters!$B$54)*'6states'!A178)*AQ178*Parameters!B$46*Parameters!B$45*N178</f>
        <v>0.31485912320804194</v>
      </c>
      <c r="BA178" s="93">
        <f>SUM(AZ178:AZ$204)*EXP(Parameters!$B$54*A178)</f>
        <v>6724.0545985271419</v>
      </c>
      <c r="BB178" s="43">
        <f t="shared" si="247"/>
        <v>0.31848896629919099</v>
      </c>
      <c r="BC178" s="30">
        <f>IF(C178&lt;0,Parameters!$B$6*AC178^2/AF178,0)</f>
        <v>0</v>
      </c>
      <c r="BD178" s="30">
        <f>Parameters!$B$5*AD178^2/AG178</f>
        <v>38.402993710318114</v>
      </c>
      <c r="BE178" s="30">
        <f t="shared" si="202"/>
        <v>0</v>
      </c>
      <c r="BF178" s="30">
        <f t="shared" si="203"/>
        <v>7.9308943529813131E-2</v>
      </c>
    </row>
    <row r="179" spans="1:58" x14ac:dyDescent="0.3">
      <c r="A179">
        <f>A178+Parameters!$B$65</f>
        <v>175</v>
      </c>
      <c r="B179">
        <v>2200</v>
      </c>
      <c r="C179" s="74">
        <v>9.6301511256546898E-3</v>
      </c>
      <c r="D179" s="69">
        <v>0.12734345860838001</v>
      </c>
      <c r="E179" s="75">
        <v>0.31850124990286299</v>
      </c>
      <c r="F179" s="7">
        <f>MAX((1-Parameters!$B$4)^Parameters!B$65*F178 + C178*Parameters!B$65 - IF(C178&gt;0,Parameters!$B$5,0)*C178^2/F178*Parameters!B$65, 0.0001)</f>
        <v>1E-4</v>
      </c>
      <c r="G179" s="7">
        <f>(1-Parameters!$B$4)^Parameters!B$65*G178+D178*Parameters!B$65-Parameters!$B$5*D178^2/G178*Parameters!B$65</f>
        <v>1.6083207501959789</v>
      </c>
      <c r="H179" s="7">
        <f>(1-Parameters!$B$4)^Parameters!B$65*H178+E178*Parameters!B$65-Parameters!$B$5*E178^2/H178*Parameters!B$65</f>
        <v>3.8255455794149471</v>
      </c>
      <c r="I179" s="7">
        <f>I178 *(1-Parameters!$B$4)-C178*(C178&lt;0)*Parameters!B$65</f>
        <v>1.3059565895761781E-4</v>
      </c>
      <c r="J179" s="23">
        <f>J178*(1+Parameters!$B$51)^Parameters!B$65</f>
        <v>13.544894864706043</v>
      </c>
      <c r="K179" s="23">
        <f>K178*(1+Parameters!$B$53)^Parameters!B$65</f>
        <v>289.60283332610953</v>
      </c>
      <c r="L179" s="23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5.2281486422010373E-2</v>
      </c>
      <c r="M179" s="8">
        <f>M178+L179*Parameters!B$65</f>
        <v>3689.1330107953722</v>
      </c>
      <c r="N179" s="7">
        <f>M179*Parameters!$B$45</f>
        <v>2.2134798064772232</v>
      </c>
      <c r="O179" s="9">
        <f>EXP(-Parameters!$B$46/2*N179^2)</f>
        <v>0.95195272581652635</v>
      </c>
      <c r="P179" s="7">
        <f>MAX((Parameters!$B$62 + Parameters!$B$31*'6states'!A179 - '6states'!M179 + Parameters!$B$47/Parameters!$B$45)/Parameters!B$62,1)</f>
        <v>159.41733978409255</v>
      </c>
      <c r="Q179" s="8"/>
      <c r="R179" s="8"/>
      <c r="S179" s="7">
        <f>Parameters!B$61*EXP(-Parameters!B$60*A179)+(1-Parameters!B$61)*P179^-Parameters!B$63</f>
        <v>0.30553930402015111</v>
      </c>
      <c r="T179" s="7">
        <f>1-S179/Parameters!$B$12</f>
        <v>0.84723034798992447</v>
      </c>
      <c r="U179" s="7">
        <f t="shared" si="191"/>
        <v>6.5458026960357776</v>
      </c>
      <c r="V179" s="7">
        <f>(Parameters!$B$19*(F179+Parameters!$B$20)^T179+Parameters!$B$18*G179^T179)^(1/T179)</f>
        <v>0.4087671982488813</v>
      </c>
      <c r="W179" s="7">
        <f>(Parameters!$B$10*H179^Parameters!$B$9+Parameters!$B$11*V179^Parameters!$B$9)^(Parameters!$B$7/Parameters!$B$9)*O179</f>
        <v>1.3860472236581498</v>
      </c>
      <c r="X179" s="7">
        <f>W179 - D179 - E179 - LN(1+EXP(Parameters!$B$21*C179))/Parameters!$B$21 - IF(C179&gt;0, 0,Parameters!$B$6*C179^2/F179)</f>
        <v>0.9303919070987855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-0.20858146516060216</v>
      </c>
      <c r="AC179" s="23">
        <f t="shared" si="192"/>
        <v>37.775615336687366</v>
      </c>
      <c r="AD179" s="23">
        <f t="shared" si="193"/>
        <v>499.52253555174616</v>
      </c>
      <c r="AE179" s="23">
        <f t="shared" si="194"/>
        <v>0.51227974650177632</v>
      </c>
      <c r="AF179" s="23">
        <f t="shared" si="195"/>
        <v>0.39226399299231413</v>
      </c>
      <c r="AG179" s="23">
        <f t="shared" si="196"/>
        <v>6308.8631948426892</v>
      </c>
      <c r="AH179" s="23">
        <f t="shared" si="197"/>
        <v>1603.4465338938705</v>
      </c>
      <c r="AI179" s="23">
        <f t="shared" si="198"/>
        <v>3946.2039958475798</v>
      </c>
      <c r="AJ179" s="23">
        <f t="shared" si="199"/>
        <v>5436.9641842805686</v>
      </c>
      <c r="AK179" s="23">
        <f t="shared" si="200"/>
        <v>3649.5924452630379</v>
      </c>
      <c r="AL179" s="9">
        <f t="shared" si="204"/>
        <v>2.5896688541292789E-2</v>
      </c>
      <c r="AM179" s="9">
        <f t="shared" si="205"/>
        <v>1.0925846976736153E-2</v>
      </c>
      <c r="AN179" s="9">
        <f t="shared" ref="AN179:AO179" si="252">AVERAGE(AL177:AL181)</f>
        <v>2.5947727265920761E-2</v>
      </c>
      <c r="AO179" s="9">
        <f t="shared" si="252"/>
        <v>1.8867825802142236E-2</v>
      </c>
      <c r="AP179" s="23"/>
      <c r="AQ179" s="25">
        <f t="shared" si="189"/>
        <v>5436.9641842805686</v>
      </c>
      <c r="AR179" s="4"/>
      <c r="AS179" s="4"/>
      <c r="AT179" s="4"/>
      <c r="AU179" s="16"/>
      <c r="AV179" s="16"/>
      <c r="AY179" s="21">
        <f>-Y179*W179*X179^(-Parameters!B$52)*Parameters!B$46*Parameters!B$45*N179</f>
        <v>-2.9032118871448109E-6</v>
      </c>
      <c r="AZ179" s="7">
        <f>1000*EXP(-(Parameters!$B$54)*'6states'!A179)*AQ179*Parameters!B$46*Parameters!B$45*N179</f>
        <v>0.31197909154166498</v>
      </c>
      <c r="BA179" s="93">
        <f>SUM(AZ179:AZ$204)*EXP(Parameters!$B$54*A179)</f>
        <v>6817.7826202723563</v>
      </c>
      <c r="BB179" s="43">
        <f t="shared" si="247"/>
        <v>0.32861424334069772</v>
      </c>
      <c r="BC179" s="30">
        <f>IF(C179&lt;0,Parameters!$B$6*AC179^2/AF179,0)</f>
        <v>0</v>
      </c>
      <c r="BD179" s="30">
        <f>Parameters!$B$5*AD179^2/AG179</f>
        <v>39.551145082369679</v>
      </c>
      <c r="BE179" s="30">
        <f t="shared" si="202"/>
        <v>0</v>
      </c>
      <c r="BF179" s="30">
        <f t="shared" si="203"/>
        <v>7.917789942886877E-2</v>
      </c>
    </row>
    <row r="180" spans="1:58" x14ac:dyDescent="0.3">
      <c r="A180">
        <f>A179+Parameters!$B$65</f>
        <v>176</v>
      </c>
      <c r="B180">
        <v>2201</v>
      </c>
      <c r="C180" s="74">
        <v>9.6304169522549703E-3</v>
      </c>
      <c r="D180" s="69">
        <v>0.137287793081772</v>
      </c>
      <c r="E180" s="75">
        <v>0.30906016327358798</v>
      </c>
      <c r="F180" s="7">
        <f>MAX((1-Parameters!$B$4)^Parameters!B$65*F179 + C179*Parameters!B$65 - IF(C179&gt;0,Parameters!$B$5,0)*C179^2/F179*Parameters!B$65, 0.0001)</f>
        <v>1E-4</v>
      </c>
      <c r="G180" s="7">
        <f>(1-Parameters!$B$4)^Parameters!B$65*G179+D179*Parameters!B$65-Parameters!$B$5*D179^2/G179*Parameters!B$65</f>
        <v>1.624418046058413</v>
      </c>
      <c r="H180" s="7">
        <f>(1-Parameters!$B$4)^Parameters!B$65*H179+E179*Parameters!B$65-Parameters!$B$5*E179^2/H179*Parameters!B$65</f>
        <v>3.87690273684058</v>
      </c>
      <c r="I180" s="7">
        <f>I179 *(1-Parameters!$B$4)-C179*(C179&lt;0)*Parameters!B$65</f>
        <v>1.2238119200918366E-4</v>
      </c>
      <c r="J180" s="23">
        <f>J179*(1+Parameters!$B$51)^Parameters!B$65</f>
        <v>13.584175059813688</v>
      </c>
      <c r="K180" s="23">
        <f>K179*(1+Parameters!$B$53)^Parameters!B$65</f>
        <v>295.3948899926317</v>
      </c>
      <c r="L180" s="23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5.2949612336961625E-2</v>
      </c>
      <c r="M180" s="8">
        <f>M179+L180*Parameters!B$65</f>
        <v>3689.185960407709</v>
      </c>
      <c r="N180" s="7">
        <f>M180*Parameters!$B$45</f>
        <v>2.2135115762446254</v>
      </c>
      <c r="O180" s="9">
        <f>EXP(-Parameters!$B$46/2*N180^2)</f>
        <v>0.95195138025410897</v>
      </c>
      <c r="P180" s="7">
        <f>MAX((Parameters!$B$62 + Parameters!$B$31*'6states'!A180 - '6states'!M180 + Parameters!$B$47/Parameters!$B$45)/Parameters!B$62,1)</f>
        <v>160.48028079184584</v>
      </c>
      <c r="Q180" s="8"/>
      <c r="R180" s="8"/>
      <c r="S180" s="7">
        <f>Parameters!B$61*EXP(-Parameters!B$60*A180)+(1-Parameters!B$61)*P180^-Parameters!B$63</f>
        <v>0.30522111850289479</v>
      </c>
      <c r="T180" s="7">
        <f>1-S180/Parameters!$B$12</f>
        <v>0.8473894407485526</v>
      </c>
      <c r="U180" s="7">
        <f t="shared" si="191"/>
        <v>6.5526265345267438</v>
      </c>
      <c r="V180" s="7">
        <f>(Parameters!$B$19*(F180+Parameters!$B$20)^T180+Parameters!$B$18*G180^T180)^(1/T180)</f>
        <v>0.41282885852843937</v>
      </c>
      <c r="W180" s="7">
        <f>(Parameters!$B$10*H180^Parameters!$B$9+Parameters!$B$11*V180^Parameters!$B$9)^(Parameters!$B$7/Parameters!$B$9)*O180</f>
        <v>1.3911666465159847</v>
      </c>
      <c r="X180" s="7">
        <f>W180 - D180 - E180 - LN(1+EXP(Parameters!$B$21*C180))/Parameters!$B$21 - IF(C180&gt;0, 0,Parameters!$B$6*C180^2/F180)</f>
        <v>0.93500783029383905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-0.20509997327166185</v>
      </c>
      <c r="AC180" s="23">
        <f t="shared" si="192"/>
        <v>38.643934594895406</v>
      </c>
      <c r="AD180" s="23">
        <f t="shared" si="193"/>
        <v>550.89416406703776</v>
      </c>
      <c r="AE180" s="23">
        <f t="shared" si="194"/>
        <v>0.49107850709837253</v>
      </c>
      <c r="AF180" s="23">
        <f t="shared" si="195"/>
        <v>0.40126958974343163</v>
      </c>
      <c r="AG180" s="23">
        <f t="shared" si="196"/>
        <v>6518.295629136861</v>
      </c>
      <c r="AH180" s="23">
        <f t="shared" si="197"/>
        <v>1656.5566669595601</v>
      </c>
      <c r="AI180" s="23">
        <f t="shared" si="198"/>
        <v>4076.9120767805061</v>
      </c>
      <c r="AJ180" s="23">
        <f t="shared" si="199"/>
        <v>5582.3286951221462</v>
      </c>
      <c r="AK180" s="23">
        <f t="shared" si="200"/>
        <v>3751.9020846890489</v>
      </c>
      <c r="AL180" s="9">
        <f t="shared" si="204"/>
        <v>2.6385167473309323E-2</v>
      </c>
      <c r="AM180" s="9">
        <f t="shared" si="205"/>
        <v>2.7647431444128401E-2</v>
      </c>
      <c r="AN180" s="9">
        <f t="shared" ref="AN180:AO180" si="253">AVERAGE(AL178:AL182)</f>
        <v>2.6103540805578262E-2</v>
      </c>
      <c r="AO180" s="9">
        <f t="shared" si="253"/>
        <v>1.8044914816200474E-2</v>
      </c>
      <c r="AP180" s="23"/>
      <c r="AQ180" s="25">
        <f t="shared" si="189"/>
        <v>5582.3286951221462</v>
      </c>
      <c r="AR180" s="4"/>
      <c r="AS180" s="4"/>
      <c r="AT180" s="4"/>
      <c r="AU180" s="16"/>
      <c r="AV180" s="16"/>
      <c r="AY180" s="21">
        <f>-Y180*W180*X180^(-Parameters!B$52)*Parameters!B$46*Parameters!B$45*N180</f>
        <v>-2.8511933040664923E-6</v>
      </c>
      <c r="AZ180" s="7">
        <f>1000*EXP(-(Parameters!$B$54)*'6states'!A180)*AQ180*Parameters!B$46*Parameters!B$45*N180</f>
        <v>0.30927649774715466</v>
      </c>
      <c r="BA180" s="93">
        <f>SUM(AZ180:AZ$204)*EXP(Parameters!$B$54*A180)</f>
        <v>6911.0139649292632</v>
      </c>
      <c r="BB180" s="43">
        <f t="shared" si="247"/>
        <v>0.32776689582772833</v>
      </c>
      <c r="BC180" s="30">
        <f>IF(C180&lt;0,Parameters!$B$6*AC180^2/AF180,0)</f>
        <v>0</v>
      </c>
      <c r="BD180" s="30">
        <f>Parameters!$B$5*AD180^2/AG180</f>
        <v>46.558854840296206</v>
      </c>
      <c r="BE180" s="30">
        <f t="shared" si="202"/>
        <v>0</v>
      </c>
      <c r="BF180" s="30">
        <f t="shared" si="203"/>
        <v>8.4515062741943481E-2</v>
      </c>
    </row>
    <row r="181" spans="1:58" x14ac:dyDescent="0.3">
      <c r="A181">
        <f>A180+Parameters!$B$65</f>
        <v>177</v>
      </c>
      <c r="B181">
        <v>2202</v>
      </c>
      <c r="C181" s="74">
        <v>9.6305794984834804E-3</v>
      </c>
      <c r="D181" s="69">
        <v>0.13445536507417499</v>
      </c>
      <c r="E181" s="75">
        <v>0.31852301164689201</v>
      </c>
      <c r="F181" s="7">
        <f>MAX((1-Parameters!$B$4)^Parameters!B$65*F180 + C180*Parameters!B$65 - IF(C180&gt;0,Parameters!$B$5,0)*C180^2/F180*Parameters!B$65, 0.0001)</f>
        <v>1E-4</v>
      </c>
      <c r="G181" s="7">
        <f>(1-Parameters!$B$4)^Parameters!B$65*G180+D180*Parameters!B$65-Parameters!$B$5*D180^2/G180*Parameters!B$65</f>
        <v>1.6479270575971019</v>
      </c>
      <c r="H181" s="7">
        <f>(1-Parameters!$B$4)^Parameters!B$65*H180+E180*Parameters!B$65-Parameters!$B$5*E180^2/H180*Parameters!B$65</f>
        <v>3.917467961745924</v>
      </c>
      <c r="I181" s="7">
        <f>I180 *(1-Parameters!$B$4)-C180*(C180&lt;0)*Parameters!B$65</f>
        <v>1.1468341503180601E-4</v>
      </c>
      <c r="J181" s="23">
        <f>J180*(1+Parameters!$B$51)^Parameters!B$65</f>
        <v>13.623569167487148</v>
      </c>
      <c r="K181" s="23">
        <f>K180*(1+Parameters!$B$53)^Parameters!B$65</f>
        <v>301.30278779248437</v>
      </c>
      <c r="L181" s="23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5.3626276499446721E-2</v>
      </c>
      <c r="M181" s="8">
        <f>M180+L181*Parameters!B$65</f>
        <v>3689.2395866842085</v>
      </c>
      <c r="N181" s="7">
        <f>M181*Parameters!$B$45</f>
        <v>2.213543752010525</v>
      </c>
      <c r="O181" s="9">
        <f>EXP(-Parameters!$B$46/2*N181^2)</f>
        <v>0.95195001747846852</v>
      </c>
      <c r="P181" s="7">
        <f>MAX((Parameters!$B$62 + Parameters!$B$31*'6states'!A181 - '6states'!M181 + Parameters!$B$47/Parameters!$B$45)/Parameters!B$62,1)</f>
        <v>161.54320826631582</v>
      </c>
      <c r="Q181" s="8"/>
      <c r="R181" s="8"/>
      <c r="S181" s="7">
        <f>Parameters!B$61*EXP(-Parameters!B$60*A181)+(1-Parameters!B$61)*P181^-Parameters!B$63</f>
        <v>0.30490753506923218</v>
      </c>
      <c r="T181" s="7">
        <f>1-S181/Parameters!$B$12</f>
        <v>0.84754623246538396</v>
      </c>
      <c r="U181" s="7">
        <f t="shared" si="191"/>
        <v>6.5593656107773182</v>
      </c>
      <c r="V181" s="7">
        <f>(Parameters!$B$19*(F181+Parameters!$B$20)^T181+Parameters!$B$18*G181^T181)^(1/T181)</f>
        <v>0.41871840881023797</v>
      </c>
      <c r="W181" s="7">
        <f>(Parameters!$B$10*H181^Parameters!$B$9+Parameters!$B$11*V181^Parameters!$B$9)^(Parameters!$B$7/Parameters!$B$9)*O181</f>
        <v>1.3959905832035229</v>
      </c>
      <c r="X181" s="7">
        <f>W181 - D181 - E181 - LN(1+EXP(Parameters!$B$21*C181))/Parameters!$B$21 - IF(C181&gt;0, 0,Parameters!$B$6*C181^2/F181)</f>
        <v>0.93320119263441814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-0.20216303276471315</v>
      </c>
      <c r="AC181" s="23">
        <f t="shared" si="192"/>
        <v>39.531789268232295</v>
      </c>
      <c r="AD181" s="23">
        <f t="shared" si="193"/>
        <v>551.91498693640574</v>
      </c>
      <c r="AE181" s="23">
        <f t="shared" si="194"/>
        <v>0.47075470342283021</v>
      </c>
      <c r="AF181" s="23">
        <f t="shared" si="195"/>
        <v>0.41048193698476132</v>
      </c>
      <c r="AG181" s="23">
        <f t="shared" si="196"/>
        <v>6764.4429061205665</v>
      </c>
      <c r="AH181" s="23">
        <f t="shared" si="197"/>
        <v>1718.763434996036</v>
      </c>
      <c r="AI181" s="23">
        <f t="shared" si="198"/>
        <v>4230.0076689348462</v>
      </c>
      <c r="AJ181" s="23">
        <f t="shared" si="199"/>
        <v>5730.2891860586869</v>
      </c>
      <c r="AK181" s="23">
        <f t="shared" si="200"/>
        <v>3830.6223314906529</v>
      </c>
      <c r="AL181" s="9">
        <f t="shared" si="204"/>
        <v>2.6159980013611417E-2</v>
      </c>
      <c r="AM181" s="9">
        <f t="shared" si="205"/>
        <v>2.0764344660390677E-2</v>
      </c>
      <c r="AN181" s="9">
        <f t="shared" ref="AN181:AO181" si="254">AVERAGE(AL179:AL183)</f>
        <v>2.6281693324403575E-2</v>
      </c>
      <c r="AO181" s="9">
        <f t="shared" si="254"/>
        <v>1.9436315311522633E-2</v>
      </c>
      <c r="AP181" s="23"/>
      <c r="AQ181" s="25">
        <f t="shared" si="189"/>
        <v>5730.289186058686</v>
      </c>
      <c r="AR181" s="4"/>
      <c r="AS181" s="4"/>
      <c r="AT181" s="4"/>
      <c r="AU181" s="16"/>
      <c r="AV181" s="16"/>
      <c r="AY181" s="21">
        <f>-Y181*W181*X181^(-Parameters!B$52)*Parameters!B$46*Parameters!B$45*N181</f>
        <v>-2.8256112451612858E-6</v>
      </c>
      <c r="AZ181" s="7">
        <f>1000*EXP(-(Parameters!$B$54)*'6states'!A181)*AQ181*Parameters!B$46*Parameters!B$45*N181</f>
        <v>0.3065283378816886</v>
      </c>
      <c r="BA181" s="93">
        <f>SUM(AZ181:AZ$204)*EXP(Parameters!$B$54*A181)</f>
        <v>7003.5545586818062</v>
      </c>
      <c r="BB181" s="43">
        <f t="shared" si="247"/>
        <v>0.33138400916570238</v>
      </c>
      <c r="BC181" s="30">
        <f>IF(C181&lt;0,Parameters!$B$6*AC181^2/AF181,0)</f>
        <v>0</v>
      </c>
      <c r="BD181" s="30">
        <f>Parameters!$B$5*AD181^2/AG181</f>
        <v>45.031077508156251</v>
      </c>
      <c r="BE181" s="30">
        <f t="shared" si="202"/>
        <v>0</v>
      </c>
      <c r="BF181" s="30">
        <f t="shared" si="203"/>
        <v>8.1590604665614824E-2</v>
      </c>
    </row>
    <row r="182" spans="1:58" x14ac:dyDescent="0.3">
      <c r="A182">
        <f>A181+Parameters!$B$65</f>
        <v>178</v>
      </c>
      <c r="B182">
        <v>2203</v>
      </c>
      <c r="C182" s="74">
        <v>9.6305391898392195E-3</v>
      </c>
      <c r="D182" s="69">
        <v>0.13372599151971601</v>
      </c>
      <c r="E182" s="75">
        <v>0.33653287508224</v>
      </c>
      <c r="F182" s="7">
        <f>MAX((1-Parameters!$B$4)^Parameters!B$65*F181 + C181*Parameters!B$65 - IF(C181&gt;0,Parameters!$B$5,0)*C181^2/F181*Parameters!B$65, 0.0001)</f>
        <v>1E-4</v>
      </c>
      <c r="G182" s="7">
        <f>(1-Parameters!$B$4)^Parameters!B$65*G181+D181*Parameters!B$65-Parameters!$B$5*D181^2/G181*Parameters!B$65</f>
        <v>1.6677575162114815</v>
      </c>
      <c r="H182" s="7">
        <f>(1-Parameters!$B$4)^Parameters!B$65*H181+E181*Parameters!B$65-Parameters!$B$5*E181^2/H181*Parameters!B$65</f>
        <v>3.9636836454415469</v>
      </c>
      <c r="I182" s="7">
        <f>I181 *(1-Parameters!$B$4)-C181*(C181&lt;0)*Parameters!B$65</f>
        <v>1.0746982822630542E-4</v>
      </c>
      <c r="J182" s="23">
        <f>J181*(1+Parameters!$B$51)^Parameters!B$65</f>
        <v>13.663077518072859</v>
      </c>
      <c r="K182" s="23">
        <f>K181*(1+Parameters!$B$53)^Parameters!B$65</f>
        <v>307.32884354833408</v>
      </c>
      <c r="L182" s="23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5.4311588023768731E-2</v>
      </c>
      <c r="M182" s="8">
        <f>M181+L182*Parameters!B$65</f>
        <v>3689.2938982722321</v>
      </c>
      <c r="N182" s="7">
        <f>M182*Parameters!$B$45</f>
        <v>2.2135763389633389</v>
      </c>
      <c r="O182" s="9">
        <f>EXP(-Parameters!$B$46/2*N182^2)</f>
        <v>0.95194863726917378</v>
      </c>
      <c r="P182" s="7">
        <f>MAX((Parameters!$B$62 + Parameters!$B$31*'6states'!A182 - '6states'!M182 + Parameters!$B$47/Parameters!$B$45)/Parameters!B$62,1)</f>
        <v>162.60612203455537</v>
      </c>
      <c r="Q182" s="8"/>
      <c r="R182" s="8"/>
      <c r="S182" s="7">
        <f>Parameters!B$61*EXP(-Parameters!B$60*A182)+(1-Parameters!B$61)*P182^-Parameters!B$63</f>
        <v>0.30459844985994239</v>
      </c>
      <c r="T182" s="7">
        <f>1-S182/Parameters!$B$12</f>
        <v>0.84770077507002883</v>
      </c>
      <c r="U182" s="7">
        <f t="shared" si="191"/>
        <v>6.5660215963660411</v>
      </c>
      <c r="V182" s="7">
        <f>(Parameters!$B$19*(F182+Parameters!$B$20)^T182+Parameters!$B$18*G182^T182)^(1/T182)</f>
        <v>0.42370194285548973</v>
      </c>
      <c r="W182" s="7">
        <f>(Parameters!$B$10*H182^Parameters!$B$9+Parameters!$B$11*V182^Parameters!$B$9)^(Parameters!$B$7/Parameters!$B$9)*O182</f>
        <v>1.4009220182962661</v>
      </c>
      <c r="X182" s="7">
        <f>W182 - D182 - E182 - LN(1+EXP(Parameters!$B$21*C182))/Parameters!$B$21 - IF(C182&gt;0, 0,Parameters!$B$6*C182^2/F182)</f>
        <v>0.92085217603098801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-0.20006392075532264</v>
      </c>
      <c r="AC182" s="23">
        <f t="shared" si="192"/>
        <v>40.439190827924762</v>
      </c>
      <c r="AD182" s="23">
        <f t="shared" si="193"/>
        <v>561.5231694840885</v>
      </c>
      <c r="AE182" s="23">
        <f t="shared" si="194"/>
        <v>0.45127202186904924</v>
      </c>
      <c r="AF182" s="23">
        <f t="shared" si="195"/>
        <v>0.41990578129405742</v>
      </c>
      <c r="AG182" s="23">
        <f t="shared" si="196"/>
        <v>7003.0102285381881</v>
      </c>
      <c r="AH182" s="23">
        <f t="shared" si="197"/>
        <v>1779.148953505445</v>
      </c>
      <c r="AI182" s="23">
        <f t="shared" si="198"/>
        <v>4378.6210273450424</v>
      </c>
      <c r="AJ182" s="23">
        <f t="shared" si="199"/>
        <v>5882.5525462474143</v>
      </c>
      <c r="AK182" s="23">
        <f t="shared" si="200"/>
        <v>3866.7115243262492</v>
      </c>
      <c r="AL182" s="9">
        <f t="shared" si="204"/>
        <v>2.6224775993936689E-2</v>
      </c>
      <c r="AM182" s="9">
        <f t="shared" si="205"/>
        <v>9.3771318632107636E-3</v>
      </c>
      <c r="AN182" s="9">
        <f t="shared" ref="AN182:AO182" si="255">AVERAGE(AL180:AL184)</f>
        <v>2.6399115794791327E-2</v>
      </c>
      <c r="AO182" s="9">
        <f t="shared" si="255"/>
        <v>1.7605470198208552E-2</v>
      </c>
      <c r="AP182" s="23"/>
      <c r="AQ182" s="25">
        <f t="shared" si="189"/>
        <v>5882.5525462474143</v>
      </c>
      <c r="AR182" s="4"/>
      <c r="AS182" s="4"/>
      <c r="AT182" s="4"/>
      <c r="AU182" s="16"/>
      <c r="AV182" s="16"/>
      <c r="AY182" s="21">
        <f>-Y182*W182*X182^(-Parameters!B$52)*Parameters!B$46*Parameters!B$45*N182</f>
        <v>-2.8438237325105278E-6</v>
      </c>
      <c r="AZ182" s="7">
        <f>1000*EXP(-(Parameters!$B$54)*'6states'!A182)*AQ182*Parameters!B$46*Parameters!B$45*N182</f>
        <v>0.30382433986081936</v>
      </c>
      <c r="BA182" s="93">
        <f>SUM(AZ182:AZ$204)*EXP(Parameters!$B$54*A182)</f>
        <v>7095.30780501969</v>
      </c>
      <c r="BB182" s="43">
        <f t="shared" si="247"/>
        <v>0.3425525471970336</v>
      </c>
      <c r="BC182" s="30">
        <f>IF(C182&lt;0,Parameters!$B$6*AC182^2/AF182,0)</f>
        <v>0</v>
      </c>
      <c r="BD182" s="30">
        <f>Parameters!$B$5*AD182^2/AG182</f>
        <v>45.02467647163126</v>
      </c>
      <c r="BE182" s="30">
        <f t="shared" si="202"/>
        <v>0</v>
      </c>
      <c r="BF182" s="30">
        <f t="shared" si="203"/>
        <v>8.0183114283598755E-2</v>
      </c>
    </row>
    <row r="183" spans="1:58" x14ac:dyDescent="0.3">
      <c r="A183">
        <f>A182+Parameters!$B$65</f>
        <v>179</v>
      </c>
      <c r="B183">
        <v>2204</v>
      </c>
      <c r="C183" s="74">
        <v>9.6308545064697701E-3</v>
      </c>
      <c r="D183" s="69">
        <v>0.141568652804483</v>
      </c>
      <c r="E183" s="75">
        <v>0.329038719090892</v>
      </c>
      <c r="F183" s="7">
        <f>MAX((1-Parameters!$B$4)^Parameters!B$65*F182 + C182*Parameters!B$65 - IF(C182&gt;0,Parameters!$B$5,0)*C182^2/F182*Parameters!B$65, 0.0001)</f>
        <v>1E-4</v>
      </c>
      <c r="G183" s="7">
        <f>(1-Parameters!$B$4)^Parameters!B$65*G182+D182*Parameters!B$65-Parameters!$B$5*D182^2/G182*Parameters!B$65</f>
        <v>1.6858589935007824</v>
      </c>
      <c r="H183" s="7">
        <f>(1-Parameters!$B$4)^Parameters!B$65*H182+E182*Parameters!B$65-Parameters!$B$5*E182^2/H182*Parameters!B$65</f>
        <v>4.022327808324059</v>
      </c>
      <c r="I183" s="7">
        <f>I182 *(1-Parameters!$B$4)-C182*(C182&lt;0)*Parameters!B$65</f>
        <v>1.0070997603087082E-4</v>
      </c>
      <c r="J183" s="23">
        <f>J182*(1+Parameters!$B$51)^Parameters!B$65</f>
        <v>13.702700442875269</v>
      </c>
      <c r="K183" s="23">
        <f>K182*(1+Parameters!$B$53)^Parameters!B$65</f>
        <v>313.47542041930075</v>
      </c>
      <c r="L183" s="23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5.5005657419263179E-2</v>
      </c>
      <c r="M183" s="8">
        <f>M182+L183*Parameters!B$65</f>
        <v>3689.3489039296514</v>
      </c>
      <c r="N183" s="7">
        <f>M183*Parameters!$B$45</f>
        <v>2.2136093423577905</v>
      </c>
      <c r="O183" s="9">
        <f>EXP(-Parameters!$B$46/2*N183^2)</f>
        <v>0.951947239402965</v>
      </c>
      <c r="P183" s="7">
        <f>MAX((Parameters!$B$62 + Parameters!$B$31*'6states'!A183 - '6states'!M183 + Parameters!$B$47/Parameters!$B$45)/Parameters!B$62,1)</f>
        <v>163.66902192140699</v>
      </c>
      <c r="Q183" s="8"/>
      <c r="R183" s="8"/>
      <c r="S183" s="7">
        <f>Parameters!B$61*EXP(-Parameters!B$60*A183)+(1-Parameters!B$61)*P183^-Parameters!B$63</f>
        <v>0.30429376165397448</v>
      </c>
      <c r="T183" s="7">
        <f>1-S183/Parameters!$B$12</f>
        <v>0.84785311917301276</v>
      </c>
      <c r="U183" s="7">
        <f t="shared" si="191"/>
        <v>6.5725961292439701</v>
      </c>
      <c r="V183" s="7">
        <f>(Parameters!$B$19*(F183+Parameters!$B$20)^T183+Parameters!$B$18*G183^T183)^(1/T183)</f>
        <v>0.42825979666133335</v>
      </c>
      <c r="W183" s="7">
        <f>(Parameters!$B$10*H183^Parameters!$B$9+Parameters!$B$11*V183^Parameters!$B$9)^(Parameters!$B$7/Parameters!$B$9)*O183</f>
        <v>1.4065980077590392</v>
      </c>
      <c r="X183" s="7">
        <f>W183 - D183 - E183 - LN(1+EXP(Parameters!$B$21*C183))/Parameters!$B$21 - IF(C183&gt;0, 0,Parameters!$B$6*C183^2/F183)</f>
        <v>0.92617936149761337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-0.1966681877139573</v>
      </c>
      <c r="AC183" s="23">
        <f t="shared" si="192"/>
        <v>41.368948200857446</v>
      </c>
      <c r="AD183" s="23">
        <f t="shared" si="193"/>
        <v>608.10245454331664</v>
      </c>
      <c r="AE183" s="23">
        <f t="shared" si="194"/>
        <v>0.43259565170794512</v>
      </c>
      <c r="AF183" s="23">
        <f t="shared" si="195"/>
        <v>0.42954597822100637</v>
      </c>
      <c r="AG183" s="23">
        <f t="shared" si="196"/>
        <v>7241.5395050597472</v>
      </c>
      <c r="AH183" s="23">
        <f t="shared" si="197"/>
        <v>1839.5727328962168</v>
      </c>
      <c r="AI183" s="23">
        <f t="shared" si="198"/>
        <v>4527.3285486972063</v>
      </c>
      <c r="AJ183" s="23">
        <f t="shared" si="199"/>
        <v>6041.9851720657516</v>
      </c>
      <c r="AK183" s="23">
        <f t="shared" si="200"/>
        <v>3978.3661984259938</v>
      </c>
      <c r="AL183" s="9">
        <f t="shared" si="204"/>
        <v>2.6741854599867665E-2</v>
      </c>
      <c r="AM183" s="9">
        <f t="shared" si="205"/>
        <v>2.8466821613147175E-2</v>
      </c>
      <c r="AN183" s="9">
        <f t="shared" ref="AN183:AO183" si="256">AVERAGE(AL181:AL185)</f>
        <v>2.6574671046248353E-2</v>
      </c>
      <c r="AO183" s="9">
        <f t="shared" si="256"/>
        <v>1.5027495054451379E-2</v>
      </c>
      <c r="AP183" s="23"/>
      <c r="AQ183" s="25">
        <f t="shared" si="189"/>
        <v>6041.9851720657516</v>
      </c>
      <c r="AR183" s="4"/>
      <c r="AS183" s="4"/>
      <c r="AT183" s="4"/>
      <c r="AU183" s="16"/>
      <c r="AV183" s="16"/>
      <c r="AY183" s="21">
        <f>-Y183*W183*X183^(-Parameters!B$52)*Parameters!B$46*Parameters!B$45*N183</f>
        <v>-2.7907783538101177E-6</v>
      </c>
      <c r="AZ183" s="7">
        <f>1000*EXP(-(Parameters!$B$54)*'6states'!A183)*AQ183*Parameters!B$46*Parameters!B$45*N183</f>
        <v>0.30130000689404196</v>
      </c>
      <c r="BA183" s="93">
        <f>SUM(AZ183:AZ$204)*EXP(Parameters!$B$54*A183)</f>
        <v>7186.1264564833764</v>
      </c>
      <c r="BB183" s="43">
        <f t="shared" si="247"/>
        <v>0.34141824725526926</v>
      </c>
      <c r="BC183" s="30">
        <f>IF(C183&lt;0,Parameters!$B$6*AC183^2/AF183,0)</f>
        <v>0</v>
      </c>
      <c r="BD183" s="30">
        <f>Parameters!$B$5*AD183^2/AG183</f>
        <v>51.064914437493705</v>
      </c>
      <c r="BE183" s="30">
        <f t="shared" si="202"/>
        <v>0</v>
      </c>
      <c r="BF183" s="30">
        <f t="shared" si="203"/>
        <v>8.3974195558614087E-2</v>
      </c>
    </row>
    <row r="184" spans="1:58" x14ac:dyDescent="0.3">
      <c r="A184">
        <f>A183+Parameters!$B$65</f>
        <v>180</v>
      </c>
      <c r="B184">
        <v>2205</v>
      </c>
      <c r="C184" s="74">
        <v>9.6306674403143604E-3</v>
      </c>
      <c r="D184" s="69">
        <v>0.14266690479854899</v>
      </c>
      <c r="E184" s="75">
        <v>0.352455813616109</v>
      </c>
      <c r="F184" s="7">
        <f>MAX((1-Parameters!$B$4)^Parameters!B$65*F183 + C183*Parameters!B$65 - IF(C183&gt;0,Parameters!$B$5,0)*C183^2/F183*Parameters!B$65, 0.0001)</f>
        <v>1E-4</v>
      </c>
      <c r="G184" s="7">
        <f>(1-Parameters!$B$4)^Parameters!B$65*G183+D183*Parameters!B$65-Parameters!$B$5*D183^2/G183*Parameters!B$65</f>
        <v>1.709499001878493</v>
      </c>
      <c r="H184" s="7">
        <f>(1-Parameters!$B$4)^Parameters!B$65*H183+E183*Parameters!B$65-Parameters!$B$5*E183^2/H183*Parameters!B$65</f>
        <v>4.0714457345146284</v>
      </c>
      <c r="I184" s="7">
        <f>I183 *(1-Parameters!$B$4)-C183*(C183&lt;0)*Parameters!B$65</f>
        <v>9.4375318538529054E-5</v>
      </c>
      <c r="J184" s="23">
        <f>J183*(1+Parameters!$B$51)^Parameters!B$65</f>
        <v>13.742438274159605</v>
      </c>
      <c r="K184" s="23">
        <f>K183*(1+Parameters!$B$53)^Parameters!B$65</f>
        <v>319.74492882768675</v>
      </c>
      <c r="L184" s="23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5.5708596608711976E-2</v>
      </c>
      <c r="M184" s="8">
        <f>M183+L184*Parameters!B$65</f>
        <v>3689.4046125262603</v>
      </c>
      <c r="N184" s="7">
        <f>M184*Parameters!$B$45</f>
        <v>2.2136427675157559</v>
      </c>
      <c r="O184" s="9">
        <f>EXP(-Parameters!$B$46/2*N184^2)</f>
        <v>0.95194582365371716</v>
      </c>
      <c r="P184" s="7">
        <f>MAX((Parameters!$B$62 + Parameters!$B$31*'6states'!A184 - '6states'!M184 + Parameters!$B$47/Parameters!$B$45)/Parameters!B$62,1)</f>
        <v>164.73190774947477</v>
      </c>
      <c r="Q184" s="8"/>
      <c r="R184" s="8"/>
      <c r="S184" s="7">
        <f>Parameters!B$61*EXP(-Parameters!B$60*A184)+(1-Parameters!B$61)*P184^-Parameters!B$63</f>
        <v>0.30399337179821107</v>
      </c>
      <c r="T184" s="7">
        <f>1-S184/Parameters!$B$12</f>
        <v>0.84800331410089447</v>
      </c>
      <c r="U184" s="7">
        <f t="shared" si="191"/>
        <v>6.5790908142812654</v>
      </c>
      <c r="V184" s="7">
        <f>(Parameters!$B$19*(F184+Parameters!$B$20)^T184+Parameters!$B$18*G184^T184)^(1/T184)</f>
        <v>0.43418461222445098</v>
      </c>
      <c r="W184" s="7">
        <f>(Parameters!$B$10*H184^Parameters!$B$9+Parameters!$B$11*V184^Parameters!$B$9)^(Parameters!$B$7/Parameters!$B$9)*O184</f>
        <v>1.411932592662078</v>
      </c>
      <c r="X184" s="7">
        <f>W184 - D184 - E184 - LN(1+EXP(Parameters!$B$21*C184))/Parameters!$B$21 - IF(C184&gt;0, 0,Parameters!$B$6*C184^2/F184)</f>
        <v>0.90699877709126664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-0.19514490116071589</v>
      </c>
      <c r="AC184" s="23">
        <f t="shared" si="192"/>
        <v>42.317874530945637</v>
      </c>
      <c r="AD184" s="23">
        <f t="shared" si="193"/>
        <v>626.88907226831759</v>
      </c>
      <c r="AE184" s="23">
        <f t="shared" si="194"/>
        <v>0.41469222288929314</v>
      </c>
      <c r="AF184" s="23">
        <f t="shared" si="195"/>
        <v>0.43940749478900415</v>
      </c>
      <c r="AG184" s="23">
        <f t="shared" si="196"/>
        <v>7511.6667375973166</v>
      </c>
      <c r="AH184" s="23">
        <f t="shared" si="197"/>
        <v>1907.8397273348123</v>
      </c>
      <c r="AI184" s="23">
        <f t="shared" si="198"/>
        <v>4695.3388194131749</v>
      </c>
      <c r="AJ184" s="23">
        <f t="shared" si="199"/>
        <v>6204.137633525871</v>
      </c>
      <c r="AK184" s="23">
        <f t="shared" si="200"/>
        <v>3985.4206041836387</v>
      </c>
      <c r="AL184" s="9">
        <f t="shared" si="204"/>
        <v>2.6483800893231546E-2</v>
      </c>
      <c r="AM184" s="9">
        <f t="shared" si="205"/>
        <v>1.7716214101657357E-3</v>
      </c>
      <c r="AN184" s="9">
        <f t="shared" ref="AN184:AO184" si="257">AVERAGE(AL182:AL186)</f>
        <v>2.6845428327699494E-2</v>
      </c>
      <c r="AO184" s="9">
        <f t="shared" si="257"/>
        <v>1.7275071596477433E-2</v>
      </c>
      <c r="AP184" s="23"/>
      <c r="AQ184" s="25">
        <f t="shared" si="189"/>
        <v>6204.137633525871</v>
      </c>
      <c r="AR184" s="4"/>
      <c r="AS184" s="4"/>
      <c r="AT184" s="4"/>
      <c r="AU184" s="16"/>
      <c r="AV184" s="16"/>
      <c r="AY184" s="21">
        <f>-Y184*W184*X184^(-Parameters!B$52)*Parameters!B$46*Parameters!B$45*N184</f>
        <v>-2.8384899390131197E-6</v>
      </c>
      <c r="AZ184" s="7">
        <f>1000*EXP(-(Parameters!$B$54)*'6states'!A184)*AQ184*Parameters!B$46*Parameters!B$45*N184</f>
        <v>0.29871960863167024</v>
      </c>
      <c r="BA184" s="93">
        <f>SUM(AZ184:AZ$204)*EXP(Parameters!$B$54*A184)</f>
        <v>7275.7787421630665</v>
      </c>
      <c r="BB184" s="43">
        <f t="shared" si="247"/>
        <v>0.35749113553877454</v>
      </c>
      <c r="BC184" s="30">
        <f>IF(C184&lt;0,Parameters!$B$6*AC184^2/AF184,0)</f>
        <v>0</v>
      </c>
      <c r="BD184" s="30">
        <f>Parameters!$B$5*AD184^2/AG184</f>
        <v>52.317271606638634</v>
      </c>
      <c r="BE184" s="30">
        <f t="shared" si="202"/>
        <v>0</v>
      </c>
      <c r="BF184" s="30">
        <f t="shared" si="203"/>
        <v>8.3455389351955539E-2</v>
      </c>
    </row>
    <row r="185" spans="1:58" x14ac:dyDescent="0.3">
      <c r="A185">
        <f>A184+Parameters!$B$65</f>
        <v>181</v>
      </c>
      <c r="B185">
        <v>2206</v>
      </c>
      <c r="C185" s="74">
        <v>9.6307258948761902E-3</v>
      </c>
      <c r="D185" s="69">
        <v>0.151512221517771</v>
      </c>
      <c r="E185" s="75">
        <v>0.35724380034712699</v>
      </c>
      <c r="F185" s="7">
        <f>MAX((1-Parameters!$B$4)^Parameters!B$65*F184 + C184*Parameters!B$65 - IF(C184&gt;0,Parameters!$B$5,0)*C184^2/F184*Parameters!B$65, 0.0001)</f>
        <v>1E-4</v>
      </c>
      <c r="G185" s="7">
        <f>(1-Parameters!$B$4)^Parameters!B$65*G184+D184*Parameters!B$65-Parameters!$B$5*D184^2/G184*Parameters!B$65</f>
        <v>1.7327320973712836</v>
      </c>
      <c r="H185" s="7">
        <f>(1-Parameters!$B$4)^Parameters!B$65*H184+E184*Parameters!B$65-Parameters!$B$5*E184^2/H184*Parameters!B$65</f>
        <v>4.1372963118442891</v>
      </c>
      <c r="I185" s="7">
        <f>I184 *(1-Parameters!$B$4)-C184*(C184&lt;0)*Parameters!B$65</f>
        <v>8.8439111002455584E-5</v>
      </c>
      <c r="J185" s="23">
        <f>J184*(1+Parameters!$B$51)^Parameters!B$65</f>
        <v>13.782291345154666</v>
      </c>
      <c r="K185" s="23">
        <f>K184*(1+Parameters!$B$53)^Parameters!B$65</f>
        <v>326.13982740424046</v>
      </c>
      <c r="L185" s="23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5.6420518947534151E-2</v>
      </c>
      <c r="M185" s="8">
        <f>M184+L185*Parameters!B$65</f>
        <v>3689.4610330452078</v>
      </c>
      <c r="N185" s="7">
        <f>M185*Parameters!$B$45</f>
        <v>2.2136766198271247</v>
      </c>
      <c r="O185" s="9">
        <f>EXP(-Parameters!$B$46/2*N185^2)</f>
        <v>0.95194438979240315</v>
      </c>
      <c r="P185" s="7">
        <f>MAX((Parameters!$B$62 + Parameters!$B$31*'6states'!A185 - '6states'!M185 + Parameters!$B$47/Parameters!$B$45)/Parameters!B$62,1)</f>
        <v>165.79477933909584</v>
      </c>
      <c r="Q185" s="8"/>
      <c r="R185" s="8"/>
      <c r="S185" s="7">
        <f>Parameters!B$61*EXP(-Parameters!B$60*A185)+(1-Parameters!B$61)*P185^-Parameters!B$63</f>
        <v>0.30369718413916891</v>
      </c>
      <c r="T185" s="7">
        <f>1-S185/Parameters!$B$12</f>
        <v>0.84815140793041555</v>
      </c>
      <c r="U185" s="7">
        <f t="shared" si="191"/>
        <v>6.5855072238124608</v>
      </c>
      <c r="V185" s="7">
        <f>(Parameters!$B$19*(F185+Parameters!$B$20)^T185+Parameters!$B$18*G185^T185)^(1/T185)</f>
        <v>0.44001011875813323</v>
      </c>
      <c r="W185" s="7">
        <f>(Parameters!$B$10*H185^Parameters!$B$9+Parameters!$B$11*V185^Parameters!$B$9)^(Parameters!$B$7/Parameters!$B$9)*O185</f>
        <v>1.4183921088502327</v>
      </c>
      <c r="X185" s="7">
        <f>W185 - D185 - E185 - LN(1+EXP(Parameters!$B$21*C185))/Parameters!$B$21 - IF(C185&gt;0, 0,Parameters!$B$6*C185^2/F185)</f>
        <v>0.89982493445456591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-0.1927553313817143</v>
      </c>
      <c r="AC185" s="23">
        <f t="shared" si="192"/>
        <v>43.289671045000645</v>
      </c>
      <c r="AD185" s="23">
        <f t="shared" si="193"/>
        <v>681.0404844240345</v>
      </c>
      <c r="AE185" s="23">
        <f t="shared" si="194"/>
        <v>0.39752974641770944</v>
      </c>
      <c r="AF185" s="23">
        <f t="shared" si="195"/>
        <v>0.44949541205437005</v>
      </c>
      <c r="AG185" s="23">
        <f t="shared" si="196"/>
        <v>7788.5512808773792</v>
      </c>
      <c r="AH185" s="23">
        <f t="shared" si="197"/>
        <v>1977.8252963927937</v>
      </c>
      <c r="AI185" s="23">
        <f t="shared" si="198"/>
        <v>4867.5786331084855</v>
      </c>
      <c r="AJ185" s="23">
        <f t="shared" si="199"/>
        <v>6375.6074542230217</v>
      </c>
      <c r="AK185" s="23">
        <f t="shared" si="200"/>
        <v>4044.6717968945159</v>
      </c>
      <c r="AL185" s="9">
        <f t="shared" si="204"/>
        <v>2.7262943730594458E-2</v>
      </c>
      <c r="AM185" s="9">
        <f t="shared" si="205"/>
        <v>1.4757555725342542E-2</v>
      </c>
      <c r="AN185" s="9">
        <f t="shared" ref="AN185:AO185" si="258">AVERAGE(AL183:AL187)</f>
        <v>2.7022681749015474E-2</v>
      </c>
      <c r="AO185" s="9">
        <f t="shared" si="258"/>
        <v>1.6096465682586471E-2</v>
      </c>
      <c r="AP185" s="23"/>
      <c r="AQ185" s="25">
        <f t="shared" si="189"/>
        <v>6375.6074542230217</v>
      </c>
      <c r="AR185" s="4"/>
      <c r="AS185" s="4"/>
      <c r="AT185" s="4"/>
      <c r="AU185" s="16"/>
      <c r="AV185" s="16"/>
      <c r="AY185" s="21">
        <f>-Y185*W185*X185^(-Parameters!B$52)*Parameters!B$46*Parameters!B$45*N185</f>
        <v>-2.8390576557548108E-6</v>
      </c>
      <c r="AZ185" s="7">
        <f>1000*EXP(-(Parameters!$B$54)*'6states'!A185)*AQ185*Parameters!B$46*Parameters!B$45*N185</f>
        <v>0.29639220846198766</v>
      </c>
      <c r="BA185" s="93">
        <f>SUM(AZ185:AZ$204)*EXP(Parameters!$B$54*A185)</f>
        <v>7364.1476274809138</v>
      </c>
      <c r="BB185" s="43">
        <f t="shared" si="247"/>
        <v>0.36547492370074253</v>
      </c>
      <c r="BC185" s="30">
        <f>IF(C185&lt;0,Parameters!$B$6*AC185^2/AF185,0)</f>
        <v>0</v>
      </c>
      <c r="BD185" s="30">
        <f>Parameters!$B$5*AD185^2/AG185</f>
        <v>59.551015933257716</v>
      </c>
      <c r="BE185" s="30">
        <f t="shared" si="202"/>
        <v>0</v>
      </c>
      <c r="BF185" s="30">
        <f t="shared" si="203"/>
        <v>8.7441227497100774E-2</v>
      </c>
    </row>
    <row r="186" spans="1:58" x14ac:dyDescent="0.3">
      <c r="A186">
        <f>A185+Parameters!$B$65</f>
        <v>182</v>
      </c>
      <c r="B186">
        <v>2207</v>
      </c>
      <c r="C186" s="74">
        <v>9.63112943367073E-3</v>
      </c>
      <c r="D186" s="69">
        <v>0.15798092996763</v>
      </c>
      <c r="E186" s="75">
        <v>0.34921036084268298</v>
      </c>
      <c r="F186" s="7">
        <f>MAX((1-Parameters!$B$4)^Parameters!B$65*F185 + C185*Parameters!B$65 - IF(C185&gt;0,Parameters!$B$5,0)*C185^2/F185*Parameters!B$65, 0.0001)</f>
        <v>1E-4</v>
      </c>
      <c r="G186" s="7">
        <f>(1-Parameters!$B$4)^Parameters!B$65*G185+D185*Parameters!B$65-Parameters!$B$5*D185^2/G185*Parameters!B$65</f>
        <v>1.7620070553340743</v>
      </c>
      <c r="H186" s="7">
        <f>(1-Parameters!$B$4)^Parameters!B$65*H185+E185*Parameters!B$65-Parameters!$B$5*E185^2/H185*Parameters!B$65</f>
        <v>4.2034571854023417</v>
      </c>
      <c r="I186" s="7">
        <f>I185 *(1-Parameters!$B$4)-C185*(C185&lt;0)*Parameters!B$65</f>
        <v>8.2876290920401129E-5</v>
      </c>
      <c r="J186" s="23">
        <f>J185*(1+Parameters!$B$51)^Parameters!B$65</f>
        <v>13.822259990055613</v>
      </c>
      <c r="K186" s="23">
        <f>K185*(1+Parameters!$B$53)^Parameters!B$65</f>
        <v>332.6626239523253</v>
      </c>
      <c r="L186" s="23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5.7141539244243027E-2</v>
      </c>
      <c r="M186" s="8">
        <f>M185+L186*Parameters!B$65</f>
        <v>3689.518174584452</v>
      </c>
      <c r="N186" s="7">
        <f>M186*Parameters!$B$45</f>
        <v>2.2137109047506711</v>
      </c>
      <c r="O186" s="9">
        <f>EXP(-Parameters!$B$46/2*N186^2)</f>
        <v>0.95194293758705595</v>
      </c>
      <c r="P186" s="7">
        <f>MAX((Parameters!$B$62 + Parameters!$B$31*'6states'!A186 - '6states'!M186 + Parameters!$B$47/Parameters!$B$45)/Parameters!B$62,1)</f>
        <v>166.85763650831097</v>
      </c>
      <c r="Q186" s="8"/>
      <c r="R186" s="8"/>
      <c r="S186" s="7">
        <f>Parameters!B$61*EXP(-Parameters!B$60*A186)+(1-Parameters!B$61)*P186^-Parameters!B$63</f>
        <v>0.30340510495658118</v>
      </c>
      <c r="T186" s="7">
        <f>1-S186/Parameters!$B$12</f>
        <v>0.84829744752170944</v>
      </c>
      <c r="U186" s="7">
        <f t="shared" si="191"/>
        <v>6.591846898179945</v>
      </c>
      <c r="V186" s="7">
        <f>(Parameters!$B$19*(F186+Parameters!$B$20)^T186+Parameters!$B$18*G186^T186)^(1/T186)</f>
        <v>0.44732769836378539</v>
      </c>
      <c r="W186" s="7">
        <f>(Parameters!$B$10*H186^Parameters!$B$9+Parameters!$B$11*V186^Parameters!$B$9)^(Parameters!$B$7/Parameters!$B$9)*O186</f>
        <v>1.4252386143348481</v>
      </c>
      <c r="X186" s="7">
        <f>W186 - D186 - E186 - LN(1+EXP(Parameters!$B$21*C186))/Parameters!$B$21 - IF(C186&gt;0, 0,Parameters!$B$6*C186^2/F186)</f>
        <v>0.90823578871586819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-0.18924932823455878</v>
      </c>
      <c r="AC186" s="23">
        <f t="shared" si="192"/>
        <v>44.285370844468225</v>
      </c>
      <c r="AD186" s="23">
        <f t="shared" si="193"/>
        <v>726.41989894885728</v>
      </c>
      <c r="AE186" s="23">
        <f t="shared" si="194"/>
        <v>0.38107755719623482</v>
      </c>
      <c r="AF186" s="23">
        <f t="shared" si="195"/>
        <v>0.45981492772431426</v>
      </c>
      <c r="AG186" s="23">
        <f t="shared" si="196"/>
        <v>8101.9714679816907</v>
      </c>
      <c r="AH186" s="23">
        <f t="shared" si="197"/>
        <v>2056.879532922278</v>
      </c>
      <c r="AI186" s="23">
        <f t="shared" si="198"/>
        <v>5062.1371278802108</v>
      </c>
      <c r="AJ186" s="23">
        <f t="shared" si="199"/>
        <v>6553.4599044027991</v>
      </c>
      <c r="AK186" s="23">
        <f t="shared" si="200"/>
        <v>4176.2037354502245</v>
      </c>
      <c r="AL186" s="9">
        <f t="shared" si="204"/>
        <v>2.7513766420867114E-2</v>
      </c>
      <c r="AM186" s="9">
        <f t="shared" si="205"/>
        <v>3.2002227370520941E-2</v>
      </c>
      <c r="AN186" s="9">
        <f t="shared" ref="AN186:AO186" si="259">AVERAGE(AL184:AL188)</f>
        <v>2.7225449743128748E-2</v>
      </c>
      <c r="AO186" s="9">
        <f t="shared" si="259"/>
        <v>1.3496858693924807E-2</v>
      </c>
      <c r="AP186" s="23"/>
      <c r="AQ186" s="25">
        <f t="shared" si="189"/>
        <v>6553.4599044027991</v>
      </c>
      <c r="AR186" s="4"/>
      <c r="AS186" s="4"/>
      <c r="AT186" s="4"/>
      <c r="AU186" s="16"/>
      <c r="AV186" s="16"/>
      <c r="AY186" s="21">
        <f>-Y186*W186*X186^(-Parameters!B$52)*Parameters!B$46*Parameters!B$45*N186</f>
        <v>-2.7749781783931393E-6</v>
      </c>
      <c r="AZ186" s="7">
        <f>1000*EXP(-(Parameters!$B$54)*'6states'!A186)*AQ186*Parameters!B$46*Parameters!B$45*N186</f>
        <v>0.29415677099935011</v>
      </c>
      <c r="BA186" s="93">
        <f>SUM(AZ186:AZ$204)*EXP(Parameters!$B$54*A186)</f>
        <v>7450.9294648380765</v>
      </c>
      <c r="BB186" s="43">
        <f t="shared" si="247"/>
        <v>0.36262167965830916</v>
      </c>
      <c r="BC186" s="30">
        <f>IF(C186&lt;0,Parameters!$B$6*AC186^2/AF186,0)</f>
        <v>0</v>
      </c>
      <c r="BD186" s="30">
        <f>Parameters!$B$5*AD186^2/AG186</f>
        <v>65.130551455807776</v>
      </c>
      <c r="BE186" s="30">
        <f t="shared" si="202"/>
        <v>0</v>
      </c>
      <c r="BF186" s="30">
        <f t="shared" si="203"/>
        <v>8.9659646645215613E-2</v>
      </c>
    </row>
    <row r="187" spans="1:58" x14ac:dyDescent="0.3">
      <c r="A187">
        <f>A186+Parameters!$B$65</f>
        <v>183</v>
      </c>
      <c r="B187">
        <v>2208</v>
      </c>
      <c r="C187" s="74">
        <v>9.6309643320672891E-3</v>
      </c>
      <c r="D187" s="69">
        <v>0.157619890218194</v>
      </c>
      <c r="E187" s="75">
        <v>0.37315903208524098</v>
      </c>
      <c r="F187" s="7">
        <f>MAX((1-Parameters!$B$4)^Parameters!B$65*F186 + C186*Parameters!B$65 - IF(C186&gt;0,Parameters!$B$5,0)*C186^2/F186*Parameters!B$65, 0.0001)</f>
        <v>1E-4</v>
      </c>
      <c r="G187" s="7">
        <f>(1-Parameters!$B$4)^Parameters!B$65*G186+D186*Parameters!B$65-Parameters!$B$5*D186^2/G186*Parameters!B$65</f>
        <v>1.7949932271636109</v>
      </c>
      <c r="H187" s="7">
        <f>(1-Parameters!$B$4)^Parameters!B$65*H186+E186*Parameters!B$65-Parameters!$B$5*E186^2/H186*Parameters!B$65</f>
        <v>4.2592587610500248</v>
      </c>
      <c r="I187" s="7">
        <f>I186 *(1-Parameters!$B$4)-C186*(C186&lt;0)*Parameters!B$65</f>
        <v>7.7663372221507907E-5</v>
      </c>
      <c r="J187" s="23">
        <f>J186*(1+Parameters!$B$51)^Parameters!B$65</f>
        <v>13.862344544026774</v>
      </c>
      <c r="K187" s="23">
        <f>K186*(1+Parameters!$B$53)^Parameters!B$65</f>
        <v>339.31587643137181</v>
      </c>
      <c r="L187" s="23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5.7871773783064184E-2</v>
      </c>
      <c r="M187" s="8">
        <f>M186+L187*Parameters!B$65</f>
        <v>3689.5760463582351</v>
      </c>
      <c r="N187" s="7">
        <f>M187*Parameters!$B$45</f>
        <v>2.2137456278149408</v>
      </c>
      <c r="O187" s="9">
        <f>EXP(-Parameters!$B$46/2*N187^2)</f>
        <v>0.95194146680273073</v>
      </c>
      <c r="P187" s="7">
        <f>MAX((Parameters!$B$62 + Parameters!$B$31*'6states'!A187 - '6states'!M187 + Parameters!$B$47/Parameters!$B$45)/Parameters!B$62,1)</f>
        <v>167.92047907283529</v>
      </c>
      <c r="Q187" s="8"/>
      <c r="R187" s="8"/>
      <c r="S187" s="7">
        <f>Parameters!B$61*EXP(-Parameters!B$60*A187)+(1-Parameters!B$61)*P187^-Parameters!B$63</f>
        <v>0.3031170428988067</v>
      </c>
      <c r="T187" s="7">
        <f>1-S187/Parameters!$B$12</f>
        <v>0.84844147855059671</v>
      </c>
      <c r="U187" s="7">
        <f t="shared" si="191"/>
        <v>6.5981113462751928</v>
      </c>
      <c r="V187" s="7">
        <f>(Parameters!$B$19*(F187+Parameters!$B$20)^T187+Parameters!$B$18*G187^T187)^(1/T187)</f>
        <v>0.45556280074254524</v>
      </c>
      <c r="W187" s="7">
        <f>(Parameters!$B$10*H187^Parameters!$B$9+Parameters!$B$11*V187^Parameters!$B$9)^(Parameters!$B$7/Parameters!$B$9)*O187</f>
        <v>1.4315415362836368</v>
      </c>
      <c r="X187" s="7">
        <f>W187 - D187 - E187 - LN(1+EXP(Parameters!$B$21*C187))/Parameters!$B$21 - IF(C187&gt;0, 0,Parameters!$B$6*C187^2/F187)</f>
        <v>0.89095123557486899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-0.18767098643906902</v>
      </c>
      <c r="AC187" s="23">
        <f t="shared" si="192"/>
        <v>45.301297797659956</v>
      </c>
      <c r="AD187" s="23">
        <f t="shared" si="193"/>
        <v>741.39881941356862</v>
      </c>
      <c r="AE187" s="23">
        <f t="shared" si="194"/>
        <v>0.36530625923539767</v>
      </c>
      <c r="AF187" s="23">
        <f t="shared" si="195"/>
        <v>0.47037135883500902</v>
      </c>
      <c r="AG187" s="23">
        <f t="shared" si="196"/>
        <v>8443.1340336058565</v>
      </c>
      <c r="AH187" s="23">
        <f t="shared" si="197"/>
        <v>2142.8369361995346</v>
      </c>
      <c r="AI187" s="23">
        <f t="shared" si="198"/>
        <v>5273.6848415801824</v>
      </c>
      <c r="AJ187" s="23">
        <f t="shared" si="199"/>
        <v>6733.5613765049056</v>
      </c>
      <c r="AK187" s="23">
        <f t="shared" si="200"/>
        <v>4190.7794333308129</v>
      </c>
      <c r="AL187" s="9">
        <f t="shared" si="204"/>
        <v>2.7111043100516596E-2</v>
      </c>
      <c r="AM187" s="9">
        <f t="shared" si="205"/>
        <v>3.4841022937559529E-3</v>
      </c>
      <c r="AN187" s="9">
        <f t="shared" ref="AN187:AO187" si="260">AVERAGE(AL185:AL189)</f>
        <v>2.7516067193590388E-2</v>
      </c>
      <c r="AO187" s="9">
        <f t="shared" si="260"/>
        <v>1.5837342231133533E-2</v>
      </c>
      <c r="AP187" s="23"/>
      <c r="AQ187" s="25">
        <f t="shared" si="189"/>
        <v>6733.5613765049056</v>
      </c>
      <c r="AR187" s="4"/>
      <c r="AS187" s="4"/>
      <c r="AT187" s="4"/>
      <c r="AU187" s="16"/>
      <c r="AV187" s="16"/>
      <c r="AY187" s="21">
        <f>-Y187*W187*X187^(-Parameters!B$52)*Parameters!B$46*Parameters!B$45*N187</f>
        <v>-2.8176706261283654E-6</v>
      </c>
      <c r="AZ187" s="7">
        <f>1000*EXP(-(Parameters!$B$54)*'6states'!A187)*AQ187*Parameters!B$46*Parameters!B$45*N187</f>
        <v>0.29182070460273507</v>
      </c>
      <c r="BA187" s="93">
        <f>SUM(AZ187:AZ$204)*EXP(Parameters!$B$54*A187)</f>
        <v>7535.8908927568818</v>
      </c>
      <c r="BB187" s="43">
        <f t="shared" si="247"/>
        <v>0.37750206538780362</v>
      </c>
      <c r="BC187" s="30">
        <f>IF(C187&lt;0,Parameters!$B$6*AC187^2/AF187,0)</f>
        <v>0</v>
      </c>
      <c r="BD187" s="30">
        <f>Parameters!$B$5*AD187^2/AG187</f>
        <v>65.102864320286258</v>
      </c>
      <c r="BE187" s="30">
        <f t="shared" si="202"/>
        <v>0</v>
      </c>
      <c r="BF187" s="30">
        <f t="shared" si="203"/>
        <v>8.7810855123537021E-2</v>
      </c>
    </row>
    <row r="188" spans="1:58" x14ac:dyDescent="0.3">
      <c r="A188">
        <f>A187+Parameters!$B$65</f>
        <v>184</v>
      </c>
      <c r="B188">
        <v>2209</v>
      </c>
      <c r="C188" s="74">
        <v>9.6310422799866808E-3</v>
      </c>
      <c r="D188" s="69">
        <v>0.15912044354452101</v>
      </c>
      <c r="E188" s="75">
        <v>0.385334458045965</v>
      </c>
      <c r="F188" s="7">
        <f>MAX((1-Parameters!$B$4)^Parameters!B$65*F187 + C187*Parameters!B$65 - IF(C187&gt;0,Parameters!$B$5,0)*C187^2/F187*Parameters!B$65, 0.0001)</f>
        <v>1E-4</v>
      </c>
      <c r="G188" s="7">
        <f>(1-Parameters!$B$4)^Parameters!B$65*G187+D187*Parameters!B$65-Parameters!$B$5*D187^2/G187*Parameters!B$65</f>
        <v>1.8258673060486761</v>
      </c>
      <c r="H188" s="7">
        <f>(1-Parameters!$B$4)^Parameters!B$65*H187+E187*Parameters!B$65-Parameters!$B$5*E187^2/H187*Parameters!B$65</f>
        <v>4.3318174836139391</v>
      </c>
      <c r="I188" s="7">
        <f>I187 *(1-Parameters!$B$4)-C187*(C187&lt;0)*Parameters!B$65</f>
        <v>7.2778346108775063E-5</v>
      </c>
      <c r="J188" s="23">
        <f>J187*(1+Parameters!$B$51)^Parameters!B$65</f>
        <v>13.90254534320445</v>
      </c>
      <c r="K188" s="23">
        <f>K187*(1+Parameters!$B$53)^Parameters!B$65</f>
        <v>346.10219395999923</v>
      </c>
      <c r="L188" s="23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5.8611340350324344E-2</v>
      </c>
      <c r="M188" s="8">
        <f>M187+L188*Parameters!B$65</f>
        <v>3689.6346576985852</v>
      </c>
      <c r="N188" s="7">
        <f>M188*Parameters!$B$45</f>
        <v>2.2137807946191508</v>
      </c>
      <c r="O188" s="9">
        <f>EXP(-Parameters!$B$46/2*N188^2)</f>
        <v>0.95193997720146617</v>
      </c>
      <c r="P188" s="7">
        <f>MAX((Parameters!$B$62 + Parameters!$B$31*'6states'!A188 - '6states'!M188 + Parameters!$B$47/Parameters!$B$45)/Parameters!B$62,1)</f>
        <v>168.98330684602831</v>
      </c>
      <c r="Q188" s="8"/>
      <c r="R188" s="8"/>
      <c r="S188" s="7">
        <f>Parameters!B$61*EXP(-Parameters!B$60*A188)+(1-Parameters!B$61)*P188^-Parameters!B$63</f>
        <v>0.30283290892001385</v>
      </c>
      <c r="T188" s="7">
        <f>1-S188/Parameters!$B$12</f>
        <v>0.84858354553999304</v>
      </c>
      <c r="U188" s="7">
        <f t="shared" si="191"/>
        <v>6.6043020460773381</v>
      </c>
      <c r="V188" s="7">
        <f>(Parameters!$B$19*(F188+Parameters!$B$20)^T188+Parameters!$B$18*G188^T188)^(1/T188)</f>
        <v>0.46327829985390651</v>
      </c>
      <c r="W188" s="7">
        <f>(Parameters!$B$10*H188^Parameters!$B$9+Parameters!$B$11*V188^Parameters!$B$9)^(Parameters!$B$7/Parameters!$B$9)*O188</f>
        <v>1.4387995573876264</v>
      </c>
      <c r="X188" s="7">
        <f>W188 - D188 - E188 - LN(1+EXP(Parameters!$B$21*C188))/Parameters!$B$21 - IF(C188&gt;0, 0,Parameters!$B$6*C188^2/F188)</f>
        <v>0.88453320355057385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-0.18532679623377976</v>
      </c>
      <c r="AC188" s="23">
        <f t="shared" si="192"/>
        <v>46.341700054614996</v>
      </c>
      <c r="AD188" s="23">
        <f t="shared" si="193"/>
        <v>765.64006811811953</v>
      </c>
      <c r="AE188" s="23">
        <f t="shared" si="194"/>
        <v>0.35018767312985716</v>
      </c>
      <c r="AF188" s="23">
        <f t="shared" si="195"/>
        <v>0.48117014449114304</v>
      </c>
      <c r="AG188" s="23">
        <f t="shared" si="196"/>
        <v>8785.5283547309555</v>
      </c>
      <c r="AH188" s="23">
        <f t="shared" si="197"/>
        <v>2229.156864803153</v>
      </c>
      <c r="AI188" s="23">
        <f t="shared" si="198"/>
        <v>5486.1247577086378</v>
      </c>
      <c r="AJ188" s="23">
        <f t="shared" si="199"/>
        <v>6923.0739092199683</v>
      </c>
      <c r="AK188" s="23">
        <f t="shared" si="200"/>
        <v>4256.1096935964324</v>
      </c>
      <c r="AL188" s="9">
        <f t="shared" si="204"/>
        <v>2.7755694570434031E-2</v>
      </c>
      <c r="AM188" s="9">
        <f t="shared" si="205"/>
        <v>1.5468786669838863E-2</v>
      </c>
      <c r="AN188" s="9">
        <f t="shared" ref="AN188:AO188" si="261">AVERAGE(AL186:AL190)</f>
        <v>2.7696844819698897E-2</v>
      </c>
      <c r="AO188" s="9">
        <f t="shared" si="261"/>
        <v>1.4253376316211685E-2</v>
      </c>
      <c r="AP188" s="23"/>
      <c r="AQ188" s="25">
        <f t="shared" si="189"/>
        <v>6923.0739092199692</v>
      </c>
      <c r="AR188" s="4"/>
      <c r="AS188" s="4"/>
      <c r="AT188" s="4"/>
      <c r="AU188" s="16"/>
      <c r="AV188" s="16"/>
      <c r="AY188" s="21">
        <f>-Y188*W188*X188^(-Parameters!B$52)*Parameters!B$46*Parameters!B$45*N188</f>
        <v>-2.8169188838237439E-6</v>
      </c>
      <c r="AZ188" s="7">
        <f>1000*EXP(-(Parameters!$B$54)*'6states'!A188)*AQ188*Parameters!B$46*Parameters!B$45*N188</f>
        <v>0.28968993706014706</v>
      </c>
      <c r="BA188" s="93">
        <f>SUM(AZ188:AZ$204)*EXP(Parameters!$B$54*A188)</f>
        <v>7618.9045022413584</v>
      </c>
      <c r="BB188" s="43">
        <f t="shared" si="247"/>
        <v>0.38510294295371167</v>
      </c>
      <c r="BC188" s="30">
        <f>IF(C188&lt;0,Parameters!$B$6*AC188^2/AF188,0)</f>
        <v>0</v>
      </c>
      <c r="BD188" s="30">
        <f>Parameters!$B$5*AD188^2/AG188</f>
        <v>66.723899831505392</v>
      </c>
      <c r="BE188" s="30">
        <f t="shared" si="202"/>
        <v>0</v>
      </c>
      <c r="BF188" s="30">
        <f t="shared" si="203"/>
        <v>8.7147868312988458E-2</v>
      </c>
    </row>
    <row r="189" spans="1:58" x14ac:dyDescent="0.3">
      <c r="A189">
        <f>A188+Parameters!$B$65</f>
        <v>185</v>
      </c>
      <c r="B189">
        <v>2210</v>
      </c>
      <c r="C189" s="74">
        <v>9.6310805001290096E-3</v>
      </c>
      <c r="D189" s="69">
        <v>0.16148233923785901</v>
      </c>
      <c r="E189" s="75">
        <v>0.398651156347474</v>
      </c>
      <c r="F189" s="7">
        <f>MAX((1-Parameters!$B$4)^Parameters!B$65*F188 + C188*Parameters!B$65 - IF(C188&gt;0,Parameters!$B$5,0)*C188^2/F188*Parameters!B$65, 0.0001)</f>
        <v>1E-4</v>
      </c>
      <c r="G189" s="7">
        <f>(1-Parameters!$B$4)^Parameters!B$65*G188+D188*Parameters!B$65-Parameters!$B$5*D188^2/G188*Parameters!B$65</f>
        <v>1.8562736885828133</v>
      </c>
      <c r="H189" s="7">
        <f>(1-Parameters!$B$4)^Parameters!B$65*H188+E188*Parameters!B$65-Parameters!$B$5*E188^2/H188*Parameters!B$65</f>
        <v>4.4104034057099302</v>
      </c>
      <c r="I189" s="7">
        <f>I188 *(1-Parameters!$B$4)-C188*(C188&lt;0)*Parameters!B$65</f>
        <v>6.8200588138533119E-5</v>
      </c>
      <c r="J189" s="23">
        <f>J188*(1+Parameters!$B$51)^Parameters!B$65</f>
        <v>13.942862724699742</v>
      </c>
      <c r="K189" s="23">
        <f>K188*(1+Parameters!$B$53)^Parameters!B$65</f>
        <v>353.0242378391992</v>
      </c>
      <c r="L189" s="23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5.9360358267454033E-2</v>
      </c>
      <c r="M189" s="8">
        <f>M188+L189*Parameters!B$65</f>
        <v>3689.6940180568527</v>
      </c>
      <c r="N189" s="7">
        <f>M189*Parameters!$B$45</f>
        <v>2.2138164108341112</v>
      </c>
      <c r="O189" s="9">
        <f>EXP(-Parameters!$B$46/2*N189^2)</f>
        <v>0.95193846854224451</v>
      </c>
      <c r="P189" s="7">
        <f>MAX((Parameters!$B$62 + Parameters!$B$31*'6states'!A189 - '6states'!M189 + Parameters!$B$47/Parameters!$B$45)/Parameters!B$62,1)</f>
        <v>170.04611963886293</v>
      </c>
      <c r="Q189" s="8"/>
      <c r="R189" s="8"/>
      <c r="S189" s="7">
        <f>Parameters!B$61*EXP(-Parameters!B$60*A189)+(1-Parameters!B$61)*P189^-Parameters!B$63</f>
        <v>0.30255261621908847</v>
      </c>
      <c r="T189" s="7">
        <f>1-S189/Parameters!$B$12</f>
        <v>0.84872369189045571</v>
      </c>
      <c r="U189" s="7">
        <f t="shared" si="191"/>
        <v>6.6104204451887218</v>
      </c>
      <c r="V189" s="7">
        <f>(Parameters!$B$19*(F189+Parameters!$B$20)^T189+Parameters!$B$18*G189^T189)^(1/T189)</f>
        <v>0.47087992540279494</v>
      </c>
      <c r="W189" s="7">
        <f>(Parameters!$B$10*H189^Parameters!$B$9+Parameters!$B$11*V189^Parameters!$B$9)^(Parameters!$B$7/Parameters!$B$9)*O189</f>
        <v>1.4463564239436035</v>
      </c>
      <c r="X189" s="7">
        <f>W189 - D189 - E189 - LN(1+EXP(Parameters!$B$21*C189))/Parameters!$B$21 - IF(C189&gt;0, 0,Parameters!$B$6*C189^2/F189)</f>
        <v>0.87641143990515646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-0.18313970370171767</v>
      </c>
      <c r="AC189" s="23">
        <f t="shared" si="192"/>
        <v>47.405800930448962</v>
      </c>
      <c r="AD189" s="23">
        <f t="shared" si="193"/>
        <v>794.84328135255737</v>
      </c>
      <c r="AE189" s="23">
        <f t="shared" si="194"/>
        <v>0.33569478570878231</v>
      </c>
      <c r="AF189" s="23">
        <f t="shared" si="195"/>
        <v>0.49221684866837073</v>
      </c>
      <c r="AG189" s="23">
        <f t="shared" si="196"/>
        <v>9136.8918526024481</v>
      </c>
      <c r="AH189" s="23">
        <f t="shared" si="197"/>
        <v>2317.7503298296119</v>
      </c>
      <c r="AI189" s="23">
        <f t="shared" si="198"/>
        <v>5704.1600200659013</v>
      </c>
      <c r="AJ189" s="23">
        <f t="shared" si="199"/>
        <v>7119.2100104477449</v>
      </c>
      <c r="AK189" s="23">
        <f t="shared" si="200"/>
        <v>4313.8447708702524</v>
      </c>
      <c r="AL189" s="9">
        <f t="shared" si="204"/>
        <v>2.793688814553974E-2</v>
      </c>
      <c r="AM189" s="9">
        <f t="shared" si="205"/>
        <v>1.3474039096209367E-2</v>
      </c>
      <c r="AN189" s="9">
        <f t="shared" ref="AN189:AO189" si="262">AVERAGE(AL187:AL191)</f>
        <v>2.791282660572101E-2</v>
      </c>
      <c r="AO189" s="9">
        <f t="shared" si="262"/>
        <v>1.1255747164610952E-2</v>
      </c>
      <c r="AP189" s="23"/>
      <c r="AQ189" s="25">
        <f t="shared" si="189"/>
        <v>7119.2100104477449</v>
      </c>
      <c r="AR189" s="4"/>
      <c r="AS189" s="4"/>
      <c r="AT189" s="4"/>
      <c r="AU189" s="16"/>
      <c r="AV189" s="16"/>
      <c r="AY189" s="21">
        <f>-Y189*W189*X189^(-Parameters!B$52)*Parameters!B$46*Parameters!B$45*N189</f>
        <v>-2.8242735117248467E-6</v>
      </c>
      <c r="AZ189" s="7">
        <f>1000*EXP(-(Parameters!$B$54)*'6states'!A189)*AQ189*Parameters!B$46*Parameters!B$45*N189</f>
        <v>0.28762689732955898</v>
      </c>
      <c r="BA189" s="93">
        <f>SUM(AZ189:AZ$204)*EXP(Parameters!$B$54*A189)</f>
        <v>7699.6402821731981</v>
      </c>
      <c r="BB189" s="43">
        <f t="shared" si="247"/>
        <v>0.39393096103652964</v>
      </c>
      <c r="BC189" s="30">
        <f>IF(C189&lt;0,Parameters!$B$6*AC189^2/AF189,0)</f>
        <v>0</v>
      </c>
      <c r="BD189" s="30">
        <f>Parameters!$B$5*AD189^2/AG189</f>
        <v>69.145597004232116</v>
      </c>
      <c r="BE189" s="30">
        <f t="shared" si="202"/>
        <v>0</v>
      </c>
      <c r="BF189" s="30">
        <f t="shared" si="203"/>
        <v>8.6992742627917091E-2</v>
      </c>
    </row>
    <row r="190" spans="1:58" x14ac:dyDescent="0.3">
      <c r="A190">
        <f>A189+Parameters!$B$65</f>
        <v>186</v>
      </c>
      <c r="B190">
        <v>2211</v>
      </c>
      <c r="C190" s="74">
        <v>9.6309836030551502E-3</v>
      </c>
      <c r="D190" s="69">
        <v>0.17043287772859</v>
      </c>
      <c r="E190" s="75">
        <v>0.41142247946768701</v>
      </c>
      <c r="F190" s="7">
        <f>MAX((1-Parameters!$B$4)^Parameters!B$65*F189 + C189*Parameters!B$65 - IF(C189&gt;0,Parameters!$B$5,0)*C189^2/F189*Parameters!B$65, 0.0001)</f>
        <v>1E-4</v>
      </c>
      <c r="G190" s="7">
        <f>(1-Parameters!$B$4)^Parameters!B$65*G189+D189*Parameters!B$65-Parameters!$B$5*D189^2/G189*Parameters!B$65</f>
        <v>1.8869486212325404</v>
      </c>
      <c r="H190" s="7">
        <f>(1-Parameters!$B$4)^Parameters!B$65*H189+E189*Parameters!B$65-Parameters!$B$5*E189^2/H189*Parameters!B$65</f>
        <v>4.4956065805152932</v>
      </c>
      <c r="I190" s="7">
        <f>I189 *(1-Parameters!$B$4)-C189*(C189&lt;0)*Parameters!B$65</f>
        <v>6.3910771144619382E-5</v>
      </c>
      <c r="J190" s="23">
        <f>J189*(1+Parameters!$B$51)^Parameters!B$65</f>
        <v>13.98329702660137</v>
      </c>
      <c r="K190" s="23">
        <f>K189*(1+Parameters!$B$53)^Parameters!B$65</f>
        <v>360.08472259598318</v>
      </c>
      <c r="L190" s="23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6.0118948435523692E-2</v>
      </c>
      <c r="M190" s="8">
        <f>M189+L190*Parameters!B$65</f>
        <v>3689.7541370052882</v>
      </c>
      <c r="N190" s="7">
        <f>M190*Parameters!$B$45</f>
        <v>2.2138524822031727</v>
      </c>
      <c r="O190" s="9">
        <f>EXP(-Parameters!$B$46/2*N190^2)</f>
        <v>0.95193694058095091</v>
      </c>
      <c r="P190" s="7">
        <f>MAX((Parameters!$B$62 + Parameters!$B$31*'6states'!A190 - '6states'!M190 + Parameters!$B$47/Parameters!$B$45)/Parameters!B$62,1)</f>
        <v>171.10891725989427</v>
      </c>
      <c r="Q190" s="8"/>
      <c r="R190" s="8"/>
      <c r="S190" s="7">
        <f>Parameters!B$61*EXP(-Parameters!B$60*A190)+(1-Parameters!B$61)*P190^-Parameters!B$63</f>
        <v>0.30227608018021596</v>
      </c>
      <c r="T190" s="7">
        <f>1-S190/Parameters!$B$12</f>
        <v>0.84886195990989199</v>
      </c>
      <c r="U190" s="7">
        <f t="shared" si="191"/>
        <v>6.6164679613669941</v>
      </c>
      <c r="V190" s="7">
        <f>(Parameters!$B$19*(F190+Parameters!$B$20)^T190+Parameters!$B$18*G190^T190)^(1/T190)</f>
        <v>0.47854940577851135</v>
      </c>
      <c r="W190" s="7">
        <f>(Parameters!$B$10*H190^Parameters!$B$9+Parameters!$B$11*V190^Parameters!$B$9)^(Parameters!$B$7/Parameters!$B$9)*O190</f>
        <v>1.4542873464844659</v>
      </c>
      <c r="X190" s="7">
        <f>W190 - D190 - E190 - LN(1+EXP(Parameters!$B$21*C190))/Parameters!$B$21 - IF(C190&gt;0, 0,Parameters!$B$6*C190^2/F190)</f>
        <v>0.8626205926271685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-0.18139927052109966</v>
      </c>
      <c r="AC190" s="23">
        <f t="shared" si="192"/>
        <v>48.493655414812807</v>
      </c>
      <c r="AD190" s="23">
        <f t="shared" si="193"/>
        <v>858.15879089477039</v>
      </c>
      <c r="AE190" s="23">
        <f t="shared" si="194"/>
        <v>0.32180170177000206</v>
      </c>
      <c r="AF190" s="23">
        <f t="shared" si="195"/>
        <v>0.50351716308009908</v>
      </c>
      <c r="AG190" s="23">
        <f t="shared" si="196"/>
        <v>9501.1101664091311</v>
      </c>
      <c r="AH190" s="23">
        <f t="shared" si="197"/>
        <v>2409.5783919126325</v>
      </c>
      <c r="AI190" s="23">
        <f t="shared" si="198"/>
        <v>5930.1558720404328</v>
      </c>
      <c r="AJ190" s="23">
        <f t="shared" si="199"/>
        <v>7322.5863900514341</v>
      </c>
      <c r="AK190" s="23">
        <f t="shared" si="200"/>
        <v>4343.4427361410571</v>
      </c>
      <c r="AL190" s="9">
        <f t="shared" si="204"/>
        <v>2.8166831861136998E-2</v>
      </c>
      <c r="AM190" s="9">
        <f t="shared" si="205"/>
        <v>6.8377261507333031E-3</v>
      </c>
      <c r="AN190" s="9">
        <f t="shared" ref="AN190:AO190" si="263">AVERAGE(AL188:AL192)</f>
        <v>2.8221398740392801E-2</v>
      </c>
      <c r="AO190" s="9">
        <f t="shared" si="263"/>
        <v>1.4747027628148146E-2</v>
      </c>
      <c r="AP190" s="23"/>
      <c r="AQ190" s="25">
        <f t="shared" si="189"/>
        <v>7322.5863900514332</v>
      </c>
      <c r="AR190" s="4"/>
      <c r="AS190" s="4"/>
      <c r="AT190" s="4"/>
      <c r="AU190" s="16"/>
      <c r="AV190" s="16"/>
      <c r="AY190" s="21">
        <f>-Y190*W190*X190^(-Parameters!B$52)*Parameters!B$46*Parameters!B$45*N190</f>
        <v>-2.8577877552076452E-6</v>
      </c>
      <c r="AZ190" s="7">
        <f>1000*EXP(-(Parameters!$B$54)*'6states'!A190)*AQ190*Parameters!B$46*Parameters!B$45*N190</f>
        <v>0.28564428282384074</v>
      </c>
      <c r="BA190" s="93">
        <f>SUM(AZ190:AZ$204)*EXP(Parameters!$B$54*A190)</f>
        <v>7777.8334971123049</v>
      </c>
      <c r="BB190" s="43">
        <f t="shared" si="247"/>
        <v>0.40671903130366005</v>
      </c>
      <c r="BC190" s="30">
        <f>IF(C190&lt;0,Parameters!$B$6*AC190^2/AF190,0)</f>
        <v>0</v>
      </c>
      <c r="BD190" s="30">
        <f>Parameters!$B$5*AD190^2/AG190</f>
        <v>77.510574816153778</v>
      </c>
      <c r="BE190" s="30">
        <f t="shared" si="202"/>
        <v>0</v>
      </c>
      <c r="BF190" s="30">
        <f t="shared" si="203"/>
        <v>9.0321949315856062E-2</v>
      </c>
    </row>
    <row r="191" spans="1:58" x14ac:dyDescent="0.3">
      <c r="A191">
        <f>A190+Parameters!$B$65</f>
        <v>187</v>
      </c>
      <c r="B191">
        <v>2212</v>
      </c>
      <c r="C191" s="74">
        <v>9.6310937974877497E-3</v>
      </c>
      <c r="D191" s="69">
        <v>0.16861312727497699</v>
      </c>
      <c r="E191" s="75">
        <v>0.42673035275269799</v>
      </c>
      <c r="F191" s="7">
        <f>MAX((1-Parameters!$B$4)^Parameters!B$65*F190 + C190*Parameters!B$65 - IF(C190&gt;0,Parameters!$B$5,0)*C190^2/F190*Parameters!B$65, 0.0001)</f>
        <v>1E-4</v>
      </c>
      <c r="G191" s="7">
        <f>(1-Parameters!$B$4)^Parameters!B$65*G190+D190*Parameters!B$65-Parameters!$B$5*D190^2/G190*Parameters!B$65</f>
        <v>1.9232986009416464</v>
      </c>
      <c r="H191" s="7">
        <f>(1-Parameters!$B$4)^Parameters!B$65*H190+E190*Parameters!B$65-Parameters!$B$5*E190^2/H190*Parameters!B$65</f>
        <v>4.5866034332858563</v>
      </c>
      <c r="I191" s="7">
        <f>I190 *(1-Parameters!$B$4)-C190*(C190&lt;0)*Parameters!B$65</f>
        <v>5.9890783639622828E-5</v>
      </c>
      <c r="J191" s="23">
        <f>J190*(1+Parameters!$B$51)^Parameters!B$65</f>
        <v>14.023848587978513</v>
      </c>
      <c r="K191" s="23">
        <f>K190*(1+Parameters!$B$53)^Parameters!B$65</f>
        <v>367.28641704790283</v>
      </c>
      <c r="L191" s="23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6.0887233399634262E-2</v>
      </c>
      <c r="M191" s="8">
        <f>M190+L191*Parameters!B$65</f>
        <v>3689.8150242386878</v>
      </c>
      <c r="N191" s="7">
        <f>M191*Parameters!$B$45</f>
        <v>2.2138890145432124</v>
      </c>
      <c r="O191" s="9">
        <f>EXP(-Parameters!$B$46/2*N191^2)</f>
        <v>0.95193539307033115</v>
      </c>
      <c r="P191" s="7">
        <f>MAX((Parameters!$B$62 + Parameters!$B$31*'6states'!A191 - '6states'!M191 + Parameters!$B$47/Parameters!$B$45)/Parameters!B$62,1)</f>
        <v>172.17169951522624</v>
      </c>
      <c r="Q191" s="8"/>
      <c r="R191" s="8"/>
      <c r="S191" s="7">
        <f>Parameters!B$61*EXP(-Parameters!B$60*A191)+(1-Parameters!B$61)*P191^-Parameters!B$63</f>
        <v>0.30200321831509003</v>
      </c>
      <c r="T191" s="7">
        <f>1-S191/Parameters!$B$12</f>
        <v>0.84899839084245499</v>
      </c>
      <c r="U191" s="7">
        <f t="shared" si="191"/>
        <v>6.6224459830535096</v>
      </c>
      <c r="V191" s="7">
        <f>(Parameters!$B$19*(F191+Parameters!$B$20)^T191+Parameters!$B$18*G191^T191)^(1/T191)</f>
        <v>0.48762199509010284</v>
      </c>
      <c r="W191" s="7">
        <f>(Parameters!$B$10*H191^Parameters!$B$9+Parameters!$B$11*V191^Parameters!$B$9)^(Parameters!$B$7/Parameters!$B$9)*O191</f>
        <v>1.4628860474301051</v>
      </c>
      <c r="X191" s="7">
        <f>W191 - D191 - E191 - LN(1+EXP(Parameters!$B$21*C191))/Parameters!$B$21 - IF(C191&gt;0, 0,Parameters!$B$6*C191^2/F191)</f>
        <v>0.85773106635251195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-0.17903656135581397</v>
      </c>
      <c r="AC191" s="23">
        <f t="shared" si="192"/>
        <v>49.60754034190461</v>
      </c>
      <c r="AD191" s="23">
        <f t="shared" si="193"/>
        <v>868.48728600794811</v>
      </c>
      <c r="AE191" s="23">
        <f t="shared" si="194"/>
        <v>0.30848359781168971</v>
      </c>
      <c r="AF191" s="23">
        <f t="shared" si="195"/>
        <v>0.51507691011009193</v>
      </c>
      <c r="AG191" s="23">
        <f t="shared" si="196"/>
        <v>9906.4670059208602</v>
      </c>
      <c r="AH191" s="23">
        <f t="shared" si="197"/>
        <v>2511.6283053272859</v>
      </c>
      <c r="AI191" s="23">
        <f t="shared" si="198"/>
        <v>6181.3084783670365</v>
      </c>
      <c r="AJ191" s="23">
        <f t="shared" si="199"/>
        <v>7534.9882515346389</v>
      </c>
      <c r="AK191" s="23">
        <f t="shared" si="200"/>
        <v>4417.9746736228608</v>
      </c>
      <c r="AL191" s="9">
        <f t="shared" si="204"/>
        <v>2.8593675350977676E-2</v>
      </c>
      <c r="AM191" s="9">
        <f t="shared" si="205"/>
        <v>1.7014081612517273E-2</v>
      </c>
      <c r="AN191" s="9">
        <f t="shared" ref="AN191:AO191" si="264">AVERAGE(AL189:AL193)</f>
        <v>2.8390080842938658E-2</v>
      </c>
      <c r="AO191" s="9">
        <f t="shared" si="264"/>
        <v>1.4872086430903764E-2</v>
      </c>
      <c r="AP191" s="23"/>
      <c r="AQ191" s="25">
        <f t="shared" si="189"/>
        <v>7534.9882515346399</v>
      </c>
      <c r="AR191" s="4"/>
      <c r="AS191" s="4"/>
      <c r="AT191" s="4"/>
      <c r="AU191" s="16"/>
      <c r="AV191" s="16"/>
      <c r="AY191" s="21">
        <f>-Y191*W191*X191^(-Parameters!B$52)*Parameters!B$46*Parameters!B$45*N191</f>
        <v>-2.853463246422327E-6</v>
      </c>
      <c r="AZ191" s="7">
        <f>1000*EXP(-(Parameters!$B$54)*'6states'!A191)*AQ191*Parameters!B$46*Parameters!B$45*N191</f>
        <v>0.2837965043275083</v>
      </c>
      <c r="BA191" s="93">
        <f>SUM(AZ191:AZ$204)*EXP(Parameters!$B$54*A191)</f>
        <v>7853.1928879546358</v>
      </c>
      <c r="BB191" s="43">
        <f t="shared" si="247"/>
        <v>0.41354866627372605</v>
      </c>
      <c r="BC191" s="30">
        <f>IF(C191&lt;0,Parameters!$B$6*AC191^2/AF191,0)</f>
        <v>0</v>
      </c>
      <c r="BD191" s="30">
        <f>Parameters!$B$5*AD191^2/AG191</f>
        <v>76.139169040450255</v>
      </c>
      <c r="BE191" s="30">
        <f t="shared" si="202"/>
        <v>0</v>
      </c>
      <c r="BF191" s="30">
        <f t="shared" si="203"/>
        <v>8.7668720391323562E-2</v>
      </c>
    </row>
    <row r="192" spans="1:58" x14ac:dyDescent="0.3">
      <c r="A192">
        <f>A191+Parameters!$B$65</f>
        <v>188</v>
      </c>
      <c r="B192">
        <v>2213</v>
      </c>
      <c r="C192" s="74">
        <v>9.6312895561962101E-3</v>
      </c>
      <c r="D192" s="69">
        <v>0.17752478855817799</v>
      </c>
      <c r="E192" s="75">
        <v>0.42806318208781302</v>
      </c>
      <c r="F192" s="7">
        <f>MAX((1-Parameters!$B$4)^Parameters!B$65*F191 + C191*Parameters!B$65 - IF(C191&gt;0,Parameters!$B$5,0)*C191^2/F191*Parameters!B$65, 0.0001)</f>
        <v>1E-4</v>
      </c>
      <c r="G192" s="7">
        <f>(1-Parameters!$B$4)^Parameters!B$65*G191+D191*Parameters!B$65-Parameters!$B$5*D191^2/G191*Parameters!B$65</f>
        <v>1.9561541491080172</v>
      </c>
      <c r="H192" s="7">
        <f>(1-Parameters!$B$4)^Parameters!B$65*H191+E191*Parameters!B$65-Parameters!$B$5*E191^2/H191*Parameters!B$65</f>
        <v>4.6851341107958513</v>
      </c>
      <c r="I192" s="7">
        <f>I191 *(1-Parameters!$B$4)-C191*(C191&lt;0)*Parameters!B$65</f>
        <v>5.6123653348690556E-5</v>
      </c>
      <c r="J192" s="23">
        <f>J191*(1+Parameters!$B$51)^Parameters!B$65</f>
        <v>14.064517748883649</v>
      </c>
      <c r="K192" s="23">
        <f>K191*(1+Parameters!$B$53)^Parameters!B$65</f>
        <v>374.63214538886092</v>
      </c>
      <c r="L192" s="23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6.1665337446894515E-2</v>
      </c>
      <c r="M192" s="8">
        <f>M191+L192*Parameters!B$65</f>
        <v>3689.8766895761346</v>
      </c>
      <c r="N192" s="7">
        <f>M192*Parameters!$B$45</f>
        <v>2.2139260137456804</v>
      </c>
      <c r="O192" s="9">
        <f>EXP(-Parameters!$B$46/2*N192^2)</f>
        <v>0.95193382575994623</v>
      </c>
      <c r="P192" s="7">
        <f>MAX((Parameters!$B$62 + Parameters!$B$31*'6states'!A192 - '6states'!M192 + Parameters!$B$47/Parameters!$B$45)/Parameters!B$62,1)</f>
        <v>173.23446620847733</v>
      </c>
      <c r="Q192" s="8"/>
      <c r="R192" s="8"/>
      <c r="S192" s="7">
        <f>Parameters!B$61*EXP(-Parameters!B$60*A192)+(1-Parameters!B$61)*P192^-Parameters!B$63</f>
        <v>0.30173395020670224</v>
      </c>
      <c r="T192" s="7">
        <f>1-S192/Parameters!$B$12</f>
        <v>0.84913302489664888</v>
      </c>
      <c r="U192" s="7">
        <f t="shared" si="191"/>
        <v>6.6283558698976499</v>
      </c>
      <c r="V192" s="7">
        <f>(Parameters!$B$19*(F192+Parameters!$B$20)^T192+Parameters!$B$18*G192^T192)^(1/T192)</f>
        <v>0.49583337281014245</v>
      </c>
      <c r="W192" s="7">
        <f>(Parameters!$B$10*H192^Parameters!$B$9+Parameters!$B$11*V192^Parameters!$B$9)^(Parameters!$B$7/Parameters!$B$9)*O192</f>
        <v>1.4716242204741325</v>
      </c>
      <c r="X192" s="7">
        <f>W192 - D192 - E192 - LN(1+EXP(Parameters!$B$21*C192))/Parameters!$B$21 - IF(C192&gt;0, 0,Parameters!$B$6*C192^2/F192)</f>
        <v>0.85622456333250929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-0.17646195705869608</v>
      </c>
      <c r="AC192" s="23">
        <f t="shared" si="192"/>
        <v>50.747461709713797</v>
      </c>
      <c r="AD192" s="23">
        <f t="shared" si="193"/>
        <v>935.38174273717618</v>
      </c>
      <c r="AE192" s="23">
        <f t="shared" si="194"/>
        <v>0.29571667767890975</v>
      </c>
      <c r="AF192" s="23">
        <f t="shared" si="195"/>
        <v>0.52690204581239941</v>
      </c>
      <c r="AG192" s="23">
        <f t="shared" si="196"/>
        <v>10307.016230894276</v>
      </c>
      <c r="AH192" s="23">
        <f t="shared" si="197"/>
        <v>2612.556185157262</v>
      </c>
      <c r="AI192" s="23">
        <f t="shared" si="198"/>
        <v>6429.69967461745</v>
      </c>
      <c r="AJ192" s="23">
        <f t="shared" si="199"/>
        <v>7754.0181243489797</v>
      </c>
      <c r="AK192" s="23">
        <f t="shared" si="200"/>
        <v>4511.4647409472755</v>
      </c>
      <c r="AL192" s="9">
        <f t="shared" si="204"/>
        <v>2.8653903773875555E-2</v>
      </c>
      <c r="AM192" s="9">
        <f t="shared" si="205"/>
        <v>2.0940504611441924E-2</v>
      </c>
      <c r="AN192" s="9">
        <f t="shared" ref="AN192:AO192" si="265">AVERAGE(AL190:AL194)</f>
        <v>2.8540207923653325E-2</v>
      </c>
      <c r="AO192" s="9">
        <f t="shared" si="265"/>
        <v>1.4547648477217835E-2</v>
      </c>
      <c r="AP192" s="23"/>
      <c r="AQ192" s="25">
        <f t="shared" si="189"/>
        <v>7754.0181243489797</v>
      </c>
      <c r="AR192" s="4"/>
      <c r="AS192" s="4"/>
      <c r="AT192" s="4"/>
      <c r="AU192" s="16"/>
      <c r="AV192" s="16"/>
      <c r="AY192" s="21">
        <f>-Y192*W192*X192^(-Parameters!B$52)*Parameters!B$46*Parameters!B$45*N192</f>
        <v>-2.8342541498684681E-6</v>
      </c>
      <c r="AZ192" s="7">
        <f>1000*EXP(-(Parameters!$B$54)*'6states'!A192)*AQ192*Parameters!B$46*Parameters!B$45*N192</f>
        <v>0.28197772070234506</v>
      </c>
      <c r="BA192" s="93">
        <f>SUM(AZ192:AZ$204)*EXP(Parameters!$B$54*A192)</f>
        <v>7925.3674103047269</v>
      </c>
      <c r="BB192" s="43">
        <f t="shared" si="247"/>
        <v>0.41805459005286955</v>
      </c>
      <c r="BC192" s="30">
        <f>IF(C192&lt;0,Parameters!$B$6*AC192^2/AF192,0)</f>
        <v>0</v>
      </c>
      <c r="BD192" s="30">
        <f>Parameters!$B$5*AD192^2/AG192</f>
        <v>84.887709987638573</v>
      </c>
      <c r="BE192" s="30">
        <f t="shared" si="202"/>
        <v>0</v>
      </c>
      <c r="BF192" s="30">
        <f t="shared" si="203"/>
        <v>9.0751942345201772E-2</v>
      </c>
    </row>
    <row r="193" spans="1:58" x14ac:dyDescent="0.3">
      <c r="A193">
        <f>A192+Parameters!$B$65</f>
        <v>189</v>
      </c>
      <c r="B193">
        <v>2214</v>
      </c>
      <c r="C193" s="74">
        <v>9.6313864150145805E-3</v>
      </c>
      <c r="D193" s="69">
        <v>0.188630448132249</v>
      </c>
      <c r="E193" s="75">
        <v>0.43130285080875602</v>
      </c>
      <c r="F193" s="7">
        <f>MAX((1-Parameters!$B$4)^Parameters!B$65*F192 + C192*Parameters!B$65 - IF(C192&gt;0,Parameters!$B$5,0)*C192^2/F192*Parameters!B$65, 0.0001)</f>
        <v>1E-4</v>
      </c>
      <c r="G193" s="7">
        <f>(1-Parameters!$B$4)^Parameters!B$65*G192+D192*Parameters!B$65-Parameters!$B$5*D192^2/G192*Parameters!B$65</f>
        <v>1.9945261223112252</v>
      </c>
      <c r="H193" s="7">
        <f>(1-Parameters!$B$4)^Parameters!B$65*H192+E192*Parameters!B$65-Parameters!$B$5*E192^2/H192*Parameters!B$65</f>
        <v>4.7793918252517322</v>
      </c>
      <c r="I193" s="7">
        <f>I192 *(1-Parameters!$B$4)-C192*(C192&lt;0)*Parameters!B$65</f>
        <v>5.259347555305792E-5</v>
      </c>
      <c r="J193" s="23">
        <f>J192*(1+Parameters!$B$51)^Parameters!B$65</f>
        <v>14.105304850355409</v>
      </c>
      <c r="K193" s="23">
        <f>K192*(1+Parameters!$B$53)^Parameters!B$65</f>
        <v>382.12478829663814</v>
      </c>
      <c r="L193" s="23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6.2453386760050626E-2</v>
      </c>
      <c r="M193" s="8">
        <f>M192+L193*Parameters!B$65</f>
        <v>3689.9391429628945</v>
      </c>
      <c r="N193" s="7">
        <f>M193*Parameters!$B$45</f>
        <v>2.2139634857777364</v>
      </c>
      <c r="O193" s="9">
        <f>EXP(-Parameters!$B$46/2*N193^2)</f>
        <v>0.95193223839612384</v>
      </c>
      <c r="P193" s="7">
        <f>MAX((Parameters!$B$62 + Parameters!$B$31*'6states'!A193 - '6states'!M193 + Parameters!$B$47/Parameters!$B$45)/Parameters!B$62,1)</f>
        <v>174.29721714074213</v>
      </c>
      <c r="Q193" s="8"/>
      <c r="R193" s="8"/>
      <c r="S193" s="7">
        <f>Parameters!B$61*EXP(-Parameters!B$60*A193)+(1-Parameters!B$61)*P193^-Parameters!B$63</f>
        <v>0.30146819745466669</v>
      </c>
      <c r="T193" s="7">
        <f>1-S193/Parameters!$B$12</f>
        <v>0.84926590127266666</v>
      </c>
      <c r="U193" s="7">
        <f t="shared" si="191"/>
        <v>6.6341989532768215</v>
      </c>
      <c r="V193" s="7">
        <f>(Parameters!$B$19*(F193+Parameters!$B$20)^T193+Parameters!$B$18*G193^T193)^(1/T193)</f>
        <v>0.50540919164490661</v>
      </c>
      <c r="W193" s="7">
        <f>(Parameters!$B$10*H193^Parameters!$B$9+Parameters!$B$11*V193^Parameters!$B$9)^(Parameters!$B$7/Parameters!$B$9)*O193</f>
        <v>1.4803334661859118</v>
      </c>
      <c r="X193" s="7">
        <f>W193 - D193 - E193 - LN(1+EXP(Parameters!$B$21*C193))/Parameters!$B$21 - IF(C193&gt;0, 0,Parameters!$B$6*C193^2/F193)</f>
        <v>0.85058838899297706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-0.1742196457083165</v>
      </c>
      <c r="AC193" s="23">
        <f t="shared" si="192"/>
        <v>51.913044003381394</v>
      </c>
      <c r="AD193" s="23">
        <f t="shared" si="193"/>
        <v>1016.715593406307</v>
      </c>
      <c r="AE193" s="23">
        <f t="shared" si="194"/>
        <v>0.28347813004577971</v>
      </c>
      <c r="AF193" s="23">
        <f t="shared" si="195"/>
        <v>0.53899866298016041</v>
      </c>
      <c r="AG193" s="23">
        <f t="shared" si="196"/>
        <v>10750.469132047541</v>
      </c>
      <c r="AH193" s="23">
        <f t="shared" si="197"/>
        <v>2724.1487855448831</v>
      </c>
      <c r="AI193" s="23">
        <f t="shared" si="198"/>
        <v>6704.3375601023172</v>
      </c>
      <c r="AJ193" s="23">
        <f t="shared" si="199"/>
        <v>7978.977590389929</v>
      </c>
      <c r="AK193" s="23">
        <f t="shared" si="200"/>
        <v>4584.6600441366318</v>
      </c>
      <c r="AL193" s="9">
        <f t="shared" si="204"/>
        <v>2.8599105083163323E-2</v>
      </c>
      <c r="AM193" s="9">
        <f t="shared" si="205"/>
        <v>1.6094080683616951E-2</v>
      </c>
      <c r="AN193" s="9">
        <f t="shared" ref="AN193:AO193" si="266">AVERAGE(AL191:AL195)</f>
        <v>2.8681933363215961E-2</v>
      </c>
      <c r="AO193" s="9">
        <f t="shared" si="266"/>
        <v>1.3968364719523762E-2</v>
      </c>
      <c r="AP193" s="23"/>
      <c r="AQ193" s="25">
        <f t="shared" si="189"/>
        <v>7978.9775903899299</v>
      </c>
      <c r="AR193" s="4"/>
      <c r="AS193" s="4"/>
      <c r="AT193" s="4"/>
      <c r="AU193" s="16"/>
      <c r="AV193" s="16"/>
      <c r="AY193" s="21">
        <f>-Y193*W193*X193^(-Parameters!B$52)*Parameters!B$46*Parameters!B$45*N193</f>
        <v>-2.8334988431822169E-6</v>
      </c>
      <c r="AZ193" s="7">
        <f>1000*EXP(-(Parameters!$B$54)*'6states'!A193)*AQ193*Parameters!B$46*Parameters!B$45*N193</f>
        <v>0.28015530041720155</v>
      </c>
      <c r="BA193" s="93">
        <f>SUM(AZ193:AZ$204)*EXP(Parameters!$B$54*A193)</f>
        <v>7994.0597617847734</v>
      </c>
      <c r="BB193" s="43">
        <f t="shared" si="247"/>
        <v>0.42528572091131389</v>
      </c>
      <c r="BC193" s="30">
        <f>IF(C193&lt;0,Parameters!$B$6*AC193^2/AF193,0)</f>
        <v>0</v>
      </c>
      <c r="BD193" s="30">
        <f>Parameters!$B$5*AD193^2/AG193</f>
        <v>96.154929164347806</v>
      </c>
      <c r="BE193" s="30">
        <f t="shared" si="202"/>
        <v>0</v>
      </c>
      <c r="BF193" s="30">
        <f t="shared" si="203"/>
        <v>9.4574067505151072E-2</v>
      </c>
    </row>
    <row r="194" spans="1:58" x14ac:dyDescent="0.3">
      <c r="A194">
        <f>A193+Parameters!$B$65</f>
        <v>190</v>
      </c>
      <c r="B194">
        <v>2215</v>
      </c>
      <c r="C194" s="74">
        <v>9.6313920250412702E-3</v>
      </c>
      <c r="D194" s="69">
        <v>0.19527731273385701</v>
      </c>
      <c r="E194" s="75">
        <v>0.44272455939157102</v>
      </c>
      <c r="F194" s="7">
        <f>MAX((1-Parameters!$B$4)^Parameters!B$65*F193 + C193*Parameters!B$65 - IF(C193&gt;0,Parameters!$B$5,0)*C193^2/F193*Parameters!B$65, 0.0001)</f>
        <v>1E-4</v>
      </c>
      <c r="G194" s="7">
        <f>(1-Parameters!$B$4)^Parameters!B$65*G193+D193*Parameters!B$65-Parameters!$B$5*D193^2/G193*Parameters!B$65</f>
        <v>2.0398613286149123</v>
      </c>
      <c r="H194" s="7">
        <f>(1-Parameters!$B$4)^Parameters!B$65*H193+E193*Parameters!B$65-Parameters!$B$5*E193^2/H193*Parameters!B$65</f>
        <v>4.8711492105193388</v>
      </c>
      <c r="I194" s="7">
        <f>I193 *(1-Parameters!$B$4)-C193*(C193&lt;0)*Parameters!B$65</f>
        <v>4.9285345940770577E-5</v>
      </c>
      <c r="J194" s="23">
        <f>J193*(1+Parameters!$B$51)^Parameters!B$65</f>
        <v>14.146210234421439</v>
      </c>
      <c r="K194" s="23">
        <f>K193*(1+Parameters!$B$53)^Parameters!B$65</f>
        <v>389.76728406257092</v>
      </c>
      <c r="L194" s="23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6.3251509661220923E-2</v>
      </c>
      <c r="M194" s="8">
        <f>M193+L194*Parameters!B$65</f>
        <v>3690.0023944725558</v>
      </c>
      <c r="N194" s="7">
        <f>M194*Parameters!$B$45</f>
        <v>2.2140014366835334</v>
      </c>
      <c r="O194" s="9">
        <f>EXP(-Parameters!$B$46/2*N194^2)</f>
        <v>0.95193063072190343</v>
      </c>
      <c r="P194" s="7">
        <f>MAX((Parameters!$B$62 + Parameters!$B$31*'6states'!A194 - '6states'!M194 + Parameters!$B$47/Parameters!$B$45)/Parameters!B$62,1)</f>
        <v>175.35995211054887</v>
      </c>
      <c r="Q194" s="8"/>
      <c r="R194" s="8"/>
      <c r="S194" s="7">
        <f>Parameters!B$61*EXP(-Parameters!B$60*A194)+(1-Parameters!B$61)*P194^-Parameters!B$63</f>
        <v>0.30120588362203754</v>
      </c>
      <c r="T194" s="7">
        <f>1-S194/Parameters!$B$12</f>
        <v>0.84939705818898126</v>
      </c>
      <c r="U194" s="7">
        <f t="shared" si="191"/>
        <v>6.639976536811818</v>
      </c>
      <c r="V194" s="7">
        <f>(Parameters!$B$19*(F194+Parameters!$B$20)^T194+Parameters!$B$18*G194^T194)^(1/T194)</f>
        <v>0.51670745550654129</v>
      </c>
      <c r="W194" s="7">
        <f>(Parameters!$B$10*H194^Parameters!$B$9+Parameters!$B$11*V194^Parameters!$B$9)^(Parameters!$B$7/Parameters!$B$9)*O194</f>
        <v>1.4892259234915737</v>
      </c>
      <c r="X194" s="7">
        <f>W194 - D194 - E194 - LN(1+EXP(Parameters!$B$21*C194))/Parameters!$B$21 - IF(C194&gt;0, 0,Parameters!$B$6*C194^2/F194)</f>
        <v>0.84141226779972111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-0.17226140819988764</v>
      </c>
      <c r="AC194" s="23">
        <f t="shared" si="192"/>
        <v>53.104894599783158</v>
      </c>
      <c r="AD194" s="23">
        <f t="shared" si="193"/>
        <v>1076.7063663796755</v>
      </c>
      <c r="AE194" s="23">
        <f t="shared" si="194"/>
        <v>0.27174608765727787</v>
      </c>
      <c r="AF194" s="23">
        <f t="shared" si="195"/>
        <v>0.55137299428485886</v>
      </c>
      <c r="AG194" s="23">
        <f t="shared" si="196"/>
        <v>11247.244486842947</v>
      </c>
      <c r="AH194" s="23">
        <f t="shared" si="197"/>
        <v>2848.9853691195217</v>
      </c>
      <c r="AI194" s="23">
        <f t="shared" si="198"/>
        <v>7011.5698965207175</v>
      </c>
      <c r="AJ194" s="23">
        <f t="shared" si="199"/>
        <v>8211.1895660218324</v>
      </c>
      <c r="AK194" s="23">
        <f t="shared" si="200"/>
        <v>4639.3200152474574</v>
      </c>
      <c r="AL194" s="9">
        <f t="shared" si="204"/>
        <v>2.8687523549113081E-2</v>
      </c>
      <c r="AM194" s="9">
        <f t="shared" si="205"/>
        <v>1.1851849327779718E-2</v>
      </c>
      <c r="AN194" s="9">
        <f t="shared" ref="AN194:AO194" si="267">AVERAGE(AL192:AL196)</f>
        <v>2.8814049526823027E-2</v>
      </c>
      <c r="AO194" s="9">
        <f t="shared" si="267"/>
        <v>1.2884112732067621E-2</v>
      </c>
      <c r="AP194" s="23"/>
      <c r="AQ194" s="25">
        <f t="shared" si="189"/>
        <v>8211.1895660218306</v>
      </c>
      <c r="AR194" s="4"/>
      <c r="AS194" s="4"/>
      <c r="AT194" s="4"/>
      <c r="AU194" s="16"/>
      <c r="AV194" s="16"/>
      <c r="AY194" s="21">
        <f>-Y194*W194*X194^(-Parameters!B$52)*Parameters!B$46*Parameters!B$45*N194</f>
        <v>-2.8492659720140783E-6</v>
      </c>
      <c r="AZ194" s="7">
        <f>1000*EXP(-(Parameters!$B$54)*'6states'!A194)*AQ194*Parameters!B$46*Parameters!B$45*N194</f>
        <v>0.27836933044866563</v>
      </c>
      <c r="BA194" s="93">
        <f>SUM(AZ194:AZ$204)*EXP(Parameters!$B$54*A194)</f>
        <v>8058.9813199977889</v>
      </c>
      <c r="BB194" s="43">
        <f t="shared" si="247"/>
        <v>0.4348791233985887</v>
      </c>
      <c r="BC194" s="30">
        <f>IF(C194&lt;0,Parameters!$B$6*AC194^2/AF194,0)</f>
        <v>0</v>
      </c>
      <c r="BD194" s="30">
        <f>Parameters!$B$5*AD194^2/AG194</f>
        <v>103.07383295158846</v>
      </c>
      <c r="BE194" s="30">
        <f t="shared" si="202"/>
        <v>0</v>
      </c>
      <c r="BF194" s="30">
        <f t="shared" si="203"/>
        <v>9.5730680313672323E-2</v>
      </c>
    </row>
    <row r="195" spans="1:58" x14ac:dyDescent="0.3">
      <c r="A195">
        <f>A194+Parameters!$B$65</f>
        <v>191</v>
      </c>
      <c r="B195">
        <v>2216</v>
      </c>
      <c r="C195" s="74">
        <v>9.6312281630129108E-3</v>
      </c>
      <c r="D195" s="69">
        <v>0.18990777534856401</v>
      </c>
      <c r="E195" s="75">
        <v>0.47295709068382502</v>
      </c>
      <c r="F195" s="7">
        <f>MAX((1-Parameters!$B$4)^Parameters!B$65*F194 + C194*Parameters!B$65 - IF(C194&gt;0,Parameters!$B$5,0)*C194^2/F194*Parameters!B$65, 0.0001)</f>
        <v>1E-4</v>
      </c>
      <c r="G195" s="7">
        <f>(1-Parameters!$B$4)^Parameters!B$65*G194+D194*Parameters!B$65-Parameters!$B$5*D194^2/G194*Parameters!B$65</f>
        <v>2.0881373337810536</v>
      </c>
      <c r="H195" s="7">
        <f>(1-Parameters!$B$4)^Parameters!B$65*H194+E194*Parameters!B$65-Parameters!$B$5*E194^2/H194*Parameters!B$65</f>
        <v>4.9672405392677161</v>
      </c>
      <c r="I195" s="7">
        <f>I194 *(1-Parameters!$B$4)-C194*(C194&lt;0)*Parameters!B$65</f>
        <v>4.6185297681096108E-5</v>
      </c>
      <c r="J195" s="23">
        <f>J194*(1+Parameters!$B$51)^Parameters!B$65</f>
        <v>14.18723424410126</v>
      </c>
      <c r="K195" s="23">
        <f>K194*(1+Parameters!$B$53)^Parameters!B$65</f>
        <v>397.56262974382236</v>
      </c>
      <c r="L195" s="23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6.4059836997887767E-2</v>
      </c>
      <c r="M195" s="8">
        <f>M194+L195*Parameters!B$65</f>
        <v>3690.0664543095536</v>
      </c>
      <c r="N195" s="7">
        <f>M195*Parameters!$B$45</f>
        <v>2.2140398725857318</v>
      </c>
      <c r="O195" s="9">
        <f>EXP(-Parameters!$B$46/2*N195^2)</f>
        <v>0.95192900247697076</v>
      </c>
      <c r="P195" s="7">
        <f>MAX((Parameters!$B$62 + Parameters!$B$31*'6states'!A195 - '6states'!M195 + Parameters!$B$47/Parameters!$B$45)/Parameters!B$62,1)</f>
        <v>176.42267091380893</v>
      </c>
      <c r="Q195" s="8"/>
      <c r="R195" s="8"/>
      <c r="S195" s="7">
        <f>Parameters!B$61*EXP(-Parameters!B$60*A195)+(1-Parameters!B$61)*P195^-Parameters!B$63</f>
        <v>0.30094693418357665</v>
      </c>
      <c r="T195" s="7">
        <f>1-S195/Parameters!$B$12</f>
        <v>0.84952653290821167</v>
      </c>
      <c r="U195" s="7">
        <f t="shared" si="191"/>
        <v>6.6456898968773226</v>
      </c>
      <c r="V195" s="7">
        <f>(Parameters!$B$19*(F195+Parameters!$B$20)^T195+Parameters!$B$18*G195^T195)^(1/T195)</f>
        <v>0.52873484688382533</v>
      </c>
      <c r="W195" s="7">
        <f>(Parameters!$B$10*H195^Parameters!$B$9+Parameters!$B$11*V195^Parameters!$B$9)^(Parameters!$B$7/Parameters!$B$9)*O195</f>
        <v>1.4984533844939165</v>
      </c>
      <c r="X195" s="7">
        <f>W195 - D195 - E195 - LN(1+EXP(Parameters!$B$21*C195))/Parameters!$B$21 - IF(C195&gt;0, 0,Parameters!$B$6*C195^2/F195)</f>
        <v>0.82577689012481381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-0.17079741238090565</v>
      </c>
      <c r="AC195" s="23">
        <f t="shared" si="192"/>
        <v>54.323152536686983</v>
      </c>
      <c r="AD195" s="23">
        <f t="shared" si="193"/>
        <v>1071.1395134196132</v>
      </c>
      <c r="AE195" s="23">
        <f t="shared" si="194"/>
        <v>0.26049958825787151</v>
      </c>
      <c r="AF195" s="23">
        <f t="shared" si="195"/>
        <v>0.56403141548765079</v>
      </c>
      <c r="AG195" s="23">
        <f t="shared" si="196"/>
        <v>11777.750561051365</v>
      </c>
      <c r="AH195" s="23">
        <f t="shared" si="197"/>
        <v>2982.2306410553024</v>
      </c>
      <c r="AI195" s="23">
        <f t="shared" si="198"/>
        <v>7339.4966551784382</v>
      </c>
      <c r="AJ195" s="23">
        <f t="shared" si="199"/>
        <v>8451.7478349836456</v>
      </c>
      <c r="AK195" s="23">
        <f t="shared" si="200"/>
        <v>4657.641082140889</v>
      </c>
      <c r="AL195" s="9">
        <f t="shared" si="204"/>
        <v>2.887545905895017E-2</v>
      </c>
      <c r="AM195" s="9">
        <f t="shared" si="205"/>
        <v>3.9413073622629469E-3</v>
      </c>
      <c r="AN195" s="9">
        <f t="shared" ref="AN195:AO195" si="268">AVERAGE(AL193:AL197)</f>
        <v>2.8963358880608324E-2</v>
      </c>
      <c r="AO195" s="9">
        <f t="shared" si="268"/>
        <v>9.2305622486634313E-3</v>
      </c>
      <c r="AP195" s="23"/>
      <c r="AQ195" s="25">
        <f t="shared" si="189"/>
        <v>8451.7478349836456</v>
      </c>
      <c r="AR195" s="4"/>
      <c r="AS195" s="4"/>
      <c r="AT195" s="4"/>
      <c r="AU195" s="16"/>
      <c r="AV195" s="16"/>
      <c r="AY195" s="21">
        <f>-Y195*W195*X195^(-Parameters!B$52)*Parameters!B$46*Parameters!B$45*N195</f>
        <v>-2.8964270116232E-6</v>
      </c>
      <c r="AZ195" s="7">
        <f>1000*EXP(-(Parameters!$B$54)*'6states'!A195)*AQ195*Parameters!B$46*Parameters!B$45*N195</f>
        <v>0.27664679328981501</v>
      </c>
      <c r="BA195" s="93">
        <f>SUM(AZ195:AZ$204)*EXP(Parameters!$B$54*A195)</f>
        <v>8119.7965542230068</v>
      </c>
      <c r="BB195" s="43">
        <f t="shared" si="247"/>
        <v>0.44879347009018161</v>
      </c>
      <c r="BC195" s="30">
        <f>IF(C195&lt;0,Parameters!$B$6*AC195^2/AF195,0)</f>
        <v>0</v>
      </c>
      <c r="BD195" s="30">
        <f>Parameters!$B$5*AD195^2/AG195</f>
        <v>97.41587336745107</v>
      </c>
      <c r="BE195" s="30">
        <f t="shared" si="202"/>
        <v>0</v>
      </c>
      <c r="BF195" s="30">
        <f t="shared" si="203"/>
        <v>9.0946017906155724E-2</v>
      </c>
    </row>
    <row r="196" spans="1:58" x14ac:dyDescent="0.3">
      <c r="A196">
        <f>A195+Parameters!$B$65</f>
        <v>192</v>
      </c>
      <c r="B196">
        <v>2217</v>
      </c>
      <c r="C196" s="74">
        <v>9.6312279907770307E-3</v>
      </c>
      <c r="D196" s="69">
        <v>0.201946454194561</v>
      </c>
      <c r="E196" s="75">
        <v>0.479894302309821</v>
      </c>
      <c r="F196" s="7">
        <f>MAX((1-Parameters!$B$4)^Parameters!B$65*F195 + C195*Parameters!B$65 - IF(C195&gt;0,Parameters!$B$5,0)*C195^2/F195*Parameters!B$65, 0.0001)</f>
        <v>1E-4</v>
      </c>
      <c r="G196" s="7">
        <f>(1-Parameters!$B$4)^Parameters!B$65*G195+D195*Parameters!B$65-Parameters!$B$5*D195^2/G195*Parameters!B$65</f>
        <v>2.129429914897421</v>
      </c>
      <c r="H196" s="7">
        <f>(1-Parameters!$B$4)^Parameters!B$65*H195+E195*Parameters!B$65-Parameters!$B$5*E195^2/H195*Parameters!B$65</f>
        <v>5.0827254685059637</v>
      </c>
      <c r="I196" s="7">
        <f>I195 *(1-Parameters!$B$4)-C195*(C195&lt;0)*Parameters!B$65</f>
        <v>4.3280242456955167E-5</v>
      </c>
      <c r="J196" s="23">
        <f>J195*(1+Parameters!$B$51)^Parameters!B$65</f>
        <v>14.228377223409153</v>
      </c>
      <c r="K196" s="23">
        <f>K195*(1+Parameters!$B$53)^Parameters!B$65</f>
        <v>405.51388233869881</v>
      </c>
      <c r="L196" s="23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6.4878502747503022E-2</v>
      </c>
      <c r="M196" s="8">
        <f>M195+L196*Parameters!B$65</f>
        <v>3690.131332812301</v>
      </c>
      <c r="N196" s="7">
        <f>M196*Parameters!$B$45</f>
        <v>2.2140787996873805</v>
      </c>
      <c r="O196" s="9">
        <f>EXP(-Parameters!$B$46/2*N196^2)</f>
        <v>0.95192735339757772</v>
      </c>
      <c r="P196" s="7">
        <f>MAX((Parameters!$B$62 + Parameters!$B$31*'6states'!A196 - '6states'!M196 + Parameters!$B$47/Parameters!$B$45)/Parameters!B$62,1)</f>
        <v>177.48537334375399</v>
      </c>
      <c r="Q196" s="8"/>
      <c r="R196" s="8"/>
      <c r="S196" s="7">
        <f>Parameters!B$61*EXP(-Parameters!B$60*A196)+(1-Parameters!B$61)*P196^-Parameters!B$63</f>
        <v>0.30069127647543165</v>
      </c>
      <c r="T196" s="7">
        <f>1-S196/Parameters!$B$12</f>
        <v>0.84965436176228415</v>
      </c>
      <c r="U196" s="7">
        <f t="shared" si="191"/>
        <v>6.6513402831073218</v>
      </c>
      <c r="V196" s="7">
        <f>(Parameters!$B$19*(F196+Parameters!$B$20)^T196+Parameters!$B$18*G196^T196)^(1/T196)</f>
        <v>0.53903902262845937</v>
      </c>
      <c r="W196" s="7">
        <f>(Parameters!$B$10*H196^Parameters!$B$9+Parameters!$B$11*V196^Parameters!$B$9)^(Parameters!$B$7/Parameters!$B$9)*O196</f>
        <v>1.508309255179344</v>
      </c>
      <c r="X196" s="7">
        <f>W196 - D196 - E196 - LN(1+EXP(Parameters!$B$21*C196))/Parameters!$B$21 - IF(C196&gt;0, 0,Parameters!$B$6*C196^2/F196)</f>
        <v>0.81665687050141045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-0.16889295203244364</v>
      </c>
      <c r="AC196" s="23">
        <f t="shared" si="192"/>
        <v>55.570302478856874</v>
      </c>
      <c r="AD196" s="23">
        <f t="shared" si="193"/>
        <v>1165.1915575948256</v>
      </c>
      <c r="AE196" s="23">
        <f t="shared" si="194"/>
        <v>0.24971853713715517</v>
      </c>
      <c r="AF196" s="23">
        <f t="shared" si="195"/>
        <v>0.57698044872441612</v>
      </c>
      <c r="AG196" s="23">
        <f t="shared" si="196"/>
        <v>12286.394278247091</v>
      </c>
      <c r="AH196" s="23">
        <f t="shared" si="197"/>
        <v>3110.1497715613918</v>
      </c>
      <c r="AI196" s="23">
        <f t="shared" si="198"/>
        <v>7654.3153742801069</v>
      </c>
      <c r="AJ196" s="23">
        <f t="shared" si="199"/>
        <v>8702.6495086856776</v>
      </c>
      <c r="AK196" s="23">
        <f t="shared" si="200"/>
        <v>4711.9504759578122</v>
      </c>
      <c r="AL196" s="9">
        <f t="shared" si="204"/>
        <v>2.9254256169013004E-2</v>
      </c>
      <c r="AM196" s="9">
        <f t="shared" si="205"/>
        <v>1.1592821675236564E-2</v>
      </c>
      <c r="AN196" s="9">
        <f t="shared" ref="AN196:AO196" si="269">AVERAGE(AL194:AL198)</f>
        <v>2.919351598458313E-2</v>
      </c>
      <c r="AO196" s="9">
        <f t="shared" si="269"/>
        <v>7.3049069479278472E-3</v>
      </c>
      <c r="AP196" s="23"/>
      <c r="AQ196" s="25">
        <f t="shared" ref="AQ196:AQ204" si="270">W196*K196*J196</f>
        <v>8702.6495086856776</v>
      </c>
      <c r="AR196" s="4"/>
      <c r="AS196" s="4"/>
      <c r="AT196" s="4"/>
      <c r="AU196" s="16"/>
      <c r="AV196" s="16"/>
      <c r="AY196" s="21">
        <f>-Y196*W196*X196^(-Parameters!B$52)*Parameters!B$46*Parameters!B$45*N196</f>
        <v>-2.915215927718463E-6</v>
      </c>
      <c r="AZ196" s="7">
        <f>1000*EXP(-(Parameters!$B$54)*'6states'!A196)*AQ196*Parameters!B$46*Parameters!B$45*N196</f>
        <v>0.27503914032896931</v>
      </c>
      <c r="BA196" s="93">
        <f>SUM(AZ196:AZ$204)*EXP(Parameters!$B$54*A196)</f>
        <v>8176.1276835703666</v>
      </c>
      <c r="BB196" s="43">
        <f t="shared" si="247"/>
        <v>0.45844178315602807</v>
      </c>
      <c r="BC196" s="30">
        <f>IF(C196&lt;0,Parameters!$B$6*AC196^2/AF196,0)</f>
        <v>0</v>
      </c>
      <c r="BD196" s="30">
        <f>Parameters!$B$5*AD196^2/AG196</f>
        <v>110.50201834186585</v>
      </c>
      <c r="BE196" s="30">
        <f t="shared" si="202"/>
        <v>0</v>
      </c>
      <c r="BF196" s="30">
        <f t="shared" si="203"/>
        <v>9.4835924292107632E-2</v>
      </c>
    </row>
    <row r="197" spans="1:58" x14ac:dyDescent="0.3">
      <c r="A197">
        <f>A196+Parameters!$B$65</f>
        <v>193</v>
      </c>
      <c r="B197">
        <v>2218</v>
      </c>
      <c r="C197" s="74">
        <v>9.6310428564254404E-3</v>
      </c>
      <c r="D197" s="69">
        <v>0.21205232887132999</v>
      </c>
      <c r="E197" s="75">
        <v>0.496122716508477</v>
      </c>
      <c r="F197" s="7">
        <f>MAX((1-Parameters!$B$4)^Parameters!B$65*F196 + C196*Parameters!B$65 - IF(C196&gt;0,Parameters!$B$5,0)*C196^2/F196*Parameters!B$65, 0.0001)</f>
        <v>1E-4</v>
      </c>
      <c r="G197" s="7">
        <f>(1-Parameters!$B$4)^Parameters!B$65*G196+D196*Parameters!B$65-Parameters!$B$5*D196^2/G196*Parameters!B$65</f>
        <v>2.1782834488038789</v>
      </c>
      <c r="H197" s="7">
        <f>(1-Parameters!$B$4)^Parameters!B$65*H196+E196*Parameters!B$65-Parameters!$B$5*E196^2/H196*Parameters!B$65</f>
        <v>5.1976062895796042</v>
      </c>
      <c r="I197" s="7">
        <f>I196 *(1-Parameters!$B$4)-C196*(C196&lt;0)*Parameters!B$65</f>
        <v>4.0557915206412688E-5</v>
      </c>
      <c r="J197" s="23">
        <f>J196*(1+Parameters!$B$51)^Parameters!B$65</f>
        <v>14.269639517357037</v>
      </c>
      <c r="K197" s="23">
        <f>K196*(1+Parameters!$B$53)^Parameters!B$65</f>
        <v>413.62415998547277</v>
      </c>
      <c r="L197" s="23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6.5707644948531818E-2</v>
      </c>
      <c r="M197" s="8">
        <f>M196+L197*Parameters!B$65</f>
        <v>3690.1970404572494</v>
      </c>
      <c r="N197" s="7">
        <f>M197*Parameters!$B$45</f>
        <v>2.2141182242743493</v>
      </c>
      <c r="O197" s="9">
        <f>EXP(-Parameters!$B$46/2*N197^2)</f>
        <v>0.95192568321643878</v>
      </c>
      <c r="P197" s="7">
        <f>MAX((Parameters!$B$62 + Parameters!$B$31*'6states'!A197 - '6states'!M197 + Parameters!$B$47/Parameters!$B$45)/Parameters!B$62,1)</f>
        <v>178.54805919085501</v>
      </c>
      <c r="Q197" s="8"/>
      <c r="R197" s="8"/>
      <c r="S197" s="7">
        <f>Parameters!B$61*EXP(-Parameters!B$60*A197)+(1-Parameters!B$61)*P197^-Parameters!B$63</f>
        <v>0.30043883964618512</v>
      </c>
      <c r="T197" s="7">
        <f>1-S197/Parameters!$B$12</f>
        <v>0.84978058017690739</v>
      </c>
      <c r="U197" s="7">
        <f t="shared" ref="U197:U204" si="271">1/(1-T197)</f>
        <v>6.656928918895173</v>
      </c>
      <c r="V197" s="7">
        <f>(Parameters!$B$19*(F197+Parameters!$B$20)^T197+Parameters!$B$18*G197^T197)^(1/T197)</f>
        <v>0.55121414952070413</v>
      </c>
      <c r="W197" s="7">
        <f>(Parameters!$B$10*H197^Parameters!$B$9+Parameters!$B$11*V197^Parameters!$B$9)^(Parameters!$B$7/Parameters!$B$9)*O197</f>
        <v>1.5184519243985273</v>
      </c>
      <c r="X197" s="7">
        <f>W197 - D197 - E197 - LN(1+EXP(Parameters!$B$21*C197))/Parameters!$B$21 - IF(C197&gt;0, 0,Parameters!$B$6*C197^2/F197)</f>
        <v>0.8004654262260843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-0.16753195039074345</v>
      </c>
      <c r="AC197" s="23">
        <f t="shared" ref="AC197:AC204" si="272">C197*$J197*$K197</f>
        <v>56.844992770670572</v>
      </c>
      <c r="AD197" s="23">
        <f t="shared" ref="AD197:AD204" si="273">D197*$J197*$K197</f>
        <v>1251.5896026412752</v>
      </c>
      <c r="AE197" s="23">
        <f t="shared" ref="AE197:AE204" si="274">I197*J197*K197</f>
        <v>0.23938367122557799</v>
      </c>
      <c r="AF197" s="23">
        <f t="shared" ref="AF197:AF204" si="275">F197*J197*K197</f>
        <v>0.59022676586623113</v>
      </c>
      <c r="AG197" s="23">
        <f t="shared" ref="AG197:AG204" si="276">G197*J197*K197</f>
        <v>12856.811951274534</v>
      </c>
      <c r="AH197" s="23">
        <f t="shared" ref="AH197:AH204" si="277">V197*J197*K197</f>
        <v>3253.4134477131038</v>
      </c>
      <c r="AI197" s="23">
        <f t="shared" ref="AI197:AI204" si="278">AH197/AH$4*100</f>
        <v>8006.8981884490258</v>
      </c>
      <c r="AJ197" s="23">
        <f t="shared" ref="AJ197:AJ204" si="279">W197*J197*K197</f>
        <v>8962.3096846109765</v>
      </c>
      <c r="AK197" s="23">
        <f t="shared" ref="AK197:AK204" si="280">X197*J197*K197</f>
        <v>4724.5611970915597</v>
      </c>
      <c r="AL197" s="9">
        <f t="shared" si="204"/>
        <v>2.9400450542802048E-2</v>
      </c>
      <c r="AM197" s="9">
        <f t="shared" si="205"/>
        <v>2.6727521944209798E-3</v>
      </c>
      <c r="AN197" s="9">
        <f t="shared" ref="AN197:AO197" si="281">AVERAGE(AL195:AL199)</f>
        <v>2.9444592370903067E-2</v>
      </c>
      <c r="AO197" s="9">
        <f t="shared" si="281"/>
        <v>7.1792053354979403E-3</v>
      </c>
      <c r="AP197" s="23"/>
      <c r="AQ197" s="25">
        <f t="shared" si="270"/>
        <v>8962.3096846109765</v>
      </c>
      <c r="AR197" s="4"/>
      <c r="AS197" s="4"/>
      <c r="AT197" s="4"/>
      <c r="AU197" s="16"/>
      <c r="AV197" s="16"/>
      <c r="AY197" s="21">
        <f>-Y197*W197*X197^(-Parameters!B$52)*Parameters!B$46*Parameters!B$45*N197</f>
        <v>-2.9701082014891939E-6</v>
      </c>
      <c r="AZ197" s="7">
        <f>1000*EXP(-(Parameters!$B$54)*'6states'!A197)*AQ197*Parameters!B$46*Parameters!B$45*N197</f>
        <v>0.27348086957550738</v>
      </c>
      <c r="BA197" s="93">
        <f>SUM(AZ197:AZ$204)*EXP(Parameters!$B$54*A197)</f>
        <v>8227.5281830660697</v>
      </c>
      <c r="BB197" s="43">
        <f t="shared" si="247"/>
        <v>0.47272230137978327</v>
      </c>
      <c r="BC197" s="30">
        <f>IF(C197&lt;0,Parameters!$B$6*AC197^2/AF197,0)</f>
        <v>0</v>
      </c>
      <c r="BD197" s="30">
        <f>Parameters!$B$5*AD197^2/AG197</f>
        <v>121.84019952819297</v>
      </c>
      <c r="BE197" s="30">
        <f t="shared" ref="BE197:BE204" si="282">ABS(BC197/AC197)</f>
        <v>0</v>
      </c>
      <c r="BF197" s="30">
        <f t="shared" ref="BF197:BF204" si="283">BD197/AD197</f>
        <v>9.7348363450023193E-2</v>
      </c>
    </row>
    <row r="198" spans="1:58" x14ac:dyDescent="0.3">
      <c r="A198">
        <f>A197+Parameters!$B$65</f>
        <v>194</v>
      </c>
      <c r="B198">
        <v>2219</v>
      </c>
      <c r="C198" s="74">
        <v>9.6309402305787897E-3</v>
      </c>
      <c r="D198" s="69">
        <v>0.20692112153007799</v>
      </c>
      <c r="E198" s="75">
        <v>0.52488792814014695</v>
      </c>
      <c r="F198" s="7">
        <f>MAX((1-Parameters!$B$4)^Parameters!B$65*F197 + C197*Parameters!B$65 - IF(C197&gt;0,Parameters!$B$5,0)*C197^2/F197*Parameters!B$65, 0.0001)</f>
        <v>1E-4</v>
      </c>
      <c r="G198" s="7">
        <f>(1-Parameters!$B$4)^Parameters!B$65*G197+D197*Parameters!B$65-Parameters!$B$5*D197^2/G197*Parameters!B$65</f>
        <v>2.2326788015640546</v>
      </c>
      <c r="H198" s="7">
        <f>(1-Parameters!$B$4)^Parameters!B$65*H197+E197*Parameters!B$65-Parameters!$B$5*E197^2/H197*Parameters!B$65</f>
        <v>5.3194435884844271</v>
      </c>
      <c r="I198" s="7">
        <f>I197 *(1-Parameters!$B$4)-C197*(C197&lt;0)*Parameters!B$65</f>
        <v>3.8006822339929328E-5</v>
      </c>
      <c r="J198" s="23">
        <f>J197*(1+Parameters!$B$51)^Parameters!B$65</f>
        <v>14.311021471957371</v>
      </c>
      <c r="K198" s="23">
        <f>K197*(1+Parameters!$B$53)^Parameters!B$65</f>
        <v>421.89664318518226</v>
      </c>
      <c r="L198" s="23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6.6547407104309175E-2</v>
      </c>
      <c r="M198" s="8">
        <f>M197+L198*Parameters!B$65</f>
        <v>3690.2635878643537</v>
      </c>
      <c r="N198" s="7">
        <f>M198*Parameters!$B$45</f>
        <v>2.2141581527186118</v>
      </c>
      <c r="O198" s="9">
        <f>EXP(-Parameters!$B$46/2*N198^2)</f>
        <v>0.95192399166259056</v>
      </c>
      <c r="P198" s="7">
        <f>MAX((Parameters!$B$62 + Parameters!$B$31*'6states'!A198 - '6states'!M198 + Parameters!$B$47/Parameters!$B$45)/Parameters!B$62,1)</f>
        <v>179.61072824271295</v>
      </c>
      <c r="Q198" s="8"/>
      <c r="R198" s="8"/>
      <c r="S198" s="7">
        <f>Parameters!B$61*EXP(-Parameters!B$60*A198)+(1-Parameters!B$61)*P198^-Parameters!B$63</f>
        <v>0.30018955460923863</v>
      </c>
      <c r="T198" s="7">
        <f>1-S198/Parameters!$B$12</f>
        <v>0.84990522269538071</v>
      </c>
      <c r="U198" s="7">
        <f t="shared" si="271"/>
        <v>6.6624570018881277</v>
      </c>
      <c r="V198" s="7">
        <f>(Parameters!$B$19*(F198+Parameters!$B$20)^T198+Parameters!$B$18*G198^T198)^(1/T198)</f>
        <v>0.56476177572734032</v>
      </c>
      <c r="W198" s="7">
        <f>(Parameters!$B$10*H198^Parameters!$B$9+Parameters!$B$11*V198^Parameters!$B$9)^(Parameters!$B$7/Parameters!$B$9)*O198</f>
        <v>1.5291970676527222</v>
      </c>
      <c r="X198" s="7">
        <f>W198 - D198 - E198 - LN(1+EXP(Parameters!$B$21*C198))/Parameters!$B$21 - IF(C198&gt;0, 0,Parameters!$B$6*C198^2/F198)</f>
        <v>0.78757666240884783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-0.16596144475307839</v>
      </c>
      <c r="AC198" s="23">
        <f t="shared" si="272"/>
        <v>58.149420483244491</v>
      </c>
      <c r="AD198" s="23">
        <f t="shared" si="273"/>
        <v>1249.3425371402116</v>
      </c>
      <c r="AE198" s="23">
        <f t="shared" si="274"/>
        <v>0.22947652467610652</v>
      </c>
      <c r="AF198" s="23">
        <f t="shared" si="275"/>
        <v>0.60377719195698809</v>
      </c>
      <c r="AG198" s="23">
        <f t="shared" si="276"/>
        <v>13480.405373502383</v>
      </c>
      <c r="AH198" s="23">
        <f t="shared" si="277"/>
        <v>3409.9027907329578</v>
      </c>
      <c r="AI198" s="23">
        <f t="shared" si="278"/>
        <v>8392.0303756962403</v>
      </c>
      <c r="AJ198" s="23">
        <f t="shared" si="279"/>
        <v>9232.9431145622093</v>
      </c>
      <c r="AK198" s="23">
        <f t="shared" si="280"/>
        <v>4755.208256800709</v>
      </c>
      <c r="AL198" s="9">
        <f t="shared" ref="AL198:AL204" si="284">LN(AJ198)-LN(AJ197)</f>
        <v>2.9749890603037343E-2</v>
      </c>
      <c r="AM198" s="9">
        <f t="shared" ref="AM198:AM204" si="285">LN(AK198)-LN(AK197)</f>
        <v>6.4658041799390276E-3</v>
      </c>
      <c r="AN198" s="9">
        <f t="shared" ref="AN198:AO198" si="286">AVERAGE(AL196:AL200)</f>
        <v>2.9674163397291054E-2</v>
      </c>
      <c r="AO198" s="9">
        <f t="shared" si="286"/>
        <v>1.1255888226309452E-2</v>
      </c>
      <c r="AP198" s="23"/>
      <c r="AQ198" s="25">
        <f t="shared" si="270"/>
        <v>9232.9431145622111</v>
      </c>
      <c r="AR198" s="4"/>
      <c r="AS198" s="4"/>
      <c r="AT198" s="4"/>
      <c r="AU198" s="16"/>
      <c r="AV198" s="16"/>
      <c r="AY198" s="21">
        <f>-Y198*W198*X198^(-Parameters!B$52)*Parameters!B$46*Parameters!B$45*N198</f>
        <v>-3.0116313919981531E-6</v>
      </c>
      <c r="AZ198" s="7">
        <f>1000*EXP(-(Parameters!$B$54)*'6states'!A198)*AQ198*Parameters!B$46*Parameters!B$45*N198</f>
        <v>0.27202652956721146</v>
      </c>
      <c r="BA198" s="93">
        <f>SUM(AZ198:AZ$204)*EXP(Parameters!$B$54*A198)</f>
        <v>8273.5793883063179</v>
      </c>
      <c r="BB198" s="43">
        <f t="shared" si="247"/>
        <v>0.48485574919319907</v>
      </c>
      <c r="BC198" s="30">
        <f>IF(C198&lt;0,Parameters!$B$6*AC198^2/AF198,0)</f>
        <v>0</v>
      </c>
      <c r="BD198" s="30">
        <f>Parameters!$B$5*AD198^2/AG198</f>
        <v>115.78707997728486</v>
      </c>
      <c r="BE198" s="30">
        <f t="shared" si="282"/>
        <v>0</v>
      </c>
      <c r="BF198" s="30">
        <f t="shared" si="283"/>
        <v>9.2678410071849071E-2</v>
      </c>
    </row>
    <row r="199" spans="1:58" x14ac:dyDescent="0.3">
      <c r="A199">
        <f>A198+Parameters!$B$65</f>
        <v>195</v>
      </c>
      <c r="B199">
        <v>2220</v>
      </c>
      <c r="C199" s="74">
        <v>9.6309327151071801E-3</v>
      </c>
      <c r="D199" s="69">
        <v>0.22321291276404001</v>
      </c>
      <c r="E199" s="75">
        <v>0.52870045617132</v>
      </c>
      <c r="F199" s="7">
        <f>MAX((1-Parameters!$B$4)^Parameters!B$65*F198 + C198*Parameters!B$65 - IF(C198&gt;0,Parameters!$B$5,0)*C198^2/F198*Parameters!B$65, 0.0001)</f>
        <v>1E-4</v>
      </c>
      <c r="G199" s="7">
        <f>(1-Parameters!$B$4)^Parameters!B$65*G198+D198*Parameters!B$65-Parameters!$B$5*D198^2/G198*Parameters!B$65</f>
        <v>2.2799873059220621</v>
      </c>
      <c r="H199" s="7">
        <f>(1-Parameters!$B$4)^Parameters!B$65*H198+E198*Parameters!B$65-Parameters!$B$5*E198^2/H198*Parameters!B$65</f>
        <v>5.4579460045599495</v>
      </c>
      <c r="I199" s="7">
        <f>I198 *(1-Parameters!$B$4)-C198*(C198&lt;0)*Parameters!B$65</f>
        <v>3.5616193214747776E-5</v>
      </c>
      <c r="J199" s="23">
        <f>J198*(1+Parameters!$B$51)^Parameters!B$65</f>
        <v>14.352523434226047</v>
      </c>
      <c r="K199" s="23">
        <f>K198*(1+Parameters!$B$53)^Parameters!B$65</f>
        <v>430.33457604888594</v>
      </c>
      <c r="L199" s="23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6.7397940249933966E-2</v>
      </c>
      <c r="M199" s="8">
        <f>M198+L199*Parameters!B$65</f>
        <v>3690.3309858046036</v>
      </c>
      <c r="N199" s="7">
        <f>M199*Parameters!$B$45</f>
        <v>2.214198591482762</v>
      </c>
      <c r="O199" s="9">
        <f>EXP(-Parameters!$B$46/2*N199^2)</f>
        <v>0.95192227846120014</v>
      </c>
      <c r="P199" s="7">
        <f>MAX((Parameters!$B$62 + Parameters!$B$31*'6states'!A199 - '6states'!M199 + Parameters!$B$47/Parameters!$B$45)/Parameters!B$62,1)</f>
        <v>180.67338028390793</v>
      </c>
      <c r="Q199" s="8"/>
      <c r="R199" s="8"/>
      <c r="S199" s="7">
        <f>Parameters!B$61*EXP(-Parameters!B$60*A199)+(1-Parameters!B$61)*P199^-Parameters!B$63</f>
        <v>0.29994335399649485</v>
      </c>
      <c r="T199" s="7">
        <f>1-S199/Parameters!$B$12</f>
        <v>0.85002832300175257</v>
      </c>
      <c r="U199" s="7">
        <f t="shared" si="271"/>
        <v>6.6679257044760929</v>
      </c>
      <c r="V199" s="7">
        <f>(Parameters!$B$19*(F199+Parameters!$B$20)^T199+Parameters!$B$18*G199^T199)^(1/T199)</f>
        <v>0.5765602908220403</v>
      </c>
      <c r="W199" s="7">
        <f>(Parameters!$B$10*H199^Parameters!$B$9+Parameters!$B$11*V199^Parameters!$B$9)^(Parameters!$B$7/Parameters!$B$9)*O199</f>
        <v>1.5403155227487699</v>
      </c>
      <c r="X199" s="7">
        <f>W199 - D199 - E199 - LN(1+EXP(Parameters!$B$21*C199))/Parameters!$B$21 - IF(C199&gt;0, 0,Parameters!$B$6*C199^2/F199)</f>
        <v>0.77859080535927183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-0.16413213129314935</v>
      </c>
      <c r="AC199" s="23">
        <f t="shared" si="272"/>
        <v>59.484368460237015</v>
      </c>
      <c r="AD199" s="23">
        <f t="shared" si="273"/>
        <v>1378.6493521142966</v>
      </c>
      <c r="AE199" s="23">
        <f t="shared" si="274"/>
        <v>0.21997939587032744</v>
      </c>
      <c r="AF199" s="23">
        <f t="shared" si="275"/>
        <v>0.61763870872993665</v>
      </c>
      <c r="AG199" s="23">
        <f t="shared" si="276"/>
        <v>14082.084155503495</v>
      </c>
      <c r="AH199" s="23">
        <f t="shared" si="277"/>
        <v>3561.0595352828168</v>
      </c>
      <c r="AI199" s="23">
        <f t="shared" si="278"/>
        <v>8764.0386321196165</v>
      </c>
      <c r="AJ199" s="23">
        <f t="shared" si="279"/>
        <v>9513.5849050722754</v>
      </c>
      <c r="AK199" s="23">
        <f t="shared" si="280"/>
        <v>4808.8781965110202</v>
      </c>
      <c r="AL199" s="9">
        <f t="shared" si="284"/>
        <v>2.9942905480712767E-2</v>
      </c>
      <c r="AM199" s="9">
        <f t="shared" si="285"/>
        <v>1.1223341265630182E-2</v>
      </c>
      <c r="AN199" s="9">
        <f t="shared" ref="AN199:AO199" si="287">AVERAGE(AL197:AL201)</f>
        <v>2.9778510794726997E-2</v>
      </c>
      <c r="AO199" s="9">
        <f t="shared" si="287"/>
        <v>1.055343269665201E-2</v>
      </c>
      <c r="AP199" s="23"/>
      <c r="AQ199" s="25">
        <f t="shared" si="270"/>
        <v>9513.5849050722773</v>
      </c>
      <c r="AR199" s="4"/>
      <c r="AS199" s="4"/>
      <c r="AT199" s="4"/>
      <c r="AU199" s="16"/>
      <c r="AV199" s="16"/>
      <c r="AY199" s="21">
        <f>-Y199*W199*X199^(-Parameters!B$52)*Parameters!B$46*Parameters!B$45*N199</f>
        <v>-3.0347711911450725E-6</v>
      </c>
      <c r="AZ199" s="7">
        <f>1000*EXP(-(Parameters!$B$54)*'6states'!A199)*AQ199*Parameters!B$46*Parameters!B$45*N199</f>
        <v>0.27063221685048294</v>
      </c>
      <c r="BA199" s="93">
        <f>SUM(AZ199:AZ$204)*EXP(Parameters!$B$54*A199)</f>
        <v>8313.786407677957</v>
      </c>
      <c r="BB199" s="43">
        <f t="shared" si="247"/>
        <v>0.49440799005352704</v>
      </c>
      <c r="BC199" s="30">
        <f>IF(C199&lt;0,Parameters!$B$6*AC199^2/AF199,0)</f>
        <v>0</v>
      </c>
      <c r="BD199" s="30">
        <f>Parameters!$B$5*AD199^2/AG199</f>
        <v>134.97107495571649</v>
      </c>
      <c r="BE199" s="30">
        <f t="shared" si="282"/>
        <v>0</v>
      </c>
      <c r="BF199" s="30">
        <f t="shared" si="283"/>
        <v>9.7900945406259293E-2</v>
      </c>
    </row>
    <row r="200" spans="1:58" x14ac:dyDescent="0.3">
      <c r="A200">
        <f>A199+Parameters!$B$65</f>
        <v>196</v>
      </c>
      <c r="B200">
        <v>2221</v>
      </c>
      <c r="C200" s="74">
        <v>9.63119320293058E-3</v>
      </c>
      <c r="D200" s="69">
        <v>0.23374880324781899</v>
      </c>
      <c r="E200" s="75">
        <v>0.52822112846551394</v>
      </c>
      <c r="F200" s="7">
        <f>MAX((1-Parameters!$B$4)^Parameters!B$65*F199 + C199*Parameters!B$65 - IF(C199&gt;0,Parameters!$B$5,0)*C199^2/F199*Parameters!B$65, 0.0001)</f>
        <v>1E-4</v>
      </c>
      <c r="G200" s="7">
        <f>(1-Parameters!$B$4)^Parameters!B$65*G199+D199*Parameters!B$65-Parameters!$B$5*D199^2/G199*Parameters!B$65</f>
        <v>2.33793626195712</v>
      </c>
      <c r="H200" s="7">
        <f>(1-Parameters!$B$4)^Parameters!B$65*H199+E199*Parameters!B$65-Parameters!$B$5*E199^2/H199*Parameters!B$65</f>
        <v>5.5921274874425091</v>
      </c>
      <c r="I200" s="7">
        <f>I199 *(1-Parameters!$B$4)-C199*(C199&lt;0)*Parameters!B$65</f>
        <v>3.3375934661540145E-5</v>
      </c>
      <c r="J200" s="23">
        <f>J199*(1+Parameters!$B$51)^Parameters!B$65</f>
        <v>14.394145752185301</v>
      </c>
      <c r="K200" s="23">
        <f>K199*(1+Parameters!$B$53)^Parameters!B$65</f>
        <v>438.94126756986367</v>
      </c>
      <c r="L200" s="23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6.825940591752043E-2</v>
      </c>
      <c r="M200" s="8">
        <f>M199+L200*Parameters!B$65</f>
        <v>3690.3992452105213</v>
      </c>
      <c r="N200" s="7">
        <f>M200*Parameters!$B$45</f>
        <v>2.2142395471263128</v>
      </c>
      <c r="O200" s="9">
        <f>EXP(-Parameters!$B$46/2*N200^2)</f>
        <v>0.95192054333329712</v>
      </c>
      <c r="P200" s="7">
        <f>MAX((Parameters!$B$62 + Parameters!$B$31*'6states'!A200 - '6states'!M200 + Parameters!$B$47/Parameters!$B$45)/Parameters!B$62,1)</f>
        <v>181.73601509578958</v>
      </c>
      <c r="Q200" s="8"/>
      <c r="R200" s="8"/>
      <c r="S200" s="7">
        <f>Parameters!B$61*EXP(-Parameters!B$60*A200)+(1-Parameters!B$61)*P200^-Parameters!B$63</f>
        <v>0.29970017211330535</v>
      </c>
      <c r="T200" s="7">
        <f>1-S200/Parameters!$B$12</f>
        <v>0.85014991394334727</v>
      </c>
      <c r="U200" s="7">
        <f t="shared" si="271"/>
        <v>6.6733361742744499</v>
      </c>
      <c r="V200" s="7">
        <f>(Parameters!$B$19*(F200+Parameters!$B$20)^T200+Parameters!$B$18*G200^T200)^(1/T200)</f>
        <v>0.59099214086380292</v>
      </c>
      <c r="W200" s="7">
        <f>(Parameters!$B$10*H200^Parameters!$B$9+Parameters!$B$11*V200^Parameters!$B$9)^(Parameters!$B$7/Parameters!$B$9)*O200</f>
        <v>1.5516395780042966</v>
      </c>
      <c r="X200" s="7">
        <f>W200 - D200 - E200 - LN(1+EXP(Parameters!$B$21*C200))/Parameters!$B$21 - IF(C200&gt;0, 0,Parameters!$B$6*C200^2/F200)</f>
        <v>0.77985805107256911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-0.16158035612461344</v>
      </c>
      <c r="AC200" s="23">
        <f t="shared" si="272"/>
        <v>60.851656401496747</v>
      </c>
      <c r="AD200" s="23">
        <f t="shared" si="273"/>
        <v>1476.8680847529117</v>
      </c>
      <c r="AE200" s="23">
        <f t="shared" si="274"/>
        <v>0.21087531579003727</v>
      </c>
      <c r="AF200" s="23">
        <f t="shared" si="275"/>
        <v>0.63181845820495852</v>
      </c>
      <c r="AG200" s="23">
        <f t="shared" si="276"/>
        <v>14771.512844112114</v>
      </c>
      <c r="AH200" s="23">
        <f t="shared" si="277"/>
        <v>3733.9974325181556</v>
      </c>
      <c r="AI200" s="23">
        <f t="shared" si="278"/>
        <v>9189.6519635765053</v>
      </c>
      <c r="AJ200" s="23">
        <f t="shared" si="279"/>
        <v>9803.5452586446718</v>
      </c>
      <c r="AK200" s="23">
        <f t="shared" si="280"/>
        <v>4927.2871144739438</v>
      </c>
      <c r="AL200" s="9">
        <f t="shared" si="284"/>
        <v>3.0023314190890105E-2</v>
      </c>
      <c r="AM200" s="9">
        <f t="shared" si="285"/>
        <v>2.4324721816320505E-2</v>
      </c>
      <c r="AN200" s="9">
        <f t="shared" ref="AN200:AO200" si="288">AVERAGE(AL198:AL202)</f>
        <v>2.9876226544685379E-2</v>
      </c>
      <c r="AO200" s="9">
        <f t="shared" si="288"/>
        <v>1.1583599436070813E-2</v>
      </c>
      <c r="AP200" s="23"/>
      <c r="AQ200" s="25">
        <f t="shared" si="270"/>
        <v>9803.54525864467</v>
      </c>
      <c r="AR200" s="4"/>
      <c r="AS200" s="4"/>
      <c r="AT200" s="4"/>
      <c r="AU200" s="16"/>
      <c r="AV200" s="16"/>
      <c r="AY200" s="21">
        <f>-Y200*W200*X200^(-Parameters!B$52)*Parameters!B$46*Parameters!B$45*N200</f>
        <v>-3.0047185968810268E-6</v>
      </c>
      <c r="AZ200" s="7">
        <f>1000*EXP(-(Parameters!$B$54)*'6states'!A200)*AQ200*Parameters!B$46*Parameters!B$45*N200</f>
        <v>0.26926676417637424</v>
      </c>
      <c r="BA200" s="93">
        <f>SUM(AZ200:AZ$204)*EXP(Parameters!$B$54*A200)</f>
        <v>8347.6633343369667</v>
      </c>
      <c r="BB200" s="43">
        <f t="shared" si="247"/>
        <v>0.4972811572057792</v>
      </c>
      <c r="BC200" s="30">
        <f>IF(C200&lt;0,Parameters!$B$6*AC200^2/AF200,0)</f>
        <v>0</v>
      </c>
      <c r="BD200" s="30">
        <f>Parameters!$B$5*AD200^2/AG200</f>
        <v>147.65849393896914</v>
      </c>
      <c r="BE200" s="30">
        <f t="shared" si="282"/>
        <v>0</v>
      </c>
      <c r="BF200" s="30">
        <f t="shared" si="283"/>
        <v>9.9980827985509099E-2</v>
      </c>
    </row>
    <row r="201" spans="1:58" x14ac:dyDescent="0.3">
      <c r="A201">
        <f>A200+Parameters!$B$65</f>
        <v>197</v>
      </c>
      <c r="B201">
        <v>2222</v>
      </c>
      <c r="C201" s="74">
        <v>9.6311205943546401E-3</v>
      </c>
      <c r="D201" s="69">
        <v>0.235632512348389</v>
      </c>
      <c r="E201" s="75">
        <v>0.54867522860114004</v>
      </c>
      <c r="F201" s="7">
        <f>MAX((1-Parameters!$B$4)^Parameters!B$65*F200 + C200*Parameters!B$65 - IF(C200&gt;0,Parameters!$B$5,0)*C200^2/F200*Parameters!B$65, 0.0001)</f>
        <v>1E-4</v>
      </c>
      <c r="G201" s="7">
        <f>(1-Parameters!$B$4)^Parameters!B$65*G200+D200*Parameters!B$65-Parameters!$B$5*D200^2/G200*Parameters!B$65</f>
        <v>2.4012584754384974</v>
      </c>
      <c r="H201" s="7">
        <f>(1-Parameters!$B$4)^Parameters!B$65*H200+E200*Parameters!B$65-Parameters!$B$5*E200^2/H200*Parameters!B$65</f>
        <v>5.7187090902939488</v>
      </c>
      <c r="I201" s="7">
        <f>I200 *(1-Parameters!$B$4)-C200*(C200&lt;0)*Parameters!B$65</f>
        <v>3.1276588371329268E-5</v>
      </c>
      <c r="J201" s="23">
        <f>J200*(1+Parameters!$B$51)^Parameters!B$65</f>
        <v>14.435888774866637</v>
      </c>
      <c r="K201" s="23">
        <f>K200*(1+Parameters!$B$53)^Parameters!B$65</f>
        <v>447.72009292126097</v>
      </c>
      <c r="L201" s="23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6.9131980274624971E-2</v>
      </c>
      <c r="M201" s="8">
        <f>M200+L201*Parameters!B$65</f>
        <v>3690.4683771907958</v>
      </c>
      <c r="N201" s="7">
        <f>M201*Parameters!$B$45</f>
        <v>2.2142810263144774</v>
      </c>
      <c r="O201" s="9">
        <f>EXP(-Parameters!$B$46/2*N201^2)</f>
        <v>0.95191878599540036</v>
      </c>
      <c r="P201" s="7">
        <f>MAX((Parameters!$B$62 + Parameters!$B$31*'6states'!A201 - '6states'!M201 + Parameters!$B$47/Parameters!$B$45)/Parameters!B$62,1)</f>
        <v>182.79863245618412</v>
      </c>
      <c r="Q201" s="8"/>
      <c r="R201" s="8"/>
      <c r="S201" s="7">
        <f>Parameters!B$61*EXP(-Parameters!B$60*A201)+(1-Parameters!B$61)*P201^-Parameters!B$63</f>
        <v>0.29945994489465139</v>
      </c>
      <c r="T201" s="7">
        <f>1-S201/Parameters!$B$12</f>
        <v>0.85027002755267433</v>
      </c>
      <c r="U201" s="7">
        <f t="shared" si="271"/>
        <v>6.6786895346006663</v>
      </c>
      <c r="V201" s="7">
        <f>(Parameters!$B$19*(F201+Parameters!$B$20)^T201+Parameters!$B$18*G201^T201)^(1/T201)</f>
        <v>0.60675574173491442</v>
      </c>
      <c r="W201" s="7">
        <f>(Parameters!$B$10*H201^Parameters!$B$9+Parameters!$B$11*V201^Parameters!$B$9)^(Parameters!$B$7/Parameters!$B$9)*O201</f>
        <v>1.5626603586087371</v>
      </c>
      <c r="X201" s="7">
        <f>W201 - D201 - E201 - LN(1+EXP(Parameters!$B$21*C201))/Parameters!$B$21 - IF(C201&gt;0, 0,Parameters!$B$6*C201^2/F201)</f>
        <v>0.76854109122417413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-0.15997520593134962</v>
      </c>
      <c r="AC201" s="23">
        <f t="shared" si="272"/>
        <v>62.248219442694115</v>
      </c>
      <c r="AD201" s="23">
        <f t="shared" si="273"/>
        <v>1522.9488814721562</v>
      </c>
      <c r="AE201" s="23">
        <f t="shared" si="274"/>
        <v>0.20214801769780738</v>
      </c>
      <c r="AF201" s="23">
        <f t="shared" si="275"/>
        <v>0.64632374636842793</v>
      </c>
      <c r="AG201" s="23">
        <f t="shared" si="276"/>
        <v>15519.903738443492</v>
      </c>
      <c r="AH201" s="23">
        <f t="shared" si="277"/>
        <v>3921.6064412866417</v>
      </c>
      <c r="AI201" s="23">
        <f t="shared" si="278"/>
        <v>9651.3720174789742</v>
      </c>
      <c r="AJ201" s="23">
        <f t="shared" si="279"/>
        <v>10099.844972774301</v>
      </c>
      <c r="AK201" s="23">
        <f t="shared" si="280"/>
        <v>4967.2635731808796</v>
      </c>
      <c r="AL201" s="9">
        <f t="shared" si="284"/>
        <v>2.9775993156192726E-2</v>
      </c>
      <c r="AM201" s="9">
        <f t="shared" si="285"/>
        <v>8.0805440269493545E-3</v>
      </c>
      <c r="AN201" s="9">
        <f t="shared" ref="AN201:AO201" si="289">AVERAGE(AL199:AL203)</f>
        <v>2.992402231489457E-2</v>
      </c>
      <c r="AO201" s="9">
        <f t="shared" si="289"/>
        <v>8.677093638767985E-3</v>
      </c>
      <c r="AP201" s="23"/>
      <c r="AQ201" s="25">
        <f t="shared" si="270"/>
        <v>10099.844972774299</v>
      </c>
      <c r="AR201" s="4"/>
      <c r="AS201" s="4"/>
      <c r="AT201" s="4"/>
      <c r="AU201" s="16"/>
      <c r="AV201" s="16"/>
      <c r="AY201" s="21">
        <f>-Y201*W201*X201^(-Parameters!B$52)*Parameters!B$46*Parameters!B$45*N201</f>
        <v>-3.0401728147264082E-6</v>
      </c>
      <c r="AZ201" s="7">
        <f>1000*EXP(-(Parameters!$B$54)*'6states'!A201)*AQ201*Parameters!B$46*Parameters!B$45*N201</f>
        <v>0.2678420128783448</v>
      </c>
      <c r="BA201" s="93">
        <f>SUM(AZ201:AZ$204)*EXP(Parameters!$B$54*A201)</f>
        <v>8374.7259601130008</v>
      </c>
      <c r="BB201" s="43">
        <f t="shared" si="247"/>
        <v>0.50806872854363627</v>
      </c>
      <c r="BC201" s="30">
        <f>IF(C201&lt;0,Parameters!$B$6*AC201^2/AF201,0)</f>
        <v>0</v>
      </c>
      <c r="BD201" s="30">
        <f>Parameters!$B$5*AD201^2/AG201</f>
        <v>149.44508256401753</v>
      </c>
      <c r="BE201" s="30">
        <f t="shared" si="282"/>
        <v>0</v>
      </c>
      <c r="BF201" s="30">
        <f t="shared" si="283"/>
        <v>9.8128758215152087E-2</v>
      </c>
    </row>
    <row r="202" spans="1:58" x14ac:dyDescent="0.3">
      <c r="A202">
        <f>A201+Parameters!$B$65</f>
        <v>198</v>
      </c>
      <c r="B202">
        <v>2223</v>
      </c>
      <c r="C202" s="74">
        <v>9.6310435434163993E-3</v>
      </c>
      <c r="D202" s="69">
        <v>0.24738314077481999</v>
      </c>
      <c r="E202" s="75">
        <v>0.55954895761572698</v>
      </c>
      <c r="F202" s="7">
        <f>MAX((1-Parameters!$B$4)^Parameters!B$65*F201 + C201*Parameters!B$65 - IF(C201&gt;0,Parameters!$B$5,0)*C201^2/F201*Parameters!B$65, 0.0001)</f>
        <v>1E-4</v>
      </c>
      <c r="G202" s="7">
        <f>(1-Parameters!$B$4)^Parameters!B$65*G201+D201*Parameters!B$65-Parameters!$B$5*D201^2/G201*Parameters!B$65</f>
        <v>2.4627295038499408</v>
      </c>
      <c r="H202" s="7">
        <f>(1-Parameters!$B$4)^Parameters!B$65*H201+E201*Parameters!B$65-Parameters!$B$5*E201^2/H201*Parameters!B$65</f>
        <v>5.8550354781996035</v>
      </c>
      <c r="I202" s="7">
        <f>I201 *(1-Parameters!$B$4)-C201*(C201&lt;0)*Parameters!B$65</f>
        <v>2.9309290962772657E-5</v>
      </c>
      <c r="J202" s="23">
        <f>J201*(1+Parameters!$B$51)^Parameters!B$65</f>
        <v>14.477752852313749</v>
      </c>
      <c r="K202" s="23">
        <f>K201*(1+Parameters!$B$53)^Parameters!B$65</f>
        <v>456.6744947796862</v>
      </c>
      <c r="L202" s="23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7.0015859734830446E-2</v>
      </c>
      <c r="M202" s="8">
        <f>M201+L202*Parameters!B$65</f>
        <v>3690.5383930505304</v>
      </c>
      <c r="N202" s="7">
        <f>M202*Parameters!$B$45</f>
        <v>2.2143230358303181</v>
      </c>
      <c r="O202" s="9">
        <f>EXP(-Parameters!$B$46/2*N202^2)</f>
        <v>0.95191700615900288</v>
      </c>
      <c r="P202" s="7">
        <f>MAX((Parameters!$B$62 + Parameters!$B$31*'6states'!A202 - '6states'!M202 + Parameters!$B$47/Parameters!$B$45)/Parameters!B$62,1)</f>
        <v>183.86123213898941</v>
      </c>
      <c r="Q202" s="8"/>
      <c r="R202" s="8"/>
      <c r="S202" s="7">
        <f>Parameters!B$61*EXP(-Parameters!B$60*A202)+(1-Parameters!B$61)*P202^-Parameters!B$63</f>
        <v>0.29922260986252819</v>
      </c>
      <c r="T202" s="7">
        <f>1-S202/Parameters!$B$12</f>
        <v>0.85038869506873593</v>
      </c>
      <c r="U202" s="7">
        <f t="shared" si="271"/>
        <v>6.6839868849444901</v>
      </c>
      <c r="V202" s="7">
        <f>(Parameters!$B$19*(F202+Parameters!$B$20)^T202+Parameters!$B$18*G202^T202)^(1/T202)</f>
        <v>0.62206488471814703</v>
      </c>
      <c r="W202" s="7">
        <f>(Parameters!$B$10*H202^Parameters!$B$9+Parameters!$B$11*V202^Parameters!$B$9)^(Parameters!$B$7/Parameters!$B$9)*O202</f>
        <v>1.5739373178961773</v>
      </c>
      <c r="X202" s="7">
        <f>W202 - D202 - E202 - LN(1+EXP(Parameters!$B$21*C202))/Parameters!$B$21 - IF(C202&gt;0, 0,Parameters!$B$6*C202^2/F202)</f>
        <v>0.75719376606219713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-0.15840024654936138</v>
      </c>
      <c r="AC202" s="23">
        <f t="shared" si="272"/>
        <v>63.676804633099024</v>
      </c>
      <c r="AD202" s="23">
        <f t="shared" si="273"/>
        <v>1635.6034373252112</v>
      </c>
      <c r="AE202" s="23">
        <f t="shared" si="274"/>
        <v>0.19378190807235129</v>
      </c>
      <c r="AF202" s="23">
        <f t="shared" si="275"/>
        <v>0.66116204693755432</v>
      </c>
      <c r="AG202" s="23">
        <f t="shared" si="276"/>
        <v>16282.632798189341</v>
      </c>
      <c r="AH202" s="23">
        <f t="shared" si="277"/>
        <v>4112.8569250822375</v>
      </c>
      <c r="AI202" s="23">
        <f t="shared" si="278"/>
        <v>10122.054018661256</v>
      </c>
      <c r="AJ202" s="23">
        <f t="shared" si="279"/>
        <v>10406.276188516407</v>
      </c>
      <c r="AK202" s="23">
        <f t="shared" si="280"/>
        <v>5006.2778029803776</v>
      </c>
      <c r="AL202" s="9">
        <f t="shared" si="284"/>
        <v>2.988902929259396E-2</v>
      </c>
      <c r="AM202" s="9">
        <f t="shared" si="285"/>
        <v>7.8235858915149947E-3</v>
      </c>
      <c r="AN202" s="9">
        <f t="shared" ref="AN202:AO202" si="290">AVERAGE(AL200:AL204)</f>
        <v>3.0012330660142437E-2</v>
      </c>
      <c r="AO202" s="9">
        <f t="shared" si="290"/>
        <v>0.16523692371471058</v>
      </c>
      <c r="AP202" s="23"/>
      <c r="AQ202" s="25">
        <f t="shared" si="270"/>
        <v>10406.276188516405</v>
      </c>
      <c r="AR202" s="4"/>
      <c r="AS202" s="4"/>
      <c r="AT202" s="4"/>
      <c r="AU202" s="16"/>
      <c r="AV202" s="16"/>
      <c r="AY202" s="21">
        <f>-Y202*W202*X202^(-Parameters!B$52)*Parameters!B$46*Parameters!B$45*N202</f>
        <v>-3.0774612008385593E-6</v>
      </c>
      <c r="AZ202" s="7">
        <f>1000*EXP(-(Parameters!$B$54)*'6states'!A202)*AQ202*Parameters!B$46*Parameters!B$45*N202</f>
        <v>0.26645498131574502</v>
      </c>
      <c r="BA202" s="93">
        <f>SUM(AZ202:AZ$204)*EXP(Parameters!$B$54*A202)</f>
        <v>8394.5551579291441</v>
      </c>
      <c r="BB202" s="43">
        <f t="shared" si="247"/>
        <v>0.51880283455343223</v>
      </c>
      <c r="BC202" s="30">
        <f>IF(C202&lt;0,Parameters!$B$6*AC202^2/AF202,0)</f>
        <v>0</v>
      </c>
      <c r="BD202" s="30">
        <f>Parameters!$B$5*AD202^2/AG202</f>
        <v>164.29766840209854</v>
      </c>
      <c r="BE202" s="30">
        <f t="shared" si="282"/>
        <v>0</v>
      </c>
      <c r="BF202" s="30">
        <f t="shared" si="283"/>
        <v>0.1004507967229411</v>
      </c>
    </row>
    <row r="203" spans="1:58" x14ac:dyDescent="0.3">
      <c r="A203">
        <f>A202+Parameters!$B$65</f>
        <v>199</v>
      </c>
      <c r="B203">
        <v>2224</v>
      </c>
      <c r="C203" s="74">
        <v>9.63066068696798E-3</v>
      </c>
      <c r="D203" s="69">
        <v>0.25881232405156601</v>
      </c>
      <c r="E203" s="75">
        <v>0.58257725118682102</v>
      </c>
      <c r="F203" s="7">
        <f>MAX((1-Parameters!$B$4)^Parameters!B$65*F202 + C202*Parameters!B$65 - IF(C202&gt;0,Parameters!$B$5,0)*C202^2/F202*Parameters!B$65, 0.0001)</f>
        <v>1E-4</v>
      </c>
      <c r="G203" s="7">
        <f>(1-Parameters!$B$4)^Parameters!B$65*G202+D202*Parameters!B$65-Parameters!$B$5*D202^2/G202*Parameters!B$65</f>
        <v>2.5303571252459456</v>
      </c>
      <c r="H203" s="7">
        <f>(1-Parameters!$B$4)^Parameters!B$65*H202+E202*Parameters!B$65-Parameters!$B$5*E202^2/H202*Parameters!B$65</f>
        <v>5.9928282142638656</v>
      </c>
      <c r="I203" s="7">
        <f>I202 *(1-Parameters!$B$4)-C202*(C202&lt;0)*Parameters!B$65</f>
        <v>2.7465736561214258E-5</v>
      </c>
      <c r="J203" s="23">
        <f>J202*(1+Parameters!$B$51)^Parameters!B$65</f>
        <v>14.519738335585458</v>
      </c>
      <c r="K203" s="23">
        <f>K202*(1+Parameters!$B$53)^Parameters!B$65</f>
        <v>465.80798467527995</v>
      </c>
      <c r="L203" s="23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7.0911268336237315E-2</v>
      </c>
      <c r="M203" s="8">
        <f>M202+L203*Parameters!B$65</f>
        <v>3690.6093043188666</v>
      </c>
      <c r="N203" s="7">
        <f>M203*Parameters!$B$45</f>
        <v>2.21436558259132</v>
      </c>
      <c r="O203" s="9">
        <f>EXP(-Parameters!$B$46/2*N203^2)</f>
        <v>0.95191520352986836</v>
      </c>
      <c r="P203" s="7">
        <f>MAX((Parameters!$B$62 + Parameters!$B$31*'6states'!A203 - '6states'!M203 + Parameters!$B$47/Parameters!$B$45)/Parameters!B$62,1)</f>
        <v>184.92381391362269</v>
      </c>
      <c r="Q203" s="8"/>
      <c r="R203" s="8"/>
      <c r="S203" s="7">
        <f>Parameters!B$61*EXP(-Parameters!B$60*A203)+(1-Parameters!B$61)*P203^-Parameters!B$63</f>
        <v>0.29898810608450438</v>
      </c>
      <c r="T203" s="7">
        <f>1-S203/Parameters!$B$12</f>
        <v>0.85050594695774784</v>
      </c>
      <c r="U203" s="7">
        <f t="shared" si="271"/>
        <v>6.6892293014315802</v>
      </c>
      <c r="V203" s="7">
        <f>(Parameters!$B$19*(F203+Parameters!$B$20)^T203+Parameters!$B$18*G203^T203)^(1/T203)</f>
        <v>0.63889996539699012</v>
      </c>
      <c r="W203" s="7">
        <f>(Parameters!$B$10*H203^Parameters!$B$9+Parameters!$B$11*V203^Parameters!$B$9)^(Parameters!$B$7/Parameters!$B$9)*O203</f>
        <v>1.5854539415863638</v>
      </c>
      <c r="X203" s="7">
        <f>W203 - D203 - E203 - LN(1+EXP(Parameters!$B$21*C203))/Parameters!$B$21 - IF(C203&gt;0, 0,Parameters!$B$6*C203^2/F203)</f>
        <v>0.73425327558933529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-0.15771550996372918</v>
      </c>
      <c r="AC203" s="23">
        <f t="shared" si="272"/>
        <v>65.136107298713952</v>
      </c>
      <c r="AD203" s="23">
        <f t="shared" si="273"/>
        <v>1750.4538741006916</v>
      </c>
      <c r="AE203" s="23">
        <f t="shared" si="274"/>
        <v>0.18576203874676192</v>
      </c>
      <c r="AF203" s="23">
        <f t="shared" si="275"/>
        <v>0.6763410052111466</v>
      </c>
      <c r="AG203" s="23">
        <f t="shared" si="276"/>
        <v>17113.842816320303</v>
      </c>
      <c r="AH203" s="23">
        <f t="shared" si="277"/>
        <v>4321.1424482596703</v>
      </c>
      <c r="AI203" s="23">
        <f t="shared" si="278"/>
        <v>10634.660548698754</v>
      </c>
      <c r="AJ203" s="23">
        <f t="shared" si="279"/>
        <v>10723.075125684958</v>
      </c>
      <c r="AK203" s="23">
        <f t="shared" si="280"/>
        <v>4966.0559849166802</v>
      </c>
      <c r="AL203" s="9">
        <f t="shared" si="284"/>
        <v>2.99888694540833E-2</v>
      </c>
      <c r="AM203" s="9">
        <f t="shared" si="285"/>
        <v>-8.0667248065751096E-3</v>
      </c>
      <c r="AN203" s="9">
        <f t="shared" ref="AN203:AO203" si="291">AVERAGE(AL201:AL205)</f>
        <v>3.0009584777455522E-2</v>
      </c>
      <c r="AO203" s="9">
        <f t="shared" si="291"/>
        <v>0.20046497418930809</v>
      </c>
      <c r="AP203" s="23"/>
      <c r="AQ203" s="25">
        <f t="shared" si="270"/>
        <v>10723.075125684956</v>
      </c>
      <c r="AR203" s="4"/>
      <c r="AS203" s="4"/>
      <c r="AT203" s="4"/>
      <c r="AU203" s="16"/>
      <c r="AV203" s="16"/>
      <c r="AY203" s="21">
        <f>-Y203*W203*X203^(-Parameters!B$52)*Parameters!B$46*Parameters!B$45*N203</f>
        <v>-3.183074597907535E-6</v>
      </c>
      <c r="AZ203" s="7">
        <f>1000*EXP(-(Parameters!$B$54)*'6states'!A203)*AQ203*Parameters!B$46*Parameters!B$45*N203</f>
        <v>0.26510166324494649</v>
      </c>
      <c r="BA203" s="93">
        <f>SUM(AZ203:AZ$204)*EXP(Parameters!$B$54*A203)</f>
        <v>8406.6119258142789</v>
      </c>
      <c r="BB203" s="43">
        <f t="shared" si="247"/>
        <v>0.53676755508510476</v>
      </c>
      <c r="BC203" s="30">
        <f>IF(C203&lt;0,Parameters!$B$6*AC203^2/AF203,0)</f>
        <v>0</v>
      </c>
      <c r="BD203" s="30">
        <f>Parameters!$B$5*AD203^2/AG203</f>
        <v>179.04153954435691</v>
      </c>
      <c r="BE203" s="30">
        <f t="shared" si="282"/>
        <v>0</v>
      </c>
      <c r="BF203" s="30">
        <f t="shared" si="283"/>
        <v>0.10228292341398644</v>
      </c>
    </row>
    <row r="204" spans="1:58" ht="15" thickBot="1" x14ac:dyDescent="0.35">
      <c r="A204">
        <f>A203+Parameters!$B$65</f>
        <v>200</v>
      </c>
      <c r="B204">
        <v>2225</v>
      </c>
      <c r="C204" s="81">
        <v>9.58491291201009E-3</v>
      </c>
      <c r="D204" s="82">
        <v>1.19733993987244E-6</v>
      </c>
      <c r="E204" s="83">
        <v>1.1973410354628E-6</v>
      </c>
      <c r="F204" s="7">
        <f>MAX((1-Parameters!$B$4)^Parameters!B$65*F203 + C203*Parameters!B$65 - IF(C203&gt;0,Parameters!$B$5,0)*C203^2/F203*Parameters!B$65, 0.0001)</f>
        <v>1E-4</v>
      </c>
      <c r="G204" s="7">
        <f>(1-Parameters!$B$4)^Parameters!B$65*G203+D203*Parameters!B$65-Parameters!$B$5*D203^2/G203*Parameters!B$65</f>
        <v>2.6035379049999792</v>
      </c>
      <c r="H204" s="7">
        <f>(1-Parameters!$B$4)^Parameters!B$65*H203+E203*Parameters!B$65-Parameters!$B$5*E203^2/H203*Parameters!B$65</f>
        <v>6.1418228343362307</v>
      </c>
      <c r="I204" s="7">
        <f>I203 *(1-Parameters!$B$4)-C203*(C203&lt;0)*Parameters!B$65</f>
        <v>2.5738141731513881E-5</v>
      </c>
      <c r="J204" s="23">
        <f>J203*(1+Parameters!$B$51)^Parameters!B$65</f>
        <v>14.561845576758655</v>
      </c>
      <c r="K204" s="23">
        <f>K203*(1+Parameters!$B$53)^Parameters!B$65</f>
        <v>475.12414436878555</v>
      </c>
      <c r="L204" s="23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7.1818467140027084E-2</v>
      </c>
      <c r="M204" s="8">
        <f>M203+L204*Parameters!B$65</f>
        <v>3690.6811227860067</v>
      </c>
      <c r="N204" s="7">
        <f>M204*Parameters!$B$45</f>
        <v>2.214408673671604</v>
      </c>
      <c r="O204" s="9">
        <f>EXP(-Parameters!$B$46/2*N204^2)</f>
        <v>0.95191337780708851</v>
      </c>
      <c r="P204" s="7">
        <f>MAX((Parameters!$B$62 + Parameters!$B$31*'6states'!A204 - '6states'!M204 + Parameters!$B$47/Parameters!$B$45)/Parameters!B$62,1)</f>
        <v>185.98637754427986</v>
      </c>
      <c r="Q204" s="8"/>
      <c r="R204" s="8"/>
      <c r="S204" s="7">
        <f>Parameters!B$61*EXP(-Parameters!B$60*A204)+(1-Parameters!B$61)*P204^-Parameters!B$63</f>
        <v>0.29875637413342948</v>
      </c>
      <c r="T204" s="7">
        <f>1-S204/Parameters!$B$12</f>
        <v>0.8506218129332852</v>
      </c>
      <c r="U204" s="7">
        <f t="shared" si="271"/>
        <v>6.6944178372802403</v>
      </c>
      <c r="V204" s="7">
        <f>(Parameters!$B$19*(F204+Parameters!$B$20)^T204+Parameters!$B$18*G204^T204)^(1/T204)</f>
        <v>0.65711218585284248</v>
      </c>
      <c r="W204" s="7">
        <f>(Parameters!$B$10*H204^Parameters!$B$9+Parameters!$B$11*V204^Parameters!$B$9)^(Parameters!$B$7/Parameters!$B$9)*O204</f>
        <v>1.5976867176554863</v>
      </c>
      <c r="X204" s="7">
        <f>W204 - D204 - E204 - LN(1+EXP(Parameters!$B$21*C204))/Parameters!$B$21 - IF(C204&gt;0, 0,Parameters!$B$6*C204^2/F204)</f>
        <v>1.5879165538011517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-7.8540920399401966</v>
      </c>
      <c r="AC204" s="23">
        <f t="shared" si="272"/>
        <v>66.31498763222298</v>
      </c>
      <c r="AD204" s="23">
        <f t="shared" si="273"/>
        <v>8.2840171875443614E-3</v>
      </c>
      <c r="AE204" s="23">
        <f t="shared" si="274"/>
        <v>0.17807408019983778</v>
      </c>
      <c r="AF204" s="23">
        <f t="shared" si="275"/>
        <v>0.69186844200878406</v>
      </c>
      <c r="AG204" s="23">
        <f t="shared" si="276"/>
        <v>18013.057140431491</v>
      </c>
      <c r="AH204" s="23">
        <f t="shared" si="277"/>
        <v>4546.3518425099264</v>
      </c>
      <c r="AI204" s="23">
        <f t="shared" si="278"/>
        <v>11188.918013919354</v>
      </c>
      <c r="AJ204" s="23">
        <f t="shared" si="279"/>
        <v>11053.890201624294</v>
      </c>
      <c r="AK204" s="23">
        <f t="shared" si="280"/>
        <v>10986.293521183603</v>
      </c>
      <c r="AL204" s="9">
        <f t="shared" si="284"/>
        <v>3.0384447206952103E-2</v>
      </c>
      <c r="AM204" s="9">
        <f t="shared" si="285"/>
        <v>0.79402249164534311</v>
      </c>
      <c r="AN204" s="9">
        <f t="shared" ref="AN204:AO204" si="292">AVERAGE(AL202:AL206)</f>
        <v>3.0087448651209787E-2</v>
      </c>
      <c r="AO204" s="9">
        <f t="shared" si="292"/>
        <v>0.26459311757676102</v>
      </c>
      <c r="AP204" s="23"/>
      <c r="AQ204" s="25">
        <f t="shared" si="270"/>
        <v>11053.890201624294</v>
      </c>
      <c r="AR204" s="4"/>
      <c r="AS204" s="4"/>
      <c r="AT204" s="4"/>
      <c r="AU204" s="16"/>
      <c r="AV204" s="16"/>
      <c r="AY204" s="21">
        <f>-Y204*W204*X204^(-Parameters!B$52)*Parameters!B$46*Parameters!B$45*N204</f>
        <v>-1.1153470120947087E-6</v>
      </c>
      <c r="AZ204" s="7">
        <f>EXP(-(Parameters!B$55+Parameters!B$53)*'6states'!A204)*AQ204*Parameters!B$46*Parameters!B$45*1000*N204/Parameters!$B$54</f>
        <v>7.5173686535454758</v>
      </c>
      <c r="BA204" s="93">
        <f>SUM(AZ204:AZ$204)*EXP(Parameters!$B$54*A204)</f>
        <v>8410.3314502536177</v>
      </c>
      <c r="BB204" s="43">
        <f t="shared" si="247"/>
        <v>6.0007431288245615E-3</v>
      </c>
      <c r="BC204" s="30">
        <f>IF(C204&lt;0,Parameters!$B$6*AC204^2/AF204,0)</f>
        <v>0</v>
      </c>
      <c r="BD204" s="30">
        <f>Parameters!$B$5*AD204^2/AG204</f>
        <v>3.8097331412721279E-9</v>
      </c>
      <c r="BE204" s="30">
        <f t="shared" si="282"/>
        <v>0</v>
      </c>
      <c r="BF204" s="30">
        <f t="shared" si="283"/>
        <v>4.5988957471024397E-7</v>
      </c>
    </row>
    <row r="205" spans="1:58" x14ac:dyDescent="0.3">
      <c r="C205" s="9"/>
      <c r="D205" s="9"/>
      <c r="E205" s="9"/>
      <c r="F205" s="7"/>
      <c r="G205" s="7"/>
      <c r="H205" s="7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F205" s="23"/>
      <c r="AG205" s="23"/>
      <c r="AH205" s="23"/>
      <c r="AI205" s="23"/>
      <c r="AJ205" s="9"/>
      <c r="AK205" s="9"/>
      <c r="AL205" s="9"/>
      <c r="AM205" s="9"/>
      <c r="AN205" s="9"/>
      <c r="AO205" s="9"/>
      <c r="AP205" s="9"/>
      <c r="AQ205" s="25"/>
      <c r="AY205" s="21"/>
      <c r="AZ205" s="7"/>
    </row>
    <row r="206" spans="1:58" x14ac:dyDescent="0.3">
      <c r="C206" s="9"/>
      <c r="D206" s="9"/>
      <c r="E206" s="9"/>
      <c r="F206" s="7"/>
      <c r="G206" s="7"/>
      <c r="H206" s="7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F206" s="23"/>
      <c r="AG206" s="23"/>
      <c r="AH206" s="23"/>
      <c r="AI206" s="23"/>
      <c r="AJ206" s="9"/>
      <c r="AK206" s="9"/>
      <c r="AL206" s="9"/>
      <c r="AM206" s="9"/>
      <c r="AN206" s="9"/>
      <c r="AO206" s="9"/>
      <c r="AP206" s="9"/>
      <c r="AQ206" s="25"/>
      <c r="AY206" s="21"/>
      <c r="AZ206" s="7"/>
    </row>
    <row r="207" spans="1:58" x14ac:dyDescent="0.3">
      <c r="C207" s="9"/>
      <c r="D207" s="9"/>
      <c r="E207" s="9"/>
      <c r="F207" s="7"/>
      <c r="G207" s="7"/>
      <c r="H207" s="7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F207" s="23"/>
      <c r="AG207" s="23"/>
      <c r="AH207" s="23"/>
      <c r="AI207" s="23"/>
      <c r="AJ207" s="9"/>
      <c r="AK207" s="9"/>
      <c r="AL207" s="9"/>
      <c r="AM207" s="9"/>
      <c r="AN207" s="9"/>
      <c r="AO207" s="9"/>
      <c r="AP207" s="9"/>
      <c r="AQ207" s="25"/>
      <c r="AY207" s="21"/>
      <c r="AZ207" s="7"/>
    </row>
    <row r="208" spans="1:58" x14ac:dyDescent="0.3">
      <c r="C208" s="9"/>
      <c r="D208" s="9"/>
      <c r="E208" s="9"/>
      <c r="F208" s="7"/>
      <c r="G208" s="7"/>
      <c r="H208" s="7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F208" s="23"/>
      <c r="AG208" s="23"/>
      <c r="AH208" s="23"/>
      <c r="AI208" s="23"/>
      <c r="AJ208" s="9"/>
      <c r="AK208" s="9"/>
      <c r="AL208" s="9"/>
      <c r="AM208" s="9"/>
      <c r="AN208" s="9"/>
      <c r="AO208" s="9"/>
      <c r="AP208" s="9"/>
      <c r="AQ208" s="25"/>
      <c r="AY208" s="21"/>
      <c r="AZ208" s="7"/>
    </row>
    <row r="209" spans="3:52" x14ac:dyDescent="0.3">
      <c r="C209" s="9"/>
      <c r="D209" s="9"/>
      <c r="E209" s="9"/>
      <c r="F209" s="7"/>
      <c r="G209" s="7"/>
      <c r="H209" s="7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F209" s="23"/>
      <c r="AG209" s="23"/>
      <c r="AH209" s="23"/>
      <c r="AI209" s="23"/>
      <c r="AJ209" s="9"/>
      <c r="AK209" s="9"/>
      <c r="AL209" s="9"/>
      <c r="AM209" s="9"/>
      <c r="AN209" s="9"/>
      <c r="AO209" s="9"/>
      <c r="AP209" s="9"/>
      <c r="AQ209" s="25"/>
      <c r="AY209" s="21"/>
      <c r="AZ209" s="7"/>
    </row>
    <row r="210" spans="3:52" x14ac:dyDescent="0.3">
      <c r="C210" s="9"/>
      <c r="D210" s="9"/>
      <c r="E210" s="9"/>
      <c r="F210" s="7"/>
      <c r="G210" s="7"/>
      <c r="H210" s="7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F210" s="23"/>
      <c r="AG210" s="23"/>
      <c r="AH210" s="23"/>
      <c r="AI210" s="23"/>
      <c r="AJ210" s="9"/>
      <c r="AK210" s="9"/>
      <c r="AL210" s="9"/>
      <c r="AM210" s="9"/>
      <c r="AN210" s="9"/>
      <c r="AO210" s="9"/>
      <c r="AP210" s="9"/>
      <c r="AQ210" s="25"/>
      <c r="AY210" s="21"/>
      <c r="AZ210" s="7"/>
    </row>
    <row r="211" spans="3:52" x14ac:dyDescent="0.3">
      <c r="C211" s="9"/>
      <c r="D211" s="9"/>
      <c r="E211" s="9"/>
      <c r="F211" s="7"/>
      <c r="G211" s="7"/>
      <c r="H211" s="7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F211" s="23"/>
      <c r="AG211" s="23"/>
      <c r="AH211" s="23"/>
      <c r="AI211" s="23"/>
      <c r="AJ211" s="9"/>
      <c r="AK211" s="9"/>
      <c r="AL211" s="9"/>
      <c r="AM211" s="9"/>
      <c r="AN211" s="9"/>
      <c r="AO211" s="9"/>
      <c r="AP211" s="9"/>
      <c r="AQ211" s="25"/>
      <c r="AY211" s="21"/>
      <c r="AZ211" s="7"/>
    </row>
    <row r="212" spans="3:52" x14ac:dyDescent="0.3">
      <c r="C212" s="9"/>
      <c r="D212" s="9"/>
      <c r="E212" s="9"/>
      <c r="F212" s="7"/>
      <c r="G212" s="7"/>
      <c r="H212" s="7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F212" s="23"/>
      <c r="AG212" s="23"/>
      <c r="AH212" s="23"/>
      <c r="AI212" s="23"/>
      <c r="AJ212" s="9"/>
      <c r="AK212" s="9"/>
      <c r="AL212" s="9"/>
      <c r="AM212" s="9"/>
      <c r="AN212" s="9"/>
      <c r="AO212" s="9"/>
      <c r="AP212" s="9"/>
      <c r="AQ212" s="25"/>
      <c r="AY212" s="21"/>
      <c r="AZ212" s="7"/>
    </row>
    <row r="213" spans="3:52" x14ac:dyDescent="0.3">
      <c r="C213" s="9"/>
      <c r="D213" s="9"/>
      <c r="E213" s="9"/>
      <c r="F213" s="7"/>
      <c r="G213" s="7"/>
      <c r="H213" s="7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F213" s="23"/>
      <c r="AG213" s="23"/>
      <c r="AH213" s="23"/>
      <c r="AI213" s="23"/>
      <c r="AJ213" s="9"/>
      <c r="AK213" s="9"/>
      <c r="AL213" s="9"/>
      <c r="AM213" s="9"/>
      <c r="AN213" s="9"/>
      <c r="AO213" s="9"/>
      <c r="AP213" s="9"/>
      <c r="AQ213" s="25"/>
      <c r="AY213" s="21"/>
      <c r="AZ213" s="7"/>
    </row>
    <row r="214" spans="3:52" x14ac:dyDescent="0.3">
      <c r="C214" s="9"/>
      <c r="D214" s="9"/>
      <c r="E214" s="9"/>
      <c r="F214" s="7"/>
      <c r="G214" s="7"/>
      <c r="H214" s="7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F214" s="23"/>
      <c r="AG214" s="23"/>
      <c r="AH214" s="23"/>
      <c r="AI214" s="23"/>
      <c r="AJ214" s="9"/>
      <c r="AK214" s="9"/>
      <c r="AL214" s="9"/>
      <c r="AM214" s="9"/>
      <c r="AN214" s="9"/>
      <c r="AO214" s="9"/>
      <c r="AP214" s="9"/>
      <c r="AQ214" s="25"/>
      <c r="AY214" s="21"/>
      <c r="AZ214" s="7"/>
    </row>
    <row r="215" spans="3:52" x14ac:dyDescent="0.3">
      <c r="C215" s="9"/>
      <c r="D215" s="9"/>
      <c r="E215" s="9"/>
      <c r="F215" s="7"/>
      <c r="G215" s="7"/>
      <c r="H215" s="7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F215" s="23"/>
      <c r="AG215" s="23"/>
      <c r="AH215" s="23"/>
      <c r="AI215" s="23"/>
      <c r="AJ215" s="9"/>
      <c r="AK215" s="9"/>
      <c r="AL215" s="9"/>
      <c r="AM215" s="9"/>
      <c r="AN215" s="9"/>
      <c r="AO215" s="9"/>
      <c r="AP215" s="9"/>
      <c r="AQ215" s="25"/>
      <c r="AY215" s="21"/>
      <c r="AZ215" s="7"/>
    </row>
    <row r="216" spans="3:52" x14ac:dyDescent="0.3">
      <c r="C216" s="9"/>
      <c r="D216" s="9"/>
      <c r="E216" s="9"/>
      <c r="F216" s="7"/>
      <c r="G216" s="7"/>
      <c r="H216" s="7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F216" s="23"/>
      <c r="AG216" s="23"/>
      <c r="AH216" s="23"/>
      <c r="AI216" s="23"/>
      <c r="AJ216" s="9"/>
      <c r="AK216" s="9"/>
      <c r="AL216" s="9"/>
      <c r="AM216" s="9"/>
      <c r="AN216" s="9"/>
      <c r="AO216" s="9"/>
      <c r="AP216" s="9"/>
      <c r="AQ216" s="25"/>
      <c r="AY216" s="21"/>
      <c r="AZ216" s="7"/>
    </row>
    <row r="217" spans="3:52" x14ac:dyDescent="0.3">
      <c r="C217" s="9"/>
      <c r="D217" s="9"/>
      <c r="E217" s="9"/>
      <c r="F217" s="7"/>
      <c r="G217" s="7"/>
      <c r="H217" s="7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F217" s="23"/>
      <c r="AG217" s="23"/>
      <c r="AH217" s="23"/>
      <c r="AI217" s="23"/>
      <c r="AJ217" s="9"/>
      <c r="AK217" s="9"/>
      <c r="AL217" s="9"/>
      <c r="AM217" s="9"/>
      <c r="AN217" s="9"/>
      <c r="AO217" s="9"/>
      <c r="AP217" s="9"/>
      <c r="AQ217" s="25"/>
      <c r="AY217" s="21"/>
      <c r="AZ217" s="7"/>
    </row>
    <row r="218" spans="3:52" x14ac:dyDescent="0.3">
      <c r="C218" s="9"/>
      <c r="D218" s="9"/>
      <c r="E218" s="9"/>
      <c r="F218" s="7"/>
      <c r="G218" s="7"/>
      <c r="H218" s="7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F218" s="23"/>
      <c r="AG218" s="23"/>
      <c r="AH218" s="23"/>
      <c r="AI218" s="23"/>
      <c r="AJ218" s="9"/>
      <c r="AK218" s="9"/>
      <c r="AL218" s="9"/>
      <c r="AM218" s="9"/>
      <c r="AN218" s="9"/>
      <c r="AO218" s="9"/>
      <c r="AP218" s="9"/>
      <c r="AQ218" s="25"/>
      <c r="AY218" s="21"/>
      <c r="AZ218" s="7"/>
    </row>
    <row r="219" spans="3:52" x14ac:dyDescent="0.3">
      <c r="C219" s="9"/>
      <c r="D219" s="9"/>
      <c r="E219" s="9"/>
      <c r="F219" s="7"/>
      <c r="G219" s="7"/>
      <c r="H219" s="7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F219" s="23"/>
      <c r="AG219" s="23"/>
      <c r="AH219" s="23"/>
      <c r="AI219" s="23"/>
      <c r="AJ219" s="9"/>
      <c r="AK219" s="9"/>
      <c r="AL219" s="9"/>
      <c r="AM219" s="9"/>
      <c r="AN219" s="9"/>
      <c r="AO219" s="9"/>
      <c r="AP219" s="9"/>
      <c r="AQ219" s="25"/>
      <c r="AY219" s="21"/>
      <c r="AZ219" s="7"/>
    </row>
    <row r="220" spans="3:52" x14ac:dyDescent="0.3">
      <c r="C220" s="9"/>
      <c r="D220" s="9"/>
      <c r="E220" s="9"/>
      <c r="F220" s="7"/>
      <c r="G220" s="7"/>
      <c r="H220" s="7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F220" s="23"/>
      <c r="AG220" s="23"/>
      <c r="AH220" s="23"/>
      <c r="AI220" s="23"/>
      <c r="AJ220" s="9"/>
      <c r="AK220" s="9"/>
      <c r="AL220" s="9"/>
      <c r="AM220" s="9"/>
      <c r="AN220" s="9"/>
      <c r="AO220" s="9"/>
      <c r="AP220" s="9"/>
      <c r="AQ220" s="25"/>
      <c r="AY220" s="21"/>
      <c r="AZ220" s="7"/>
    </row>
    <row r="221" spans="3:52" x14ac:dyDescent="0.3">
      <c r="C221" s="9"/>
      <c r="D221" s="9"/>
      <c r="E221" s="9"/>
      <c r="F221" s="7"/>
      <c r="G221" s="7"/>
      <c r="H221" s="7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F221" s="23"/>
      <c r="AG221" s="23"/>
      <c r="AH221" s="23"/>
      <c r="AI221" s="23"/>
      <c r="AJ221" s="9"/>
      <c r="AK221" s="9"/>
      <c r="AL221" s="9"/>
      <c r="AM221" s="9"/>
      <c r="AN221" s="9"/>
      <c r="AO221" s="9"/>
      <c r="AP221" s="9"/>
      <c r="AQ221" s="25"/>
      <c r="AY221" s="21"/>
      <c r="AZ221" s="7"/>
    </row>
    <row r="222" spans="3:52" x14ac:dyDescent="0.3">
      <c r="C222" s="9"/>
      <c r="D222" s="9"/>
      <c r="E222" s="9"/>
      <c r="F222" s="7"/>
      <c r="G222" s="7"/>
      <c r="H222" s="7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F222" s="23"/>
      <c r="AG222" s="23"/>
      <c r="AH222" s="23"/>
      <c r="AI222" s="23"/>
      <c r="AJ222" s="9"/>
      <c r="AK222" s="9"/>
      <c r="AL222" s="9"/>
      <c r="AM222" s="9"/>
      <c r="AN222" s="9"/>
      <c r="AO222" s="9"/>
      <c r="AP222" s="9"/>
      <c r="AQ222" s="25"/>
      <c r="AY222" s="21"/>
      <c r="AZ222" s="7"/>
    </row>
    <row r="223" spans="3:52" x14ac:dyDescent="0.3">
      <c r="C223" s="9"/>
      <c r="D223" s="9"/>
      <c r="E223" s="9"/>
      <c r="F223" s="7"/>
      <c r="G223" s="7"/>
      <c r="H223" s="7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F223" s="23"/>
      <c r="AG223" s="23"/>
      <c r="AH223" s="23"/>
      <c r="AI223" s="23"/>
      <c r="AJ223" s="9"/>
      <c r="AK223" s="9"/>
      <c r="AL223" s="9"/>
      <c r="AM223" s="9"/>
      <c r="AN223" s="9"/>
      <c r="AO223" s="9"/>
      <c r="AP223" s="9"/>
      <c r="AQ223" s="25"/>
      <c r="AY223" s="21"/>
      <c r="AZ223" s="7"/>
    </row>
    <row r="224" spans="3:52" x14ac:dyDescent="0.3">
      <c r="C224" s="9"/>
      <c r="D224" s="9"/>
      <c r="E224" s="9"/>
      <c r="F224" s="7"/>
      <c r="G224" s="7"/>
      <c r="H224" s="7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F224" s="23"/>
      <c r="AG224" s="23"/>
      <c r="AH224" s="23"/>
      <c r="AI224" s="23"/>
      <c r="AJ224" s="9"/>
      <c r="AK224" s="9"/>
      <c r="AL224" s="9"/>
      <c r="AM224" s="9"/>
      <c r="AN224" s="9"/>
      <c r="AO224" s="9"/>
      <c r="AP224" s="9"/>
      <c r="AQ224" s="25"/>
      <c r="AY224" s="21"/>
      <c r="AZ224" s="7"/>
    </row>
    <row r="225" spans="3:52" x14ac:dyDescent="0.3">
      <c r="C225" s="9"/>
      <c r="D225" s="9"/>
      <c r="E225" s="9"/>
      <c r="F225" s="7"/>
      <c r="G225" s="7"/>
      <c r="H225" s="7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F225" s="23"/>
      <c r="AG225" s="23"/>
      <c r="AH225" s="23"/>
      <c r="AI225" s="23"/>
      <c r="AJ225" s="9"/>
      <c r="AK225" s="9"/>
      <c r="AL225" s="9"/>
      <c r="AM225" s="9"/>
      <c r="AN225" s="9"/>
      <c r="AO225" s="9"/>
      <c r="AP225" s="9"/>
      <c r="AQ225" s="25"/>
      <c r="AY225" s="21"/>
      <c r="AZ225" s="7"/>
    </row>
    <row r="226" spans="3:52" x14ac:dyDescent="0.3">
      <c r="C226" s="9"/>
      <c r="D226" s="9"/>
      <c r="E226" s="9"/>
      <c r="F226" s="7"/>
      <c r="G226" s="7"/>
      <c r="H226" s="7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F226" s="23"/>
      <c r="AG226" s="23"/>
      <c r="AH226" s="23"/>
      <c r="AI226" s="23"/>
      <c r="AJ226" s="9"/>
      <c r="AK226" s="9"/>
      <c r="AL226" s="9"/>
      <c r="AM226" s="9"/>
      <c r="AN226" s="9"/>
      <c r="AO226" s="9"/>
      <c r="AP226" s="9"/>
      <c r="AQ226" s="25"/>
      <c r="AY226" s="21"/>
      <c r="AZ226" s="7"/>
    </row>
    <row r="227" spans="3:52" x14ac:dyDescent="0.3">
      <c r="C227" s="9"/>
      <c r="D227" s="9"/>
      <c r="E227" s="9"/>
      <c r="F227" s="7"/>
      <c r="G227" s="7"/>
      <c r="H227" s="7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F227" s="23"/>
      <c r="AG227" s="23"/>
      <c r="AH227" s="23"/>
      <c r="AI227" s="23"/>
      <c r="AJ227" s="9"/>
      <c r="AK227" s="9"/>
      <c r="AL227" s="9"/>
      <c r="AM227" s="9"/>
      <c r="AN227" s="9"/>
      <c r="AO227" s="9"/>
      <c r="AP227" s="9"/>
      <c r="AQ227" s="25"/>
      <c r="AY227" s="21"/>
      <c r="AZ227" s="7"/>
    </row>
    <row r="228" spans="3:52" x14ac:dyDescent="0.3">
      <c r="C228" s="9"/>
      <c r="D228" s="9"/>
      <c r="E228" s="9"/>
      <c r="F228" s="7"/>
      <c r="G228" s="7"/>
      <c r="H228" s="7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F228" s="23"/>
      <c r="AG228" s="23"/>
      <c r="AH228" s="23"/>
      <c r="AI228" s="23"/>
      <c r="AJ228" s="9"/>
      <c r="AK228" s="9"/>
      <c r="AL228" s="9"/>
      <c r="AM228" s="9"/>
      <c r="AN228" s="9"/>
      <c r="AO228" s="9"/>
      <c r="AP228" s="9"/>
      <c r="AQ228" s="25"/>
      <c r="AY228" s="21"/>
      <c r="AZ228" s="7"/>
    </row>
    <row r="229" spans="3:52" x14ac:dyDescent="0.3">
      <c r="C229" s="9"/>
      <c r="D229" s="9"/>
      <c r="E229" s="9"/>
      <c r="F229" s="7"/>
      <c r="G229" s="7"/>
      <c r="H229" s="7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F229" s="23"/>
      <c r="AG229" s="23"/>
      <c r="AH229" s="23"/>
      <c r="AI229" s="23"/>
      <c r="AJ229" s="9"/>
      <c r="AK229" s="9"/>
      <c r="AL229" s="9"/>
      <c r="AM229" s="9"/>
      <c r="AN229" s="9"/>
      <c r="AO229" s="9"/>
      <c r="AP229" s="9"/>
      <c r="AQ229" s="25"/>
      <c r="AY229" s="21"/>
      <c r="AZ229" s="7"/>
    </row>
    <row r="230" spans="3:52" x14ac:dyDescent="0.3">
      <c r="C230" s="9"/>
      <c r="D230" s="9"/>
      <c r="E230" s="9"/>
      <c r="F230" s="7"/>
      <c r="G230" s="7"/>
      <c r="H230" s="7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F230" s="23"/>
      <c r="AG230" s="23"/>
      <c r="AH230" s="23"/>
      <c r="AI230" s="23"/>
      <c r="AJ230" s="9"/>
      <c r="AK230" s="9"/>
      <c r="AL230" s="9"/>
      <c r="AM230" s="9"/>
      <c r="AN230" s="9"/>
      <c r="AO230" s="9"/>
      <c r="AP230" s="9"/>
      <c r="AQ230" s="25"/>
      <c r="AY230" s="21"/>
      <c r="AZ230" s="7"/>
    </row>
    <row r="231" spans="3:52" x14ac:dyDescent="0.3">
      <c r="C231" s="9"/>
      <c r="D231" s="9"/>
      <c r="E231" s="9"/>
      <c r="F231" s="7"/>
      <c r="G231" s="7"/>
      <c r="H231" s="7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F231" s="23"/>
      <c r="AG231" s="23"/>
      <c r="AH231" s="23"/>
      <c r="AI231" s="23"/>
      <c r="AJ231" s="9"/>
      <c r="AK231" s="9"/>
      <c r="AL231" s="9"/>
      <c r="AM231" s="9"/>
      <c r="AN231" s="9"/>
      <c r="AO231" s="9"/>
      <c r="AP231" s="9"/>
      <c r="AQ231" s="25"/>
      <c r="AY231" s="21"/>
      <c r="AZ231" s="7"/>
    </row>
    <row r="232" spans="3:52" x14ac:dyDescent="0.3">
      <c r="C232" s="9"/>
      <c r="D232" s="9"/>
      <c r="E232" s="9"/>
      <c r="F232" s="7"/>
      <c r="G232" s="7"/>
      <c r="H232" s="7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F232" s="23"/>
      <c r="AG232" s="23"/>
      <c r="AH232" s="23"/>
      <c r="AI232" s="23"/>
      <c r="AJ232" s="9"/>
      <c r="AK232" s="9"/>
      <c r="AL232" s="9"/>
      <c r="AM232" s="9"/>
      <c r="AN232" s="9"/>
      <c r="AO232" s="9"/>
      <c r="AP232" s="9"/>
      <c r="AQ232" s="25"/>
      <c r="AY232" s="21"/>
      <c r="AZ232" s="7"/>
    </row>
    <row r="233" spans="3:52" x14ac:dyDescent="0.3">
      <c r="C233" s="9"/>
      <c r="D233" s="9"/>
      <c r="E233" s="9"/>
      <c r="F233" s="7"/>
      <c r="G233" s="7"/>
      <c r="H233" s="7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F233" s="23"/>
      <c r="AG233" s="23"/>
      <c r="AH233" s="23"/>
      <c r="AI233" s="23"/>
      <c r="AJ233" s="9"/>
      <c r="AK233" s="9"/>
      <c r="AL233" s="9"/>
      <c r="AM233" s="9"/>
      <c r="AN233" s="9"/>
      <c r="AO233" s="9"/>
      <c r="AP233" s="9"/>
      <c r="AQ233" s="25"/>
      <c r="AY233" s="21"/>
      <c r="AZ233" s="7"/>
    </row>
    <row r="234" spans="3:52" x14ac:dyDescent="0.3">
      <c r="C234" s="9"/>
      <c r="D234" s="9"/>
      <c r="E234" s="9"/>
      <c r="F234" s="7"/>
      <c r="G234" s="7"/>
      <c r="H234" s="7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F234" s="23"/>
      <c r="AG234" s="23"/>
      <c r="AH234" s="23"/>
      <c r="AI234" s="23"/>
      <c r="AJ234" s="9"/>
      <c r="AK234" s="9"/>
      <c r="AL234" s="9"/>
      <c r="AM234" s="9"/>
      <c r="AN234" s="9"/>
      <c r="AO234" s="9"/>
      <c r="AP234" s="9"/>
      <c r="AQ234" s="25"/>
      <c r="AY234" s="21"/>
      <c r="AZ234" s="7"/>
    </row>
    <row r="235" spans="3:52" x14ac:dyDescent="0.3">
      <c r="C235" s="9"/>
      <c r="D235" s="9"/>
      <c r="E235" s="9"/>
      <c r="F235" s="7"/>
      <c r="G235" s="7"/>
      <c r="H235" s="7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F235" s="23"/>
      <c r="AG235" s="23"/>
      <c r="AH235" s="23"/>
      <c r="AI235" s="23"/>
      <c r="AJ235" s="9"/>
      <c r="AK235" s="9"/>
      <c r="AL235" s="9"/>
      <c r="AM235" s="9"/>
      <c r="AN235" s="9"/>
      <c r="AO235" s="9"/>
      <c r="AP235" s="9"/>
      <c r="AQ235" s="25"/>
      <c r="AY235" s="21"/>
      <c r="AZ235" s="7"/>
    </row>
    <row r="236" spans="3:52" x14ac:dyDescent="0.3">
      <c r="C236" s="9"/>
      <c r="D236" s="9"/>
      <c r="E236" s="9"/>
      <c r="F236" s="7"/>
      <c r="G236" s="7"/>
      <c r="H236" s="7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F236" s="23"/>
      <c r="AG236" s="23"/>
      <c r="AH236" s="23"/>
      <c r="AI236" s="23"/>
      <c r="AJ236" s="9"/>
      <c r="AK236" s="9"/>
      <c r="AL236" s="9"/>
      <c r="AM236" s="9"/>
      <c r="AN236" s="9"/>
      <c r="AO236" s="9"/>
      <c r="AP236" s="9"/>
      <c r="AQ236" s="25"/>
      <c r="AY236" s="21"/>
      <c r="AZ236" s="7"/>
    </row>
    <row r="237" spans="3:52" x14ac:dyDescent="0.3">
      <c r="C237" s="9"/>
      <c r="D237" s="9"/>
      <c r="E237" s="9"/>
      <c r="F237" s="7"/>
      <c r="G237" s="7"/>
      <c r="H237" s="7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F237" s="23"/>
      <c r="AG237" s="23"/>
      <c r="AH237" s="23"/>
      <c r="AI237" s="23"/>
      <c r="AJ237" s="9"/>
      <c r="AK237" s="9"/>
      <c r="AL237" s="9"/>
      <c r="AM237" s="9"/>
      <c r="AN237" s="9"/>
      <c r="AO237" s="9"/>
      <c r="AP237" s="9"/>
      <c r="AQ237" s="25"/>
      <c r="AY237" s="21"/>
      <c r="AZ237" s="7"/>
    </row>
    <row r="238" spans="3:52" x14ac:dyDescent="0.3">
      <c r="C238" s="9"/>
      <c r="D238" s="9"/>
      <c r="E238" s="9"/>
      <c r="F238" s="7"/>
      <c r="G238" s="7"/>
      <c r="H238" s="7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F238" s="23"/>
      <c r="AG238" s="23"/>
      <c r="AH238" s="23"/>
      <c r="AI238" s="23"/>
      <c r="AJ238" s="9"/>
      <c r="AK238" s="9"/>
      <c r="AL238" s="9"/>
      <c r="AM238" s="9"/>
      <c r="AN238" s="9"/>
      <c r="AO238" s="9"/>
      <c r="AP238" s="9"/>
      <c r="AQ238" s="25"/>
      <c r="AY238" s="21"/>
      <c r="AZ238" s="7"/>
    </row>
    <row r="239" spans="3:52" x14ac:dyDescent="0.3">
      <c r="C239" s="9"/>
      <c r="D239" s="9"/>
      <c r="E239" s="9"/>
      <c r="F239" s="7"/>
      <c r="G239" s="7"/>
      <c r="H239" s="7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F239" s="23"/>
      <c r="AG239" s="23"/>
      <c r="AH239" s="23"/>
      <c r="AI239" s="23"/>
      <c r="AJ239" s="9"/>
      <c r="AK239" s="9"/>
      <c r="AL239" s="9"/>
      <c r="AM239" s="9"/>
      <c r="AN239" s="9"/>
      <c r="AO239" s="9"/>
      <c r="AP239" s="9"/>
      <c r="AQ239" s="25"/>
      <c r="AY239" s="21"/>
      <c r="AZ239" s="7"/>
    </row>
    <row r="240" spans="3:52" x14ac:dyDescent="0.3">
      <c r="C240" s="9"/>
      <c r="D240" s="9"/>
      <c r="E240" s="9"/>
      <c r="F240" s="7"/>
      <c r="G240" s="7"/>
      <c r="H240" s="7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F240" s="23"/>
      <c r="AG240" s="23"/>
      <c r="AH240" s="23"/>
      <c r="AI240" s="23"/>
      <c r="AJ240" s="9"/>
      <c r="AK240" s="9"/>
      <c r="AL240" s="9"/>
      <c r="AM240" s="9"/>
      <c r="AN240" s="9"/>
      <c r="AO240" s="9"/>
      <c r="AP240" s="9"/>
      <c r="AQ240" s="25"/>
      <c r="AY240" s="21"/>
      <c r="AZ240" s="7"/>
    </row>
    <row r="241" spans="3:52" x14ac:dyDescent="0.3">
      <c r="C241" s="9"/>
      <c r="D241" s="9"/>
      <c r="E241" s="9"/>
      <c r="F241" s="7"/>
      <c r="G241" s="7"/>
      <c r="H241" s="7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F241" s="23"/>
      <c r="AG241" s="23"/>
      <c r="AH241" s="23"/>
      <c r="AI241" s="23"/>
      <c r="AJ241" s="9"/>
      <c r="AK241" s="9"/>
      <c r="AL241" s="9"/>
      <c r="AM241" s="9"/>
      <c r="AN241" s="9"/>
      <c r="AO241" s="9"/>
      <c r="AP241" s="9"/>
      <c r="AQ241" s="25"/>
      <c r="AY241" s="21"/>
      <c r="AZ241" s="7"/>
    </row>
    <row r="242" spans="3:52" x14ac:dyDescent="0.3">
      <c r="C242" s="9"/>
      <c r="D242" s="9"/>
      <c r="E242" s="9"/>
      <c r="F242" s="7"/>
      <c r="G242" s="7"/>
      <c r="H242" s="7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F242" s="23"/>
      <c r="AG242" s="23"/>
      <c r="AH242" s="23"/>
      <c r="AI242" s="23"/>
      <c r="AJ242" s="9"/>
      <c r="AK242" s="9"/>
      <c r="AL242" s="9"/>
      <c r="AM242" s="9"/>
      <c r="AN242" s="9"/>
      <c r="AO242" s="9"/>
      <c r="AP242" s="9"/>
      <c r="AQ242" s="25"/>
      <c r="AY242" s="21"/>
      <c r="AZ242" s="7"/>
    </row>
    <row r="243" spans="3:52" x14ac:dyDescent="0.3">
      <c r="C243" s="9"/>
      <c r="D243" s="9"/>
      <c r="E243" s="9"/>
      <c r="F243" s="7"/>
      <c r="G243" s="7"/>
      <c r="H243" s="7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F243" s="23"/>
      <c r="AG243" s="23"/>
      <c r="AH243" s="23"/>
      <c r="AI243" s="23"/>
      <c r="AJ243" s="9"/>
      <c r="AK243" s="9"/>
      <c r="AL243" s="9"/>
      <c r="AM243" s="9"/>
      <c r="AN243" s="9"/>
      <c r="AO243" s="9"/>
      <c r="AP243" s="9"/>
      <c r="AQ243" s="25"/>
      <c r="AY243" s="21"/>
      <c r="AZ243" s="7"/>
    </row>
    <row r="244" spans="3:52" x14ac:dyDescent="0.3">
      <c r="C244" s="9"/>
      <c r="D244" s="9"/>
      <c r="E244" s="9"/>
      <c r="F244" s="7"/>
      <c r="G244" s="7"/>
      <c r="H244" s="7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F244" s="23"/>
      <c r="AG244" s="23"/>
      <c r="AH244" s="23"/>
      <c r="AI244" s="23"/>
      <c r="AJ244" s="9"/>
      <c r="AK244" s="9"/>
      <c r="AL244" s="9"/>
      <c r="AM244" s="9"/>
      <c r="AN244" s="9"/>
      <c r="AO244" s="9"/>
      <c r="AP244" s="9"/>
      <c r="AQ244" s="25"/>
      <c r="AY244" s="21"/>
      <c r="AZ244" s="7"/>
    </row>
    <row r="245" spans="3:52" x14ac:dyDescent="0.3">
      <c r="C245" s="9"/>
      <c r="D245" s="9"/>
      <c r="E245" s="9"/>
      <c r="F245" s="7"/>
      <c r="G245" s="7"/>
      <c r="H245" s="7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F245" s="23"/>
      <c r="AG245" s="23"/>
      <c r="AH245" s="23"/>
      <c r="AI245" s="23"/>
      <c r="AJ245" s="9"/>
      <c r="AK245" s="9"/>
      <c r="AL245" s="9"/>
      <c r="AM245" s="9"/>
      <c r="AN245" s="9"/>
      <c r="AO245" s="9"/>
      <c r="AP245" s="9"/>
      <c r="AQ245" s="25"/>
      <c r="AY245" s="21"/>
      <c r="AZ245" s="7"/>
    </row>
    <row r="246" spans="3:52" x14ac:dyDescent="0.3">
      <c r="C246" s="9"/>
      <c r="D246" s="9"/>
      <c r="E246" s="9"/>
      <c r="F246" s="7"/>
      <c r="G246" s="7"/>
      <c r="H246" s="7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F246" s="23"/>
      <c r="AG246" s="23"/>
      <c r="AH246" s="23"/>
      <c r="AI246" s="23"/>
      <c r="AJ246" s="9"/>
      <c r="AK246" s="9"/>
      <c r="AL246" s="9"/>
      <c r="AM246" s="9"/>
      <c r="AN246" s="9"/>
      <c r="AO246" s="9"/>
      <c r="AP246" s="9"/>
      <c r="AQ246" s="25"/>
      <c r="AY246" s="21"/>
      <c r="AZ246" s="7"/>
    </row>
    <row r="247" spans="3:52" x14ac:dyDescent="0.3">
      <c r="C247" s="9"/>
      <c r="D247" s="9"/>
      <c r="E247" s="9"/>
      <c r="F247" s="7"/>
      <c r="G247" s="7"/>
      <c r="H247" s="7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F247" s="23"/>
      <c r="AG247" s="23"/>
      <c r="AH247" s="23"/>
      <c r="AI247" s="23"/>
      <c r="AJ247" s="9"/>
      <c r="AK247" s="9"/>
      <c r="AL247" s="9"/>
      <c r="AM247" s="9"/>
      <c r="AN247" s="9"/>
      <c r="AO247" s="9"/>
      <c r="AP247" s="9"/>
      <c r="AQ247" s="25"/>
      <c r="AY247" s="21"/>
      <c r="AZ247" s="7"/>
    </row>
    <row r="248" spans="3:52" x14ac:dyDescent="0.3">
      <c r="C248" s="9"/>
      <c r="D248" s="9"/>
      <c r="E248" s="9"/>
      <c r="F248" s="7"/>
      <c r="G248" s="7"/>
      <c r="H248" s="7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F248" s="23"/>
      <c r="AG248" s="23"/>
      <c r="AH248" s="23"/>
      <c r="AI248" s="23"/>
      <c r="AJ248" s="9"/>
      <c r="AK248" s="9"/>
      <c r="AL248" s="9"/>
      <c r="AM248" s="9"/>
      <c r="AN248" s="9"/>
      <c r="AO248" s="9"/>
      <c r="AP248" s="9"/>
      <c r="AQ248" s="25"/>
      <c r="AY248" s="21"/>
      <c r="AZ248" s="7"/>
    </row>
    <row r="249" spans="3:52" x14ac:dyDescent="0.3">
      <c r="C249" s="9"/>
      <c r="D249" s="9"/>
      <c r="E249" s="9"/>
      <c r="F249" s="7"/>
      <c r="G249" s="7"/>
      <c r="H249" s="7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F249" s="23"/>
      <c r="AG249" s="23"/>
      <c r="AH249" s="23"/>
      <c r="AI249" s="23"/>
      <c r="AJ249" s="9"/>
      <c r="AK249" s="9"/>
      <c r="AL249" s="9"/>
      <c r="AM249" s="9"/>
      <c r="AN249" s="9"/>
      <c r="AO249" s="9"/>
      <c r="AP249" s="9"/>
      <c r="AQ249" s="25"/>
      <c r="AY249" s="21"/>
      <c r="AZ249" s="7"/>
    </row>
    <row r="250" spans="3:52" x14ac:dyDescent="0.3">
      <c r="C250" s="9"/>
      <c r="D250" s="9"/>
      <c r="E250" s="9"/>
      <c r="F250" s="7"/>
      <c r="G250" s="7"/>
      <c r="H250" s="7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F250" s="23"/>
      <c r="AG250" s="23"/>
      <c r="AH250" s="23"/>
      <c r="AI250" s="23"/>
      <c r="AJ250" s="9"/>
      <c r="AK250" s="9"/>
      <c r="AL250" s="9"/>
      <c r="AM250" s="9"/>
      <c r="AN250" s="9"/>
      <c r="AO250" s="9"/>
      <c r="AP250" s="9"/>
      <c r="AQ250" s="25"/>
      <c r="AY250" s="21"/>
      <c r="AZ250" s="7"/>
    </row>
    <row r="251" spans="3:52" x14ac:dyDescent="0.3">
      <c r="C251" s="9"/>
      <c r="D251" s="9"/>
      <c r="E251" s="9"/>
      <c r="F251" s="7"/>
      <c r="G251" s="7"/>
      <c r="H251" s="7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F251" s="23"/>
      <c r="AG251" s="23"/>
      <c r="AH251" s="23"/>
      <c r="AI251" s="23"/>
      <c r="AJ251" s="9"/>
      <c r="AK251" s="9"/>
      <c r="AL251" s="9"/>
      <c r="AM251" s="9"/>
      <c r="AN251" s="9"/>
      <c r="AO251" s="9"/>
      <c r="AP251" s="9"/>
      <c r="AQ251" s="25"/>
      <c r="AY251" s="21"/>
      <c r="AZ251" s="7"/>
    </row>
    <row r="252" spans="3:52" x14ac:dyDescent="0.3">
      <c r="C252" s="9"/>
      <c r="D252" s="9"/>
      <c r="E252" s="9"/>
      <c r="F252" s="7"/>
      <c r="G252" s="7"/>
      <c r="H252" s="7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F252" s="23"/>
      <c r="AG252" s="23"/>
      <c r="AH252" s="23"/>
      <c r="AI252" s="23"/>
      <c r="AJ252" s="9"/>
      <c r="AK252" s="9"/>
      <c r="AL252" s="9"/>
      <c r="AM252" s="9"/>
      <c r="AN252" s="9"/>
      <c r="AO252" s="9"/>
      <c r="AP252" s="9"/>
      <c r="AQ252" s="25"/>
      <c r="AY252" s="21"/>
      <c r="AZ252" s="7"/>
    </row>
    <row r="253" spans="3:52" x14ac:dyDescent="0.3">
      <c r="C253" s="9"/>
      <c r="D253" s="9"/>
      <c r="E253" s="9"/>
      <c r="F253" s="7"/>
      <c r="G253" s="7"/>
      <c r="H253" s="7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F253" s="23"/>
      <c r="AG253" s="23"/>
      <c r="AH253" s="23"/>
      <c r="AI253" s="23"/>
      <c r="AJ253" s="9"/>
      <c r="AK253" s="9"/>
      <c r="AL253" s="9"/>
      <c r="AM253" s="9"/>
      <c r="AN253" s="9"/>
      <c r="AO253" s="9"/>
      <c r="AP253" s="9"/>
      <c r="AQ253" s="25"/>
      <c r="AY253" s="21"/>
      <c r="AZ253" s="7"/>
    </row>
    <row r="254" spans="3:52" x14ac:dyDescent="0.3">
      <c r="C254" s="9"/>
      <c r="D254" s="9"/>
      <c r="E254" s="9"/>
      <c r="F254" s="7"/>
      <c r="G254" s="7"/>
      <c r="H254" s="7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F254" s="23"/>
      <c r="AG254" s="23"/>
      <c r="AH254" s="23"/>
      <c r="AI254" s="23"/>
      <c r="AJ254" s="9"/>
      <c r="AK254" s="9"/>
      <c r="AL254" s="9"/>
      <c r="AM254" s="9"/>
      <c r="AN254" s="9"/>
      <c r="AO254" s="9"/>
      <c r="AP254" s="9"/>
      <c r="AQ254" s="25"/>
      <c r="AY254" s="21"/>
      <c r="AZ254" s="7"/>
    </row>
    <row r="255" spans="3:52" x14ac:dyDescent="0.3">
      <c r="C255" s="9"/>
      <c r="D255" s="9"/>
      <c r="E255" s="9"/>
      <c r="F255" s="7"/>
      <c r="G255" s="7"/>
      <c r="H255" s="7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F255" s="23"/>
      <c r="AG255" s="23"/>
      <c r="AH255" s="23"/>
      <c r="AI255" s="23"/>
      <c r="AJ255" s="9"/>
      <c r="AK255" s="9"/>
      <c r="AL255" s="9"/>
      <c r="AM255" s="9"/>
      <c r="AN255" s="9"/>
      <c r="AO255" s="9"/>
      <c r="AP255" s="9"/>
      <c r="AQ255" s="25"/>
      <c r="AY255" s="21"/>
      <c r="AZ255" s="7"/>
    </row>
    <row r="256" spans="3:52" x14ac:dyDescent="0.3">
      <c r="C256" s="9"/>
      <c r="D256" s="9"/>
      <c r="E256" s="9"/>
      <c r="F256" s="7"/>
      <c r="G256" s="7"/>
      <c r="H256" s="7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F256" s="23"/>
      <c r="AG256" s="23"/>
      <c r="AH256" s="23"/>
      <c r="AI256" s="23"/>
      <c r="AJ256" s="9"/>
      <c r="AK256" s="9"/>
      <c r="AL256" s="9"/>
      <c r="AM256" s="9"/>
      <c r="AN256" s="9"/>
      <c r="AO256" s="9"/>
      <c r="AP256" s="9"/>
      <c r="AQ256" s="25"/>
      <c r="AY256" s="21"/>
      <c r="AZ256" s="7"/>
    </row>
    <row r="257" spans="3:52" x14ac:dyDescent="0.3">
      <c r="C257" s="9"/>
      <c r="D257" s="9"/>
      <c r="E257" s="9"/>
      <c r="F257" s="7"/>
      <c r="G257" s="7"/>
      <c r="H257" s="7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F257" s="23"/>
      <c r="AG257" s="23"/>
      <c r="AH257" s="23"/>
      <c r="AI257" s="23"/>
      <c r="AJ257" s="9"/>
      <c r="AK257" s="9"/>
      <c r="AL257" s="9"/>
      <c r="AM257" s="9"/>
      <c r="AN257" s="9"/>
      <c r="AO257" s="9"/>
      <c r="AP257" s="9"/>
      <c r="AQ257" s="25"/>
      <c r="AY257" s="21"/>
      <c r="AZ257" s="7"/>
    </row>
    <row r="258" spans="3:52" x14ac:dyDescent="0.3">
      <c r="C258" s="9"/>
      <c r="D258" s="9"/>
      <c r="E258" s="9"/>
      <c r="F258" s="7"/>
      <c r="G258" s="7"/>
      <c r="H258" s="7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F258" s="23"/>
      <c r="AG258" s="23"/>
      <c r="AH258" s="23"/>
      <c r="AI258" s="23"/>
      <c r="AJ258" s="9"/>
      <c r="AK258" s="9"/>
      <c r="AL258" s="9"/>
      <c r="AM258" s="9"/>
      <c r="AN258" s="9"/>
      <c r="AO258" s="9"/>
      <c r="AP258" s="9"/>
      <c r="AQ258" s="25"/>
      <c r="AY258" s="21"/>
      <c r="AZ258" s="7"/>
    </row>
    <row r="259" spans="3:52" x14ac:dyDescent="0.3">
      <c r="C259" s="9"/>
      <c r="D259" s="9"/>
      <c r="E259" s="9"/>
      <c r="F259" s="7"/>
      <c r="G259" s="7"/>
      <c r="H259" s="7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F259" s="23"/>
      <c r="AG259" s="23"/>
      <c r="AH259" s="23"/>
      <c r="AI259" s="23"/>
      <c r="AJ259" s="9"/>
      <c r="AK259" s="9"/>
      <c r="AL259" s="9"/>
      <c r="AM259" s="9"/>
      <c r="AN259" s="9"/>
      <c r="AO259" s="9"/>
      <c r="AP259" s="9"/>
      <c r="AQ259" s="25"/>
      <c r="AY259" s="21"/>
      <c r="AZ259" s="7"/>
    </row>
    <row r="260" spans="3:52" x14ac:dyDescent="0.3">
      <c r="C260" s="9"/>
      <c r="D260" s="9"/>
      <c r="E260" s="9"/>
      <c r="F260" s="7"/>
      <c r="G260" s="7"/>
      <c r="H260" s="7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F260" s="23"/>
      <c r="AG260" s="23"/>
      <c r="AH260" s="23"/>
      <c r="AI260" s="23"/>
      <c r="AJ260" s="9"/>
      <c r="AK260" s="9"/>
      <c r="AL260" s="9"/>
      <c r="AM260" s="9"/>
      <c r="AN260" s="9"/>
      <c r="AO260" s="9"/>
      <c r="AP260" s="9"/>
      <c r="AQ260" s="25"/>
      <c r="AY260" s="21"/>
      <c r="AZ260" s="7"/>
    </row>
    <row r="261" spans="3:52" x14ac:dyDescent="0.3">
      <c r="C261" s="9"/>
      <c r="D261" s="9"/>
      <c r="E261" s="9"/>
      <c r="F261" s="7"/>
      <c r="G261" s="7"/>
      <c r="H261" s="7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F261" s="23"/>
      <c r="AG261" s="23"/>
      <c r="AH261" s="23"/>
      <c r="AI261" s="23"/>
      <c r="AJ261" s="9"/>
      <c r="AK261" s="9"/>
      <c r="AL261" s="9"/>
      <c r="AM261" s="9"/>
      <c r="AN261" s="9"/>
      <c r="AO261" s="9"/>
      <c r="AP261" s="9"/>
      <c r="AQ261" s="25"/>
      <c r="AY261" s="21"/>
      <c r="AZ261" s="7"/>
    </row>
    <row r="262" spans="3:52" x14ac:dyDescent="0.3">
      <c r="C262" s="9"/>
      <c r="D262" s="9"/>
      <c r="E262" s="9"/>
      <c r="F262" s="7"/>
      <c r="G262" s="7"/>
      <c r="H262" s="7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F262" s="23"/>
      <c r="AG262" s="23"/>
      <c r="AH262" s="23"/>
      <c r="AI262" s="23"/>
      <c r="AJ262" s="9"/>
      <c r="AK262" s="9"/>
      <c r="AL262" s="9"/>
      <c r="AM262" s="9"/>
      <c r="AN262" s="9"/>
      <c r="AO262" s="9"/>
      <c r="AP262" s="9"/>
      <c r="AQ262" s="25"/>
      <c r="AY262" s="21"/>
      <c r="AZ262" s="7"/>
    </row>
    <row r="263" spans="3:52" x14ac:dyDescent="0.3">
      <c r="C263" s="9"/>
      <c r="D263" s="9"/>
      <c r="E263" s="9"/>
      <c r="F263" s="7"/>
      <c r="G263" s="7"/>
      <c r="H263" s="7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F263" s="23"/>
      <c r="AG263" s="23"/>
      <c r="AH263" s="23"/>
      <c r="AI263" s="23"/>
      <c r="AJ263" s="9"/>
      <c r="AK263" s="9"/>
      <c r="AL263" s="9"/>
      <c r="AM263" s="9"/>
      <c r="AN263" s="9"/>
      <c r="AO263" s="9"/>
      <c r="AP263" s="9"/>
      <c r="AQ263" s="25"/>
      <c r="AY263" s="21"/>
      <c r="AZ263" s="7"/>
    </row>
    <row r="264" spans="3:52" x14ac:dyDescent="0.3">
      <c r="C264" s="9"/>
      <c r="D264" s="9"/>
      <c r="E264" s="9"/>
      <c r="F264" s="7"/>
      <c r="G264" s="7"/>
      <c r="H264" s="7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F264" s="23"/>
      <c r="AG264" s="23"/>
      <c r="AH264" s="23"/>
      <c r="AI264" s="23"/>
      <c r="AJ264" s="9"/>
      <c r="AK264" s="9"/>
      <c r="AL264" s="9"/>
      <c r="AM264" s="9"/>
      <c r="AN264" s="9"/>
      <c r="AO264" s="9"/>
      <c r="AP264" s="9"/>
      <c r="AQ264" s="25"/>
      <c r="AY264" s="21"/>
      <c r="AZ264" s="7"/>
    </row>
    <row r="265" spans="3:52" x14ac:dyDescent="0.3">
      <c r="C265" s="9"/>
      <c r="D265" s="9"/>
      <c r="E265" s="9"/>
      <c r="F265" s="7"/>
      <c r="G265" s="7"/>
      <c r="H265" s="7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F265" s="23"/>
      <c r="AG265" s="23"/>
      <c r="AH265" s="23"/>
      <c r="AI265" s="23"/>
      <c r="AJ265" s="9"/>
      <c r="AK265" s="9"/>
      <c r="AL265" s="9"/>
      <c r="AM265" s="9"/>
      <c r="AN265" s="9"/>
      <c r="AO265" s="9"/>
      <c r="AP265" s="9"/>
      <c r="AQ265" s="25"/>
      <c r="AY265" s="21"/>
      <c r="AZ265" s="7"/>
    </row>
    <row r="266" spans="3:52" x14ac:dyDescent="0.3">
      <c r="C266" s="9"/>
      <c r="D266" s="9"/>
      <c r="E266" s="9"/>
      <c r="F266" s="7"/>
      <c r="G266" s="7"/>
      <c r="H266" s="7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F266" s="23"/>
      <c r="AG266" s="23"/>
      <c r="AH266" s="23"/>
      <c r="AI266" s="23"/>
      <c r="AJ266" s="9"/>
      <c r="AK266" s="9"/>
      <c r="AL266" s="9"/>
      <c r="AM266" s="9"/>
      <c r="AN266" s="9"/>
      <c r="AO266" s="9"/>
      <c r="AP266" s="9"/>
      <c r="AQ266" s="25"/>
      <c r="AY266" s="21"/>
      <c r="AZ266" s="7"/>
    </row>
    <row r="267" spans="3:52" x14ac:dyDescent="0.3">
      <c r="C267" s="9"/>
      <c r="D267" s="9"/>
      <c r="E267" s="9"/>
      <c r="F267" s="7"/>
      <c r="G267" s="7"/>
      <c r="H267" s="7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F267" s="23"/>
      <c r="AG267" s="23"/>
      <c r="AH267" s="23"/>
      <c r="AI267" s="23"/>
      <c r="AJ267" s="9"/>
      <c r="AK267" s="9"/>
      <c r="AL267" s="9"/>
      <c r="AM267" s="9"/>
      <c r="AN267" s="9"/>
      <c r="AO267" s="9"/>
      <c r="AP267" s="9"/>
      <c r="AQ267" s="25"/>
      <c r="AY267" s="21"/>
      <c r="AZ267" s="7"/>
    </row>
    <row r="268" spans="3:52" x14ac:dyDescent="0.3">
      <c r="C268" s="9"/>
      <c r="D268" s="9"/>
      <c r="E268" s="9"/>
      <c r="F268" s="7"/>
      <c r="G268" s="7"/>
      <c r="H268" s="7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F268" s="23"/>
      <c r="AG268" s="23"/>
      <c r="AH268" s="23"/>
      <c r="AI268" s="23"/>
      <c r="AJ268" s="9"/>
      <c r="AK268" s="9"/>
      <c r="AL268" s="9"/>
      <c r="AM268" s="9"/>
      <c r="AN268" s="9"/>
      <c r="AO268" s="9"/>
      <c r="AP268" s="9"/>
      <c r="AQ268" s="25"/>
      <c r="AY268" s="21"/>
      <c r="AZ268" s="7"/>
    </row>
    <row r="269" spans="3:52" x14ac:dyDescent="0.3">
      <c r="C269" s="9"/>
      <c r="D269" s="9"/>
      <c r="E269" s="9"/>
      <c r="F269" s="7"/>
      <c r="G269" s="7"/>
      <c r="H269" s="7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F269" s="23"/>
      <c r="AG269" s="23"/>
      <c r="AH269" s="23"/>
      <c r="AI269" s="23"/>
      <c r="AJ269" s="9"/>
      <c r="AK269" s="9"/>
      <c r="AL269" s="9"/>
      <c r="AM269" s="9"/>
      <c r="AN269" s="9"/>
      <c r="AO269" s="9"/>
      <c r="AP269" s="9"/>
      <c r="AQ269" s="25"/>
      <c r="AY269" s="21"/>
      <c r="AZ269" s="7"/>
    </row>
    <row r="270" spans="3:52" x14ac:dyDescent="0.3">
      <c r="C270" s="9"/>
      <c r="D270" s="9"/>
      <c r="E270" s="9"/>
      <c r="F270" s="7"/>
      <c r="G270" s="7"/>
      <c r="H270" s="7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F270" s="23"/>
      <c r="AG270" s="23"/>
      <c r="AH270" s="23"/>
      <c r="AI270" s="23"/>
      <c r="AJ270" s="9"/>
      <c r="AK270" s="9"/>
      <c r="AL270" s="9"/>
      <c r="AM270" s="9"/>
      <c r="AN270" s="9"/>
      <c r="AO270" s="9"/>
      <c r="AP270" s="9"/>
      <c r="AQ270" s="25"/>
      <c r="AY270" s="21"/>
      <c r="AZ270" s="7"/>
    </row>
    <row r="271" spans="3:52" x14ac:dyDescent="0.3">
      <c r="C271" s="9"/>
      <c r="D271" s="9"/>
      <c r="E271" s="9"/>
      <c r="F271" s="7"/>
      <c r="G271" s="7"/>
      <c r="H271" s="7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F271" s="23"/>
      <c r="AG271" s="23"/>
      <c r="AH271" s="23"/>
      <c r="AI271" s="23"/>
      <c r="AJ271" s="9"/>
      <c r="AK271" s="9"/>
      <c r="AL271" s="9"/>
      <c r="AM271" s="9"/>
      <c r="AN271" s="9"/>
      <c r="AO271" s="9"/>
      <c r="AP271" s="9"/>
      <c r="AQ271" s="25"/>
      <c r="AY271" s="21"/>
      <c r="AZ271" s="7"/>
    </row>
    <row r="272" spans="3:52" x14ac:dyDescent="0.3">
      <c r="C272" s="9"/>
      <c r="D272" s="9"/>
      <c r="E272" s="9"/>
      <c r="F272" s="7"/>
      <c r="G272" s="7"/>
      <c r="H272" s="7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F272" s="23"/>
      <c r="AG272" s="23"/>
      <c r="AH272" s="23"/>
      <c r="AI272" s="23"/>
      <c r="AJ272" s="9"/>
      <c r="AK272" s="9"/>
      <c r="AL272" s="9"/>
      <c r="AM272" s="9"/>
      <c r="AN272" s="9"/>
      <c r="AO272" s="9"/>
      <c r="AP272" s="9"/>
      <c r="AQ272" s="25"/>
      <c r="AY272" s="21"/>
      <c r="AZ272" s="7"/>
    </row>
    <row r="273" spans="3:52" x14ac:dyDescent="0.3">
      <c r="C273" s="9"/>
      <c r="D273" s="9"/>
      <c r="E273" s="9"/>
      <c r="F273" s="7"/>
      <c r="G273" s="7"/>
      <c r="H273" s="7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F273" s="23"/>
      <c r="AG273" s="23"/>
      <c r="AH273" s="23"/>
      <c r="AI273" s="23"/>
      <c r="AJ273" s="9"/>
      <c r="AK273" s="9"/>
      <c r="AL273" s="9"/>
      <c r="AM273" s="9"/>
      <c r="AN273" s="9"/>
      <c r="AO273" s="9"/>
      <c r="AP273" s="9"/>
      <c r="AQ273" s="25"/>
      <c r="AY273" s="21"/>
      <c r="AZ273" s="7"/>
    </row>
    <row r="274" spans="3:52" x14ac:dyDescent="0.3">
      <c r="C274" s="9"/>
      <c r="D274" s="9"/>
      <c r="E274" s="9"/>
      <c r="F274" s="7"/>
      <c r="G274" s="7"/>
      <c r="H274" s="7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F274" s="23"/>
      <c r="AG274" s="23"/>
      <c r="AH274" s="23"/>
      <c r="AI274" s="23"/>
      <c r="AJ274" s="9"/>
      <c r="AK274" s="9"/>
      <c r="AL274" s="9"/>
      <c r="AM274" s="9"/>
      <c r="AN274" s="9"/>
      <c r="AO274" s="9"/>
      <c r="AP274" s="9"/>
      <c r="AQ274" s="25"/>
      <c r="AY274" s="21"/>
      <c r="AZ274" s="7"/>
    </row>
    <row r="275" spans="3:52" x14ac:dyDescent="0.3">
      <c r="C275" s="9"/>
      <c r="D275" s="9"/>
      <c r="E275" s="9"/>
      <c r="F275" s="7"/>
      <c r="G275" s="7"/>
      <c r="H275" s="7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F275" s="23"/>
      <c r="AG275" s="23"/>
      <c r="AH275" s="23"/>
      <c r="AI275" s="23"/>
      <c r="AJ275" s="9"/>
      <c r="AK275" s="9"/>
      <c r="AL275" s="9"/>
      <c r="AM275" s="9"/>
      <c r="AN275" s="9"/>
      <c r="AO275" s="9"/>
      <c r="AP275" s="9"/>
      <c r="AQ275" s="25"/>
      <c r="AY275" s="21"/>
      <c r="AZ275" s="7"/>
    </row>
    <row r="276" spans="3:52" x14ac:dyDescent="0.3">
      <c r="C276" s="9"/>
      <c r="D276" s="9"/>
      <c r="E276" s="9"/>
      <c r="F276" s="7"/>
      <c r="G276" s="7"/>
      <c r="H276" s="7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F276" s="23"/>
      <c r="AG276" s="23"/>
      <c r="AH276" s="23"/>
      <c r="AI276" s="23"/>
      <c r="AJ276" s="9"/>
      <c r="AK276" s="9"/>
      <c r="AL276" s="9"/>
      <c r="AM276" s="9"/>
      <c r="AN276" s="9"/>
      <c r="AO276" s="9"/>
      <c r="AP276" s="9"/>
      <c r="AQ276" s="25"/>
      <c r="AY276" s="21"/>
      <c r="AZ276" s="7"/>
    </row>
    <row r="277" spans="3:52" x14ac:dyDescent="0.3">
      <c r="C277" s="9"/>
      <c r="D277" s="9"/>
      <c r="E277" s="9"/>
      <c r="F277" s="7"/>
      <c r="G277" s="7"/>
      <c r="H277" s="7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F277" s="23"/>
      <c r="AG277" s="23"/>
      <c r="AH277" s="23"/>
      <c r="AI277" s="23"/>
      <c r="AJ277" s="9"/>
      <c r="AK277" s="9"/>
      <c r="AL277" s="9"/>
      <c r="AM277" s="9"/>
      <c r="AN277" s="9"/>
      <c r="AO277" s="9"/>
      <c r="AP277" s="9"/>
      <c r="AQ277" s="25"/>
      <c r="AY277" s="21"/>
      <c r="AZ277" s="7"/>
    </row>
    <row r="278" spans="3:52" x14ac:dyDescent="0.3">
      <c r="C278" s="9"/>
      <c r="D278" s="9"/>
      <c r="E278" s="9"/>
      <c r="F278" s="7"/>
      <c r="G278" s="7"/>
      <c r="H278" s="7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F278" s="23"/>
      <c r="AG278" s="23"/>
      <c r="AH278" s="23"/>
      <c r="AI278" s="23"/>
      <c r="AJ278" s="9"/>
      <c r="AK278" s="9"/>
      <c r="AL278" s="9"/>
      <c r="AM278" s="9"/>
      <c r="AN278" s="9"/>
      <c r="AO278" s="9"/>
      <c r="AP278" s="9"/>
      <c r="AQ278" s="25"/>
      <c r="AY278" s="21"/>
      <c r="AZ278" s="7"/>
    </row>
    <row r="279" spans="3:52" x14ac:dyDescent="0.3">
      <c r="C279" s="9"/>
      <c r="D279" s="9"/>
      <c r="E279" s="9"/>
      <c r="F279" s="7"/>
      <c r="G279" s="7"/>
      <c r="H279" s="7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F279" s="23"/>
      <c r="AG279" s="23"/>
      <c r="AH279" s="23"/>
      <c r="AI279" s="23"/>
      <c r="AJ279" s="9"/>
      <c r="AK279" s="9"/>
      <c r="AL279" s="9"/>
      <c r="AM279" s="9"/>
      <c r="AN279" s="9"/>
      <c r="AO279" s="9"/>
      <c r="AP279" s="9"/>
      <c r="AQ279" s="25"/>
      <c r="AY279" s="21"/>
      <c r="AZ279" s="7"/>
    </row>
    <row r="280" spans="3:52" x14ac:dyDescent="0.3">
      <c r="C280" s="9"/>
      <c r="D280" s="9"/>
      <c r="E280" s="9"/>
      <c r="F280" s="7"/>
      <c r="G280" s="7"/>
      <c r="H280" s="7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F280" s="23"/>
      <c r="AG280" s="23"/>
      <c r="AH280" s="23"/>
      <c r="AI280" s="23"/>
      <c r="AJ280" s="9"/>
      <c r="AK280" s="9"/>
      <c r="AL280" s="9"/>
      <c r="AM280" s="9"/>
      <c r="AN280" s="9"/>
      <c r="AO280" s="9"/>
      <c r="AP280" s="9"/>
      <c r="AQ280" s="25"/>
      <c r="AY280" s="21"/>
      <c r="AZ280" s="7"/>
    </row>
    <row r="281" spans="3:52" x14ac:dyDescent="0.3">
      <c r="C281" s="9"/>
      <c r="D281" s="9"/>
      <c r="E281" s="9"/>
      <c r="F281" s="7"/>
      <c r="G281" s="7"/>
      <c r="H281" s="7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F281" s="23"/>
      <c r="AG281" s="23"/>
      <c r="AH281" s="23"/>
      <c r="AI281" s="23"/>
      <c r="AJ281" s="9"/>
      <c r="AK281" s="9"/>
      <c r="AL281" s="9"/>
      <c r="AM281" s="9"/>
      <c r="AN281" s="9"/>
      <c r="AO281" s="9"/>
      <c r="AP281" s="9"/>
      <c r="AQ281" s="25"/>
      <c r="AY281" s="21"/>
      <c r="AZ281" s="7"/>
    </row>
    <row r="282" spans="3:52" x14ac:dyDescent="0.3">
      <c r="C282" s="9"/>
      <c r="D282" s="9"/>
      <c r="E282" s="9"/>
      <c r="F282" s="7"/>
      <c r="G282" s="7"/>
      <c r="H282" s="7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F282" s="23"/>
      <c r="AG282" s="23"/>
      <c r="AH282" s="23"/>
      <c r="AI282" s="23"/>
      <c r="AJ282" s="9"/>
      <c r="AK282" s="9"/>
      <c r="AL282" s="9"/>
      <c r="AM282" s="9"/>
      <c r="AN282" s="9"/>
      <c r="AO282" s="9"/>
      <c r="AP282" s="9"/>
      <c r="AQ282" s="25"/>
      <c r="AY282" s="21"/>
      <c r="AZ282" s="7"/>
    </row>
    <row r="283" spans="3:52" x14ac:dyDescent="0.3">
      <c r="C283" s="9"/>
      <c r="D283" s="9"/>
      <c r="E283" s="9"/>
      <c r="F283" s="7"/>
      <c r="G283" s="7"/>
      <c r="H283" s="7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F283" s="23"/>
      <c r="AG283" s="23"/>
      <c r="AH283" s="23"/>
      <c r="AI283" s="23"/>
      <c r="AJ283" s="9"/>
      <c r="AK283" s="9"/>
      <c r="AL283" s="9"/>
      <c r="AM283" s="9"/>
      <c r="AN283" s="9"/>
      <c r="AO283" s="9"/>
      <c r="AP283" s="9"/>
      <c r="AQ283" s="25"/>
      <c r="AY283" s="21"/>
      <c r="AZ283" s="7"/>
    </row>
    <row r="284" spans="3:52" x14ac:dyDescent="0.3">
      <c r="C284" s="9"/>
      <c r="D284" s="9"/>
      <c r="E284" s="9"/>
      <c r="F284" s="7"/>
      <c r="G284" s="7"/>
      <c r="H284" s="7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F284" s="23"/>
      <c r="AG284" s="23"/>
      <c r="AH284" s="23"/>
      <c r="AI284" s="23"/>
      <c r="AJ284" s="9"/>
      <c r="AK284" s="9"/>
      <c r="AL284" s="9"/>
      <c r="AM284" s="9"/>
      <c r="AN284" s="9"/>
      <c r="AO284" s="9"/>
      <c r="AP284" s="9"/>
      <c r="AQ284" s="25"/>
      <c r="AY284" s="21"/>
      <c r="AZ284" s="7"/>
    </row>
    <row r="285" spans="3:52" x14ac:dyDescent="0.3">
      <c r="C285" s="9"/>
      <c r="D285" s="9"/>
      <c r="E285" s="9"/>
      <c r="F285" s="7"/>
      <c r="G285" s="7"/>
      <c r="H285" s="7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F285" s="23"/>
      <c r="AG285" s="23"/>
      <c r="AH285" s="23"/>
      <c r="AI285" s="23"/>
      <c r="AJ285" s="9"/>
      <c r="AK285" s="9"/>
      <c r="AL285" s="9"/>
      <c r="AM285" s="9"/>
      <c r="AN285" s="9"/>
      <c r="AO285" s="9"/>
      <c r="AP285" s="9"/>
      <c r="AQ285" s="25"/>
      <c r="AY285" s="21"/>
      <c r="AZ285" s="7"/>
    </row>
    <row r="286" spans="3:52" x14ac:dyDescent="0.3">
      <c r="C286" s="9"/>
      <c r="D286" s="9"/>
      <c r="E286" s="9"/>
      <c r="F286" s="7"/>
      <c r="G286" s="7"/>
      <c r="H286" s="7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F286" s="23"/>
      <c r="AG286" s="23"/>
      <c r="AH286" s="23"/>
      <c r="AI286" s="23"/>
      <c r="AJ286" s="9"/>
      <c r="AK286" s="9"/>
      <c r="AL286" s="9"/>
      <c r="AM286" s="9"/>
      <c r="AN286" s="9"/>
      <c r="AO286" s="9"/>
      <c r="AP286" s="9"/>
      <c r="AQ286" s="25"/>
      <c r="AY286" s="21"/>
      <c r="AZ286" s="7"/>
    </row>
    <row r="287" spans="3:52" x14ac:dyDescent="0.3">
      <c r="C287" s="9"/>
      <c r="D287" s="9"/>
      <c r="E287" s="9"/>
      <c r="F287" s="7"/>
      <c r="G287" s="7"/>
      <c r="H287" s="7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F287" s="23"/>
      <c r="AG287" s="23"/>
      <c r="AH287" s="23"/>
      <c r="AI287" s="23"/>
      <c r="AJ287" s="9"/>
      <c r="AK287" s="9"/>
      <c r="AL287" s="9"/>
      <c r="AM287" s="9"/>
      <c r="AN287" s="9"/>
      <c r="AO287" s="9"/>
      <c r="AP287" s="9"/>
      <c r="AQ287" s="25"/>
      <c r="AY287" s="21"/>
      <c r="AZ287" s="7"/>
    </row>
    <row r="288" spans="3:52" x14ac:dyDescent="0.3">
      <c r="C288" s="9"/>
      <c r="D288" s="9"/>
      <c r="E288" s="9"/>
      <c r="F288" s="7"/>
      <c r="G288" s="7"/>
      <c r="H288" s="7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F288" s="23"/>
      <c r="AG288" s="23"/>
      <c r="AH288" s="23"/>
      <c r="AI288" s="23"/>
      <c r="AJ288" s="9"/>
      <c r="AK288" s="9"/>
      <c r="AL288" s="9"/>
      <c r="AM288" s="9"/>
      <c r="AN288" s="9"/>
      <c r="AO288" s="9"/>
      <c r="AP288" s="9"/>
      <c r="AQ288" s="25"/>
      <c r="AY288" s="21"/>
      <c r="AZ288" s="7"/>
    </row>
    <row r="289" spans="3:52" x14ac:dyDescent="0.3">
      <c r="C289" s="9"/>
      <c r="D289" s="9"/>
      <c r="E289" s="9"/>
      <c r="F289" s="7"/>
      <c r="G289" s="7"/>
      <c r="H289" s="7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F289" s="23"/>
      <c r="AG289" s="23"/>
      <c r="AH289" s="23"/>
      <c r="AI289" s="23"/>
      <c r="AJ289" s="9"/>
      <c r="AK289" s="9"/>
      <c r="AL289" s="9"/>
      <c r="AM289" s="9"/>
      <c r="AN289" s="9"/>
      <c r="AO289" s="9"/>
      <c r="AP289" s="9"/>
      <c r="AQ289" s="25"/>
      <c r="AY289" s="21"/>
      <c r="AZ289" s="7"/>
    </row>
    <row r="290" spans="3:52" x14ac:dyDescent="0.3">
      <c r="C290" s="9"/>
      <c r="D290" s="9"/>
      <c r="E290" s="9"/>
      <c r="F290" s="7"/>
      <c r="G290" s="7"/>
      <c r="H290" s="7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F290" s="23"/>
      <c r="AG290" s="23"/>
      <c r="AH290" s="23"/>
      <c r="AI290" s="23"/>
      <c r="AJ290" s="9"/>
      <c r="AK290" s="9"/>
      <c r="AL290" s="9"/>
      <c r="AM290" s="9"/>
      <c r="AN290" s="9"/>
      <c r="AO290" s="9"/>
      <c r="AP290" s="9"/>
      <c r="AQ290" s="25"/>
      <c r="AY290" s="21"/>
      <c r="AZ290" s="7"/>
    </row>
    <row r="291" spans="3:52" x14ac:dyDescent="0.3">
      <c r="C291" s="9"/>
      <c r="D291" s="9"/>
      <c r="E291" s="9"/>
      <c r="F291" s="7"/>
      <c r="G291" s="7"/>
      <c r="H291" s="7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F291" s="23"/>
      <c r="AG291" s="23"/>
      <c r="AH291" s="23"/>
      <c r="AI291" s="23"/>
      <c r="AJ291" s="9"/>
      <c r="AK291" s="9"/>
      <c r="AL291" s="9"/>
      <c r="AM291" s="9"/>
      <c r="AN291" s="9"/>
      <c r="AO291" s="9"/>
      <c r="AP291" s="9"/>
      <c r="AQ291" s="25"/>
      <c r="AY291" s="21"/>
      <c r="AZ291" s="7"/>
    </row>
    <row r="292" spans="3:52" x14ac:dyDescent="0.3">
      <c r="C292" s="9"/>
      <c r="D292" s="9"/>
      <c r="E292" s="9"/>
      <c r="F292" s="7"/>
      <c r="G292" s="7"/>
      <c r="H292" s="7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F292" s="23"/>
      <c r="AG292" s="23"/>
      <c r="AH292" s="23"/>
      <c r="AI292" s="23"/>
      <c r="AJ292" s="9"/>
      <c r="AK292" s="9"/>
      <c r="AL292" s="9"/>
      <c r="AM292" s="9"/>
      <c r="AN292" s="9"/>
      <c r="AO292" s="9"/>
      <c r="AP292" s="9"/>
      <c r="AQ292" s="25"/>
      <c r="AY292" s="21"/>
      <c r="AZ292" s="7"/>
    </row>
    <row r="293" spans="3:52" x14ac:dyDescent="0.3">
      <c r="C293" s="9"/>
      <c r="D293" s="9"/>
      <c r="E293" s="9"/>
      <c r="F293" s="7"/>
      <c r="G293" s="7"/>
      <c r="H293" s="7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F293" s="23"/>
      <c r="AG293" s="23"/>
      <c r="AH293" s="23"/>
      <c r="AI293" s="23"/>
      <c r="AJ293" s="9"/>
      <c r="AK293" s="9"/>
      <c r="AL293" s="9"/>
      <c r="AM293" s="9"/>
      <c r="AN293" s="9"/>
      <c r="AO293" s="9"/>
      <c r="AP293" s="9"/>
      <c r="AQ293" s="25"/>
      <c r="AY293" s="21"/>
      <c r="AZ293" s="7"/>
    </row>
    <row r="294" spans="3:52" x14ac:dyDescent="0.3">
      <c r="C294" s="9"/>
      <c r="D294" s="9"/>
      <c r="E294" s="9"/>
      <c r="F294" s="7"/>
      <c r="G294" s="7"/>
      <c r="H294" s="7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F294" s="23"/>
      <c r="AG294" s="23"/>
      <c r="AH294" s="23"/>
      <c r="AI294" s="23"/>
      <c r="AJ294" s="9"/>
      <c r="AK294" s="9"/>
      <c r="AL294" s="9"/>
      <c r="AM294" s="9"/>
      <c r="AN294" s="9"/>
      <c r="AO294" s="9"/>
      <c r="AP294" s="9"/>
      <c r="AQ294" s="25"/>
      <c r="AY294" s="21"/>
      <c r="AZ294" s="7"/>
    </row>
    <row r="295" spans="3:52" x14ac:dyDescent="0.3">
      <c r="C295" s="9"/>
      <c r="D295" s="9"/>
      <c r="E295" s="9"/>
      <c r="F295" s="7"/>
      <c r="G295" s="7"/>
      <c r="H295" s="7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F295" s="23"/>
      <c r="AG295" s="23"/>
      <c r="AH295" s="23"/>
      <c r="AI295" s="23"/>
      <c r="AJ295" s="9"/>
      <c r="AK295" s="9"/>
      <c r="AL295" s="9"/>
      <c r="AM295" s="9"/>
      <c r="AN295" s="9"/>
      <c r="AO295" s="9"/>
      <c r="AP295" s="9"/>
      <c r="AQ295" s="25"/>
      <c r="AY295" s="21"/>
      <c r="AZ295" s="7"/>
    </row>
    <row r="296" spans="3:52" x14ac:dyDescent="0.3">
      <c r="C296" s="9"/>
      <c r="D296" s="9"/>
      <c r="E296" s="9"/>
      <c r="F296" s="7"/>
      <c r="G296" s="7"/>
      <c r="H296" s="7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F296" s="23"/>
      <c r="AG296" s="23"/>
      <c r="AH296" s="23"/>
      <c r="AI296" s="23"/>
      <c r="AJ296" s="9"/>
      <c r="AK296" s="9"/>
      <c r="AL296" s="9"/>
      <c r="AM296" s="9"/>
      <c r="AN296" s="9"/>
      <c r="AO296" s="9"/>
      <c r="AP296" s="9"/>
      <c r="AQ296" s="25"/>
      <c r="AY296" s="21"/>
      <c r="AZ296" s="7"/>
    </row>
    <row r="297" spans="3:52" x14ac:dyDescent="0.3">
      <c r="C297" s="9"/>
      <c r="D297" s="9"/>
      <c r="E297" s="9"/>
      <c r="F297" s="7"/>
      <c r="G297" s="7"/>
      <c r="H297" s="7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F297" s="23"/>
      <c r="AG297" s="23"/>
      <c r="AH297" s="23"/>
      <c r="AI297" s="23"/>
      <c r="AJ297" s="9"/>
      <c r="AK297" s="9"/>
      <c r="AL297" s="9"/>
      <c r="AM297" s="9"/>
      <c r="AN297" s="9"/>
      <c r="AO297" s="9"/>
      <c r="AP297" s="9"/>
      <c r="AQ297" s="25"/>
      <c r="AY297" s="21"/>
      <c r="AZ297" s="7"/>
    </row>
    <row r="298" spans="3:52" x14ac:dyDescent="0.3">
      <c r="C298" s="9"/>
      <c r="D298" s="9"/>
      <c r="E298" s="9"/>
      <c r="F298" s="7"/>
      <c r="G298" s="7"/>
      <c r="H298" s="7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F298" s="23"/>
      <c r="AG298" s="23"/>
      <c r="AH298" s="23"/>
      <c r="AI298" s="23"/>
      <c r="AJ298" s="9"/>
      <c r="AK298" s="9"/>
      <c r="AL298" s="9"/>
      <c r="AM298" s="9"/>
      <c r="AN298" s="9"/>
      <c r="AO298" s="9"/>
      <c r="AP298" s="9"/>
      <c r="AQ298" s="25"/>
      <c r="AY298" s="21"/>
      <c r="AZ298" s="7"/>
    </row>
    <row r="299" spans="3:52" x14ac:dyDescent="0.3">
      <c r="C299" s="9"/>
      <c r="D299" s="9"/>
      <c r="E299" s="9"/>
      <c r="F299" s="7"/>
      <c r="G299" s="7"/>
      <c r="H299" s="7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F299" s="23"/>
      <c r="AG299" s="23"/>
      <c r="AH299" s="23"/>
      <c r="AI299" s="23"/>
      <c r="AJ299" s="9"/>
      <c r="AK299" s="9"/>
      <c r="AL299" s="9"/>
      <c r="AM299" s="9"/>
      <c r="AN299" s="9"/>
      <c r="AO299" s="9"/>
      <c r="AP299" s="9"/>
      <c r="AQ299" s="25"/>
      <c r="AY299" s="21"/>
      <c r="AZ299" s="7"/>
    </row>
    <row r="300" spans="3:52" x14ac:dyDescent="0.3">
      <c r="C300" s="9"/>
      <c r="D300" s="9"/>
      <c r="E300" s="9"/>
      <c r="F300" s="7"/>
      <c r="G300" s="7"/>
      <c r="H300" s="7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F300" s="23"/>
      <c r="AG300" s="23"/>
      <c r="AH300" s="23"/>
      <c r="AI300" s="23"/>
      <c r="AJ300" s="9"/>
      <c r="AK300" s="9"/>
      <c r="AL300" s="9"/>
      <c r="AM300" s="9"/>
      <c r="AN300" s="9"/>
      <c r="AO300" s="9"/>
      <c r="AP300" s="9"/>
      <c r="AQ300" s="25"/>
      <c r="AY300" s="21"/>
      <c r="AZ300" s="7"/>
    </row>
    <row r="301" spans="3:52" x14ac:dyDescent="0.3">
      <c r="C301" s="9"/>
      <c r="D301" s="9"/>
      <c r="E301" s="9"/>
      <c r="F301" s="7"/>
      <c r="G301" s="7"/>
      <c r="H301" s="7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F301" s="23"/>
      <c r="AG301" s="23"/>
      <c r="AH301" s="23"/>
      <c r="AI301" s="23"/>
      <c r="AJ301" s="9"/>
      <c r="AK301" s="9"/>
      <c r="AL301" s="9"/>
      <c r="AM301" s="9"/>
      <c r="AN301" s="9"/>
      <c r="AO301" s="9"/>
      <c r="AP301" s="9"/>
      <c r="AQ301" s="25"/>
      <c r="AY301" s="21"/>
      <c r="AZ301" s="7"/>
    </row>
    <row r="302" spans="3:52" x14ac:dyDescent="0.3">
      <c r="C302" s="9"/>
      <c r="D302" s="9"/>
      <c r="E302" s="9"/>
      <c r="F302" s="7"/>
      <c r="G302" s="7"/>
      <c r="H302" s="7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F302" s="23"/>
      <c r="AG302" s="23"/>
      <c r="AH302" s="23"/>
      <c r="AI302" s="23"/>
      <c r="AJ302" s="9"/>
      <c r="AK302" s="9"/>
      <c r="AL302" s="9"/>
      <c r="AM302" s="9"/>
      <c r="AN302" s="9"/>
      <c r="AO302" s="9"/>
      <c r="AP302" s="9"/>
      <c r="AQ302" s="25"/>
      <c r="AY302" s="21"/>
      <c r="AZ302" s="7"/>
    </row>
    <row r="303" spans="3:52" x14ac:dyDescent="0.3">
      <c r="C303" s="9"/>
      <c r="D303" s="9"/>
      <c r="E303" s="9"/>
      <c r="F303" s="7"/>
      <c r="G303" s="7"/>
      <c r="H303" s="7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F303" s="23"/>
      <c r="AG303" s="23"/>
      <c r="AH303" s="23"/>
      <c r="AI303" s="23"/>
      <c r="AJ303" s="9"/>
      <c r="AK303" s="9"/>
      <c r="AL303" s="9"/>
      <c r="AM303" s="9"/>
      <c r="AN303" s="9"/>
      <c r="AO303" s="9"/>
      <c r="AP303" s="9"/>
      <c r="AQ303" s="25"/>
      <c r="AY303" s="21"/>
      <c r="AZ303" s="7"/>
    </row>
    <row r="304" spans="3:52" x14ac:dyDescent="0.3">
      <c r="C304" s="9"/>
      <c r="D304" s="9"/>
      <c r="E304" s="9"/>
      <c r="F304" s="7"/>
      <c r="G304" s="7"/>
      <c r="H304" s="7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F304" s="23"/>
      <c r="AG304" s="23"/>
      <c r="AH304" s="23"/>
      <c r="AI304" s="23"/>
      <c r="AJ304" s="9"/>
      <c r="AK304" s="9"/>
      <c r="AL304" s="9"/>
      <c r="AM304" s="9"/>
      <c r="AN304" s="9"/>
      <c r="AO304" s="9"/>
      <c r="AP304" s="9"/>
      <c r="AQ304" s="25"/>
      <c r="AY304" s="21"/>
      <c r="AZ304" s="7"/>
    </row>
    <row r="305" spans="6:6" x14ac:dyDescent="0.3">
      <c r="F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3779-F6B7-4F13-9BB8-217415B0CDF1}">
  <dimension ref="A1:CH305"/>
  <sheetViews>
    <sheetView tabSelected="1" zoomScaleNormal="100" workbookViewId="0">
      <pane xSplit="1" topLeftCell="B1" activePane="topRight" state="frozen"/>
      <selection pane="topRight" activeCell="N79" sqref="N79"/>
    </sheetView>
  </sheetViews>
  <sheetFormatPr defaultRowHeight="14.4" x14ac:dyDescent="0.3"/>
  <cols>
    <col min="3" max="3" width="11.109375" bestFit="1" customWidth="1"/>
    <col min="4" max="5" width="8.6640625" bestFit="1" customWidth="1"/>
    <col min="6" max="8" width="8.6640625" customWidth="1"/>
    <col min="9" max="9" width="8.6640625" style="7" customWidth="1"/>
    <col min="10" max="15" width="8.6640625" customWidth="1"/>
    <col min="16" max="18" width="8.5546875" customWidth="1"/>
    <col min="19" max="23" width="8.6640625" customWidth="1"/>
    <col min="24" max="24" width="10" style="7" customWidth="1"/>
    <col min="25" max="26" width="8.88671875" customWidth="1"/>
    <col min="27" max="27" width="12.33203125" customWidth="1"/>
    <col min="29" max="30" width="8.6640625" customWidth="1"/>
    <col min="31" max="31" width="8.6640625" style="23" customWidth="1"/>
    <col min="32" max="41" width="8.6640625" customWidth="1"/>
    <col min="42" max="42" width="9.33203125" customWidth="1"/>
    <col min="43" max="43" width="8.6640625" customWidth="1"/>
    <col min="44" max="46" width="12.88671875" customWidth="1"/>
    <col min="47" max="48" width="12.88671875" style="7" customWidth="1"/>
    <col min="49" max="49" width="9.109375" customWidth="1"/>
    <col min="50" max="50" width="8.33203125" customWidth="1"/>
    <col min="51" max="51" width="12.44140625" bestFit="1" customWidth="1"/>
    <col min="53" max="53" width="8.88671875" style="7"/>
    <col min="55" max="59" width="8.88671875" style="7"/>
    <col min="79" max="79" width="8.88671875" style="7"/>
  </cols>
  <sheetData>
    <row r="1" spans="1:86" x14ac:dyDescent="0.3">
      <c r="A1" s="1" t="s">
        <v>199</v>
      </c>
      <c r="B1" s="1"/>
      <c r="G1" s="1"/>
      <c r="H1" s="1"/>
      <c r="AF1" s="5"/>
      <c r="AG1" s="5"/>
      <c r="AU1" s="2"/>
      <c r="AV1"/>
      <c r="BA1"/>
      <c r="BC1"/>
      <c r="BD1"/>
      <c r="BE1"/>
      <c r="BF1"/>
      <c r="BG1"/>
      <c r="BH1" t="s">
        <v>73</v>
      </c>
      <c r="BI1" t="e">
        <f>-W204*X204^(-Parameters!B$52)*Parameters!B$46*Parameters!B$45*N204/Parameters!B45/Parameters!B55</f>
        <v>#NUM!</v>
      </c>
      <c r="CA1"/>
    </row>
    <row r="2" spans="1:86" s="2" customFormat="1" x14ac:dyDescent="0.3">
      <c r="C2" s="14"/>
      <c r="D2" s="14"/>
      <c r="E2" s="14"/>
      <c r="I2" s="15"/>
      <c r="P2" s="33"/>
      <c r="Q2" s="33"/>
      <c r="R2" s="33"/>
      <c r="T2" s="7"/>
      <c r="U2" s="7"/>
      <c r="X2" s="15"/>
      <c r="AE2" s="87"/>
      <c r="BH2" s="2" t="s">
        <v>71</v>
      </c>
      <c r="BM2"/>
    </row>
    <row r="3" spans="1:86" ht="15" thickBot="1" x14ac:dyDescent="0.35">
      <c r="A3" t="s">
        <v>6</v>
      </c>
      <c r="B3" t="s">
        <v>200</v>
      </c>
      <c r="C3" t="s">
        <v>161</v>
      </c>
      <c r="D3" t="s">
        <v>162</v>
      </c>
      <c r="E3" t="s">
        <v>163</v>
      </c>
      <c r="F3" t="s">
        <v>164</v>
      </c>
      <c r="G3" t="s">
        <v>165</v>
      </c>
      <c r="H3" t="s">
        <v>166</v>
      </c>
      <c r="I3" s="7" t="s">
        <v>167</v>
      </c>
      <c r="J3" t="s">
        <v>168</v>
      </c>
      <c r="K3" t="s">
        <v>169</v>
      </c>
      <c r="L3" t="s">
        <v>170</v>
      </c>
      <c r="M3" t="s">
        <v>171</v>
      </c>
      <c r="N3" t="s">
        <v>172</v>
      </c>
      <c r="O3" s="67" t="s">
        <v>173</v>
      </c>
      <c r="P3" t="s">
        <v>174</v>
      </c>
      <c r="Q3" t="s">
        <v>175</v>
      </c>
      <c r="R3" t="s">
        <v>176</v>
      </c>
      <c r="S3" t="s">
        <v>177</v>
      </c>
      <c r="T3" s="67" t="s">
        <v>178</v>
      </c>
      <c r="U3" s="67" t="s">
        <v>179</v>
      </c>
      <c r="V3" t="s">
        <v>180</v>
      </c>
      <c r="W3" t="s">
        <v>181</v>
      </c>
      <c r="X3" s="7" t="s">
        <v>182</v>
      </c>
      <c r="Y3" s="67" t="s">
        <v>183</v>
      </c>
      <c r="Z3" t="s">
        <v>184</v>
      </c>
      <c r="AA3" t="s">
        <v>185</v>
      </c>
      <c r="AC3" t="s">
        <v>209</v>
      </c>
      <c r="AD3" t="s">
        <v>208</v>
      </c>
      <c r="AE3" s="23" t="s">
        <v>186</v>
      </c>
      <c r="AF3" t="s">
        <v>187</v>
      </c>
      <c r="AG3" t="s">
        <v>201</v>
      </c>
      <c r="AH3" t="s">
        <v>188</v>
      </c>
      <c r="AI3" t="s">
        <v>202</v>
      </c>
      <c r="AJ3" t="s">
        <v>189</v>
      </c>
      <c r="AK3" t="s">
        <v>203</v>
      </c>
      <c r="AL3" t="s">
        <v>204</v>
      </c>
      <c r="AM3" t="s">
        <v>205</v>
      </c>
      <c r="AN3" t="s">
        <v>206</v>
      </c>
      <c r="AO3" t="s">
        <v>207</v>
      </c>
      <c r="AQ3" t="s">
        <v>42</v>
      </c>
      <c r="AR3" t="s">
        <v>44</v>
      </c>
      <c r="AS3" t="s">
        <v>45</v>
      </c>
      <c r="AT3" t="s">
        <v>59</v>
      </c>
      <c r="AU3" t="s">
        <v>66</v>
      </c>
      <c r="AV3" t="s">
        <v>195</v>
      </c>
      <c r="AW3" t="s">
        <v>194</v>
      </c>
      <c r="AX3" t="s">
        <v>190</v>
      </c>
      <c r="AY3" t="s">
        <v>191</v>
      </c>
      <c r="BA3" t="s">
        <v>192</v>
      </c>
      <c r="BB3" t="s">
        <v>193</v>
      </c>
      <c r="BC3" t="s">
        <v>211</v>
      </c>
      <c r="BD3" t="s">
        <v>210</v>
      </c>
      <c r="BE3" t="s">
        <v>212</v>
      </c>
      <c r="BF3" t="s">
        <v>213</v>
      </c>
      <c r="BG3"/>
      <c r="BH3" t="s">
        <v>52</v>
      </c>
      <c r="BI3" t="s">
        <v>70</v>
      </c>
      <c r="BJ3" t="s">
        <v>72</v>
      </c>
      <c r="BK3" t="s">
        <v>58</v>
      </c>
      <c r="BL3" t="s">
        <v>49</v>
      </c>
      <c r="BM3" t="s">
        <v>50</v>
      </c>
      <c r="BN3" t="s">
        <v>67</v>
      </c>
      <c r="BO3" t="s">
        <v>65</v>
      </c>
      <c r="BP3" t="s">
        <v>62</v>
      </c>
      <c r="BU3" t="s">
        <v>69</v>
      </c>
      <c r="BV3" t="s">
        <v>51</v>
      </c>
      <c r="BW3" t="s">
        <v>53</v>
      </c>
      <c r="BX3" t="s">
        <v>54</v>
      </c>
      <c r="BY3" t="s">
        <v>55</v>
      </c>
      <c r="BZ3" t="s">
        <v>56</v>
      </c>
      <c r="CA3" t="s">
        <v>57</v>
      </c>
      <c r="CB3" t="s">
        <v>63</v>
      </c>
      <c r="CC3" t="s">
        <v>64</v>
      </c>
      <c r="CD3" t="s">
        <v>83</v>
      </c>
      <c r="CE3" t="s">
        <v>80</v>
      </c>
      <c r="CF3" t="s">
        <v>79</v>
      </c>
      <c r="CG3" t="s">
        <v>82</v>
      </c>
      <c r="CH3" t="s">
        <v>84</v>
      </c>
    </row>
    <row r="4" spans="1:86" x14ac:dyDescent="0.3">
      <c r="A4">
        <v>0</v>
      </c>
      <c r="B4">
        <v>2025</v>
      </c>
      <c r="C4" s="71">
        <v>5.6448505511076698E-2</v>
      </c>
      <c r="D4" s="72">
        <v>7.8042264503940199E-3</v>
      </c>
      <c r="E4" s="73">
        <v>0.30249686426998701</v>
      </c>
      <c r="F4" s="7">
        <f>Parameters!B25</f>
        <v>0.79083499999999995</v>
      </c>
      <c r="G4" s="9">
        <f>Parameters!B26</f>
        <v>0.15254000000000001</v>
      </c>
      <c r="H4" s="88">
        <f>Parameters!B27</f>
        <v>4.3499999999999996</v>
      </c>
      <c r="I4" s="7">
        <v>0</v>
      </c>
      <c r="J4" s="23">
        <f>Parameters!B28</f>
        <v>8.16</v>
      </c>
      <c r="K4" s="23">
        <f>Parameters!B29</f>
        <v>9.0525878509486422</v>
      </c>
      <c r="L4" s="23">
        <f>J4*K4*EXP(-Parameters!$B$42*'6states,BAU'!A4)*(Parameters!$B$37/Parameters!$B$38*('6states,BAU'!F4+'6states,BAU'!I4)/Parameters!$E$25*(EXP(-Parameters!$B$38*Parameters!$E$25*'6states,BAU'!I4/('6states,BAU'!F4+'6states,BAU'!I4))-EXP(-Parameters!$B$38*Parameters!$E$25))  +  Parameters!$B$39*'6states,BAU'!F4)</f>
        <v>53.20000000000001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7">
        <f>MAX((Parameters!$B$62 + Parameters!$B$31*'6states,BAU'!A4 - '6states,BAU'!M4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0.55006250755068387</v>
      </c>
      <c r="W4" s="7">
        <f>(Parameters!$B$10*H4^Parameters!$B$9+Parameters!$B$11*V4^Parameters!$B$9)^(Parameters!$B$7/Parameters!$B$9)*O4</f>
        <v>1.5023869881199998</v>
      </c>
      <c r="X4" s="7">
        <f>W4 - D4 - E4 - LN(1+EXP(Parameters!$B$21*C4))/Parameters!$B$21 - IF(C4&gt;0, 0,Parameters!$B$6*C4^2/F4)</f>
        <v>1.1356373917412104</v>
      </c>
      <c r="Y4" s="7">
        <f>EXP(-Parameters!$B$55*A4)</f>
        <v>1</v>
      </c>
      <c r="Z4" s="7">
        <f>IF(X4&gt;0,X4^(1-Parameters!$B$52)/(1-Parameters!$B$52)*Y4*Parameters!$B$65,-10+X4*1000)</f>
        <v>-2.7327384435801312</v>
      </c>
      <c r="AA4" s="28">
        <f>SUM(Z4:Z204)*Parameters!$B$65</f>
        <v>-33901.211537628253</v>
      </c>
      <c r="AC4" s="23">
        <f>C4*$J4*$K4</f>
        <v>4.1698012503812478</v>
      </c>
      <c r="AD4" s="23">
        <f>D4*$J4*$K4</f>
        <v>0.5764913156952538</v>
      </c>
      <c r="AE4" s="23">
        <f>I4*J4*K4</f>
        <v>0</v>
      </c>
      <c r="AF4" s="23">
        <f>F4*J4*K4</f>
        <v>58.41828303493655</v>
      </c>
      <c r="AG4" s="23">
        <f>G4*J4*K4</f>
        <v>11.26799508639504</v>
      </c>
      <c r="AH4" s="23">
        <f>V4*J4*K4</f>
        <v>40.632631652623843</v>
      </c>
      <c r="AI4" s="23">
        <f>AH4/AH$4*100</f>
        <v>100</v>
      </c>
      <c r="AJ4" s="23">
        <f>W4*J4*K4</f>
        <v>110.98</v>
      </c>
      <c r="AK4" s="23">
        <f>X4*J4*K4</f>
        <v>83.888531205365396</v>
      </c>
      <c r="AL4" s="23"/>
      <c r="AM4" s="23"/>
      <c r="AN4" s="23"/>
      <c r="AO4" s="23"/>
      <c r="AP4" s="23"/>
      <c r="AQ4" s="8">
        <f t="shared" ref="AQ4:AQ67" si="1">W4*K4*J4</f>
        <v>110.98</v>
      </c>
      <c r="AR4" s="32">
        <f>Parameters!$B$7*W4*(W4/O4)^(-Parameters!$B$9/Parameters!$B$7)*Parameters!$B$11*(V4)^(Parameters!$B$9-T4)*((1-2*Parameters!$B$5*C4/F4)*Parameters!$B$19*(F4+Parameters!$B$20)^(T4-1)-(1-2*Parameters!$B$5*D4/G4)*(Parameters!$B$18)*(G4)^(T4-1))</f>
        <v>-3.4362695159932026E-3</v>
      </c>
      <c r="AS4" s="32"/>
      <c r="AT4" s="32"/>
      <c r="AU4" s="30">
        <f>EXP(-Parameters!$B$42*'6states,BAU'!A4)*(Parameters!$B$37*EXP(-Parameters!$B$38*Parameters!$E$25*'6states,BAU'!I4/('6states,BAU'!F4+'6states,BAU'!I4))*(1/Parameters!$B$38/Parameters!$E$25+'6states,BAU'!I4/('6states,BAU'!F4+'6states,BAU'!I4))-Parameters!$B$37/Parameters!$B$38/Parameters!$E$25*EXP(-Parameters!$B$38*Parameters!$E$25)+Parameters!$B$39)</f>
        <v>0.91067380340815907</v>
      </c>
      <c r="AV4" s="30">
        <f>J4*K4*EXP(-Parameters!$B$42*'6states,BAU'!A4)*(Parameters!$B$37*EXP(-Parameters!$B$38*Parameters!$E$25*'6states,BAU'!I4/('6states,BAU'!F4+'6states,BAU'!I4))*(1/Parameters!$B$38/Parameters!$E$25+'6states,BAU'!I4/('6states,BAU'!F4+'6states,BAU'!I4))-Parameters!$B$37/Parameters!$B$38/Parameters!$E$25*EXP(-Parameters!$B$38*Parameters!$E$25)+Parameters!$B$39)</f>
        <v>67.270669608704736</v>
      </c>
      <c r="AW4" s="8"/>
      <c r="AX4" s="13">
        <f>1-W4/'6states,ExoDamages'!T4</f>
        <v>0</v>
      </c>
      <c r="AY4" s="21"/>
      <c r="AZ4" s="7">
        <f>1000*EXP(-(Parameters!$B$54)*'6states,BAU'!A4)*AQ4*Parameters!B$46*Parameters!B$45*N4</f>
        <v>1.8470179439999996</v>
      </c>
      <c r="BA4" s="7">
        <f>SUM(AZ4:AZ$204)*EXP(Parameters!$B$54*A4)</f>
        <v>263.69200916429946</v>
      </c>
      <c r="BB4" s="13">
        <f t="shared" ref="BB4:BB13" si="2">((C4&gt;0)*C4+D4+E4)/W4</f>
        <v>0.24411127035277841</v>
      </c>
      <c r="BC4" s="30">
        <f>IF(C4&lt;0,Parameters!$B$6*AC4^2/AF4,0)</f>
        <v>0</v>
      </c>
      <c r="BD4" s="30">
        <f>Parameters!$B$5*AD4^2/AG4</f>
        <v>2.9494354099720396E-2</v>
      </c>
      <c r="BE4" s="30">
        <f>ABS(BC4/AC4)</f>
        <v>0</v>
      </c>
      <c r="BF4" s="30">
        <f>BD4/AD4</f>
        <v>5.1161835914475026E-2</v>
      </c>
      <c r="BG4" s="30"/>
      <c r="BH4" s="5" t="e">
        <f t="shared" ref="BH4:BH35" si="3">SUM(AY4:AY202)/Y4</f>
        <v>#NUM!</v>
      </c>
      <c r="BI4" s="2" t="e">
        <f>BH4/Parameters!$B$45</f>
        <v>#NUM!</v>
      </c>
      <c r="BJ4" s="2"/>
      <c r="BK4">
        <f>-2*Parameters!B$6 * C4/F4*X4^-Parameters!B$52</f>
        <v>-0.6011640393215143</v>
      </c>
      <c r="BL4">
        <f>X4^-Parameters!B$52</f>
        <v>0.8422217005258702</v>
      </c>
      <c r="BM4">
        <f>-EXP(-Parameters!B$42*'6states,BAU'!A4)*(-Parameters!B$37/Parameters!B$38/Parameters!E$25*(EXP(-Parameters!B$38*Parameters!E$25*'6states,BAU'!I4/('6states,BAU'!F4+'6states,BAU'!I4))-EXP(-Parameters!B$38*Parameters!E$25)) + Parameters!B$37*'6states,BAU'!F4/('6states,BAU'!F4+'6states,BAU'!I4)*EXP(-Parameters!B$38*Parameters!E$25*'6states,BAU'!I4/('6states,BAU'!F4+'6states,BAU'!I4)))</f>
        <v>-5.9757261965918396</v>
      </c>
      <c r="BN4">
        <f>-J4*K4*EXP(-Parameters!B$42*'6states,BAU'!A4)*(-Parameters!B$37/Parameters!B$38/Parameters!E$25*(EXP(-Parameters!B$38*Parameters!E$25*'6states,BAU'!I4/('6states,BAU'!F4+'6states,BAU'!I4))-EXP(-Parameters!B$38*Parameters!E$25)) + Parameters!B$37*'6states,BAU'!F4/('6states,BAU'!F4+'6states,BAU'!I4)*EXP(-Parameters!B$38*Parameters!E$25*'6states,BAU'!I4/('6states,BAU'!F4+'6states,BAU'!I4)))</f>
        <v>-441.42161676176067</v>
      </c>
      <c r="BO4" s="7">
        <f t="shared" ref="BO4:BO67" si="4">I4/(F4+I4)</f>
        <v>0</v>
      </c>
      <c r="BP4" s="7">
        <f t="shared" ref="BP4:BP25" si="5">BM4-AU4</f>
        <v>-6.8863999999999983</v>
      </c>
      <c r="BU4" t="e">
        <f>EXP(-Parameters!$B$56*A4)*BH4*BN4</f>
        <v>#NUM!</v>
      </c>
      <c r="BV4" t="e">
        <f>-EXP((Parameters!$B$56)*F4)*SUM(BU4:BU12)</f>
        <v>#NUM!</v>
      </c>
      <c r="BW4">
        <f>$X4^-Parameters!$B$52/(1-2*Parameters!$B$5*'6states,BAU'!$D4/'6states,BAU'!$G4)</f>
        <v>0.93822425087429395</v>
      </c>
      <c r="BY4">
        <f>$X4^-Parameters!$B$52/(1-2*Parameters!$B$5*'6states,BAU'!$E4/'6states,BAU'!$H4)</f>
        <v>0.9782799097581274</v>
      </c>
      <c r="CA4" s="7">
        <f>($X4^-Parameters!$B$52*(1/(1+EXP(-C4)) + IF(C4&lt;0,2*Parameters!$B$6*C4/F4,0)) + BS4*(1/(1+EXP((C4-Parameters!$B$22)*Parameters!$B$21))))/(1-IF(C4&gt;0,2*Parameters!$B$5*C4/F4,0))</f>
        <v>0.50509959615485034</v>
      </c>
      <c r="CE4">
        <f>(Parameters!$B$18*'6states,BAU'!T4^+Parameters!$B$19*Parameters!$B$25^'6states,BAU'!T4)^((1-'6states,BAU'!T4)/'6states,BAU'!T4)*Parameters!$B$18*Parameters!$B$26^('6states,BAU'!T4-1)</f>
        <v>0.12973346516345516</v>
      </c>
    </row>
    <row r="5" spans="1:86" x14ac:dyDescent="0.3">
      <c r="A5">
        <f>A4+Parameters!$B$65</f>
        <v>1</v>
      </c>
      <c r="B5">
        <v>2026</v>
      </c>
      <c r="C5" s="74">
        <v>5.6722467883557399E-2</v>
      </c>
      <c r="D5" s="69">
        <v>7.6149887844414697E-3</v>
      </c>
      <c r="E5" s="75">
        <v>0.30246722029190398</v>
      </c>
      <c r="F5" s="7">
        <f>MAX((1-Parameters!$B$4)^Parameters!B$65*F4 + C4*Parameters!B$65 - IF(C4&gt;0,Parameters!$B$5,0)*C4^2/F4*Parameters!B$65, 0.0001)</f>
        <v>0.79351078225036298</v>
      </c>
      <c r="G5" s="7">
        <f>(1-Parameters!$B$4)^Parameters!B$65*G4+D4*Parameters!B$65-Parameters!$B$5*D4^2/G4*Parameters!B$65</f>
        <v>0.15035018189729957</v>
      </c>
      <c r="H5" s="7">
        <f>(1-Parameters!$B$4)^Parameters!B$65*H4+E4*Parameters!B$65-Parameters!$B$5*E4^2/H4*Parameters!B$65</f>
        <v>4.3578463808462686</v>
      </c>
      <c r="I5" s="7">
        <f>I4 *(1-Parameters!$B$4)-C4*(C4&lt;0)*Parameters!B$65</f>
        <v>0</v>
      </c>
      <c r="J5" s="23">
        <f>J4*(1+Parameters!$B$51)^Parameters!B$65</f>
        <v>8.1836639999999985</v>
      </c>
      <c r="K5" s="23">
        <f>K4*(1+Parameters!$B$53)^Parameters!B$65</f>
        <v>9.233639607967616</v>
      </c>
      <c r="L5" s="23">
        <f>J5*K5*EXP(-Parameters!$B$42*'6states,BAU'!A5)*(Parameters!$B$37/Parameters!$B$38*('6states,BAU'!F5+'6states,BAU'!I5)/Parameters!$E$25*(EXP(-Parameters!$B$38*Parameters!$E$25*'6states,BAU'!I5/('6states,BAU'!F5+'6states,BAU'!I5))-EXP(-Parameters!$B$38*Parameters!$E$25))  +  Parameters!$B$39*'6states,BAU'!F5)</f>
        <v>54.062165941262727</v>
      </c>
      <c r="M5" s="8">
        <f>M4+L5*Parameters!B$65</f>
        <v>2354.0621659412627</v>
      </c>
      <c r="N5" s="7">
        <f>M5*Parameters!$B$45</f>
        <v>1.4124372995647576</v>
      </c>
      <c r="O5" s="9">
        <f>EXP(-Parameters!$B$46/2*N5^2)</f>
        <v>0.98015011526312368</v>
      </c>
      <c r="P5" s="7">
        <f>MAX((Parameters!$B$62 + Parameters!$B$31*'6states,BAU'!A5 - '6states,BAU'!M5 + Parameters!$B$47/Parameters!$B$45)/Parameters!B$62,1)</f>
        <v>1</v>
      </c>
      <c r="Q5" s="7">
        <f>Parameters!B$61*EXP(-Parameters!B$60*A5)</f>
        <v>0.48668062076216839</v>
      </c>
      <c r="R5" s="7">
        <f>(1-Parameters!B$61)*P5^-Parameters!B$63</f>
        <v>0.5</v>
      </c>
      <c r="S5" s="7">
        <f>Parameters!B$61*EXP(-Parameters!B$60*A5)+(1-Parameters!B$61)*P5^-Parameters!B$63</f>
        <v>0.98668062076216834</v>
      </c>
      <c r="T5" s="7">
        <f>1-S5/Parameters!$B$12</f>
        <v>0.50665968961891583</v>
      </c>
      <c r="U5" s="7">
        <f t="shared" si="0"/>
        <v>2.0269983598695656</v>
      </c>
      <c r="V5" s="7">
        <f>(Parameters!$B$19*(F5+Parameters!$B$20)^T5+Parameters!$B$18*G5^T5)^(1/T5)</f>
        <v>0.55115901287547631</v>
      </c>
      <c r="W5" s="7">
        <f>(Parameters!$B$10*H5^Parameters!$B$9+Parameters!$B$11*V5^Parameters!$B$9)^(Parameters!$B$7/Parameters!$B$9)*O5</f>
        <v>1.5018470184998423</v>
      </c>
      <c r="X5" s="7">
        <f>W5 - D5 - E5 - LN(1+EXP(Parameters!$B$21*C5))/Parameters!$B$21 - IF(C5&gt;0, 0,Parameters!$B$6*C5^2/F5)</f>
        <v>1.1350423414042323</v>
      </c>
      <c r="Y5" s="7">
        <f>EXP(-Parameters!$B$55*A5)</f>
        <v>0.98501343333449787</v>
      </c>
      <c r="Z5" s="7">
        <f>IF(X5&gt;0,X5^(1-Parameters!$B$52)/(1-Parameters!$B$52)*Y5*Parameters!$B$65,-10+X5*1000)</f>
        <v>-2.6922779049604757</v>
      </c>
      <c r="AB5" s="9"/>
      <c r="AC5" s="23">
        <f t="shared" ref="AC5:AD68" si="6">C5*$J5*$K5</f>
        <v>4.2862335152731958</v>
      </c>
      <c r="AD5" s="23">
        <f t="shared" si="6"/>
        <v>0.5754266583271147</v>
      </c>
      <c r="AE5" s="23">
        <f t="shared" ref="AE5:AE68" si="7">I5*J5*K5</f>
        <v>0</v>
      </c>
      <c r="AF5" s="23">
        <f t="shared" ref="AF5:AF68" si="8">F5*J5*K5</f>
        <v>59.961645473434736</v>
      </c>
      <c r="AG5" s="23">
        <f t="shared" ref="AG5:AG68" si="9">G5*J5*K5</f>
        <v>11.361212103792024</v>
      </c>
      <c r="AH5" s="23">
        <f t="shared" ref="AH5:AH68" si="10">V5*J5*K5</f>
        <v>41.64833303941213</v>
      </c>
      <c r="AI5" s="23">
        <f t="shared" ref="AI5:AI68" si="11">AH5/AH$4*100</f>
        <v>102.49971844174827</v>
      </c>
      <c r="AJ5" s="23">
        <f t="shared" ref="AJ5:AJ68" si="12">W5*J5*K5</f>
        <v>113.48707603346661</v>
      </c>
      <c r="AK5" s="23">
        <f t="shared" ref="AK5:AK68" si="13">X5*J5*K5</f>
        <v>85.769479123655245</v>
      </c>
      <c r="AL5" s="9">
        <f>LN(AJ5)-LN(AJ4)</f>
        <v>2.2338957993751407E-2</v>
      </c>
      <c r="AM5" s="9">
        <f>LN(AK5)-LN(AK4)</f>
        <v>2.2174313914000265E-2</v>
      </c>
      <c r="AN5" s="23"/>
      <c r="AO5" s="23"/>
      <c r="AP5" s="23"/>
      <c r="AQ5" s="8">
        <f t="shared" si="1"/>
        <v>113.48707603346662</v>
      </c>
      <c r="AR5" s="32">
        <f>Parameters!$B$7*W5*(W5/O5)^(-Parameters!$B$9/Parameters!$B$7)*Parameters!$B$11*(V5)^(Parameters!$B$9-T5)*((1-2*Parameters!$B$5*C5/F5)*Parameters!$B$19*(F5+Parameters!$B$20)^(T5-1)-(1-2*Parameters!$B$5*D5/G5)*(Parameters!$B$18)*(G5)^(T5-1))</f>
        <v>-3.3647732978106114E-3</v>
      </c>
      <c r="AS5" s="32">
        <f>((C6-C4)/2-(F6-F4)/F5/2*C5)/(F5/2/Parameters!$B$5-C5)-((D6-D4)/D5-(G6-G4)/G5)/(G5/2/Parameters!$B$5/D5-1)</f>
        <v>2.0442799208768387E-3</v>
      </c>
      <c r="AT5" s="32">
        <f>+Parameters!$B$5*C5^2/F5^2-Parameters!$B$5*D5^2/G5^2</f>
        <v>2.5445524145670927E-3</v>
      </c>
      <c r="AU5" s="30">
        <f>EXP(-Parameters!$B$42*'6states,BAU'!A5)*(Parameters!$B$37*EXP(-Parameters!$B$38*Parameters!$E$25*'6states,BAU'!I5/('6states,BAU'!F5+'6states,BAU'!I5))*(1/Parameters!$B$38/Parameters!$E$25+'6states,BAU'!I5/('6states,BAU'!F5+'6states,BAU'!I5))-Parameters!$B$37/Parameters!$B$38/Parameters!$E$25*EXP(-Parameters!$B$38*Parameters!$E$25)+Parameters!$B$39)</f>
        <v>0.90161244766397053</v>
      </c>
      <c r="AV5" s="30">
        <f>J5*K5*EXP(-Parameters!$B$42*'6states,BAU'!A5)*(Parameters!$B$37*EXP(-Parameters!$B$38*Parameters!$E$25*'6states,BAU'!I5/('6states,BAU'!F5+'6states,BAU'!I5))*(1/Parameters!$B$38/Parameters!$E$25+'6states,BAU'!I5/('6states,BAU'!F5+'6states,BAU'!I5))-Parameters!$B$37/Parameters!$B$38/Parameters!$E$25*EXP(-Parameters!$B$38*Parameters!$E$25)+Parameters!$B$39)</f>
        <v>68.13034825808505</v>
      </c>
      <c r="AW5" s="8">
        <f>1000*(AR5+AS5+AT5)/AU5</f>
        <v>1.357633250078558</v>
      </c>
      <c r="AX5" s="13">
        <f>1-W5/'6states,ExoDamages'!T5</f>
        <v>-1.678876116957273E-4</v>
      </c>
      <c r="AY5" s="21">
        <f>-Y5*W5*X5^(-Parameters!B$52)*Parameters!B$46*Parameters!B$45*N5</f>
        <v>-2.1238216865064693E-5</v>
      </c>
      <c r="AZ5" s="7">
        <f>1000*EXP(-(Parameters!$B$54)*'6states,BAU'!A5)*AQ5*Parameters!B$46*Parameters!B$45*N5</f>
        <v>1.8664620156191432</v>
      </c>
      <c r="BA5" s="7">
        <f>SUM(AZ5:AZ$204)*EXP(Parameters!$B$54*A5)</f>
        <v>271.19895209746664</v>
      </c>
      <c r="BB5" s="13">
        <f t="shared" si="2"/>
        <v>0.2442357127201244</v>
      </c>
      <c r="BC5" s="30">
        <f>IF(C5&lt;0,Parameters!$B$6*AC5^2/AF5,0)</f>
        <v>0</v>
      </c>
      <c r="BD5" s="30">
        <f>Parameters!$B$5*AD5^2/AG5</f>
        <v>2.9144411361090045E-2</v>
      </c>
      <c r="BE5" s="30">
        <f t="shared" ref="BE5:BE68" si="14">ABS(BC5/AC5)</f>
        <v>0</v>
      </c>
      <c r="BF5" s="30">
        <f t="shared" ref="BF5:BF68" si="15">BD5/AD5</f>
        <v>5.0648350991973373E-2</v>
      </c>
      <c r="BG5" s="30"/>
      <c r="BH5" s="5" t="e">
        <f t="shared" si="3"/>
        <v>#NUM!</v>
      </c>
      <c r="BI5" s="2" t="e">
        <f>BH5/Parameters!$B$45</f>
        <v>#NUM!</v>
      </c>
      <c r="BJ5" s="2" t="e">
        <f>1-BI4/BI5</f>
        <v>#NUM!</v>
      </c>
      <c r="BK5">
        <f>-2*Parameters!B$6 * C5/F5*X5^-Parameters!B$52</f>
        <v>-0.6024707974663297</v>
      </c>
      <c r="BL5">
        <f>X5^-Parameters!B$52</f>
        <v>0.84281783148417699</v>
      </c>
      <c r="BM5">
        <f>-EXP(-Parameters!B$42*'6states,BAU'!A5)*(-Parameters!B$37/Parameters!B$38/Parameters!E$25*(EXP(-Parameters!B$38*Parameters!E$25*'6states,BAU'!AE5/('6states,BAU'!F5+'6states,BAU'!AE5))-EXP(-Parameters!B$38*Parameters!E$25))+Parameters!B$37*'6states,BAU'!F5/('6states,BAU'!F5+'6states,BAU'!AE5)*EXP(-Parameters!B$38*Parameters!E$25*'6states,BAU'!I5/('6states,BAU'!F5+'6states,BAU'!AE5)))</f>
        <v>-5.9162667274663008</v>
      </c>
      <c r="BN5">
        <f>-J5*K5*EXP(-Parameters!B$42*'6states,BAU'!A5)*(-Parameters!B$37/Parameters!B$38/Parameters!E$25*(EXP(-Parameters!B$38*Parameters!E$25*'6states,BAU'!I5/('6states,BAU'!F5+'6states,BAU'!I5))-EXP(-Parameters!B$38*Parameters!E$25)) + Parameters!B$37*'6states,BAU'!F5/('6states,BAU'!F5+'6states,BAU'!I5)*EXP(-Parameters!B$38*Parameters!E$25*'6states,BAU'!I5/('6states,BAU'!F5+'6states,BAU'!I5)))</f>
        <v>-447.06271921417232</v>
      </c>
      <c r="BO5" s="7">
        <f t="shared" si="4"/>
        <v>0</v>
      </c>
      <c r="BP5" s="7">
        <f t="shared" si="5"/>
        <v>-6.8178791751302716</v>
      </c>
      <c r="BU5" t="e">
        <f>EXP(-Parameters!$B$56*A5)*BH5*BN5</f>
        <v>#NUM!</v>
      </c>
      <c r="BV5" t="e">
        <f>-EXP((Parameters!$B$56)*F5)*SUM(BU5:BU13)</f>
        <v>#NUM!</v>
      </c>
      <c r="BW5">
        <f>X5^-Parameters!B$52/(1-2*Parameters!B$5*'6states,BAU'!D5/'6states,BAU'!G5)</f>
        <v>0.93781544292176622</v>
      </c>
      <c r="BX5">
        <f t="shared" ref="BX5:BX68" si="16">BW5/BW4</f>
        <v>0.99956427479662058</v>
      </c>
      <c r="BY5">
        <f>$X5^-Parameters!$B$52/(1-2*Parameters!$B$5*'6states,BAU'!$E5/'6states,BAU'!$H5)</f>
        <v>0.97867221376613445</v>
      </c>
      <c r="BZ5">
        <f t="shared" ref="BZ5:BZ68" si="17">BY5/BY4</f>
        <v>1.0004010140697912</v>
      </c>
      <c r="CA5" s="7">
        <f>($X5^-Parameters!$B$52*(1/(1+EXP(-C5)) + IF(C5&lt;0,2*Parameters!$B$6*C5/F5,0)) + BS5*(1/(1+EXP((C5-Parameters!$B$22)*Parameters!$B$21))))/(1-IF(C5&gt;0,2*Parameters!$B$5*C5/F5,0))</f>
        <v>0.50564774370744059</v>
      </c>
      <c r="CB5">
        <f t="shared" ref="CB5:CB68" si="18">CA5/CA4</f>
        <v>1.0010852266696768</v>
      </c>
      <c r="CC5" s="7">
        <f t="shared" ref="CC5:CC68" si="19">CA5-CA4</f>
        <v>5.4814755259025016E-4</v>
      </c>
      <c r="CD5" t="e">
        <f>(1/$T5-1/Parameters!$B$13) * LN(Parameters!$B$18) / LN(P5)</f>
        <v>#DIV/0!</v>
      </c>
      <c r="CE5">
        <f>(Parameters!$B$18*'6states,BAU'!T5^+Parameters!$B$19*Parameters!$B$25^'6states,BAU'!T5)^((1-'6states,BAU'!T5)/'6states,BAU'!T5)*Parameters!$B$18*Parameters!$B$26^('6states,BAU'!T5-1)</f>
        <v>0.13529995214778079</v>
      </c>
      <c r="CF5" t="e">
        <f t="shared" ref="CF5:CF68" si="20">(LN(CE5)-LN(CE$4))/ LN(P5)</f>
        <v>#DIV/0!</v>
      </c>
      <c r="CG5" t="e">
        <f t="shared" ref="CG5:CH36" si="21">1-2^-CD5</f>
        <v>#DIV/0!</v>
      </c>
      <c r="CH5">
        <f t="shared" si="21"/>
        <v>8.9519484989234233E-2</v>
      </c>
    </row>
    <row r="6" spans="1:86" x14ac:dyDescent="0.3">
      <c r="A6">
        <f>A5+Parameters!$B$65</f>
        <v>2</v>
      </c>
      <c r="B6">
        <v>2027</v>
      </c>
      <c r="C6" s="74">
        <v>5.6850507303832003E-2</v>
      </c>
      <c r="D6" s="69">
        <v>7.4437369980988599E-3</v>
      </c>
      <c r="E6" s="75">
        <v>0.30252078784590197</v>
      </c>
      <c r="F6" s="7">
        <f>MAX((1-Parameters!$B$4)^Parameters!B$65*F5 + C5*Parameters!B$65 - IF(C5&gt;0,Parameters!$B$5,0)*C5^2/F5*Parameters!B$65, 0.0001)</f>
        <v>0.79626673428809924</v>
      </c>
      <c r="G6" s="7">
        <f>(1-Parameters!$B$4)^Parameters!B$65*G5+D5*Parameters!B$65-Parameters!$B$5*D5^2/G5*Parameters!B$65</f>
        <v>0.14812245761564657</v>
      </c>
      <c r="H6" s="7">
        <f>(1-Parameters!$B$4)^Parameters!B$65*H5+E5*Parameters!B$65-Parameters!$B$5*E5^2/H5*Parameters!B$65</f>
        <v>4.3652115703561867</v>
      </c>
      <c r="I6" s="7">
        <f>I5 *(1-Parameters!$B$4)-C5*(C5&lt;0)*Parameters!B$65</f>
        <v>0</v>
      </c>
      <c r="J6" s="23">
        <f>J5*(1+Parameters!$B$51)^Parameters!B$65</f>
        <v>8.2073966255999977</v>
      </c>
      <c r="K6" s="23">
        <f>K5*(1+Parameters!$B$53)^Parameters!B$65</f>
        <v>9.4183124001269682</v>
      </c>
      <c r="L6" s="23">
        <f>J6*K6*EXP(-Parameters!$B$42*'6states,BAU'!A6)*(Parameters!$B$37/Parameters!$B$38*('6states,BAU'!F6+'6states,BAU'!I6)/Parameters!$E$25*(EXP(-Parameters!$B$38*Parameters!$E$25*'6states,BAU'!I6/('6states,BAU'!F6+'6states,BAU'!I6))-EXP(-Parameters!$B$38*Parameters!$E$25))  +  Parameters!$B$39*'6states,BAU'!F6)</f>
        <v>54.943211350118112</v>
      </c>
      <c r="M6" s="8">
        <f>M5+L6*Parameters!B$65</f>
        <v>2409.0053772913807</v>
      </c>
      <c r="N6" s="7">
        <f>M6*Parameters!$B$45</f>
        <v>1.4454032263748282</v>
      </c>
      <c r="O6" s="9">
        <f>EXP(-Parameters!$B$46/2*N6^2)</f>
        <v>0.97922252463175419</v>
      </c>
      <c r="P6" s="7">
        <f>MAX((Parameters!$B$62 + Parameters!$B$31*'6states,BAU'!A6 - '6states,BAU'!M6 + Parameters!$B$47/Parameters!$B$45)/Parameters!B$62,1)</f>
        <v>1</v>
      </c>
      <c r="Q6" s="7">
        <f>Parameters!B$61*EXP(-Parameters!B$60*A6)</f>
        <v>0.47371605325089916</v>
      </c>
      <c r="R6" s="7">
        <f>(1-Parameters!B$61)*P6^-Parameters!B$63</f>
        <v>0.5</v>
      </c>
      <c r="S6" s="7">
        <f>Parameters!B$61*EXP(-Parameters!B$60*A6)+(1-Parameters!B$61)*P6^-Parameters!B$63</f>
        <v>0.97371605325089916</v>
      </c>
      <c r="T6" s="7">
        <f>1-S6/Parameters!$B$12</f>
        <v>0.51314197337455036</v>
      </c>
      <c r="U6" s="7">
        <f t="shared" si="0"/>
        <v>2.0539868818252462</v>
      </c>
      <c r="V6" s="7">
        <f>(Parameters!$B$19*(F6+Parameters!$B$20)^T6+Parameters!$B$18*G6^T6)^(1/T6)</f>
        <v>0.55227398651468607</v>
      </c>
      <c r="W6" s="7">
        <f>(Parameters!$B$10*H6^Parameters!$B$9+Parameters!$B$11*V6^Parameters!$B$9)^(Parameters!$B$7/Parameters!$B$9)*O6</f>
        <v>1.5012128843299659</v>
      </c>
      <c r="X6" s="7">
        <f>W6 - D6 - E6 - LN(1+EXP(Parameters!$B$21*C6))/Parameters!$B$21 - IF(C6&gt;0, 0,Parameters!$B$6*C6^2/F6)</f>
        <v>1.1343978520515399</v>
      </c>
      <c r="Y6" s="7">
        <f>EXP(-Parameters!$B$55*A6)</f>
        <v>0.9702514638494153</v>
      </c>
      <c r="Z6" s="7">
        <f>IF(X6&gt;0,X6^(1-Parameters!$B$52)/(1-Parameters!$B$52)*Y6*Parameters!$B$65,-10+X6*1000)</f>
        <v>-2.6524571328379118</v>
      </c>
      <c r="AB6" s="9"/>
      <c r="AC6" s="23">
        <f t="shared" si="6"/>
        <v>4.3945342891498731</v>
      </c>
      <c r="AD6" s="23">
        <f t="shared" si="6"/>
        <v>0.57539957036327183</v>
      </c>
      <c r="AE6" s="23">
        <f t="shared" si="7"/>
        <v>0</v>
      </c>
      <c r="AF6" s="23">
        <f t="shared" si="8"/>
        <v>61.551279541573727</v>
      </c>
      <c r="AG6" s="23">
        <f t="shared" si="9"/>
        <v>11.449840113233813</v>
      </c>
      <c r="AH6" s="23">
        <f t="shared" si="10"/>
        <v>42.690682736980456</v>
      </c>
      <c r="AI6" s="23">
        <f t="shared" si="11"/>
        <v>105.06502040515437</v>
      </c>
      <c r="AJ6" s="23">
        <f t="shared" si="12"/>
        <v>116.04349386442394</v>
      </c>
      <c r="AK6" s="23">
        <f t="shared" si="13"/>
        <v>87.688755910933324</v>
      </c>
      <c r="AL6" s="9">
        <f t="shared" ref="AL6:AM69" si="22">LN(AJ6)-LN(AJ5)</f>
        <v>2.2276105046860728E-2</v>
      </c>
      <c r="AM6" s="9">
        <f t="shared" si="22"/>
        <v>2.2130458296071964E-2</v>
      </c>
      <c r="AN6" s="9"/>
      <c r="AO6" s="9"/>
      <c r="AP6" s="23"/>
      <c r="AQ6" s="8">
        <f t="shared" si="1"/>
        <v>116.04349386442394</v>
      </c>
      <c r="AR6" s="32">
        <f>Parameters!$B$7*W6*(W6/O6)^(-Parameters!$B$9/Parameters!$B$7)*Parameters!$B$11*(V6)^(Parameters!$B$9-T6)*((1-2*Parameters!$B$5*C6/F6)*Parameters!$B$19*(F6+Parameters!$B$20)^(T6-1)-(1-2*Parameters!$B$5*D6/G6)*(Parameters!$B$18)*(G6)^(T6-1))</f>
        <v>-3.2642111187755575E-3</v>
      </c>
      <c r="AS6" s="32">
        <f>((C7-C5)/2-(F7-F5)/F6/2*C6)/(F6/2/Parameters!$B$5-C6)-((D7-D5)/D6-(G7-G5)/G6)/(G6/2/Parameters!$B$5/D6-1)</f>
        <v>1.5848085302656364E-3</v>
      </c>
      <c r="AT6" s="32">
        <f>+Parameters!$B$5*C6^2/F6^2-Parameters!$B$5*D6^2/G6^2</f>
        <v>2.5719747891689922E-3</v>
      </c>
      <c r="AU6" s="30">
        <f>EXP(-Parameters!$B$42*'6states,BAU'!A6)*(Parameters!$B$37*EXP(-Parameters!$B$38*Parameters!$E$25*'6states,BAU'!I6/('6states,BAU'!F6+'6states,BAU'!I6))*(1/Parameters!$B$38/Parameters!$E$25+'6states,BAU'!I6/('6states,BAU'!F6+'6states,BAU'!I6))-Parameters!$B$37/Parameters!$B$38/Parameters!$E$25*EXP(-Parameters!$B$38*Parameters!$E$25)+Parameters!$B$39)</f>
        <v>0.89264125391589433</v>
      </c>
      <c r="AV6" s="30">
        <f>J6*K6*EXP(-Parameters!$B$42*'6states,BAU'!A6)*(Parameters!$B$37*EXP(-Parameters!$B$38*Parameters!$E$25*'6states,BAU'!I6/('6states,BAU'!F6+'6states,BAU'!I6))*(1/Parameters!$B$38/Parameters!$E$25+'6states,BAU'!I6/('6states,BAU'!F6+'6states,BAU'!I6))-Parameters!$B$37/Parameters!$B$38/Parameters!$E$25*EXP(-Parameters!$B$38*Parameters!$E$25)+Parameters!$B$39)</f>
        <v>69.00101308293381</v>
      </c>
      <c r="AW6" s="8">
        <f t="shared" ref="AW6:AW13" si="23">1000*(AR6+AS6+AT6)/AU6</f>
        <v>0.9999226416474476</v>
      </c>
      <c r="AX6" s="13">
        <f>1-W6/'6states,ExoDamages'!T6</f>
        <v>-2.4596708826352121E-4</v>
      </c>
      <c r="AY6" s="21">
        <f>-Y6*W6*X6^(-Parameters!B$52)*Parameters!B$46*Parameters!B$45*N6</f>
        <v>-2.141556976865577E-5</v>
      </c>
      <c r="AZ6" s="7">
        <f>1000*EXP(-(Parameters!$B$54)*'6states,BAU'!A6)*AQ6*Parameters!B$46*Parameters!B$45*N6</f>
        <v>1.885687191494567</v>
      </c>
      <c r="BA6" s="7">
        <f>SUM(AZ6:AZ$204)*EXP(Parameters!$B$54*A6)</f>
        <v>278.88487091931626</v>
      </c>
      <c r="BB6" s="13">
        <f t="shared" si="2"/>
        <v>0.24434577932066767</v>
      </c>
      <c r="BC6" s="30">
        <f>IF(C6&lt;0,Parameters!$B$6*AC6^2/AF6,0)</f>
        <v>0</v>
      </c>
      <c r="BD6" s="30">
        <f>Parameters!$B$5*AD6^2/AG6</f>
        <v>2.8916095098268455E-2</v>
      </c>
      <c r="BE6" s="30">
        <f t="shared" si="14"/>
        <v>0</v>
      </c>
      <c r="BF6" s="30">
        <f t="shared" si="15"/>
        <v>5.0253939327783326E-2</v>
      </c>
      <c r="BG6" s="30"/>
      <c r="BH6" s="5" t="e">
        <f t="shared" si="3"/>
        <v>#NUM!</v>
      </c>
      <c r="BI6" s="2" t="e">
        <f>BH6/Parameters!$B$45</f>
        <v>#NUM!</v>
      </c>
      <c r="BJ6" s="2" t="e">
        <f t="shared" ref="BJ6:BJ55" si="24">1-BI5/BI6</f>
        <v>#NUM!</v>
      </c>
      <c r="BK6">
        <f>-2*Parameters!B$6 * C6/F6*X6^-Parameters!B$52</f>
        <v>-0.60220240826504123</v>
      </c>
      <c r="BL6">
        <f>X6^-Parameters!B$52</f>
        <v>0.84346432028639351</v>
      </c>
      <c r="BM6">
        <f>-EXP(-Parameters!B$42*'6states,BAU'!A6)*(-Parameters!B$37/Parameters!B$38/Parameters!E$25*(EXP(-Parameters!B$38*Parameters!E$25*'6states,BAU'!AE6/('6states,BAU'!F6+'6states,BAU'!AE6))-EXP(-Parameters!B$38*Parameters!E$25))+Parameters!B$37*'6states,BAU'!F6/('6states,BAU'!F6+'6states,BAU'!AE6)*EXP(-Parameters!B$38*Parameters!E$25*'6states,BAU'!I6/('6states,BAU'!F6+'6states,BAU'!AE6)))</f>
        <v>-5.8573988899437452</v>
      </c>
      <c r="BN6">
        <f>-J6*K6*EXP(-Parameters!B$42*'6states,BAU'!A6)*(-Parameters!B$37/Parameters!B$38/Parameters!E$25*(EXP(-Parameters!B$38*Parameters!E$25*'6states,BAU'!I6/('6states,BAU'!F6+'6states,BAU'!I6))-EXP(-Parameters!B$38*Parameters!E$25)) + Parameters!B$37*'6states,BAU'!F6/('6states,BAU'!F6+'6states,BAU'!I6)*EXP(-Parameters!B$38*Parameters!E$25*'6states,BAU'!I6/('6states,BAU'!F6+'6states,BAU'!I6)))</f>
        <v>-452.77591155903639</v>
      </c>
      <c r="BO6" s="7">
        <f t="shared" si="4"/>
        <v>0</v>
      </c>
      <c r="BP6" s="7">
        <f t="shared" si="5"/>
        <v>-6.7500401438596391</v>
      </c>
      <c r="BU6" t="e">
        <f>EXP(-Parameters!$B$56*A6)*BH6*BN6</f>
        <v>#NUM!</v>
      </c>
      <c r="BV6" t="e">
        <f>-EXP((Parameters!$B$56)*F6)*SUM(BU6:BU14)</f>
        <v>#NUM!</v>
      </c>
      <c r="BW6">
        <f>X6^-Parameters!B$52/(1-2*Parameters!B$5*'6states,BAU'!D6/'6states,BAU'!G6)</f>
        <v>0.93771173784791195</v>
      </c>
      <c r="BX6">
        <f t="shared" si="16"/>
        <v>0.99988941846219637</v>
      </c>
      <c r="BY6">
        <f>$X6^-Parameters!$B$52/(1-2*Parameters!$B$5*'6states,BAU'!$E6/'6states,BAU'!$H6)</f>
        <v>0.97918450903053189</v>
      </c>
      <c r="BZ6">
        <f t="shared" si="17"/>
        <v>1.0005234594966439</v>
      </c>
      <c r="CA6" s="7">
        <f>($X6^-Parameters!$B$52 * (1/(1+EXP(-C6)) + IF(C6&lt;0,2*Parameters!$B$6*C6/F6,0)) + BS6 * (1/(1+EXP((C6-Parameters!$B$22)*Parameters!$B$21)))) / (1-IF(C6&gt;0,2*Parameters!$B$5*C6/F6,0))</f>
        <v>0.50596481914913172</v>
      </c>
      <c r="CB6">
        <f t="shared" si="18"/>
        <v>1.0006270678464149</v>
      </c>
      <c r="CC6" s="7">
        <f t="shared" si="19"/>
        <v>3.1707544169112811E-4</v>
      </c>
      <c r="CD6" t="e">
        <f>(1/$T6-1/Parameters!$B$13) * LN(Parameters!$B$18) / LN(P6)</f>
        <v>#DIV/0!</v>
      </c>
      <c r="CE6">
        <f>(Parameters!$B$18*'6states,BAU'!T6^+Parameters!$B$19*Parameters!$B$25^'6states,BAU'!T6)^((1-'6states,BAU'!T6)/'6states,BAU'!T6)*Parameters!$B$18*Parameters!$B$26^('6states,BAU'!T6-1)</f>
        <v>0.14071370552687762</v>
      </c>
      <c r="CF6" t="e">
        <f t="shared" si="20"/>
        <v>#DIV/0!</v>
      </c>
      <c r="CG6" t="e">
        <f t="shared" si="21"/>
        <v>#DIV/0!</v>
      </c>
      <c r="CH6">
        <f t="shared" si="21"/>
        <v>9.2929686076928975E-2</v>
      </c>
    </row>
    <row r="7" spans="1:86" x14ac:dyDescent="0.3">
      <c r="A7">
        <f>A6+Parameters!$B$65</f>
        <v>3</v>
      </c>
      <c r="B7">
        <v>2028</v>
      </c>
      <c r="C7" s="74">
        <v>5.6935280239326397E-2</v>
      </c>
      <c r="D7" s="69">
        <v>7.2672355313778397E-3</v>
      </c>
      <c r="E7" s="75">
        <v>0.30266386648216997</v>
      </c>
      <c r="F7" s="7">
        <f>MAX((1-Parameters!$B$4)^Parameters!B$65*F6 + C6*Parameters!B$65 - IF(C6&gt;0,Parameters!$B$5,0)*C6^2/F6*Parameters!B$65, 0.0001)</f>
        <v>0.79897314751211712</v>
      </c>
      <c r="G7" s="7">
        <f>(1-Parameters!$B$4)^Parameters!B$65*G6+D6*Parameters!B$65-Parameters!$B$5*D6^2/G6*Parameters!B$65</f>
        <v>0.14587521492224684</v>
      </c>
      <c r="H7" s="7">
        <f>(1-Parameters!$B$4)^Parameters!B$65*H6+E6*Parameters!B$65-Parameters!$B$5*E6^2/H6*Parameters!B$65</f>
        <v>4.3721950541147985</v>
      </c>
      <c r="I7" s="7">
        <f>I6 *(1-Parameters!$B$4)-C6*(C6&lt;0)*Parameters!B$65</f>
        <v>0</v>
      </c>
      <c r="J7" s="23">
        <f>J6*(1+Parameters!$B$51)^Parameters!B$65</f>
        <v>8.2311980758142376</v>
      </c>
      <c r="K7" s="23">
        <f>K6*(1+Parameters!$B$53)^Parameters!B$65</f>
        <v>9.6066786481295079</v>
      </c>
      <c r="L7" s="23">
        <f>J7*K7*EXP(-Parameters!$B$42*'6states,BAU'!A7)*(Parameters!$B$37/Parameters!$B$38*('6states,BAU'!F7+'6states,BAU'!I7)/Parameters!$E$25*(EXP(-Parameters!$B$38*Parameters!$E$25*'6states,BAU'!I7/('6states,BAU'!F7+'6states,BAU'!I7))-EXP(-Parameters!$B$38*Parameters!$E$25))  +  Parameters!$B$39*'6states,BAU'!F7)</f>
        <v>55.834484252325908</v>
      </c>
      <c r="M7" s="8">
        <f>M6+L7*Parameters!B$65</f>
        <v>2464.8398615437068</v>
      </c>
      <c r="N7" s="7">
        <f>M7*Parameters!$B$45</f>
        <v>1.4789039169262239</v>
      </c>
      <c r="O7" s="9">
        <f>EXP(-Parameters!$B$46/2*N7^2)</f>
        <v>0.9782588943841708</v>
      </c>
      <c r="P7" s="7">
        <f>MAX((Parameters!$B$62 + Parameters!$B$31*'6states,BAU'!A7 - '6states,BAU'!M7 + Parameters!$B$47/Parameters!$B$45)/Parameters!B$62,1)</f>
        <v>1</v>
      </c>
      <c r="Q7" s="7">
        <f>Parameters!B$61*EXP(-Parameters!B$60*A7)</f>
        <v>0.46109684572230403</v>
      </c>
      <c r="R7" s="7">
        <f>(1-Parameters!B$61)*P7^-Parameters!B$63</f>
        <v>0.5</v>
      </c>
      <c r="S7" s="7">
        <f>Parameters!B$61*EXP(-Parameters!B$60*A7)+(1-Parameters!B$61)*P7^-Parameters!B$63</f>
        <v>0.96109684572230403</v>
      </c>
      <c r="T7" s="7">
        <f>1-S7/Parameters!$B$12</f>
        <v>0.51945157713884793</v>
      </c>
      <c r="U7" s="7">
        <f t="shared" si="0"/>
        <v>2.0809557422872582</v>
      </c>
      <c r="V7" s="7">
        <f>(Parameters!$B$19*(F7+Parameters!$B$20)^T7+Parameters!$B$18*G7^T7)^(1/T7)</f>
        <v>0.55334288518971364</v>
      </c>
      <c r="W7" s="7">
        <f>(Parameters!$B$10*H7^Parameters!$B$9+Parameters!$B$11*V7^Parameters!$B$9)^(Parameters!$B$7/Parameters!$B$9)*O7</f>
        <v>1.5004820092706919</v>
      </c>
      <c r="X7" s="7">
        <f>W7 - D7 - E7 - LN(1+EXP(Parameters!$B$21*C7))/Parameters!$B$21 - IF(C7&gt;0, 0,Parameters!$B$6*C7^2/F7)</f>
        <v>1.133615626890504</v>
      </c>
      <c r="Y7" s="7">
        <f>EXP(-Parameters!$B$55*A7)</f>
        <v>0.95571072560413495</v>
      </c>
      <c r="Z7" s="7">
        <f>IF(X7&gt;0,X7^(1-Parameters!$B$52)/(1-Parameters!$B$52)*Y7*Parameters!$B$65,-10+X7*1000)</f>
        <v>-2.613336758719075</v>
      </c>
      <c r="AB7" s="9"/>
      <c r="AC7" s="23">
        <f t="shared" si="6"/>
        <v>4.5021273827119419</v>
      </c>
      <c r="AD7" s="23">
        <f t="shared" si="6"/>
        <v>0.57465283291666869</v>
      </c>
      <c r="AE7" s="23">
        <f t="shared" si="7"/>
        <v>0</v>
      </c>
      <c r="AF7" s="23">
        <f t="shared" si="8"/>
        <v>63.178382021579502</v>
      </c>
      <c r="AG7" s="23">
        <f t="shared" si="9"/>
        <v>11.535006006816962</v>
      </c>
      <c r="AH7" s="23">
        <f t="shared" si="10"/>
        <v>43.755298032601964</v>
      </c>
      <c r="AI7" s="23">
        <f t="shared" si="11"/>
        <v>107.68511970052641</v>
      </c>
      <c r="AJ7" s="23">
        <f t="shared" si="12"/>
        <v>118.64982683510434</v>
      </c>
      <c r="AK7" s="23">
        <f t="shared" si="13"/>
        <v>89.64006032534958</v>
      </c>
      <c r="AL7" s="9">
        <f t="shared" si="22"/>
        <v>2.2211455482621822E-2</v>
      </c>
      <c r="AM7" s="9">
        <f t="shared" si="22"/>
        <v>2.2008641569369658E-2</v>
      </c>
      <c r="AN7" s="9">
        <f>AVERAGE(AL5:AL9)</f>
        <v>2.2211873402025972E-2</v>
      </c>
      <c r="AO7" s="9">
        <f>AVERAGE(AM5:AM9)</f>
        <v>2.2030902878826097E-2</v>
      </c>
      <c r="AP7" s="23"/>
      <c r="AQ7" s="8">
        <f t="shared" si="1"/>
        <v>118.64982683510434</v>
      </c>
      <c r="AR7" s="32">
        <f>Parameters!$B$7*W7*(W7/O7)^(-Parameters!$B$9/Parameters!$B$7)*Parameters!$B$11*(V7)^(Parameters!$B$9-T7)*((1-2*Parameters!$B$5*C7/F7)*Parameters!$B$19*(F7+Parameters!$B$20)^(T7-1)-(1-2*Parameters!$B$5*D7/G7)*(Parameters!$B$18)*(G7)^(T7-1))</f>
        <v>-3.1773547016761684E-3</v>
      </c>
      <c r="AS7" s="32">
        <f>((C8-C6)/2-(F8-F6)/F7/2*C7)/(F7/2/Parameters!$B$5-C7)-((D8-D6)/D7-(G8-G6)/G7)/(G7/2/Parameters!$B$5/D7-1)</f>
        <v>1.4134354420517372E-3</v>
      </c>
      <c r="AT7" s="32">
        <f>+Parameters!$B$5*C7^2/F7^2-Parameters!$B$5*D7^2/G7^2</f>
        <v>2.5962189719878617E-3</v>
      </c>
      <c r="AU7" s="30">
        <f>EXP(-Parameters!$B$42*'6states,BAU'!A7)*(Parameters!$B$37*EXP(-Parameters!$B$38*Parameters!$E$25*'6states,BAU'!I7/('6states,BAU'!F7+'6states,BAU'!I7))*(1/Parameters!$B$38/Parameters!$E$25+'6states,BAU'!I7/('6states,BAU'!F7+'6states,BAU'!I7))-Parameters!$B$37/Parameters!$B$38/Parameters!$E$25*EXP(-Parameters!$B$38*Parameters!$E$25)+Parameters!$B$39)</f>
        <v>0.8837593250370801</v>
      </c>
      <c r="AV7" s="30">
        <f>J7*K7*EXP(-Parameters!$B$42*'6states,BAU'!A7)*(Parameters!$B$37*EXP(-Parameters!$B$38*Parameters!$E$25*'6states,BAU'!I7/('6states,BAU'!F7+'6states,BAU'!I7))*(1/Parameters!$B$38/Parameters!$E$25+'6states,BAU'!I7/('6states,BAU'!F7+'6states,BAU'!I7))-Parameters!$B$37/Parameters!$B$38/Parameters!$E$25*EXP(-Parameters!$B$38*Parameters!$E$25)+Parameters!$B$39)</f>
        <v>69.882804479957983</v>
      </c>
      <c r="AW7" s="8">
        <f t="shared" si="23"/>
        <v>0.94177191547994077</v>
      </c>
      <c r="AX7" s="13">
        <f>1-W7/'6states,ExoDamages'!T7</f>
        <v>-2.4229054040847409E-4</v>
      </c>
      <c r="AY7" s="21">
        <f>-Y7*W7*X7^(-Parameters!B$52)*Parameters!B$46*Parameters!B$45*N7</f>
        <v>-2.1593132870292373E-5</v>
      </c>
      <c r="AZ7" s="7">
        <f>1000*EXP(-(Parameters!$B$54)*'6states,BAU'!A7)*AQ7*Parameters!B$46*Parameters!B$45*N7</f>
        <v>1.9046850226463834</v>
      </c>
      <c r="BA7" s="7">
        <f>SUM(AZ7:AZ$204)*EXP(Parameters!$B$54*A7)</f>
        <v>286.75247091960927</v>
      </c>
      <c r="BB7" s="13">
        <f t="shared" si="2"/>
        <v>0.24449902097206039</v>
      </c>
      <c r="BC7" s="30">
        <f>IF(C7&lt;0,Parameters!$B$6*AC7^2/AF7,0)</f>
        <v>0</v>
      </c>
      <c r="BD7" s="30">
        <f>Parameters!$B$5*AD7^2/AG7</f>
        <v>2.8628149667542065E-2</v>
      </c>
      <c r="BE7" s="30">
        <f t="shared" si="14"/>
        <v>0</v>
      </c>
      <c r="BF7" s="30">
        <f t="shared" si="15"/>
        <v>4.9818165034076281E-2</v>
      </c>
      <c r="BG7" s="30"/>
      <c r="BH7" s="5" t="e">
        <f t="shared" si="3"/>
        <v>#NUM!</v>
      </c>
      <c r="BI7" s="2" t="e">
        <f>BH7/Parameters!$B$45</f>
        <v>#NUM!</v>
      </c>
      <c r="BJ7" s="2" t="e">
        <f t="shared" si="24"/>
        <v>#NUM!</v>
      </c>
      <c r="BM7">
        <f>-EXP(-Parameters!B$42*'6states,BAU'!A7)*(-Parameters!B$37/Parameters!B$38/Parameters!E$25*(EXP(-Parameters!B$38*Parameters!E$25*'6states,BAU'!AE7/('6states,BAU'!F7+'6states,BAU'!AE7))-EXP(-Parameters!B$38*Parameters!E$25))+Parameters!B$37*'6states,BAU'!F7/('6states,BAU'!F7+'6states,BAU'!AE7)*EXP(-Parameters!B$38*Parameters!E$25*'6states,BAU'!I7/('6states,BAU'!F7+'6states,BAU'!AE7)))</f>
        <v>-5.799116797191366</v>
      </c>
      <c r="BN7">
        <f>-J7*K7*EXP(-Parameters!B$42*'6states,BAU'!A7)*(-Parameters!B$37/Parameters!B$38/Parameters!E$25*(EXP(-Parameters!B$38*Parameters!E$25*'6states,BAU'!I7/('6states,BAU'!F7+'6states,BAU'!I7))-EXP(-Parameters!B$38*Parameters!E$25)) + Parameters!B$37*'6states,BAU'!F7/('6states,BAU'!F7+'6states,BAU'!I7)*EXP(-Parameters!B$38*Parameters!E$25*'6states,BAU'!I7/('6states,BAU'!F7+'6states,BAU'!I7)))</f>
        <v>-458.5621150617684</v>
      </c>
      <c r="BO7" s="7">
        <f t="shared" si="4"/>
        <v>0</v>
      </c>
      <c r="BP7" s="7">
        <f t="shared" si="5"/>
        <v>-6.6828761222284463</v>
      </c>
      <c r="BU7" t="e">
        <f>EXP(-Parameters!$B$56*A7)*BH7*BN7</f>
        <v>#NUM!</v>
      </c>
      <c r="BV7" t="e">
        <f>-EXP((Parameters!$B$56)*F7)*SUM(BU7:BU15)</f>
        <v>#NUM!</v>
      </c>
      <c r="BW7">
        <f>X7^-Parameters!B$52/(1-2*Parameters!B$5*'6states,BAU'!D7/'6states,BAU'!G7)</f>
        <v>0.93767680868737358</v>
      </c>
      <c r="BX7">
        <f t="shared" si="16"/>
        <v>0.99996275064166462</v>
      </c>
      <c r="BY7">
        <f>$X7^-Parameters!$B$52/(1-2*Parameters!$B$5*'6states,BAU'!$E7/'6states,BAU'!$H7)</f>
        <v>0.97991937061664103</v>
      </c>
      <c r="BZ7">
        <f t="shared" si="17"/>
        <v>1.0007504832637075</v>
      </c>
      <c r="CA7" s="7">
        <f>($X7^-Parameters!$B$52*(1/(1+EXP(-C7)) + IF(C7&lt;0,2*Parameters!$B$6*C7/F7,0)) + BS7*(1/(1+EXP((C7-Parameters!$B$22)*Parameters!$B$21))))/(1-IF(C7&gt;0,2*Parameters!$B$5*C7/F7,0))</f>
        <v>0.50629670749018119</v>
      </c>
      <c r="CB7">
        <f t="shared" si="18"/>
        <v>1.0006559514189299</v>
      </c>
      <c r="CC7" s="7">
        <f t="shared" si="19"/>
        <v>3.3188834104946885E-4</v>
      </c>
      <c r="CD7" t="e">
        <f>(1/$T7-1/Parameters!$B$13) * LN(Parameters!$B$18) / LN(P7)</f>
        <v>#DIV/0!</v>
      </c>
      <c r="CE7">
        <f>(Parameters!$B$18*'6states,BAU'!T7^+Parameters!$B$19*Parameters!$B$25^'6states,BAU'!T7)^((1-'6states,BAU'!T7)/'6states,BAU'!T7)*Parameters!$B$18*Parameters!$B$26^('6states,BAU'!T7-1)</f>
        <v>0.1459710692359365</v>
      </c>
      <c r="CF7" t="e">
        <f t="shared" si="20"/>
        <v>#DIV/0!</v>
      </c>
      <c r="CG7" t="e">
        <f t="shared" si="21"/>
        <v>#DIV/0!</v>
      </c>
      <c r="CH7">
        <f t="shared" si="21"/>
        <v>9.6229149862939178E-2</v>
      </c>
    </row>
    <row r="8" spans="1:86" x14ac:dyDescent="0.3">
      <c r="A8">
        <f>A7+Parameters!$B$65</f>
        <v>4</v>
      </c>
      <c r="B8">
        <v>2029</v>
      </c>
      <c r="C8" s="74">
        <v>5.7071807582933502E-2</v>
      </c>
      <c r="D8" s="69">
        <v>7.1106694777264201E-3</v>
      </c>
      <c r="E8" s="75">
        <v>0.30267014714903201</v>
      </c>
      <c r="F8" s="7">
        <f>MAX((1-Parameters!$B$4)^Parameters!B$65*F7 + C7*Parameters!B$65 - IF(C7&gt;0,Parameters!$B$5,0)*C7^2/F7*Parameters!B$65, 0.0001)</f>
        <v>0.80159577636876433</v>
      </c>
      <c r="G8" s="7">
        <f>(1-Parameters!$B$4)^Parameters!B$65*G7+D7*Parameters!B$65-Parameters!$B$5*D7^2/G7*Parameters!B$65</f>
        <v>0.14360485909597168</v>
      </c>
      <c r="H8" s="7">
        <f>(1-Parameters!$B$4)^Parameters!B$65*H7+E7*Parameters!B$65-Parameters!$B$5*E7^2/H7*Parameters!B$65</f>
        <v>4.3788960380297288</v>
      </c>
      <c r="I8" s="7">
        <f>I7 *(1-Parameters!$B$4)-C7*(C7&lt;0)*Parameters!B$65</f>
        <v>0</v>
      </c>
      <c r="J8" s="23">
        <f>J7*(1+Parameters!$B$51)^Parameters!B$65</f>
        <v>8.2550685502340979</v>
      </c>
      <c r="K8" s="23">
        <f>K7*(1+Parameters!$B$53)^Parameters!B$65</f>
        <v>9.7988122210920974</v>
      </c>
      <c r="L8" s="23">
        <f>J8*K8*EXP(-Parameters!$B$42*'6states,BAU'!A8)*(Parameters!$B$37/Parameters!$B$38*('6states,BAU'!F8+'6states,BAU'!I8)/Parameters!$E$25*(EXP(-Parameters!$B$38*Parameters!$E$25*'6states,BAU'!I8/('6states,BAU'!F8+'6states,BAU'!I8))-EXP(-Parameters!$B$38*Parameters!$E$25))  +  Parameters!$B$39*'6states,BAU'!F8)</f>
        <v>56.733634164311354</v>
      </c>
      <c r="M8" s="8">
        <f>M7+L8*Parameters!B$65</f>
        <v>2521.5734957080181</v>
      </c>
      <c r="N8" s="7">
        <f>M8*Parameters!$B$45</f>
        <v>1.5129440974248107</v>
      </c>
      <c r="O8" s="9">
        <f>EXP(-Parameters!$B$46/2*N8^2)</f>
        <v>0.97725813651735083</v>
      </c>
      <c r="P8" s="7">
        <f>MAX((Parameters!$B$62 + Parameters!$B$31*'6states,BAU'!A8 - '6states,BAU'!M8 + Parameters!$B$47/Parameters!$B$45)/Parameters!B$62,1)</f>
        <v>1</v>
      </c>
      <c r="Q8" s="7">
        <f>Parameters!B$61*EXP(-Parameters!B$60*A8)</f>
        <v>0.44881379821521744</v>
      </c>
      <c r="R8" s="7">
        <f>(1-Parameters!B$61)*P8^-Parameters!B$63</f>
        <v>0.5</v>
      </c>
      <c r="S8" s="7">
        <f>Parameters!B$61*EXP(-Parameters!B$60*A8)+(1-Parameters!B$61)*P8^-Parameters!B$63</f>
        <v>0.94881379821521739</v>
      </c>
      <c r="T8" s="7">
        <f>1-S8/Parameters!$B$12</f>
        <v>0.52559310089239131</v>
      </c>
      <c r="U8" s="7">
        <f t="shared" si="0"/>
        <v>2.1078951462996582</v>
      </c>
      <c r="V8" s="7">
        <f>(Parameters!$B$19*(F8+Parameters!$B$20)^T8+Parameters!$B$18*G8^T8)^(1/T8)</f>
        <v>0.55434342728256769</v>
      </c>
      <c r="W8" s="7">
        <f>(Parameters!$B$10*H8^Parameters!$B$9+Parameters!$B$11*V8^Parameters!$B$9)^(Parameters!$B$7/Parameters!$B$9)*O8</f>
        <v>1.4996580255345693</v>
      </c>
      <c r="X8" s="7">
        <f>W8 - D8 - E8 - LN(1+EXP(Parameters!$B$21*C8))/Parameters!$B$21 - IF(C8&gt;0, 0,Parameters!$B$6*C8^2/F8)</f>
        <v>1.1328054012026729</v>
      </c>
      <c r="Y8" s="7">
        <f>EXP(-Parameters!$B$55*A8)</f>
        <v>0.94138790310193321</v>
      </c>
      <c r="Z8" s="7">
        <f>IF(X8&gt;0,X8^(1-Parameters!$B$52)/(1-Parameters!$B$52)*Y8*Parameters!$B$65,-10+X8*1000)</f>
        <v>-2.5748160645297986</v>
      </c>
      <c r="AB8" s="9"/>
      <c r="AC8" s="23">
        <f t="shared" si="6"/>
        <v>4.6165309017753247</v>
      </c>
      <c r="AD8" s="23">
        <f t="shared" si="6"/>
        <v>0.57518110546144596</v>
      </c>
      <c r="AE8" s="23">
        <f t="shared" si="7"/>
        <v>0</v>
      </c>
      <c r="AF8" s="23">
        <f t="shared" si="8"/>
        <v>64.84097541437589</v>
      </c>
      <c r="AG8" s="23">
        <f t="shared" si="9"/>
        <v>11.616177894808644</v>
      </c>
      <c r="AH8" s="23">
        <f t="shared" si="10"/>
        <v>44.840765881249069</v>
      </c>
      <c r="AI8" s="23">
        <f t="shared" si="11"/>
        <v>110.35653871647146</v>
      </c>
      <c r="AJ8" s="23">
        <f t="shared" si="12"/>
        <v>121.30713762509244</v>
      </c>
      <c r="AK8" s="23">
        <f t="shared" si="13"/>
        <v>91.632477782497631</v>
      </c>
      <c r="AL8" s="9">
        <f t="shared" si="22"/>
        <v>2.2149133543870825E-2</v>
      </c>
      <c r="AM8" s="9">
        <f t="shared" si="22"/>
        <v>2.1983447876448459E-2</v>
      </c>
      <c r="AN8" s="9">
        <f t="shared" ref="AN8:AO23" si="25">AVERAGE(AL6:AL10)</f>
        <v>2.2148196588986657E-2</v>
      </c>
      <c r="AO8" s="9">
        <f t="shared" si="25"/>
        <v>2.1953162065926256E-2</v>
      </c>
      <c r="AP8" s="23"/>
      <c r="AQ8" s="8">
        <f t="shared" si="1"/>
        <v>121.30713762509242</v>
      </c>
      <c r="AR8" s="32">
        <f>Parameters!$B$7*W8*(W8/O8)^(-Parameters!$B$9/Parameters!$B$7)*Parameters!$B$11*(V8)^(Parameters!$B$9-T8)*((1-2*Parameters!$B$5*C8/F8)*Parameters!$B$19*(F8+Parameters!$B$20)^(T8-1)-(1-2*Parameters!$B$5*D8/G8)*(Parameters!$B$18)*(G8)^(T8-1))</f>
        <v>-3.0958103262006421E-3</v>
      </c>
      <c r="AS8" s="32">
        <f>((C9-C7)/2-(F9-F7)/F8/2*C8)/(F8/2/Parameters!$B$5-C8)-((D9-D7)/D8-(G9-G7)/G8)/(G8/2/Parameters!$B$5/D8-1)</f>
        <v>1.1447769532416741E-3</v>
      </c>
      <c r="AT8" s="32">
        <f>+Parameters!$B$5*C8^2/F8^2-Parameters!$B$5*D8^2/G8^2</f>
        <v>2.6173313031799929E-3</v>
      </c>
      <c r="AU8" s="30">
        <f>EXP(-Parameters!$B$42*'6states,BAU'!A8)*(Parameters!$B$37*EXP(-Parameters!$B$38*Parameters!$E$25*'6states,BAU'!I8/('6states,BAU'!F8+'6states,BAU'!I8))*(1/Parameters!$B$38/Parameters!$E$25+'6states,BAU'!I8/('6states,BAU'!F8+'6states,BAU'!I8))-Parameters!$B$37/Parameters!$B$38/Parameters!$E$25*EXP(-Parameters!$B$38*Parameters!$E$25)+Parameters!$B$39)</f>
        <v>0.8749657728272382</v>
      </c>
      <c r="AV8" s="30">
        <f>J8*K8*EXP(-Parameters!$B$42*'6states,BAU'!A8)*(Parameters!$B$37*EXP(-Parameters!$B$38*Parameters!$E$25*'6states,BAU'!I8/('6states,BAU'!F8+'6states,BAU'!I8))*(1/Parameters!$B$38/Parameters!$E$25+'6states,BAU'!I8/('6states,BAU'!F8+'6states,BAU'!I8))-Parameters!$B$37/Parameters!$B$38/Parameters!$E$25*EXP(-Parameters!$B$38*Parameters!$E$25)+Parameters!$B$39)</f>
        <v>70.775864640049875</v>
      </c>
      <c r="AW8" s="8">
        <f t="shared" si="23"/>
        <v>0.76151313675739096</v>
      </c>
      <c r="AX8" s="13">
        <f>1-W8/'6states,ExoDamages'!T8</f>
        <v>-1.7729766869178931E-4</v>
      </c>
      <c r="AY8" s="21">
        <f>-Y8*W8*X8^(-Parameters!B$52)*Parameters!B$46*Parameters!B$45*N8</f>
        <v>-2.1768142336479783E-5</v>
      </c>
      <c r="AZ8" s="7">
        <f>1000*EXP(-(Parameters!$B$54)*'6states,BAU'!A8)*AQ8*Parameters!B$46*Parameters!B$45*N8</f>
        <v>1.9234530903100826</v>
      </c>
      <c r="BA8" s="7">
        <f>SUM(AZ8:AZ$204)*EXP(Parameters!$B$54*A8)</f>
        <v>294.80442275163051</v>
      </c>
      <c r="BB8" s="13">
        <f t="shared" si="2"/>
        <v>0.24462418629001995</v>
      </c>
      <c r="BC8" s="30">
        <f>IF(C8&lt;0,Parameters!$B$6*AC8^2/AF8,0)</f>
        <v>0</v>
      </c>
      <c r="BD8" s="30">
        <f>Parameters!$B$5*AD8^2/AG8</f>
        <v>2.8480392352436587E-2</v>
      </c>
      <c r="BE8" s="30">
        <f t="shared" si="14"/>
        <v>0</v>
      </c>
      <c r="BF8" s="30">
        <f t="shared" si="15"/>
        <v>4.9515521427964587E-2</v>
      </c>
      <c r="BG8" s="30"/>
      <c r="BH8" s="5" t="e">
        <f t="shared" si="3"/>
        <v>#NUM!</v>
      </c>
      <c r="BI8" s="2" t="e">
        <f>BH8/Parameters!$B$45</f>
        <v>#NUM!</v>
      </c>
      <c r="BJ8" s="2" t="e">
        <f t="shared" si="24"/>
        <v>#NUM!</v>
      </c>
      <c r="BM8">
        <f>-EXP(-Parameters!B$42*'6states,BAU'!A8)*(-Parameters!B$37/Parameters!B$38/Parameters!E$25*(EXP(-Parameters!B$38*Parameters!E$25*'6states,BAU'!AE8/('6states,BAU'!F8+'6states,BAU'!AE8))-EXP(-Parameters!B$38*Parameters!E$25))+Parameters!B$37*'6states,BAU'!F8/('6states,BAU'!F8+'6states,BAU'!AE8)*EXP(-Parameters!B$38*Parameters!E$25*'6states,BAU'!I8/('6states,BAU'!F8+'6states,BAU'!AE8)))</f>
        <v>-5.7414146209513195</v>
      </c>
      <c r="BN8">
        <f>-J8*K8*EXP(-Parameters!B$42*'6states,BAU'!A8)*(-Parameters!B$37/Parameters!B$38/Parameters!E$25*(EXP(-Parameters!B$38*Parameters!E$25*'6states,BAU'!I8/('6states,BAU'!F8+'6states,BAU'!I8))-EXP(-Parameters!B$38*Parameters!E$25)) + Parameters!B$37*'6states,BAU'!F8/('6states,BAU'!F8+'6states,BAU'!I8)*EXP(-Parameters!B$38*Parameters!E$25*'6states,BAU'!I8/('6states,BAU'!F8+'6states,BAU'!I8)))</f>
        <v>-464.42226276100092</v>
      </c>
      <c r="BO8" s="7">
        <f t="shared" si="4"/>
        <v>0</v>
      </c>
      <c r="BP8" s="7">
        <f t="shared" si="5"/>
        <v>-6.6163803937785577</v>
      </c>
      <c r="BU8" t="e">
        <f>EXP(-Parameters!$B$56*A8)*BH8*BN8</f>
        <v>#NUM!</v>
      </c>
      <c r="BV8" t="e">
        <f>-EXP((Parameters!$B$56)*F8)*SUM(BU8:BU16)</f>
        <v>#NUM!</v>
      </c>
      <c r="BW8">
        <f>X8^-Parameters!B$52/(1-2*Parameters!B$5*'6states,BAU'!D8/'6states,BAU'!G8)</f>
        <v>0.93795175950821763</v>
      </c>
      <c r="BX8">
        <f t="shared" si="16"/>
        <v>1.0002932255744161</v>
      </c>
      <c r="BY8">
        <f>$X8^-Parameters!$B$52/(1-2*Parameters!$B$5*'6states,BAU'!$E8/'6states,BAU'!$H8)</f>
        <v>0.98062778576904186</v>
      </c>
      <c r="BZ8">
        <f t="shared" si="17"/>
        <v>1.0007229320836417</v>
      </c>
      <c r="CA8" s="7">
        <f>($X8^-Parameters!$B$52*(1/(1+EXP(-C8)) + IF(C8&lt;0,2*Parameters!$B$6*C8/F8,0)) + BS8*(1/(1+EXP((C8-Parameters!$B$22)*Parameters!$B$21))))/(1-IF(C8&gt;0,2*Parameters!$B$5*C8/F8,0))</f>
        <v>0.50674498572490445</v>
      </c>
      <c r="CB8">
        <f t="shared" si="18"/>
        <v>1.0008854061819707</v>
      </c>
      <c r="CC8" s="7">
        <f t="shared" si="19"/>
        <v>4.48278234723265E-4</v>
      </c>
      <c r="CD8" t="e">
        <f>(1/$T8-1/Parameters!$B$13) * LN(Parameters!$B$18) / LN(P8)</f>
        <v>#DIV/0!</v>
      </c>
      <c r="CE8">
        <f>(Parameters!$B$18*'6states,BAU'!T8^+Parameters!$B$19*Parameters!$B$25^'6states,BAU'!T8)^((1-'6states,BAU'!T8)/'6states,BAU'!T8)*Parameters!$B$18*Parameters!$B$26^('6states,BAU'!T8-1)</f>
        <v>0.15106978725365247</v>
      </c>
      <c r="CF8" t="e">
        <f t="shared" si="20"/>
        <v>#DIV/0!</v>
      </c>
      <c r="CG8" t="e">
        <f t="shared" si="21"/>
        <v>#DIV/0!</v>
      </c>
      <c r="CH8">
        <f t="shared" si="21"/>
        <v>9.9417584933105374E-2</v>
      </c>
    </row>
    <row r="9" spans="1:86" x14ac:dyDescent="0.3">
      <c r="A9">
        <f>A8+Parameters!$B$65</f>
        <v>5</v>
      </c>
      <c r="B9">
        <v>2030</v>
      </c>
      <c r="C9" s="74">
        <v>5.7173040634168601E-2</v>
      </c>
      <c r="D9" s="69">
        <v>6.9556163397403101E-3</v>
      </c>
      <c r="E9" s="75">
        <v>0.30275442474617897</v>
      </c>
      <c r="F9" s="7">
        <f>MAX((1-Parameters!$B$4)^Parameters!B$65*F8 + C8*Parameters!B$65 - IF(C8&gt;0,Parameters!$B$5,0)*C8^2/F8*Parameters!B$65, 0.0001)</f>
        <v>0.80418382590675308</v>
      </c>
      <c r="G9" s="7">
        <f>(1-Parameters!$B$4)^Parameters!B$65*G8+D8*Parameters!B$65-Parameters!$B$5*D8^2/G8*Parameters!B$65</f>
        <v>0.14133069442966997</v>
      </c>
      <c r="H9" s="7">
        <f>(1-Parameters!$B$4)^Parameters!B$65*H8+E8*Parameters!B$65-Parameters!$B$5*E8^2/H8*Parameters!B$65</f>
        <v>4.3852130048561939</v>
      </c>
      <c r="I9" s="7">
        <f>I8 *(1-Parameters!$B$4)-C8*(C8&lt;0)*Parameters!B$65</f>
        <v>0</v>
      </c>
      <c r="J9" s="23">
        <f>J8*(1+Parameters!$B$51)^Parameters!B$65</f>
        <v>8.2790082490297756</v>
      </c>
      <c r="K9" s="23">
        <f>K8*(1+Parameters!$B$53)^Parameters!B$65</f>
        <v>9.9947884655139401</v>
      </c>
      <c r="L9" s="23">
        <f>J9*K9*EXP(-Parameters!$B$42*'6states,BAU'!A9)*(Parameters!$B$37/Parameters!$B$38*('6states,BAU'!F9+'6states,BAU'!I9)/Parameters!$E$25*(EXP(-Parameters!$B$38*Parameters!$E$25*'6states,BAU'!I9/('6states,BAU'!F9+'6states,BAU'!I9))-EXP(-Parameters!$B$38*Parameters!$E$25))  +  Parameters!$B$39*'6states,BAU'!F9)</f>
        <v>57.644168110307945</v>
      </c>
      <c r="M9" s="8">
        <f>M8+L9*Parameters!B$65</f>
        <v>2579.2176638183259</v>
      </c>
      <c r="N9" s="7">
        <f>M9*Parameters!$B$45</f>
        <v>1.5475305982909955</v>
      </c>
      <c r="O9" s="9">
        <f>EXP(-Parameters!$B$46/2*N9^2)</f>
        <v>0.97621907850718936</v>
      </c>
      <c r="P9" s="7">
        <f>MAX((Parameters!$B$62 + Parameters!$B$31*'6states,BAU'!A9 - '6states,BAU'!M9 + Parameters!$B$47/Parameters!$B$45)/Parameters!B$62,1)</f>
        <v>1</v>
      </c>
      <c r="Q9" s="7">
        <f>Parameters!B$61*EXP(-Parameters!B$60*A9)</f>
        <v>0.43685795584401721</v>
      </c>
      <c r="R9" s="7">
        <f>(1-Parameters!B$61)*P9^-Parameters!B$63</f>
        <v>0.5</v>
      </c>
      <c r="S9" s="7">
        <f>Parameters!B$61*EXP(-Parameters!B$60*A9)+(1-Parameters!B$61)*P9^-Parameters!B$63</f>
        <v>0.93685795584401721</v>
      </c>
      <c r="T9" s="7">
        <f>1-S9/Parameters!$B$12</f>
        <v>0.53157102207799145</v>
      </c>
      <c r="U9" s="7">
        <f t="shared" si="0"/>
        <v>2.1347953417316035</v>
      </c>
      <c r="V9" s="7">
        <f>(Parameters!$B$19*(F9+Parameters!$B$20)^T9+Parameters!$B$18*G9^T9)^(1/T9)</f>
        <v>0.55531497248806305</v>
      </c>
      <c r="W9" s="7">
        <f>(Parameters!$B$10*H9^Parameters!$B$9+Parameters!$B$11*V9^Parameters!$B$9)^(Parameters!$B$7/Parameters!$B$9)*O9</f>
        <v>1.4987364458374579</v>
      </c>
      <c r="X9" s="7">
        <f>W9 - D9 - E9 - LN(1+EXP(Parameters!$B$21*C9))/Parameters!$B$21 - IF(C9&gt;0, 0,Parameters!$B$6*C9^2/F9)</f>
        <v>1.1318533639988211</v>
      </c>
      <c r="Y9" s="7">
        <f>EXP(-Parameters!$B$55*A9)</f>
        <v>0.92727973053399881</v>
      </c>
      <c r="Z9" s="7">
        <f>IF(X9&gt;0,X9^(1-Parameters!$B$52)/(1-Parameters!$B$52)*Y9*Parameters!$B$65,-10+X9*1000)</f>
        <v>-2.5369748632269946</v>
      </c>
      <c r="AB9" s="9"/>
      <c r="AC9" s="23">
        <f t="shared" si="6"/>
        <v>4.7308939430454364</v>
      </c>
      <c r="AD9" s="23">
        <f t="shared" si="6"/>
        <v>0.57555594117132469</v>
      </c>
      <c r="AE9" s="23">
        <f t="shared" si="7"/>
        <v>0</v>
      </c>
      <c r="AF9" s="23">
        <f t="shared" si="8"/>
        <v>66.543747697820663</v>
      </c>
      <c r="AG9" s="23">
        <f t="shared" si="9"/>
        <v>11.694681948473109</v>
      </c>
      <c r="AH9" s="23">
        <f t="shared" si="10"/>
        <v>45.950612573439948</v>
      </c>
      <c r="AI9" s="23">
        <f t="shared" si="11"/>
        <v>113.08795592242349</v>
      </c>
      <c r="AJ9" s="23">
        <f t="shared" si="12"/>
        <v>124.01584899433225</v>
      </c>
      <c r="AK9" s="23">
        <f t="shared" si="13"/>
        <v>93.657398045705506</v>
      </c>
      <c r="AL9" s="9">
        <f t="shared" si="22"/>
        <v>2.2083714943025079E-2</v>
      </c>
      <c r="AM9" s="9">
        <f t="shared" si="22"/>
        <v>2.1857652738240141E-2</v>
      </c>
      <c r="AN9" s="9">
        <f t="shared" si="25"/>
        <v>2.2084308756098459E-2</v>
      </c>
      <c r="AO9" s="9">
        <f t="shared" si="25"/>
        <v>2.1865705009624571E-2</v>
      </c>
      <c r="AP9" s="23"/>
      <c r="AQ9" s="8">
        <f t="shared" si="1"/>
        <v>124.01584899433225</v>
      </c>
      <c r="AR9" s="32">
        <f>Parameters!$B$7*W9*(W9/O9)^(-Parameters!$B$9/Parameters!$B$7)*Parameters!$B$11*(V9)^(Parameters!$B$9-T9)*((1-2*Parameters!$B$5*C9/F9)*Parameters!$B$19*(F9+Parameters!$B$20)^(T9-1)-(1-2*Parameters!$B$5*D9/G9)*(Parameters!$B$18)*(G9)^(T9-1))</f>
        <v>-3.018804733003649E-3</v>
      </c>
      <c r="AS9" s="32">
        <f>((C10-C8)/2-(F10-F8)/F9/2*C9)/(F9/2/Parameters!$B$5-C9)-((D10-D8)/D9-(G10-G8)/G9)/(G9/2/Parameters!$B$5/D9-1)</f>
        <v>1.0108825281945849E-3</v>
      </c>
      <c r="AT9" s="32">
        <f>+Parameters!$B$5*C9^2/F9^2-Parameters!$B$5*D9^2/G9^2</f>
        <v>2.6322923213754437E-3</v>
      </c>
      <c r="AU9" s="30">
        <f>EXP(-Parameters!$B$42*'6states,BAU'!A9)*(Parameters!$B$37*EXP(-Parameters!$B$38*Parameters!$E$25*'6states,BAU'!I9/('6states,BAU'!F9+'6states,BAU'!I9))*(1/Parameters!$B$38/Parameters!$E$25+'6states,BAU'!I9/('6states,BAU'!F9+'6states,BAU'!I9))-Parameters!$B$37/Parameters!$B$38/Parameters!$E$25*EXP(-Parameters!$B$38*Parameters!$E$25)+Parameters!$B$39)</f>
        <v>0.86625971792381951</v>
      </c>
      <c r="AV9" s="30">
        <f>J9*K9*EXP(-Parameters!$B$42*'6states,BAU'!A9)*(Parameters!$B$37*EXP(-Parameters!$B$38*Parameters!$E$25*'6states,BAU'!I9/('6states,BAU'!F9+'6states,BAU'!I9))*(1/Parameters!$B$38/Parameters!$E$25+'6states,BAU'!I9/('6states,BAU'!F9+'6states,BAU'!I9))-Parameters!$B$37/Parameters!$B$38/Parameters!$E$25*EXP(-Parameters!$B$38*Parameters!$E$25)+Parameters!$B$39)</f>
        <v>71.680337571215844</v>
      </c>
      <c r="AW9" s="8">
        <f t="shared" si="23"/>
        <v>0.72076549751478525</v>
      </c>
      <c r="AX9" s="13">
        <f>1-W9/'6states,ExoDamages'!T9</f>
        <v>-4.9993427001293611E-5</v>
      </c>
      <c r="AY9" s="21">
        <f>-Y9*W9*X9^(-Parameters!B$52)*Parameters!B$46*Parameters!B$45*N9</f>
        <v>-2.1943498215712782E-5</v>
      </c>
      <c r="AZ9" s="7">
        <f>1000*EXP(-(Parameters!$B$54)*'6states,BAU'!A9)*AQ9*Parameters!B$46*Parameters!B$45*N9</f>
        <v>1.9419813810888691</v>
      </c>
      <c r="BA9" s="7">
        <f>SUM(AZ9:AZ$204)*EXP(Parameters!$B$54*A9)</f>
        <v>303.04335034027326</v>
      </c>
      <c r="BB9" s="13">
        <f t="shared" si="2"/>
        <v>0.2447949289143245</v>
      </c>
      <c r="BC9" s="30">
        <f>IF(C9&lt;0,Parameters!$B$6*AC9^2/AF9,0)</f>
        <v>0</v>
      </c>
      <c r="BD9" s="30">
        <f>Parameters!$B$5*AD9^2/AG9</f>
        <v>2.8326092396284468E-2</v>
      </c>
      <c r="BE9" s="30">
        <f t="shared" si="14"/>
        <v>0</v>
      </c>
      <c r="BF9" s="30">
        <f t="shared" si="15"/>
        <v>4.9215185475520423E-2</v>
      </c>
      <c r="BG9" s="30"/>
      <c r="BH9" s="5" t="e">
        <f t="shared" si="3"/>
        <v>#NUM!</v>
      </c>
      <c r="BI9" s="2" t="e">
        <f>BH9/Parameters!$B$45</f>
        <v>#NUM!</v>
      </c>
      <c r="BJ9" s="2" t="e">
        <f t="shared" si="24"/>
        <v>#NUM!</v>
      </c>
      <c r="BM9">
        <f>-EXP(-Parameters!B$42*'6states,BAU'!A9)*(-Parameters!B$37/Parameters!B$38/Parameters!E$25*(EXP(-Parameters!B$38*Parameters!E$25*'6states,BAU'!AE9/('6states,BAU'!F9+'6states,BAU'!AE9))-EXP(-Parameters!B$38*Parameters!E$25))+Parameters!B$37*'6states,BAU'!F9/('6states,BAU'!F9+'6states,BAU'!AE9)*EXP(-Parameters!B$38*Parameters!E$25*'6states,BAU'!I9/('6states,BAU'!F9+'6states,BAU'!AE9)))</f>
        <v>-5.684286590957897</v>
      </c>
      <c r="BN9">
        <f>-J9*K9*EXP(-Parameters!B$42*'6states,BAU'!A9)*(-Parameters!B$37/Parameters!B$38/Parameters!E$25*(EXP(-Parameters!B$38*Parameters!E$25*'6states,BAU'!I9/('6states,BAU'!F9+'6states,BAU'!I9))-EXP(-Parameters!B$38*Parameters!E$25)) + Parameters!B$37*'6states,BAU'!F9/('6states,BAU'!F9+'6states,BAU'!I9)*EXP(-Parameters!B$38*Parameters!E$25*'6states,BAU'!I9/('6states,BAU'!F9+'6states,BAU'!I9)))</f>
        <v>-470.35729961903854</v>
      </c>
      <c r="BO9" s="7">
        <f t="shared" si="4"/>
        <v>0</v>
      </c>
      <c r="BP9" s="7">
        <f t="shared" si="5"/>
        <v>-6.5505463088817164</v>
      </c>
      <c r="BU9" t="e">
        <f>EXP(-Parameters!$B$56*A9)*BH9*BN9</f>
        <v>#NUM!</v>
      </c>
      <c r="BV9" t="e">
        <f>-EXP((Parameters!$B$56)*F9)*SUM(BU9:BU17)</f>
        <v>#NUM!</v>
      </c>
      <c r="BW9">
        <f>X9^-Parameters!B$52/(1-2*Parameters!B$5*'6states,BAU'!D9/'6states,BAU'!G9)</f>
        <v>0.93839136469077045</v>
      </c>
      <c r="BX9">
        <f t="shared" si="16"/>
        <v>1.0004686863456425</v>
      </c>
      <c r="BY9">
        <f>$X9^-Parameters!$B$52/(1-2*Parameters!$B$5*'6states,BAU'!$E9/'6states,BAU'!$H9)</f>
        <v>0.98155843889998129</v>
      </c>
      <c r="BZ9">
        <f t="shared" si="17"/>
        <v>1.0009490381003323</v>
      </c>
      <c r="CA9" s="7">
        <f>($X9^-Parameters!$B$52*(1/(1+EXP(-C9)) + IF(C9&lt;0,2*Parameters!$B$6*C9/F9,0)) + BS9*(1/(1+EXP((C9-Parameters!$B$22)*Parameters!$B$21))))/(1-IF(C9&gt;0,2*Parameters!$B$5*C9/F9,0))</f>
        <v>0.50722330910773883</v>
      </c>
      <c r="CB9">
        <f t="shared" si="18"/>
        <v>1.0009439134008404</v>
      </c>
      <c r="CC9" s="7">
        <f t="shared" si="19"/>
        <v>4.7832338283437803E-4</v>
      </c>
      <c r="CD9" t="e">
        <f>(1/$T9-1/Parameters!$B$13) * LN(Parameters!$B$18) / LN(P9)</f>
        <v>#DIV/0!</v>
      </c>
      <c r="CE9">
        <f>(Parameters!$B$18*'6states,BAU'!T9^+Parameters!$B$19*Parameters!$B$25^'6states,BAU'!T9)^((1-'6states,BAU'!T9)/'6states,BAU'!T9)*Parameters!$B$18*Parameters!$B$26^('6states,BAU'!T9-1)</f>
        <v>0.15600880935130565</v>
      </c>
      <c r="CF9" t="e">
        <f t="shared" si="20"/>
        <v>#DIV/0!</v>
      </c>
      <c r="CG9" t="e">
        <f t="shared" si="21"/>
        <v>#DIV/0!</v>
      </c>
      <c r="CH9">
        <f t="shared" si="21"/>
        <v>0.10249542967125325</v>
      </c>
    </row>
    <row r="10" spans="1:86" x14ac:dyDescent="0.3">
      <c r="A10">
        <f>A9+Parameters!$B$65</f>
        <v>6</v>
      </c>
      <c r="B10">
        <v>2031</v>
      </c>
      <c r="C10" s="74">
        <v>5.72769528524164E-2</v>
      </c>
      <c r="D10" s="69">
        <v>6.8076822952645296E-3</v>
      </c>
      <c r="E10" s="75">
        <v>0.30281557022393901</v>
      </c>
      <c r="F10" s="7">
        <f>MAX((1-Parameters!$B$4)^Parameters!B$65*F9 + C9*Parameters!B$65 - IF(C9&gt;0,Parameters!$B$5,0)*C9^2/F9*Parameters!B$65, 0.0001)</f>
        <v>0.80670901560737351</v>
      </c>
      <c r="G10" s="7">
        <f>(1-Parameters!$B$4)^Parameters!B$65*G9+D9*Parameters!B$65-Parameters!$B$5*D9^2/G9*Parameters!B$65</f>
        <v>0.13905428814152718</v>
      </c>
      <c r="H10" s="7">
        <f>(1-Parameters!$B$4)^Parameters!B$65*H9+E9*Parameters!B$65-Parameters!$B$5*E9^2/H9*Parameters!B$65</f>
        <v>4.3912354131361075</v>
      </c>
      <c r="I10" s="7">
        <f>I9 *(1-Parameters!$B$4)-C9*(C9&lt;0)*Parameters!B$65</f>
        <v>0</v>
      </c>
      <c r="J10" s="23">
        <f>J9*(1+Parameters!$B$51)^Parameters!B$65</f>
        <v>8.3030173729519614</v>
      </c>
      <c r="K10" s="23">
        <f>K9*(1+Parameters!$B$53)^Parameters!B$65</f>
        <v>10.194684234824219</v>
      </c>
      <c r="L10" s="23">
        <f>J10*K10*EXP(-Parameters!$B$42*'6states,BAU'!A10)*(Parameters!$B$37/Parameters!$B$38*('6states,BAU'!F10+'6states,BAU'!I10)/Parameters!$E$25*(EXP(-Parameters!$B$38*Parameters!$E$25*'6states,BAU'!I10/('6states,BAU'!F10+'6states,BAU'!I10))-EXP(-Parameters!$B$38*Parameters!$E$25))  +  Parameters!$B$39*'6states,BAU'!F10)</f>
        <v>58.564145470915037</v>
      </c>
      <c r="M10" s="8">
        <f>M9+L10*Parameters!B$65</f>
        <v>2637.7818092892412</v>
      </c>
      <c r="N10" s="7">
        <f>M10*Parameters!$B$45</f>
        <v>1.5826690855735446</v>
      </c>
      <c r="O10" s="9">
        <f>EXP(-Parameters!$B$46/2*N10^2)</f>
        <v>0.97514055790963783</v>
      </c>
      <c r="P10" s="7">
        <f>MAX((Parameters!$B$62 + Parameters!$B$31*'6states,BAU'!A10 - '6states,BAU'!M10 + Parameters!$B$47/Parameters!$B$45)/Parameters!B$62,1)</f>
        <v>1</v>
      </c>
      <c r="Q10" s="7">
        <f>Parameters!B$61*EXP(-Parameters!B$60*A10)</f>
        <v>0.42522060227011649</v>
      </c>
      <c r="R10" s="7">
        <f>(1-Parameters!B$61)*P10^-Parameters!B$63</f>
        <v>0.5</v>
      </c>
      <c r="S10" s="7">
        <f>Parameters!B$61*EXP(-Parameters!B$60*A10)+(1-Parameters!B$61)*P10^-Parameters!B$63</f>
        <v>0.92522060227011649</v>
      </c>
      <c r="T10" s="7">
        <f>1-S10/Parameters!$B$12</f>
        <v>0.53738969886494181</v>
      </c>
      <c r="U10" s="7">
        <f t="shared" si="0"/>
        <v>2.1616466333464803</v>
      </c>
      <c r="V10" s="7">
        <f>(Parameters!$B$19*(F10+Parameters!$B$20)^T10+Parameters!$B$18*G10^T10)^(1/T10)</f>
        <v>0.55624168335021407</v>
      </c>
      <c r="W10" s="7">
        <f>(Parameters!$B$10*H10^Parameters!$B$9+Parameters!$B$11*V10^Parameters!$B$9)^(Parameters!$B$7/Parameters!$B$9)*O10</f>
        <v>1.4977208618753313</v>
      </c>
      <c r="X10" s="7">
        <f>W10 - D10 - E10 - LN(1+EXP(Parameters!$B$21*C10))/Parameters!$B$21 - IF(C10&gt;0, 0,Parameters!$B$6*C10^2/F10)</f>
        <v>1.130820656388801</v>
      </c>
      <c r="Y10" s="7">
        <f>EXP(-Parameters!$B$55*A10)</f>
        <v>0.91338299103478215</v>
      </c>
      <c r="Z10" s="7">
        <f>IF(X10&gt;0,X10^(1-Parameters!$B$52)/(1-Parameters!$B$52)*Y10*Parameters!$B$65,-10+X10*1000)</f>
        <v>-2.4997528317684363</v>
      </c>
      <c r="AB10" s="9"/>
      <c r="AC10" s="23">
        <f t="shared" si="6"/>
        <v>4.8483016263520735</v>
      </c>
      <c r="AD10" s="23">
        <f t="shared" si="6"/>
        <v>0.57624743461587258</v>
      </c>
      <c r="AE10" s="23">
        <f t="shared" si="7"/>
        <v>0</v>
      </c>
      <c r="AF10" s="23">
        <f t="shared" si="8"/>
        <v>68.285207881779016</v>
      </c>
      <c r="AG10" s="23">
        <f t="shared" si="9"/>
        <v>11.770478312366331</v>
      </c>
      <c r="AH10" s="23">
        <f t="shared" si="10"/>
        <v>47.083989697924096</v>
      </c>
      <c r="AI10" s="23">
        <f t="shared" si="11"/>
        <v>115.87728331370253</v>
      </c>
      <c r="AJ10" s="23">
        <f t="shared" si="12"/>
        <v>126.77703908519382</v>
      </c>
      <c r="AK10" s="23">
        <f t="shared" si="13"/>
        <v>95.720169360424421</v>
      </c>
      <c r="AL10" s="9">
        <f t="shared" si="22"/>
        <v>2.2020573928554832E-2</v>
      </c>
      <c r="AM10" s="9">
        <f t="shared" si="22"/>
        <v>2.1785609849501064E-2</v>
      </c>
      <c r="AN10" s="9">
        <f t="shared" si="25"/>
        <v>2.2020611416223447E-2</v>
      </c>
      <c r="AO10" s="9">
        <f t="shared" si="25"/>
        <v>2.1784571827583043E-2</v>
      </c>
      <c r="AP10" s="23"/>
      <c r="AQ10" s="8">
        <f t="shared" si="1"/>
        <v>126.77703908519382</v>
      </c>
      <c r="AR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-2.9472378680279483E-3</v>
      </c>
      <c r="AS10" s="32">
        <f>((C11-C9)/2-(F11-F9)/F10/2*C10)/(F10/2/Parameters!$B$5-C10)-((D11-D9)/D10-(G11-G9)/G10)/(G10/2/Parameters!$B$5/D10-1)</f>
        <v>8.8355658567788138E-4</v>
      </c>
      <c r="AT10" s="32">
        <f>+Parameters!$B$5*C10^2/F10^2-Parameters!$B$5*D10^2/G10^2</f>
        <v>2.6443189454043534E-3</v>
      </c>
      <c r="AU10" s="30">
        <f>EXP(-Parameters!$B$42*'6states,BAU'!A10)*(Parameters!$B$37*EXP(-Parameters!$B$38*Parameters!$E$25*'6states,BAU'!I10/('6states,BAU'!F10+'6states,BAU'!I10))*(1/Parameters!$B$38/Parameters!$E$25+'6states,BAU'!I10/('6states,BAU'!F10+'6states,BAU'!I10))-Parameters!$B$37/Parameters!$B$38/Parameters!$E$25*EXP(-Parameters!$B$38*Parameters!$E$25)+Parameters!$B$39)</f>
        <v>0.85764028971407869</v>
      </c>
      <c r="AV10" s="30">
        <f>J10*K10*EXP(-Parameters!$B$42*'6states,BAU'!A10)*(Parameters!$B$37*EXP(-Parameters!$B$38*Parameters!$E$25*'6states,BAU'!I10/('6states,BAU'!F10+'6states,BAU'!I10))*(1/Parameters!$B$38/Parameters!$E$25+'6states,BAU'!I10/('6states,BAU'!F10+'6states,BAU'!I10))-Parameters!$B$37/Parameters!$B$38/Parameters!$E$25*EXP(-Parameters!$B$38*Parameters!$E$25)+Parameters!$B$39)</f>
        <v>72.596369121797807</v>
      </c>
      <c r="AW10" s="8">
        <f t="shared" si="23"/>
        <v>0.67701770779432524</v>
      </c>
      <c r="AX10" s="13">
        <f>1-W10/'6states,ExoDamages'!T10</f>
        <v>1.5003314561623515E-4</v>
      </c>
      <c r="AY10" s="21">
        <f>-Y10*W10*X10^(-Parameters!B$52)*Parameters!B$46*Parameters!B$45*N10</f>
        <v>-2.211768592131181E-5</v>
      </c>
      <c r="AZ10" s="7">
        <f>1000*EXP(-(Parameters!$B$54)*'6states,BAU'!A10)*AQ10*Parameters!B$46*Parameters!B$45*N10</f>
        <v>1.9602687370936513</v>
      </c>
      <c r="BA10" s="7">
        <f>SUM(AZ10:AZ$204)*EXP(Parameters!$B$54*A10)</f>
        <v>311.47183384700588</v>
      </c>
      <c r="BB10" s="13">
        <f t="shared" si="2"/>
        <v>0.2449723541356135</v>
      </c>
      <c r="BC10" s="30">
        <f>IF(C10&lt;0,Parameters!$B$6*AC10^2/AF10,0)</f>
        <v>0</v>
      </c>
      <c r="BD10" s="30">
        <f>Parameters!$B$5*AD10^2/AG10</f>
        <v>2.8211351916982288E-2</v>
      </c>
      <c r="BE10" s="30">
        <f t="shared" si="14"/>
        <v>0</v>
      </c>
      <c r="BF10" s="30">
        <f t="shared" si="15"/>
        <v>4.8957010864244484E-2</v>
      </c>
      <c r="BG10" s="30"/>
      <c r="BH10" s="5" t="e">
        <f t="shared" si="3"/>
        <v>#NUM!</v>
      </c>
      <c r="BI10" s="2" t="e">
        <f>BH10/Parameters!$B$45</f>
        <v>#NUM!</v>
      </c>
      <c r="BJ10" s="2" t="e">
        <f t="shared" si="24"/>
        <v>#NUM!</v>
      </c>
      <c r="BM10">
        <f>-EXP(-Parameters!B$42*'6states,BAU'!A10)*(-Parameters!B$37/Parameters!B$38/Parameters!E$25*(EXP(-Parameters!B$38*Parameters!E$25*'6states,BAU'!AE10/('6states,BAU'!F10+'6states,BAU'!AE10))-EXP(-Parameters!B$38*Parameters!E$25))+Parameters!B$37*'6states,BAU'!F10/('6states,BAU'!F10+'6states,BAU'!AE10)*EXP(-Parameters!B$38*Parameters!E$25*'6states,BAU'!I10/('6states,BAU'!F10+'6states,BAU'!AE10)))</f>
        <v>-5.6277269943604908</v>
      </c>
      <c r="BN10">
        <f>-J10*K10*EXP(-Parameters!B$42*'6states,BAU'!A10)*(-Parameters!B$37/Parameters!B$38/Parameters!E$25*(EXP(-Parameters!B$38*Parameters!E$25*'6states,BAU'!I10/('6states,BAU'!F10+'6states,BAU'!I10))-EXP(-Parameters!B$38*Parameters!E$25)) + Parameters!B$37*'6states,BAU'!F10/('6states,BAU'!F10+'6states,BAU'!I10)*EXP(-Parameters!B$38*Parameters!E$25*'6states,BAU'!I10/('6states,BAU'!F10+'6states,BAU'!I10)))</f>
        <v>-476.36818267423484</v>
      </c>
      <c r="BO10" s="7">
        <f t="shared" si="4"/>
        <v>0</v>
      </c>
      <c r="BP10" s="7">
        <f t="shared" si="5"/>
        <v>-6.4853672840745693</v>
      </c>
      <c r="BU10" t="e">
        <f>EXP(-Parameters!$B$56*A10)*BH10*BN10</f>
        <v>#NUM!</v>
      </c>
      <c r="BV10" t="e">
        <f>-EXP((Parameters!$B$56)*F10)*SUM(BU10:BU18)</f>
        <v>#NUM!</v>
      </c>
      <c r="BW10">
        <f>X10^-Parameters!B$52/(1-2*Parameters!B$5*'6states,BAU'!D10/'6states,BAU'!G10)</f>
        <v>0.93901067190041509</v>
      </c>
      <c r="BX10">
        <f t="shared" si="16"/>
        <v>1.0006599668677139</v>
      </c>
      <c r="BY10">
        <f>$X10^-Parameters!$B$52/(1-2*Parameters!$B$5*'6states,BAU'!$E10/'6states,BAU'!$H10)</f>
        <v>0.9825846322903945</v>
      </c>
      <c r="BZ10">
        <f t="shared" si="17"/>
        <v>1.0010454735548535</v>
      </c>
      <c r="CA10" s="7">
        <f>($X10^-Parameters!$B$52*(1/(1+EXP(-C10)) + IF(C10&lt;0,2*Parameters!$B$6*C10/F10,0)) + BS10*(1/(1+EXP((C10-Parameters!$B$22)*Parameters!$B$21))))/(1-IF(C10&gt;0,2*Parameters!$B$5*C10/F10,0))</f>
        <v>0.50776341532075775</v>
      </c>
      <c r="CB10">
        <f t="shared" si="18"/>
        <v>1.0010648292444781</v>
      </c>
      <c r="CC10" s="7">
        <f t="shared" si="19"/>
        <v>5.4010621301892048E-4</v>
      </c>
      <c r="CD10" t="e">
        <f>(1/$T10-1/Parameters!$B$13) * LN(Parameters!$B$18) / LN(P10)</f>
        <v>#DIV/0!</v>
      </c>
      <c r="CE10">
        <f>(Parameters!$B$18*'6states,BAU'!T10^+Parameters!$B$19*Parameters!$B$25^'6states,BAU'!T10)^((1-'6states,BAU'!T10)/'6states,BAU'!T10)*Parameters!$B$18*Parameters!$B$26^('6states,BAU'!T10-1)</f>
        <v>0.16078811600831008</v>
      </c>
      <c r="CF10" t="e">
        <f t="shared" si="20"/>
        <v>#DIV/0!</v>
      </c>
      <c r="CG10" t="e">
        <f t="shared" si="21"/>
        <v>#DIV/0!</v>
      </c>
      <c r="CH10">
        <f t="shared" si="21"/>
        <v>0.10546373019265209</v>
      </c>
    </row>
    <row r="11" spans="1:86" x14ac:dyDescent="0.3">
      <c r="A11">
        <f>A10+Parameters!$B$65</f>
        <v>7</v>
      </c>
      <c r="B11">
        <v>2032</v>
      </c>
      <c r="C11" s="74">
        <v>5.7375559806118102E-2</v>
      </c>
      <c r="D11" s="69">
        <v>6.6637429410094503E-3</v>
      </c>
      <c r="E11" s="75">
        <v>0.30288655300106898</v>
      </c>
      <c r="F11" s="7">
        <f>MAX((1-Parameters!$B$4)^Parameters!B$65*F10 + C10*Parameters!B$65 - IF(C10&gt;0,Parameters!$B$5,0)*C10^2/F10*Parameters!B$65, 0.0001)</f>
        <v>0.80917726422025438</v>
      </c>
      <c r="G11" s="7">
        <f>(1-Parameters!$B$4)^Parameters!B$65*G10+D10*Parameters!B$65-Parameters!$B$5*D10^2/G10*Parameters!B$65</f>
        <v>0.13678217193660003</v>
      </c>
      <c r="H11" s="7">
        <f>(1-Parameters!$B$4)^Parameters!B$65*H10+E10*Parameters!B$65-Parameters!$B$5*E10^2/H10*Parameters!B$65</f>
        <v>4.3969603916332494</v>
      </c>
      <c r="I11" s="7">
        <f>I10 *(1-Parameters!$B$4)-C10*(C10&lt;0)*Parameters!B$65</f>
        <v>0</v>
      </c>
      <c r="J11" s="23">
        <f>J10*(1+Parameters!$B$51)^Parameters!B$65</f>
        <v>8.3270961233335221</v>
      </c>
      <c r="K11" s="23">
        <f>K10*(1+Parameters!$B$53)^Parameters!B$65</f>
        <v>10.398577919520704</v>
      </c>
      <c r="L11" s="23">
        <f>J11*K11*EXP(-Parameters!$B$42*'6states,BAU'!A11)*(Parameters!$B$37/Parameters!$B$38*('6states,BAU'!F11+'6states,BAU'!I11)/Parameters!$E$25*(EXP(-Parameters!$B$38*Parameters!$E$25*'6states,BAU'!I11/('6states,BAU'!F11+'6states,BAU'!I11))-EXP(-Parameters!$B$38*Parameters!$E$25))  +  Parameters!$B$39*'6states,BAU'!F11)</f>
        <v>59.49403575972724</v>
      </c>
      <c r="M11" s="8">
        <f>M10+L11*Parameters!B$65</f>
        <v>2697.2758450489682</v>
      </c>
      <c r="N11" s="7">
        <f>M11*Parameters!$B$45</f>
        <v>1.6183655070293808</v>
      </c>
      <c r="O11" s="9">
        <f>EXP(-Parameters!$B$46/2*N11^2)</f>
        <v>0.9740213803630059</v>
      </c>
      <c r="P11" s="7">
        <f>MAX((Parameters!$B$62 + Parameters!$B$31*'6states,BAU'!A11 - '6states,BAU'!M11 + Parameters!$B$47/Parameters!$B$45)/Parameters!B$62,1)</f>
        <v>1</v>
      </c>
      <c r="Q11" s="7">
        <f>Parameters!B$61*EXP(-Parameters!B$60*A11)</f>
        <v>0.41389325334736682</v>
      </c>
      <c r="R11" s="7">
        <f>(1-Parameters!B$61)*P11^-Parameters!B$63</f>
        <v>0.5</v>
      </c>
      <c r="S11" s="7">
        <f>Parameters!B$61*EXP(-Parameters!B$60*A11)+(1-Parameters!B$61)*P11^-Parameters!B$63</f>
        <v>0.91389325334736682</v>
      </c>
      <c r="T11" s="7">
        <f>1-S11/Parameters!$B$12</f>
        <v>0.54305337332631654</v>
      </c>
      <c r="U11" s="7">
        <f t="shared" si="0"/>
        <v>2.1884393966959381</v>
      </c>
      <c r="V11" s="7">
        <f>(Parameters!$B$19*(F11+Parameters!$B$20)^T11+Parameters!$B$18*G11^T11)^(1/T11)</f>
        <v>0.55713045634868474</v>
      </c>
      <c r="W11" s="7">
        <f>(Parameters!$B$10*H11^Parameters!$B$9+Parameters!$B$11*V11^Parameters!$B$9)^(Parameters!$B$7/Parameters!$B$9)*O11</f>
        <v>1.4966103176025558</v>
      </c>
      <c r="X11" s="7">
        <f>W11 - D11 - E11 - LN(1+EXP(Parameters!$B$21*C11))/Parameters!$B$21 - IF(C11&gt;0, 0,Parameters!$B$6*C11^2/F11)</f>
        <v>1.1296844617427984</v>
      </c>
      <c r="Y11" s="7">
        <f>EXP(-Parameters!$B$55*A11)</f>
        <v>0.89969451594850369</v>
      </c>
      <c r="Z11" s="7">
        <f>IF(X11&gt;0,X11^(1-Parameters!$B$52)/(1-Parameters!$B$52)*Y11*Parameters!$B$65,-10+X11*1000)</f>
        <v>-2.4631566041026693</v>
      </c>
      <c r="AB11" s="9"/>
      <c r="AC11" s="23">
        <f t="shared" si="6"/>
        <v>4.96814730705775</v>
      </c>
      <c r="AD11" s="23">
        <f t="shared" si="6"/>
        <v>0.57701322059729976</v>
      </c>
      <c r="AE11" s="23">
        <f t="shared" si="7"/>
        <v>0</v>
      </c>
      <c r="AF11" s="23">
        <f t="shared" si="8"/>
        <v>70.066625227760113</v>
      </c>
      <c r="AG11" s="23">
        <f t="shared" si="9"/>
        <v>11.843962506974389</v>
      </c>
      <c r="AH11" s="23">
        <f t="shared" si="10"/>
        <v>48.241902749913109</v>
      </c>
      <c r="AI11" s="23">
        <f t="shared" si="11"/>
        <v>118.7269954905761</v>
      </c>
      <c r="AJ11" s="23">
        <f t="shared" si="12"/>
        <v>129.59142436670618</v>
      </c>
      <c r="AK11" s="23">
        <f t="shared" si="13"/>
        <v>97.819329962058134</v>
      </c>
      <c r="AL11" s="9">
        <f t="shared" si="22"/>
        <v>2.1956665882419735E-2</v>
      </c>
      <c r="AM11" s="9">
        <f t="shared" si="22"/>
        <v>2.1693173014563527E-2</v>
      </c>
      <c r="AN11" s="9">
        <f t="shared" si="25"/>
        <v>2.1956633147482661E-2</v>
      </c>
      <c r="AO11" s="9">
        <f t="shared" si="25"/>
        <v>2.1691872573633652E-2</v>
      </c>
      <c r="AP11" s="23"/>
      <c r="AQ11" s="8">
        <f t="shared" si="1"/>
        <v>129.59142436670618</v>
      </c>
      <c r="AR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-2.8818330952419136E-3</v>
      </c>
      <c r="AS11" s="32">
        <f>((C12-C10)/2-(F12-F10)/F11/2*C11)/(F11/2/Parameters!$B$5-C11)-((D12-D10)/D11-(G12-G10)/G11)/(G11/2/Parameters!$B$5/D11-1)</f>
        <v>7.9585773889845899E-4</v>
      </c>
      <c r="AT11" s="32">
        <f>+Parameters!$B$5*C11^2/F11^2-Parameters!$B$5*D11^2/G11^2</f>
        <v>2.6542315181426108E-3</v>
      </c>
      <c r="AU11" s="30">
        <f>EXP(-Parameters!$B$42*'6states,BAU'!A11)*(Parameters!$B$37*EXP(-Parameters!$B$38*Parameters!$E$25*'6states,BAU'!I11/('6states,BAU'!F11+'6states,BAU'!I11))*(1/Parameters!$B$38/Parameters!$E$25+'6states,BAU'!I11/('6states,BAU'!F11+'6states,BAU'!I11))-Parameters!$B$37/Parameters!$B$38/Parameters!$E$25*EXP(-Parameters!$B$38*Parameters!$E$25)+Parameters!$B$39)</f>
        <v>0.84910662624801203</v>
      </c>
      <c r="AV11" s="30">
        <f>J11*K11*EXP(-Parameters!$B$42*'6states,BAU'!A11)*(Parameters!$B$37*EXP(-Parameters!$B$38*Parameters!$E$25*'6states,BAU'!I11/('6states,BAU'!F11+'6states,BAU'!I11))*(1/Parameters!$B$38/Parameters!$E$25+'6states,BAU'!I11/('6states,BAU'!F11+'6states,BAU'!I11))-Parameters!$B$37/Parameters!$B$38/Parameters!$E$25*EXP(-Parameters!$B$38*Parameters!$E$25)+Parameters!$B$39)</f>
        <v>73.524107003991688</v>
      </c>
      <c r="AW11" s="8">
        <f t="shared" si="23"/>
        <v>0.66924005093463557</v>
      </c>
      <c r="AX11" s="13">
        <f>1-W11/'6states,ExoDamages'!T11</f>
        <v>4.1914121352304434E-4</v>
      </c>
      <c r="AY11" s="21">
        <f>-Y11*W11*X11^(-Parameters!B$52)*Parameters!B$46*Parameters!B$45*N11</f>
        <v>-2.2291308888403313E-5</v>
      </c>
      <c r="AZ11" s="7">
        <f>1000*EXP(-(Parameters!$B$54)*'6states,BAU'!A11)*AQ11*Parameters!B$46*Parameters!B$45*N11</f>
        <v>1.9783085613512874</v>
      </c>
      <c r="BA11" s="7">
        <f>SUM(AZ11:AZ$204)*EXP(Parameters!$B$54*A11)</f>
        <v>320.0923932491495</v>
      </c>
      <c r="BB11" s="13">
        <f t="shared" si="2"/>
        <v>0.24517127232958075</v>
      </c>
      <c r="BC11" s="30">
        <f>IF(C11&lt;0,Parameters!$B$6*AC11^2/AF11,0)</f>
        <v>0</v>
      </c>
      <c r="BD11" s="30">
        <f>Parameters!$B$5*AD11^2/AG11</f>
        <v>2.8110884051516703E-2</v>
      </c>
      <c r="BE11" s="30">
        <f t="shared" si="14"/>
        <v>0</v>
      </c>
      <c r="BF11" s="30">
        <f t="shared" si="15"/>
        <v>4.8717920227923893E-2</v>
      </c>
      <c r="BG11" s="30"/>
      <c r="BH11" s="5" t="e">
        <f t="shared" si="3"/>
        <v>#NUM!</v>
      </c>
      <c r="BI11" s="2" t="e">
        <f>BH11/Parameters!$B$45</f>
        <v>#NUM!</v>
      </c>
      <c r="BJ11" s="2" t="e">
        <f t="shared" si="24"/>
        <v>#NUM!</v>
      </c>
      <c r="BM11">
        <f>-EXP(-Parameters!B$42*'6states,BAU'!A11)*(-Parameters!B$37/Parameters!B$38/Parameters!E$25*(EXP(-Parameters!B$38*Parameters!E$25*'6states,BAU'!AE11/('6states,BAU'!F11+'6states,BAU'!AE11))-EXP(-Parameters!B$38*Parameters!E$25))+Parameters!B$37*'6states,BAU'!F11/('6states,BAU'!F11+'6states,BAU'!AE11)*EXP(-Parameters!B$38*Parameters!E$25*'6states,BAU'!I11/('6states,BAU'!F11+'6states,BAU'!AE11)))</f>
        <v>-5.5717301751523101</v>
      </c>
      <c r="BN11">
        <f>-J11*K11*EXP(-Parameters!B$42*'6states,BAU'!A11)*(-Parameters!B$37/Parameters!B$38/Parameters!E$25*(EXP(-Parameters!B$38*Parameters!E$25*'6states,BAU'!I11/('6states,BAU'!F11+'6states,BAU'!I11))-EXP(-Parameters!B$38*Parameters!E$25)) + Parameters!B$37*'6states,BAU'!F11/('6states,BAU'!F11+'6states,BAU'!I11)*EXP(-Parameters!B$38*Parameters!E$25*'6states,BAU'!I11/('6states,BAU'!F11+'6states,BAU'!I11)))</f>
        <v>-482.45588119531755</v>
      </c>
      <c r="BO11" s="7">
        <f t="shared" si="4"/>
        <v>0</v>
      </c>
      <c r="BP11" s="7">
        <f t="shared" si="5"/>
        <v>-6.4208368014003216</v>
      </c>
      <c r="BU11" t="e">
        <f>EXP(-Parameters!$B$56*A11)*BH11*BN11</f>
        <v>#NUM!</v>
      </c>
      <c r="BV11" t="e">
        <f>-EXP((Parameters!$B$56)*F11)*SUM(BU11:BU19)</f>
        <v>#NUM!</v>
      </c>
      <c r="BW11">
        <f>X11^-Parameters!B$52/(1-2*Parameters!B$5*'6states,BAU'!D11/'6states,BAU'!G11)</f>
        <v>0.93978769965496689</v>
      </c>
      <c r="BX11">
        <f t="shared" si="16"/>
        <v>1.0008274961912618</v>
      </c>
      <c r="BY11">
        <f>$X11^-Parameters!$B$52/(1-2*Parameters!$B$5*'6states,BAU'!$E11/'6states,BAU'!$H11)</f>
        <v>0.98375092698903299</v>
      </c>
      <c r="BZ11">
        <f t="shared" si="17"/>
        <v>1.0011869661506103</v>
      </c>
      <c r="CA11" s="7">
        <f>($X11^-Parameters!$B$52*(1/(1+EXP(-C11)) + IF(C11&lt;0,2*Parameters!$B$6*C11/F11,0)) + BS11*(1/(1+EXP((C11-Parameters!$B$22)*Parameters!$B$21))))/(1-IF(C11&gt;0,2*Parameters!$B$5*C11/F11,0))</f>
        <v>0.50836508176215645</v>
      </c>
      <c r="CB11">
        <f t="shared" si="18"/>
        <v>1.0011849346038817</v>
      </c>
      <c r="CC11" s="7">
        <f t="shared" si="19"/>
        <v>6.0166644139869607E-4</v>
      </c>
      <c r="CD11" t="e">
        <f>(1/$T11-1/Parameters!$B$13) * LN(Parameters!$B$18) / LN(P11)</f>
        <v>#DIV/0!</v>
      </c>
      <c r="CE11">
        <f>(Parameters!$B$18*'6states,BAU'!T11^+Parameters!$B$19*Parameters!$B$25^'6states,BAU'!T11)^((1-'6states,BAU'!T11)/'6states,BAU'!T11)*Parameters!$B$18*Parameters!$B$26^('6states,BAU'!T11-1)</f>
        <v>0.16540856169965107</v>
      </c>
      <c r="CF11" t="e">
        <f t="shared" si="20"/>
        <v>#DIV/0!</v>
      </c>
      <c r="CG11" t="e">
        <f t="shared" si="21"/>
        <v>#DIV/0!</v>
      </c>
      <c r="CH11">
        <f t="shared" si="21"/>
        <v>0.10832403307884897</v>
      </c>
    </row>
    <row r="12" spans="1:86" x14ac:dyDescent="0.3">
      <c r="A12">
        <f>A11+Parameters!$B$65</f>
        <v>8</v>
      </c>
      <c r="B12">
        <v>2033</v>
      </c>
      <c r="C12" s="74">
        <v>5.7464127579617899E-2</v>
      </c>
      <c r="D12" s="69">
        <v>6.5234326039692496E-3</v>
      </c>
      <c r="E12" s="75">
        <v>0.30297015936901101</v>
      </c>
      <c r="F12" s="7">
        <f>MAX((1-Parameters!$B$4)^Parameters!B$65*F11 + C11*Parameters!B$65 - IF(C11&gt;0,Parameters!$B$5,0)*C11^2/F11*Parameters!B$65, 0.0001)</f>
        <v>0.81158730006039337</v>
      </c>
      <c r="G12" s="7">
        <f>(1-Parameters!$B$4)^Parameters!B$65*G11+D11*Parameters!B$65-Parameters!$B$5*D11^2/G11*Parameters!B$65</f>
        <v>0.13451767256577785</v>
      </c>
      <c r="H12" s="7">
        <f>(1-Parameters!$B$4)^Parameters!B$65*H11+E11*Parameters!B$65-Parameters!$B$5*E11^2/H11*Parameters!B$65</f>
        <v>4.4024136624057295</v>
      </c>
      <c r="I12" s="7">
        <f>I11 *(1-Parameters!$B$4)-C11*(C11&lt;0)*Parameters!B$65</f>
        <v>0</v>
      </c>
      <c r="J12" s="23">
        <f>J11*(1+Parameters!$B$51)^Parameters!B$65</f>
        <v>8.3512447020911882</v>
      </c>
      <c r="K12" s="23">
        <f>K11*(1+Parameters!$B$53)^Parameters!B$65</f>
        <v>10.606549477911118</v>
      </c>
      <c r="L12" s="23">
        <f>J12*K12*EXP(-Parameters!$B$42*'6states,BAU'!A12)*(Parameters!$B$37/Parameters!$B$38*('6states,BAU'!F12+'6states,BAU'!I12)/Parameters!$E$25*(EXP(-Parameters!$B$38*Parameters!$E$25*'6states,BAU'!I12/('6states,BAU'!F12+'6states,BAU'!I12))-EXP(-Parameters!$B$38*Parameters!$E$25))  +  Parameters!$B$39*'6states,BAU'!F12)</f>
        <v>60.433793899114683</v>
      </c>
      <c r="M12" s="8">
        <f>M11+L12*Parameters!B$65</f>
        <v>2757.709638948083</v>
      </c>
      <c r="N12" s="7">
        <f>M12*Parameters!$B$45</f>
        <v>1.6546257833688496</v>
      </c>
      <c r="O12" s="9">
        <f>EXP(-Parameters!$B$46/2*N12^2)</f>
        <v>0.97286032871641637</v>
      </c>
      <c r="P12" s="7">
        <f>MAX((Parameters!$B$62 + Parameters!$B$31*'6states,BAU'!A12 - '6states,BAU'!M12 + Parameters!$B$47/Parameters!$B$45)/Parameters!B$62,1)</f>
        <v>1</v>
      </c>
      <c r="Q12" s="7">
        <f>Parameters!B$61*EXP(-Parameters!B$60*A12)</f>
        <v>0.40286765093673982</v>
      </c>
      <c r="R12" s="7">
        <f>(1-Parameters!B$61)*P12^-Parameters!B$63</f>
        <v>0.5</v>
      </c>
      <c r="S12" s="7">
        <f>Parameters!B$61*EXP(-Parameters!B$60*A12)+(1-Parameters!B$61)*P12^-Parameters!B$63</f>
        <v>0.90286765093673982</v>
      </c>
      <c r="T12" s="7">
        <f>1-S12/Parameters!$B$12</f>
        <v>0.54856617453163015</v>
      </c>
      <c r="U12" s="7">
        <f t="shared" si="0"/>
        <v>2.2151640917968076</v>
      </c>
      <c r="V12" s="7">
        <f>(Parameters!$B$19*(F12+Parameters!$B$20)^T12+Parameters!$B$18*G12^T12)^(1/T12)</f>
        <v>0.55798216997004624</v>
      </c>
      <c r="W12" s="7">
        <f>(Parameters!$B$10*H12^Parameters!$B$9+Parameters!$B$11*V12^Parameters!$B$9)^(Parameters!$B$7/Parameters!$B$9)*O12</f>
        <v>1.4954053407706547</v>
      </c>
      <c r="X12" s="7">
        <f>W12 - D12 - E12 - LN(1+EXP(Parameters!$B$21*C12))/Parameters!$B$21 - IF(C12&gt;0, 0,Parameters!$B$6*C12^2/F12)</f>
        <v>1.1284476211094208</v>
      </c>
      <c r="Y12" s="7">
        <f>EXP(-Parameters!$B$55*A12)</f>
        <v>0.88621118410665478</v>
      </c>
      <c r="Z12" s="7">
        <f>IF(X12&gt;0,X12^(1-Parameters!$B$52)/(1-Parameters!$B$52)*Y12*Parameters!$B$65,-10+X12*1000)</f>
        <v>-2.4271727653465662</v>
      </c>
      <c r="AB12" s="9"/>
      <c r="AC12" s="23">
        <f t="shared" si="6"/>
        <v>5.0900511794437362</v>
      </c>
      <c r="AD12" s="23">
        <f t="shared" si="6"/>
        <v>0.57783189649663858</v>
      </c>
      <c r="AE12" s="23">
        <f t="shared" si="7"/>
        <v>0</v>
      </c>
      <c r="AF12" s="23">
        <f t="shared" si="8"/>
        <v>71.888690699607963</v>
      </c>
      <c r="AG12" s="23">
        <f t="shared" si="9"/>
        <v>11.915291621730328</v>
      </c>
      <c r="AH12" s="23">
        <f t="shared" si="10"/>
        <v>49.424883348824942</v>
      </c>
      <c r="AI12" s="23">
        <f t="shared" si="11"/>
        <v>121.63840080890587</v>
      </c>
      <c r="AJ12" s="23">
        <f t="shared" si="12"/>
        <v>132.45984998188578</v>
      </c>
      <c r="AK12" s="23">
        <f t="shared" si="13"/>
        <v>99.955509405589382</v>
      </c>
      <c r="AL12" s="9">
        <f t="shared" si="22"/>
        <v>2.1892968783246758E-2</v>
      </c>
      <c r="AM12" s="9">
        <f t="shared" si="22"/>
        <v>2.1602975659162027E-2</v>
      </c>
      <c r="AN12" s="9">
        <f t="shared" si="25"/>
        <v>2.1892883102900208E-2</v>
      </c>
      <c r="AO12" s="9">
        <f t="shared" si="25"/>
        <v>2.1609946468059249E-2</v>
      </c>
      <c r="AP12" s="23"/>
      <c r="AQ12" s="8">
        <f t="shared" si="1"/>
        <v>132.45984998188578</v>
      </c>
      <c r="AR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-2.8214258195955488E-3</v>
      </c>
      <c r="AS12" s="32">
        <f>((C13-C11)/2-(F13-F11)/F12/2*C12)/(F12/2/Parameters!$B$5-C12)-((D13-D11)/D12-(G13-G11)/G12)/(G12/2/Parameters!$B$5/D12-1)</f>
        <v>6.7916135568053435E-4</v>
      </c>
      <c r="AT12" s="32">
        <f>+Parameters!$B$5*C12^2/F12^2-Parameters!$B$5*D12^2/G12^2</f>
        <v>2.6615300896243796E-3</v>
      </c>
      <c r="AU12" s="30">
        <f>EXP(-Parameters!$B$42*'6states,BAU'!A12)*(Parameters!$B$37*EXP(-Parameters!$B$38*Parameters!$E$25*'6states,BAU'!I12/('6states,BAU'!F12+'6states,BAU'!I12))*(1/Parameters!$B$38/Parameters!$E$25+'6states,BAU'!I12/('6states,BAU'!F12+'6states,BAU'!I12))-Parameters!$B$37/Parameters!$B$38/Parameters!$E$25*EXP(-Parameters!$B$38*Parameters!$E$25)+Parameters!$B$39)</f>
        <v>0.8406578741521612</v>
      </c>
      <c r="AV12" s="30">
        <f>J12*K12*EXP(-Parameters!$B$42*'6states,BAU'!A12)*(Parameters!$B$37*EXP(-Parameters!$B$38*Parameters!$E$25*'6states,BAU'!I12/('6states,BAU'!F12+'6states,BAU'!I12))*(1/Parameters!$B$38/Parameters!$E$25+'6states,BAU'!I12/('6states,BAU'!F12+'6states,BAU'!I12))-Parameters!$B$37/Parameters!$B$38/Parameters!$E$25*EXP(-Parameters!$B$38*Parameters!$E$25)+Parameters!$B$39)</f>
        <v>74.463700817666279</v>
      </c>
      <c r="AW12" s="8">
        <f t="shared" si="23"/>
        <v>0.61768959962822723</v>
      </c>
      <c r="AX12" s="13">
        <f>1-W12/'6states,ExoDamages'!T12</f>
        <v>7.3363492346323333E-4</v>
      </c>
      <c r="AY12" s="21">
        <f>-Y12*W12*X12^(-Parameters!B$52)*Parameters!B$46*Parameters!B$45*N12</f>
        <v>-2.2464323884973112E-5</v>
      </c>
      <c r="AZ12" s="7">
        <f>1000*EXP(-(Parameters!$B$54)*'6states,BAU'!A12)*AQ12*Parameters!B$46*Parameters!B$45*N12</f>
        <v>1.9960961804222339</v>
      </c>
      <c r="BA12" s="7">
        <f>SUM(AZ12:AZ$204)*EXP(Parameters!$B$54*A12)</f>
        <v>328.90748822169547</v>
      </c>
      <c r="BB12" s="13">
        <f t="shared" si="2"/>
        <v>0.24539013573636637</v>
      </c>
      <c r="BC12" s="30">
        <f>IF(C12&lt;0,Parameters!$B$6*AC12^2/AF12,0)</f>
        <v>0</v>
      </c>
      <c r="BD12" s="30">
        <f>Parameters!$B$5*AD12^2/AG12</f>
        <v>2.8021949542550509E-2</v>
      </c>
      <c r="BE12" s="30">
        <f t="shared" si="14"/>
        <v>0</v>
      </c>
      <c r="BF12" s="30">
        <f t="shared" si="15"/>
        <v>4.8494985673940762E-2</v>
      </c>
      <c r="BG12" s="30"/>
      <c r="BH12" s="5" t="e">
        <f t="shared" si="3"/>
        <v>#NUM!</v>
      </c>
      <c r="BI12" s="2" t="e">
        <f>BH12/Parameters!$B$45</f>
        <v>#NUM!</v>
      </c>
      <c r="BJ12" s="2" t="e">
        <f t="shared" si="24"/>
        <v>#NUM!</v>
      </c>
      <c r="BM12">
        <f>-EXP(-Parameters!B$42*'6states,BAU'!A12)*(-Parameters!B$37/Parameters!B$38/Parameters!E$25*(EXP(-Parameters!B$38*Parameters!E$25*'6states,BAU'!AE12/('6states,BAU'!F12+'6states,BAU'!AE12))-EXP(-Parameters!B$38*Parameters!E$25))+Parameters!B$37*'6states,BAU'!F12/('6states,BAU'!F12+'6states,BAU'!AE12)*EXP(-Parameters!B$38*Parameters!E$25*'6states,BAU'!I12/('6states,BAU'!F12+'6states,BAU'!AE12)))</f>
        <v>-5.5162905336047672</v>
      </c>
      <c r="BN12">
        <f>-J12*K12*EXP(-Parameters!B$42*'6states,BAU'!A12)*(-Parameters!B$37/Parameters!B$38/Parameters!E$25*(EXP(-Parameters!B$38*Parameters!E$25*'6states,BAU'!I12/('6states,BAU'!F12+'6states,BAU'!I12))-EXP(-Parameters!B$38*Parameters!E$25)) + Parameters!B$37*'6states,BAU'!F12/('6states,BAU'!F12+'6states,BAU'!I12)*EXP(-Parameters!B$38*Parameters!E$25*'6states,BAU'!I12/('6states,BAU'!F12+'6states,BAU'!I12)))</f>
        <v>-488.62137683768464</v>
      </c>
      <c r="BO12" s="7">
        <f t="shared" si="4"/>
        <v>0</v>
      </c>
      <c r="BP12" s="7">
        <f t="shared" si="5"/>
        <v>-6.3569484077569287</v>
      </c>
      <c r="BU12" t="e">
        <f>EXP(-Parameters!$B$56*A12)*BH12*BN12</f>
        <v>#NUM!</v>
      </c>
      <c r="BV12" t="e">
        <f>-EXP((Parameters!$B$56)*F12)*SUM(BU12:BU20)</f>
        <v>#NUM!</v>
      </c>
      <c r="BW12">
        <f>X12^-Parameters!B$52/(1-2*Parameters!B$5*'6states,BAU'!D12/'6states,BAU'!G12)</f>
        <v>0.94071383080332693</v>
      </c>
      <c r="BX12">
        <f t="shared" si="16"/>
        <v>1.0009854684719752</v>
      </c>
      <c r="BY12">
        <f>$X12^-Parameters!$B$52/(1-2*Parameters!$B$5*'6states,BAU'!$E12/'6states,BAU'!$H12)</f>
        <v>0.98505526248560304</v>
      </c>
      <c r="BZ12">
        <f t="shared" si="17"/>
        <v>1.0013258798144793</v>
      </c>
      <c r="CA12" s="7">
        <f>($X12^-Parameters!$B$52*(1/(1+EXP(-C12)) + IF(C12&lt;0,2*Parameters!$B$6*C12/F12,0)) + BS12*(1/(1+EXP((C12-Parameters!$B$22)*Parameters!$B$21))))/(1-IF(C12&gt;0,2*Parameters!$B$5*C12/F12,0))</f>
        <v>0.50901901835601704</v>
      </c>
      <c r="CB12">
        <f t="shared" si="18"/>
        <v>1.0012863523033364</v>
      </c>
      <c r="CC12" s="7">
        <f t="shared" si="19"/>
        <v>6.5393659386059344E-4</v>
      </c>
      <c r="CD12" t="e">
        <f>(1/$T12-1/Parameters!$B$13) * LN(Parameters!$B$18) / LN(P12)</f>
        <v>#DIV/0!</v>
      </c>
      <c r="CE12">
        <f>(Parameters!$B$18*'6states,BAU'!T12^+Parameters!$B$19*Parameters!$B$25^'6states,BAU'!T12)^((1-'6states,BAU'!T12)/'6states,BAU'!T12)*Parameters!$B$18*Parameters!$B$26^('6states,BAU'!T12-1)</f>
        <v>0.16987173548923445</v>
      </c>
      <c r="CF12" t="e">
        <f t="shared" si="20"/>
        <v>#DIV/0!</v>
      </c>
      <c r="CG12" t="e">
        <f t="shared" si="21"/>
        <v>#DIV/0!</v>
      </c>
      <c r="CH12">
        <f t="shared" si="21"/>
        <v>0.11107829170952033</v>
      </c>
    </row>
    <row r="13" spans="1:86" x14ac:dyDescent="0.3">
      <c r="A13">
        <f>A12+Parameters!$B$65</f>
        <v>9</v>
      </c>
      <c r="B13">
        <v>2034</v>
      </c>
      <c r="C13" s="74">
        <v>5.7551630151854501E-2</v>
      </c>
      <c r="D13" s="69">
        <v>6.3893536186095598E-3</v>
      </c>
      <c r="E13" s="75">
        <v>0.303046580120239</v>
      </c>
      <c r="F13" s="7">
        <f>MAX((1-Parameters!$B$4)^Parameters!B$65*F12 + C12*Parameters!B$65 - IF(C12&gt;0,Parameters!$B$5,0)*C12^2/F12*Parameters!B$65, 0.0001)</f>
        <v>0.81393386094741649</v>
      </c>
      <c r="G13" s="7">
        <f>(1-Parameters!$B$4)^Parameters!B$65*G12+D12*Parameters!B$65-Parameters!$B$5*D12^2/G12*Parameters!B$65</f>
        <v>0.13226358979468528</v>
      </c>
      <c r="H13" s="7">
        <f>(1-Parameters!$B$4)^Parameters!B$65*H12+E12*Parameters!B$65-Parameters!$B$5*E12^2/H12*Parameters!B$65</f>
        <v>4.4076218677998691</v>
      </c>
      <c r="I13" s="7">
        <f>I12 *(1-Parameters!$B$4)-C12*(C12&lt;0)*Parameters!B$65</f>
        <v>0</v>
      </c>
      <c r="J13" s="23">
        <f>J12*(1+Parameters!$B$51)^Parameters!B$65</f>
        <v>8.3754633117272519</v>
      </c>
      <c r="K13" s="23">
        <f>K12*(1+Parameters!$B$53)^Parameters!B$65</f>
        <v>10.81868046746934</v>
      </c>
      <c r="L13" s="64">
        <f>J13*K13*EXP(-Parameters!$B$42*'6states,BAU'!A13)*(Parameters!$B$37/Parameters!$B$38*('6states,BAU'!F13+'6states,BAU'!I13)/Parameters!$E$25*(EXP(-Parameters!$B$38*Parameters!$E$25*'6states,BAU'!I13/('6states,BAU'!F13+'6states,BAU'!I13))-EXP(-Parameters!$B$38*Parameters!$E$25))  +  Parameters!$B$39*'6states,BAU'!F13)</f>
        <v>61.38306799200263</v>
      </c>
      <c r="M13" s="8">
        <f>M12+L13*Parameters!B$65</f>
        <v>2819.0927069400855</v>
      </c>
      <c r="N13" s="7">
        <f>M13*Parameters!$B$45</f>
        <v>1.691455624164051</v>
      </c>
      <c r="O13" s="9">
        <f>EXP(-Parameters!$B$46/2*N13^2)</f>
        <v>0.97165616929733867</v>
      </c>
      <c r="P13" s="7">
        <f>MAX((Parameters!$B$62 + Parameters!$B$31*'6states,BAU'!A13 - '6states,BAU'!M13 + Parameters!$B$47/Parameters!$B$45)/Parameters!B$62,1)</f>
        <v>1</v>
      </c>
      <c r="Q13" s="7">
        <f>Parameters!B$61*EXP(-Parameters!B$60*A13)</f>
        <v>0.39213575688577823</v>
      </c>
      <c r="R13" s="7">
        <f>(1-Parameters!B$61)*P13^-Parameters!B$63</f>
        <v>0.5</v>
      </c>
      <c r="S13" s="7">
        <f>Parameters!B$61*EXP(-Parameters!B$60*A13)+(1-Parameters!B$61)*P13^-Parameters!B$63</f>
        <v>0.89213575688577818</v>
      </c>
      <c r="T13" s="7">
        <f>1-S13/Parameters!$B$12</f>
        <v>0.55393212155711091</v>
      </c>
      <c r="U13" s="7">
        <f t="shared" si="0"/>
        <v>2.2418112765499925</v>
      </c>
      <c r="V13" s="7">
        <f>(Parameters!$B$19*(F13+Parameters!$B$20)^T13+Parameters!$B$18*G13^T13)^(1/T13)</f>
        <v>0.55879507121516436</v>
      </c>
      <c r="W13" s="7">
        <f>(Parameters!$B$10*H13^Parameters!$B$9+Parameters!$B$11*V13^Parameters!$B$9)^(Parameters!$B$7/Parameters!$B$9)*O13</f>
        <v>1.4941061167990921</v>
      </c>
      <c r="X13" s="7">
        <f>W13 - D13 - E13 - LN(1+EXP(Parameters!$B$21*C13))/Parameters!$B$21 - IF(C13&gt;0, 0,Parameters!$B$6*C13^2/F13)</f>
        <v>1.127118552802568</v>
      </c>
      <c r="Y13" s="7">
        <f>EXP(-Parameters!$B$55*A13)</f>
        <v>0.87292992111632683</v>
      </c>
      <c r="Z13" s="7">
        <f>IF(X13&gt;0,X13^(1-Parameters!$B$52)/(1-Parameters!$B$52)*Y13*Parameters!$B$65,-10+X13*1000)</f>
        <v>-2.3917841088659806</v>
      </c>
      <c r="AB13" s="9"/>
      <c r="AC13" s="23">
        <f t="shared" si="6"/>
        <v>5.2148373103624737</v>
      </c>
      <c r="AD13" s="23">
        <f t="shared" si="6"/>
        <v>0.57894866837843961</v>
      </c>
      <c r="AE13" s="23">
        <f t="shared" si="7"/>
        <v>0</v>
      </c>
      <c r="AF13" s="23">
        <f t="shared" si="8"/>
        <v>73.751736571778011</v>
      </c>
      <c r="AG13" s="23">
        <f t="shared" si="9"/>
        <v>11.984597152919685</v>
      </c>
      <c r="AH13" s="23">
        <f t="shared" si="10"/>
        <v>50.633237990489754</v>
      </c>
      <c r="AI13" s="23">
        <f t="shared" si="11"/>
        <v>124.61225357826441</v>
      </c>
      <c r="AJ13" s="23">
        <f t="shared" si="12"/>
        <v>135.38313863510308</v>
      </c>
      <c r="AK13" s="23">
        <f t="shared" si="13"/>
        <v>102.12985916902281</v>
      </c>
      <c r="AL13" s="9">
        <f t="shared" si="22"/>
        <v>2.182924220016691E-2</v>
      </c>
      <c r="AM13" s="9">
        <f t="shared" si="22"/>
        <v>2.1519951606701504E-2</v>
      </c>
      <c r="AN13" s="9">
        <f t="shared" si="25"/>
        <v>2.1828644769223436E-2</v>
      </c>
      <c r="AO13" s="9">
        <f t="shared" si="25"/>
        <v>2.152057587803231E-2</v>
      </c>
      <c r="AP13" s="23"/>
      <c r="AQ13" s="8">
        <f t="shared" si="1"/>
        <v>135.38313863510308</v>
      </c>
      <c r="AR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-2.7640500554256993E-3</v>
      </c>
      <c r="AS13" s="32">
        <f>((C14-C12)/2-(F14-F12)/F13/2*C13)/(F13/2/Parameters!$B$5-C13)-((D14-D12)/D13-(G14-G12)/G13)/(G13/2/Parameters!$B$5/D13-1)</f>
        <v>5.6665397354525274E-4</v>
      </c>
      <c r="AT13" s="32">
        <f>+Parameters!$B$5*C13^2/F13^2-Parameters!$B$5*D13^2/G13^2</f>
        <v>2.6659836887628105E-3</v>
      </c>
      <c r="AU13" s="30">
        <f>EXP(-Parameters!$B$42*'6states,BAU'!A13)*(Parameters!$B$37*EXP(-Parameters!$B$38*Parameters!$E$25*'6states,BAU'!I13/('6states,BAU'!F13+'6states,BAU'!I13))*(1/Parameters!$B$38/Parameters!$E$25+'6states,BAU'!I13/('6states,BAU'!F13+'6states,BAU'!I13))-Parameters!$B$37/Parameters!$B$38/Parameters!$E$25*EXP(-Parameters!$B$38*Parameters!$E$25)+Parameters!$B$39)</f>
        <v>0.83229318854427625</v>
      </c>
      <c r="AV13" s="30">
        <f>J13*K13*EXP(-Parameters!$B$42*'6states,BAU'!A13)*(Parameters!$B$37*EXP(-Parameters!$B$38*Parameters!$E$25*'6states,BAU'!I13/('6states,BAU'!F13+'6states,BAU'!I13))*(1/Parameters!$B$38/Parameters!$E$25+'6states,BAU'!I13/('6states,BAU'!F13+'6states,BAU'!I13))-Parameters!$B$37/Parameters!$B$38/Parameters!$E$25*EXP(-Parameters!$B$38*Parameters!$E$25)+Parameters!$B$39)</f>
        <v>75.415302074486647</v>
      </c>
      <c r="AW13" s="8">
        <f t="shared" si="23"/>
        <v>0.56300785988883029</v>
      </c>
      <c r="AX13" s="13">
        <f>1-W13/'6states,ExoDamages'!T13</f>
        <v>1.1151941398007681E-3</v>
      </c>
      <c r="AY13" s="21">
        <f>-Y13*W13*X13^(-Parameters!B$52)*Parameters!B$46*Parameters!B$45*N13</f>
        <v>-2.2636526256549709E-5</v>
      </c>
      <c r="AZ13" s="7">
        <f>1000*EXP(-(Parameters!$B$54)*'6states,BAU'!A13)*AQ13*Parameters!B$46*Parameters!B$45*N13</f>
        <v>2.0136262665136062</v>
      </c>
      <c r="BA13" s="7">
        <f>SUM(AZ13:AZ$204)*EXP(Parameters!$B$54*A13)</f>
        <v>337.91950904775297</v>
      </c>
      <c r="BB13" s="13">
        <f t="shared" si="2"/>
        <v>0.24562349338139466</v>
      </c>
      <c r="BC13" s="30">
        <f>IF(C13&lt;0,Parameters!$B$6*AC13^2/AF13,0)</f>
        <v>0</v>
      </c>
      <c r="BD13" s="30">
        <f>Parameters!$B$5*AD13^2/AG13</f>
        <v>2.7967695229164341E-2</v>
      </c>
      <c r="BE13" s="30">
        <f t="shared" si="14"/>
        <v>0</v>
      </c>
      <c r="BF13" s="30">
        <f t="shared" si="15"/>
        <v>4.8307728744757701E-2</v>
      </c>
      <c r="BG13" s="30"/>
      <c r="BH13" s="5" t="e">
        <f t="shared" si="3"/>
        <v>#NUM!</v>
      </c>
      <c r="BI13" s="2" t="e">
        <f>BH13/Parameters!$B$45</f>
        <v>#NUM!</v>
      </c>
      <c r="BJ13" s="2" t="e">
        <f t="shared" si="24"/>
        <v>#NUM!</v>
      </c>
      <c r="BM13">
        <f>-EXP(-Parameters!B$42*'6states,BAU'!A13)*(-Parameters!B$37/Parameters!B$38/Parameters!E$25*(EXP(-Parameters!B$38*Parameters!E$25*'6states,BAU'!AE13/('6states,BAU'!F13+'6states,BAU'!AE13))-EXP(-Parameters!B$38*Parameters!E$25))+Parameters!B$37*'6states,BAU'!F13/('6states,BAU'!F13+'6states,BAU'!AE13)*EXP(-Parameters!B$38*Parameters!E$25*'6states,BAU'!I13/('6states,BAU'!F13+'6states,BAU'!AE13)))</f>
        <v>-5.4614025257075092</v>
      </c>
      <c r="BN13">
        <f>-J13*K13*EXP(-Parameters!B$42*'6states,BAU'!A13)*(-Parameters!B$37/Parameters!B$38/Parameters!E$25*(EXP(-Parameters!B$38*Parameters!E$25*'6states,BAU'!I13/('6states,BAU'!F13+'6states,BAU'!I13))-EXP(-Parameters!B$38*Parameters!E$25)) + Parameters!B$37*'6states,BAU'!F13/('6states,BAU'!F13+'6states,BAU'!I13)*EXP(-Parameters!B$38*Parameters!E$25*'6states,BAU'!I13/('6states,BAU'!F13+'6states,BAU'!I13)))</f>
        <v>-494.86566380169927</v>
      </c>
      <c r="BO13" s="7">
        <f t="shared" si="4"/>
        <v>0</v>
      </c>
      <c r="BP13" s="7">
        <f t="shared" si="5"/>
        <v>-6.2936957142517853</v>
      </c>
      <c r="BU13" t="e">
        <f>EXP(-Parameters!$B$56*A13)*BH13*BN13</f>
        <v>#NUM!</v>
      </c>
      <c r="BV13" t="e">
        <f>-EXP((Parameters!$B$56)*F13)*SUM(BU13:BU21)</f>
        <v>#NUM!</v>
      </c>
      <c r="BW13">
        <f>X13^-Parameters!B$52/(1-2*Parameters!B$5*'6states,BAU'!D13/'6states,BAU'!G13)</f>
        <v>0.94182103691230656</v>
      </c>
      <c r="BX13">
        <f t="shared" si="16"/>
        <v>1.0011769850434049</v>
      </c>
      <c r="BY13">
        <f>$X13^-Parameters!$B$52/(1-2*Parameters!$B$5*'6states,BAU'!$E13/'6states,BAU'!$H13)</f>
        <v>0.9864773013572038</v>
      </c>
      <c r="BZ13">
        <f t="shared" si="17"/>
        <v>1.001443613293342</v>
      </c>
      <c r="CA13" s="7">
        <f>($X13^-Parameters!$B$52*(1/(1+EXP(-C13)) + IF(C13&lt;0,2*Parameters!$B$6*C13/F13,0)) + BS13*(1/(1+EXP((C13-Parameters!$B$22)*Parameters!$B$21))))/(1-IF(C13&gt;0,2*Parameters!$B$5*C13/F13,0))</f>
        <v>0.50973639488430611</v>
      </c>
      <c r="CB13">
        <f t="shared" si="18"/>
        <v>1.0014093314835386</v>
      </c>
      <c r="CC13" s="7">
        <f t="shared" si="19"/>
        <v>7.1737652828907095E-4</v>
      </c>
      <c r="CD13" t="e">
        <f>(1/$T13-1/Parameters!$B$13) * LN(Parameters!$B$18) / LN(P13)</f>
        <v>#DIV/0!</v>
      </c>
      <c r="CE13">
        <f>(Parameters!$B$18*'6states,BAU'!T13^+Parameters!$B$19*Parameters!$B$25^'6states,BAU'!T13)^((1-'6states,BAU'!T13)/'6states,BAU'!T13)*Parameters!$B$18*Parameters!$B$26^('6states,BAU'!T13-1)</f>
        <v>0.17417983770494033</v>
      </c>
      <c r="CF13" t="e">
        <f t="shared" si="20"/>
        <v>#DIV/0!</v>
      </c>
      <c r="CG13" t="e">
        <f t="shared" si="21"/>
        <v>#DIV/0!</v>
      </c>
      <c r="CH13">
        <f t="shared" si="21"/>
        <v>0.11372878494152572</v>
      </c>
    </row>
    <row r="14" spans="1:86" x14ac:dyDescent="0.3">
      <c r="A14">
        <f>A13+Parameters!$B$65</f>
        <v>10</v>
      </c>
      <c r="B14">
        <v>2035</v>
      </c>
      <c r="C14" s="74">
        <v>5.7642576038598299E-2</v>
      </c>
      <c r="D14" s="69">
        <v>6.2597977675298696E-3</v>
      </c>
      <c r="E14" s="75">
        <v>0.30309962155025599</v>
      </c>
      <c r="F14" s="7">
        <f>MAX((1-Parameters!$B$4)^Parameters!B$65*F13 + C13*Parameters!B$65 - IF(C13&gt;0,Parameters!$B$5,0)*C13^2/F13*Parameters!B$65, 0.0001)</f>
        <v>0.81621969095480618</v>
      </c>
      <c r="G14" s="7">
        <f>(1-Parameters!$B$4)^Parameters!B$65*G13+D13*Parameters!B$65-Parameters!$B$5*D13^2/G13*Parameters!B$65</f>
        <v>0.13002490845374701</v>
      </c>
      <c r="H14" s="7">
        <f>(1-Parameters!$B$4)^Parameters!B$65*H13+E13*Parameters!B$65-Parameters!$B$5*E13^2/H13*Parameters!B$65</f>
        <v>4.4125930277878442</v>
      </c>
      <c r="I14" s="7">
        <f>I13 *(1-Parameters!$B$4)-C13*(C13&lt;0)*Parameters!B$65</f>
        <v>0</v>
      </c>
      <c r="J14" s="23">
        <f>J13*(1+Parameters!$B$51)^Parameters!B$65</f>
        <v>8.3997521553312602</v>
      </c>
      <c r="K14" s="23">
        <f>K13*(1+Parameters!$B$53)^Parameters!B$65</f>
        <v>11.035054076818728</v>
      </c>
      <c r="L14" s="64">
        <f>J14*K14*EXP(-Parameters!$B$42*'6states,BAU'!A14)*(Parameters!$B$37/Parameters!$B$38*('6states,BAU'!F14+'6states,BAU'!I14)/Parameters!$E$25*(EXP(-Parameters!$B$38*Parameters!$E$25*'6states,BAU'!I14/('6states,BAU'!F14+'6states,BAU'!I14))-EXP(-Parameters!$B$38*Parameters!$E$25))  +  Parameters!$B$39*'6states,BAU'!F14)</f>
        <v>62.342096194980321</v>
      </c>
      <c r="M14" s="8">
        <f>M13+L14*Parameters!B$65</f>
        <v>2881.434803135066</v>
      </c>
      <c r="N14" s="7">
        <f>M14*Parameters!$B$45</f>
        <v>1.7288608818810394</v>
      </c>
      <c r="O14" s="9">
        <f>EXP(-Parameters!$B$46/2*N14^2)</f>
        <v>0.97040764082951869</v>
      </c>
      <c r="P14" s="7">
        <f>MAX((Parameters!$B$62 + Parameters!$B$31*'6states,BAU'!A14 - '6states,BAU'!M14 + Parameters!$B$47/Parameters!$B$45)/Parameters!B$62,1)</f>
        <v>1</v>
      </c>
      <c r="Q14" s="7">
        <f>Parameters!B$61*EXP(-Parameters!B$60*A14)</f>
        <v>0.38168974716842657</v>
      </c>
      <c r="R14" s="7">
        <f>(1-Parameters!B$61)*P14^-Parameters!B$63</f>
        <v>0.5</v>
      </c>
      <c r="S14" s="7">
        <f>Parameters!B$61*EXP(-Parameters!B$60*A14)+(1-Parameters!B$61)*P14^-Parameters!B$63</f>
        <v>0.88168974716842663</v>
      </c>
      <c r="T14" s="7">
        <f>1-S14/Parameters!$B$12</f>
        <v>0.55915512641578669</v>
      </c>
      <c r="U14" s="7">
        <f t="shared" si="0"/>
        <v>2.2683716198618171</v>
      </c>
      <c r="V14" s="7">
        <f>(Parameters!$B$19*(F14+Parameters!$B$20)^T14+Parameters!$B$18*G14^T14)^(1/T14)</f>
        <v>0.55957336090165199</v>
      </c>
      <c r="W14" s="7">
        <f>(Parameters!$B$10*H14^Parameters!$B$9+Parameters!$B$11*V14^Parameters!$B$9)^(Parameters!$B$7/Parameters!$B$9)*O14</f>
        <v>1.4927120707529933</v>
      </c>
      <c r="X14" s="7">
        <f>W14 - D14 - E14 - LN(1+EXP(Parameters!$B$21*C14))/Parameters!$B$21 - IF(C14&gt;0, 0,Parameters!$B$6*C14^2/F14)</f>
        <v>1.1257100752936364</v>
      </c>
      <c r="Y14" s="7">
        <f>EXP(-Parameters!$B$55*A14)</f>
        <v>0.85984769865920552</v>
      </c>
      <c r="Z14" s="7">
        <f>IF(X14&gt;0,X14^(1-Parameters!$B$52)/(1-Parameters!$B$52)*Y14*Parameters!$B$65,-10+X14*1000)</f>
        <v>-2.3569707626323622</v>
      </c>
      <c r="AB14" s="9"/>
      <c r="AC14" s="23">
        <f t="shared" si="6"/>
        <v>5.3429894759362249</v>
      </c>
      <c r="AD14" s="23">
        <f t="shared" si="6"/>
        <v>0.58023141732953132</v>
      </c>
      <c r="AE14" s="23">
        <f t="shared" si="7"/>
        <v>0</v>
      </c>
      <c r="AF14" s="23">
        <f t="shared" si="8"/>
        <v>75.656806453327548</v>
      </c>
      <c r="AG14" s="23">
        <f t="shared" si="9"/>
        <v>12.052232311976233</v>
      </c>
      <c r="AH14" s="23">
        <f t="shared" si="10"/>
        <v>51.867816877402916</v>
      </c>
      <c r="AI14" s="23">
        <f t="shared" si="11"/>
        <v>127.65064621172171</v>
      </c>
      <c r="AJ14" s="23">
        <f t="shared" si="12"/>
        <v>138.362048207139</v>
      </c>
      <c r="AK14" s="23">
        <f t="shared" si="13"/>
        <v>104.34400227397495</v>
      </c>
      <c r="AL14" s="9">
        <f t="shared" si="22"/>
        <v>2.17649647201128E-2</v>
      </c>
      <c r="AM14" s="9">
        <f t="shared" si="22"/>
        <v>2.1448022210368123E-2</v>
      </c>
      <c r="AN14" s="9">
        <f t="shared" si="25"/>
        <v>2.1764189289335434E-2</v>
      </c>
      <c r="AO14" s="9">
        <f t="shared" si="25"/>
        <v>2.1439361968393734E-2</v>
      </c>
      <c r="AP14" s="23"/>
      <c r="AQ14" s="8">
        <f t="shared" si="1"/>
        <v>138.36204820713897</v>
      </c>
      <c r="AR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-2.7116796932921332E-3</v>
      </c>
      <c r="AS14" s="32">
        <f>((C15-C13)/2-(F15-F13)/F14/2*C14)/(F14/2/Parameters!$B$5-C14)-((D15-D13)/D14-(G15-G13)/G14)/(G14/2/Parameters!$B$5/D14-1)</f>
        <v>4.6383468704368349E-4</v>
      </c>
      <c r="AT14" s="32">
        <f>+Parameters!$B$5*C14^2/F14^2-Parameters!$B$5*D14^2/G14^2</f>
        <v>2.6696271053020209E-3</v>
      </c>
      <c r="AU14" s="30">
        <f>EXP(-Parameters!$B$42*'6states,BAU'!A14)*(Parameters!$B$37*EXP(-Parameters!$B$38*Parameters!$E$25*'6states,BAU'!I14/('6states,BAU'!F14+'6states,BAU'!I14))*(1/Parameters!$B$38/Parameters!$E$25+'6states,BAU'!I14/('6states,BAU'!F14+'6states,BAU'!I14))-Parameters!$B$37/Parameters!$B$38/Parameters!$E$25*EXP(-Parameters!$B$38*Parameters!$E$25)+Parameters!$B$39)</f>
        <v>0.82401173294882568</v>
      </c>
      <c r="AV14" s="30">
        <f>J14*K14*EXP(-Parameters!$B$42*'6states,BAU'!A14)*(Parameters!$B$37*EXP(-Parameters!$B$38*Parameters!$E$25*'6states,BAU'!I14/('6states,BAU'!F14+'6states,BAU'!I14))*(1/Parameters!$B$38/Parameters!$E$25+'6states,BAU'!I14/('6states,BAU'!F14+'6states,BAU'!I14))-Parameters!$B$37/Parameters!$B$38/Parameters!$E$25*EXP(-Parameters!$B$38*Parameters!$E$25)+Parameters!$B$39)</f>
        <v>76.379064222345718</v>
      </c>
      <c r="AW14" s="8">
        <f>1000*(AR14+AS14+AT14)/(EXP(-Parameters!$B$42*A14)*((C14&lt;0)*Parameters!$B$37*EXP(-Parameters!$B$38*AF14)+(C14&gt;=0)*Parameters!$B$41))</f>
        <v>0.51186419099176284</v>
      </c>
      <c r="AX14" s="13">
        <f>1-W14/'6states,ExoDamages'!T14</f>
        <v>1.5814454934131028E-3</v>
      </c>
      <c r="AY14" s="21">
        <f>-Y14*W14*X14^(-Parameters!B$52)*Parameters!B$46*Parameters!B$45*N14</f>
        <v>-2.2807573699691615E-5</v>
      </c>
      <c r="AZ14" s="7">
        <f>1000*EXP(-(Parameters!$B$54)*'6states,BAU'!A14)*AQ14*Parameters!B$46*Parameters!B$45*N14</f>
        <v>2.0308926827597693</v>
      </c>
      <c r="BA14" s="7">
        <f>SUM(AZ14:AZ$204)*EXP(Parameters!$B$54*A14)</f>
        <v>347.13077032723373</v>
      </c>
      <c r="BB14" s="13">
        <f t="shared" ref="BB14:BB77" si="26">(C14+D14+E14)/W14</f>
        <v>0.24586254948099356</v>
      </c>
      <c r="BC14" s="30">
        <f>IF(C14&lt;0,Parameters!$B$6*AC14^2/AF14,0)</f>
        <v>0</v>
      </c>
      <c r="BD14" s="30">
        <f>Parameters!$B$5*AD14^2/AG14</f>
        <v>2.7934119500973378E-2</v>
      </c>
      <c r="BE14" s="30">
        <f t="shared" si="14"/>
        <v>0</v>
      </c>
      <c r="BF14" s="30">
        <f t="shared" si="15"/>
        <v>4.8143066139951417E-2</v>
      </c>
      <c r="BG14" s="30"/>
      <c r="BH14" s="5" t="e">
        <f t="shared" si="3"/>
        <v>#NUM!</v>
      </c>
      <c r="BI14" s="2" t="e">
        <f>BH14/Parameters!$B$45</f>
        <v>#NUM!</v>
      </c>
      <c r="BJ14" s="2" t="e">
        <f t="shared" si="24"/>
        <v>#NUM!</v>
      </c>
      <c r="BM14">
        <f>-EXP(-Parameters!B$42*'6states,BAU'!A14)*(-Parameters!B$37/Parameters!B$38/Parameters!E$25*(EXP(-Parameters!B$38*Parameters!E$25*'6states,BAU'!AE14/('6states,BAU'!F14+'6states,BAU'!AE14))-EXP(-Parameters!B$38*Parameters!E$25))+Parameters!B$37*'6states,BAU'!F14/('6states,BAU'!F14+'6states,BAU'!AE14)*EXP(-Parameters!B$38*Parameters!E$25*'6states,BAU'!I14/('6states,BAU'!F14+'6states,BAU'!AE14)))</f>
        <v>-5.4070606626140059</v>
      </c>
      <c r="BN14">
        <f>-J14*K14*EXP(-Parameters!B$42*'6states,BAU'!A14)*(-Parameters!B$37/Parameters!B$38/Parameters!E$25*(EXP(-Parameters!B$38*Parameters!E$25*'6states,BAU'!I14/('6states,BAU'!F14+'6states,BAU'!I14))-EXP(-Parameters!B$38*Parameters!E$25)) + Parameters!B$37*'6states,BAU'!F14/('6states,BAU'!F14+'6states,BAU'!I14)*EXP(-Parameters!B$38*Parameters!E$25*'6states,BAU'!I14/('6states,BAU'!F14+'6states,BAU'!I14)))</f>
        <v>-501.18974899300667</v>
      </c>
      <c r="BO14" s="7">
        <f t="shared" si="4"/>
        <v>0</v>
      </c>
      <c r="BP14" s="7">
        <f t="shared" si="5"/>
        <v>-6.2310723955628315</v>
      </c>
      <c r="BU14" t="e">
        <f>EXP(-Parameters!$B$56*A14)*BH14*BN14</f>
        <v>#NUM!</v>
      </c>
      <c r="BV14" t="e">
        <f>-EXP((Parameters!$B$56)*F14)*SUM(BU14:BU22)</f>
        <v>#NUM!</v>
      </c>
      <c r="BW14">
        <f>X14^-Parameters!B$52/(1-2*Parameters!B$5*'6states,BAU'!D14/'6states,BAU'!G14)</f>
        <v>0.94306842972983451</v>
      </c>
      <c r="BX14">
        <f t="shared" si="16"/>
        <v>1.0013244478182579</v>
      </c>
      <c r="BY14">
        <f>$X14^-Parameters!$B$52/(1-2*Parameters!$B$5*'6states,BAU'!$E14/'6states,BAU'!$H14)</f>
        <v>0.9879940114125495</v>
      </c>
      <c r="BZ14">
        <f t="shared" si="17"/>
        <v>1.0015375012210206</v>
      </c>
      <c r="CA14" s="7">
        <f>($X14^-Parameters!$B$52*(1/(1+EXP(-C14)) + IF(C14&lt;0,2*Parameters!$B$6*C14/F14,0)) + BS14*(1/(1+EXP((C14-Parameters!$B$22)*Parameters!$B$21))))/(1-IF(C14&gt;0,2*Parameters!$B$5*C14/F14,0))</f>
        <v>0.51051715357979699</v>
      </c>
      <c r="CB14">
        <f t="shared" si="18"/>
        <v>1.00153169109235</v>
      </c>
      <c r="CC14" s="7">
        <f t="shared" si="19"/>
        <v>7.8075869549087962E-4</v>
      </c>
      <c r="CD14" t="e">
        <f>(1/$T14-1/Parameters!$B$13) * LN(Parameters!$B$18) / LN(P14)</f>
        <v>#DIV/0!</v>
      </c>
      <c r="CE14">
        <f>(Parameters!$B$18*'6states,BAU'!T14^+Parameters!$B$19*Parameters!$B$25^'6states,BAU'!T14)^((1-'6states,BAU'!T14)/'6states,BAU'!T14)*Parameters!$B$18*Parameters!$B$26^('6states,BAU'!T14-1)</f>
        <v>0.17833557139599471</v>
      </c>
      <c r="CF14" t="e">
        <f t="shared" si="20"/>
        <v>#DIV/0!</v>
      </c>
      <c r="CG14" t="e">
        <f t="shared" si="21"/>
        <v>#DIV/0!</v>
      </c>
      <c r="CH14">
        <f t="shared" si="21"/>
        <v>0.11627804689478349</v>
      </c>
    </row>
    <row r="15" spans="1:86" x14ac:dyDescent="0.3">
      <c r="A15">
        <f>A14+Parameters!$B$65</f>
        <v>11</v>
      </c>
      <c r="B15">
        <v>2036</v>
      </c>
      <c r="C15" s="74">
        <v>5.7716196093975998E-2</v>
      </c>
      <c r="D15" s="69">
        <v>6.1344942484475602E-3</v>
      </c>
      <c r="E15" s="75">
        <v>0.30319031655679701</v>
      </c>
      <c r="F15" s="7">
        <f>MAX((1-Parameters!$B$4)^Parameters!B$65*F14 + C14*Parameters!B$65 - IF(C14&gt;0,Parameters!$B$5,0)*C14^2/F14*Parameters!B$65, 0.0001)</f>
        <v>0.81845124910076195</v>
      </c>
      <c r="G15" s="7">
        <f>(1-Parameters!$B$4)^Parameters!B$65*G14+D14*Parameters!B$65-Parameters!$B$5*D14^2/G14*Parameters!B$65</f>
        <v>0.12780477362159129</v>
      </c>
      <c r="H15" s="7">
        <f>(1-Parameters!$B$4)^Parameters!B$65*H14+E14*Parameters!B$65-Parameters!$B$5*E14^2/H14*Parameters!B$65</f>
        <v>4.4173207306069902</v>
      </c>
      <c r="I15" s="7">
        <f>I14 *(1-Parameters!$B$4)-C14*(C14&lt;0)*Parameters!B$65</f>
        <v>0</v>
      </c>
      <c r="J15" s="23">
        <f>J14*(1+Parameters!$B$51)^Parameters!B$65</f>
        <v>8.42411143658172</v>
      </c>
      <c r="K15" s="23">
        <f>K14*(1+Parameters!$B$53)^Parameters!B$65</f>
        <v>11.255755158355102</v>
      </c>
      <c r="L15" s="23">
        <f>J15*K15*EXP(-Parameters!$B$42*'6states,BAU'!A15)*(Parameters!$B$37/Parameters!$B$38*('6states,BAU'!F15+'6states,BAU'!I15)/Parameters!$E$25*(EXP(-Parameters!$B$38*Parameters!$E$25*'6states,BAU'!I15/('6states,BAU'!F15+'6states,BAU'!I15))-EXP(-Parameters!$B$38*Parameters!$E$25))  +  Parameters!$B$39*'6states,BAU'!F15)</f>
        <v>63.311413142717612</v>
      </c>
      <c r="M15" s="8">
        <f>M14+L15*Parameters!B$65</f>
        <v>2944.7462162777838</v>
      </c>
      <c r="N15" s="7">
        <f>M15*Parameters!$B$45</f>
        <v>1.76684772976667</v>
      </c>
      <c r="O15" s="9">
        <f>EXP(-Parameters!$B$46/2*N15^2)</f>
        <v>0.96911344799824439</v>
      </c>
      <c r="P15" s="7">
        <f>MAX((Parameters!$B$62 + Parameters!$B$31*'6states,BAU'!A15 - '6states,BAU'!M15 + Parameters!$B$47/Parameters!$B$45)/Parameters!B$62,1)</f>
        <v>1</v>
      </c>
      <c r="Q15" s="7">
        <f>Parameters!B$61*EXP(-Parameters!B$60*A15)</f>
        <v>0.37152200618096992</v>
      </c>
      <c r="R15" s="7">
        <f>(1-Parameters!B$61)*P15^-Parameters!B$63</f>
        <v>0.5</v>
      </c>
      <c r="S15" s="7">
        <f>Parameters!B$61*EXP(-Parameters!B$60*A15)+(1-Parameters!B$61)*P15^-Parameters!B$63</f>
        <v>0.87152200618096987</v>
      </c>
      <c r="T15" s="7">
        <f>1-S15/Parameters!$B$12</f>
        <v>0.56423899690951507</v>
      </c>
      <c r="U15" s="7">
        <f t="shared" si="0"/>
        <v>2.2948359144298003</v>
      </c>
      <c r="V15" s="7">
        <f>(Parameters!$B$19*(F15+Parameters!$B$20)^T15+Parameters!$B$18*G15^T15)^(1/T15)</f>
        <v>0.56032238426056036</v>
      </c>
      <c r="W15" s="7">
        <f>(Parameters!$B$10*H15^Parameters!$B$9+Parameters!$B$11*V15^Parameters!$B$9)^(Parameters!$B$7/Parameters!$B$9)*O15</f>
        <v>1.4912215242110165</v>
      </c>
      <c r="X15" s="7">
        <f>W15 - D15 - E15 - LN(1+EXP(Parameters!$B$21*C15))/Parameters!$B$21 - IF(C15&gt;0, 0,Parameters!$B$6*C15^2/F15)</f>
        <v>1.1241805172110724</v>
      </c>
      <c r="Y15" s="7">
        <f>EXP(-Parameters!$B$55*A15)</f>
        <v>0.84696153380107075</v>
      </c>
      <c r="Z15" s="7">
        <f>IF(X15&gt;0,X15^(1-Parameters!$B$52)/(1-Parameters!$B$52)*Y15*Parameters!$B$65,-10+X15*1000)</f>
        <v>-2.3227529651835561</v>
      </c>
      <c r="AB15" s="9"/>
      <c r="AC15" s="23">
        <f t="shared" si="6"/>
        <v>5.4726344625220866</v>
      </c>
      <c r="AD15" s="23">
        <f t="shared" si="6"/>
        <v>0.58167112363979301</v>
      </c>
      <c r="AE15" s="23">
        <f t="shared" si="7"/>
        <v>0</v>
      </c>
      <c r="AF15" s="23">
        <f t="shared" si="8"/>
        <v>77.605331169608633</v>
      </c>
      <c r="AG15" s="23">
        <f t="shared" si="9"/>
        <v>12.11841486326497</v>
      </c>
      <c r="AH15" s="23">
        <f t="shared" si="10"/>
        <v>53.129620414241735</v>
      </c>
      <c r="AI15" s="23">
        <f t="shared" si="11"/>
        <v>130.75604078135291</v>
      </c>
      <c r="AJ15" s="23">
        <f t="shared" si="12"/>
        <v>141.39723088063494</v>
      </c>
      <c r="AK15" s="23">
        <f t="shared" si="13"/>
        <v>106.59449958496737</v>
      </c>
      <c r="AL15" s="9">
        <f t="shared" si="22"/>
        <v>2.1699382260170985E-2</v>
      </c>
      <c r="AM15" s="9">
        <f t="shared" si="22"/>
        <v>2.1338756899366373E-2</v>
      </c>
      <c r="AN15" s="9">
        <f t="shared" si="25"/>
        <v>2.1698934968813789E-2</v>
      </c>
      <c r="AO15" s="9">
        <f t="shared" si="25"/>
        <v>2.135313142806421E-2</v>
      </c>
      <c r="AP15" s="23"/>
      <c r="AQ15" s="8">
        <f t="shared" si="1"/>
        <v>141.39723088063491</v>
      </c>
      <c r="AR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-2.6597626749047913E-3</v>
      </c>
      <c r="AS15" s="32">
        <f>((C16-C14)/2-(F16-F14)/F15/2*C15)/(F15/2/Parameters!$B$5-C15)-((D16-D14)/D15-(G16-G14)/G15)/(G15/2/Parameters!$B$5/D15-1)</f>
        <v>3.5414785926870152E-4</v>
      </c>
      <c r="AT15" s="32">
        <f>+Parameters!$B$5*C15^2/F15^2-Parameters!$B$5*D15^2/G15^2</f>
        <v>2.6690018072662628E-3</v>
      </c>
      <c r="AU15" s="30">
        <f>EXP(-Parameters!$B$42*'6states,BAU'!A15)*(Parameters!$B$37*EXP(-Parameters!$B$38*Parameters!$E$25*'6states,BAU'!I15/('6states,BAU'!F15+'6states,BAU'!I15))*(1/Parameters!$B$38/Parameters!$E$25+'6states,BAU'!I15/('6states,BAU'!F15+'6states,BAU'!I15))-Parameters!$B$37/Parameters!$B$38/Parameters!$E$25*EXP(-Parameters!$B$38*Parameters!$E$25)+Parameters!$B$39)</f>
        <v>0.81581267921334877</v>
      </c>
      <c r="AV15" s="30">
        <f>J15*K15*EXP(-Parameters!$B$42*'6states,BAU'!A15)*(Parameters!$B$37*EXP(-Parameters!$B$38*Parameters!$E$25*'6states,BAU'!I15/('6states,BAU'!F15+'6states,BAU'!I15))*(1/Parameters!$B$38/Parameters!$E$25+'6states,BAU'!I15/('6states,BAU'!F15+'6states,BAU'!I15))-Parameters!$B$37/Parameters!$B$38/Parameters!$E$25*EXP(-Parameters!$B$38*Parameters!$E$25)+Parameters!$B$39)</f>
        <v>77.355142670108094</v>
      </c>
      <c r="AW15" s="8">
        <f>1000*(AR15+AS15+AT15)/(EXP(-Parameters!$B$42*A15)*((C15&lt;0)*Parameters!$B$37*EXP(-Parameters!$B$38*AF15)+(C15&gt;=0)*Parameters!$B$41))</f>
        <v>0.44542944831474107</v>
      </c>
      <c r="AX15" s="13">
        <f>1-W15/'6states,ExoDamages'!T15</f>
        <v>2.1072604133168804E-3</v>
      </c>
      <c r="AY15" s="21">
        <f>-Y15*W15*X15^(-Parameters!B$52)*Parameters!B$46*Parameters!B$45*N15</f>
        <v>-2.2978602229068618E-5</v>
      </c>
      <c r="AZ15" s="7">
        <f>1000*EXP(-(Parameters!$B$54)*'6states,BAU'!A15)*AQ15*Parameters!B$46*Parameters!B$45*N15</f>
        <v>2.0478881617896278</v>
      </c>
      <c r="BA15" s="7">
        <f>SUM(AZ15:AZ$204)*EXP(Parameters!$B$54*A15)</f>
        <v>356.54350475581845</v>
      </c>
      <c r="BB15" s="13">
        <f t="shared" si="26"/>
        <v>0.24613446154045868</v>
      </c>
      <c r="BC15" s="30">
        <f>IF(C15&lt;0,Parameters!$B$6*AC15^2/AF15,0)</f>
        <v>0</v>
      </c>
      <c r="BD15" s="30">
        <f>Parameters!$B$5*AD15^2/AG15</f>
        <v>2.7919600037956013E-2</v>
      </c>
      <c r="BE15" s="30">
        <f t="shared" si="14"/>
        <v>0</v>
      </c>
      <c r="BF15" s="30">
        <f t="shared" si="15"/>
        <v>4.7998944598194579E-2</v>
      </c>
      <c r="BG15" s="30"/>
      <c r="BH15" s="5" t="e">
        <f t="shared" si="3"/>
        <v>#NUM!</v>
      </c>
      <c r="BI15" s="2" t="e">
        <f>BH15/Parameters!$B$45</f>
        <v>#NUM!</v>
      </c>
      <c r="BJ15" s="2" t="e">
        <f t="shared" si="24"/>
        <v>#NUM!</v>
      </c>
      <c r="BM15">
        <f>-EXP(-Parameters!B$42*'6states,BAU'!A15)*(-Parameters!B$37/Parameters!B$38/Parameters!E$25*(EXP(-Parameters!B$38*Parameters!E$25*'6states,BAU'!AE15/('6states,BAU'!F15+'6states,BAU'!AE15))-EXP(-Parameters!B$38*Parameters!E$25))+Parameters!B$37*'6states,BAU'!F15/('6states,BAU'!F15+'6states,BAU'!AE15)*EXP(-Parameters!B$38*Parameters!E$25*'6states,BAU'!I15/('6states,BAU'!F15+'6states,BAU'!AE15)))</f>
        <v>-5.3532595100926628</v>
      </c>
      <c r="BN15">
        <f>-J15*K15*EXP(-Parameters!B$42*'6states,BAU'!A15)*(-Parameters!B$37/Parameters!B$38/Parameters!E$25*(EXP(-Parameters!B$38*Parameters!E$25*'6states,BAU'!I15/('6states,BAU'!F15+'6states,BAU'!I15))-EXP(-Parameters!B$38*Parameters!E$25)) + Parameters!B$37*'6states,BAU'!F15/('6states,BAU'!F15+'6states,BAU'!I15)*EXP(-Parameters!B$38*Parameters!E$25*'6states,BAU'!I15/('6states,BAU'!F15+'6states,BAU'!I15)))</f>
        <v>-507.59465218489964</v>
      </c>
      <c r="BO15" s="7">
        <f t="shared" si="4"/>
        <v>0</v>
      </c>
      <c r="BP15" s="7">
        <f t="shared" si="5"/>
        <v>-6.1690721893060116</v>
      </c>
      <c r="BU15" t="e">
        <f>EXP(-Parameters!$B$56*A15)*BH15*BN15</f>
        <v>#NUM!</v>
      </c>
      <c r="BV15" t="e">
        <f>-EXP((Parameters!$B$56)*F15)*SUM(BU15:BU23)</f>
        <v>#NUM!</v>
      </c>
      <c r="BW15">
        <f>X15^-Parameters!B$52/(1-2*Parameters!B$5*'6states,BAU'!D15/'6states,BAU'!G15)</f>
        <v>0.94449982547457145</v>
      </c>
      <c r="BX15">
        <f t="shared" si="16"/>
        <v>1.0015178068734067</v>
      </c>
      <c r="BY15">
        <f>$X15^-Parameters!$B$52/(1-2*Parameters!$B$5*'6states,BAU'!$E15/'6states,BAU'!$H15)</f>
        <v>0.98968761984371501</v>
      </c>
      <c r="BZ15">
        <f t="shared" si="17"/>
        <v>1.0017141889643078</v>
      </c>
      <c r="CA15" s="7">
        <f>($X15^-Parameters!$B$52*(1/(1+EXP(-C15)) + IF(C15&lt;0,2*Parameters!$B$6*C15/F15,0)) + BS15*(1/(1+EXP((C15-Parameters!$B$22)*Parameters!$B$21))))/(1-IF(C15&gt;0,2*Parameters!$B$5*C15/F15,0))</f>
        <v>0.51135119168271104</v>
      </c>
      <c r="CB15">
        <f t="shared" si="18"/>
        <v>1.0016337122015699</v>
      </c>
      <c r="CC15" s="7">
        <f t="shared" si="19"/>
        <v>8.3403810291404756E-4</v>
      </c>
      <c r="CD15" t="e">
        <f>(1/$T15-1/Parameters!$B$13) * LN(Parameters!$B$18) / LN(P15)</f>
        <v>#DIV/0!</v>
      </c>
      <c r="CE15">
        <f>(Parameters!$B$18*'6states,BAU'!T15^+Parameters!$B$19*Parameters!$B$25^'6states,BAU'!T15)^((1-'6states,BAU'!T15)/'6states,BAU'!T15)*Parameters!$B$18*Parameters!$B$26^('6states,BAU'!T15-1)</f>
        <v>0.18234204725770231</v>
      </c>
      <c r="CF15" t="e">
        <f t="shared" si="20"/>
        <v>#DIV/0!</v>
      </c>
      <c r="CG15" t="e">
        <f t="shared" si="21"/>
        <v>#DIV/0!</v>
      </c>
      <c r="CH15">
        <f t="shared" si="21"/>
        <v>0.11872880665075636</v>
      </c>
    </row>
    <row r="16" spans="1:86" x14ac:dyDescent="0.3">
      <c r="A16">
        <f>A15+Parameters!$B$65</f>
        <v>12</v>
      </c>
      <c r="B16">
        <v>2037</v>
      </c>
      <c r="C16" s="74">
        <v>5.7810704336135603E-2</v>
      </c>
      <c r="D16" s="69">
        <v>6.0155674145446697E-3</v>
      </c>
      <c r="E16" s="75">
        <v>0.30321432398193499</v>
      </c>
      <c r="F16" s="7">
        <f>MAX((1-Parameters!$B$4)^Parameters!B$65*F15 + C15*Parameters!B$65 - IF(C15&gt;0,Parameters!$B$5,0)*C15^2/F15*Parameters!B$65, 0.0001)</f>
        <v>0.82061678500876389</v>
      </c>
      <c r="G16" s="7">
        <f>(1-Parameters!$B$4)^Parameters!B$65*G15+D15*Parameters!B$65-Parameters!$B$5*D15^2/G15*Parameters!B$65</f>
        <v>0.12560589835967159</v>
      </c>
      <c r="H16" s="7">
        <f>(1-Parameters!$B$4)^Parameters!B$65*H15+E15*Parameters!B$65-Parameters!$B$5*E15^2/H15*Parameters!B$65</f>
        <v>4.4218515904928672</v>
      </c>
      <c r="I16" s="7">
        <f>I15 *(1-Parameters!$B$4)-C15*(C15&lt;0)*Parameters!B$65</f>
        <v>0</v>
      </c>
      <c r="J16" s="23">
        <f>J15*(1+Parameters!$B$51)^Parameters!B$65</f>
        <v>8.4485413597478054</v>
      </c>
      <c r="K16" s="23">
        <f>K15*(1+Parameters!$B$53)^Parameters!B$65</f>
        <v>11.480870261522204</v>
      </c>
      <c r="L16" s="23">
        <f>J16*K16*EXP(-Parameters!$B$42*'6states,BAU'!A16)*(Parameters!$B$37/Parameters!$B$38*('6states,BAU'!F16+'6states,BAU'!I16)/Parameters!$E$25*(EXP(-Parameters!$B$38*Parameters!$E$25*'6states,BAU'!I16/('6states,BAU'!F16+'6states,BAU'!I16))-EXP(-Parameters!$B$38*Parameters!$E$25))  +  Parameters!$B$39*'6states,BAU'!F16)</f>
        <v>64.290150962881029</v>
      </c>
      <c r="M16" s="8">
        <f>M15+L16*Parameters!B$65</f>
        <v>3009.0363672406647</v>
      </c>
      <c r="N16" s="7">
        <f>M16*Parameters!$B$45</f>
        <v>1.8054218203443986</v>
      </c>
      <c r="O16" s="9">
        <f>EXP(-Parameters!$B$46/2*N16^2)</f>
        <v>0.96777229008743348</v>
      </c>
      <c r="P16" s="7">
        <f>MAX((Parameters!$B$62 + Parameters!$B$31*'6states,BAU'!A16 - '6states,BAU'!M16 + Parameters!$B$47/Parameters!$B$45)/Parameters!B$62,1)</f>
        <v>1</v>
      </c>
      <c r="Q16" s="7">
        <f>Parameters!B$61*EXP(-Parameters!B$60*A16)</f>
        <v>0.36162512118992118</v>
      </c>
      <c r="R16" s="7">
        <f>(1-Parameters!B$61)*P16^-Parameters!B$63</f>
        <v>0.5</v>
      </c>
      <c r="S16" s="7">
        <f>Parameters!B$61*EXP(-Parameters!B$60*A16)+(1-Parameters!B$61)*P16^-Parameters!B$63</f>
        <v>0.86162512118992118</v>
      </c>
      <c r="T16" s="7">
        <f>1-S16/Parameters!$B$12</f>
        <v>0.56918743940503935</v>
      </c>
      <c r="U16" s="7">
        <f t="shared" si="0"/>
        <v>2.3211950891565936</v>
      </c>
      <c r="V16" s="7">
        <f>(Parameters!$B$19*(F16+Parameters!$B$20)^T16+Parameters!$B$18*G16^T16)^(1/T16)</f>
        <v>0.56103656868256069</v>
      </c>
      <c r="W16" s="7">
        <f>(Parameters!$B$10*H16^Parameters!$B$9+Parameters!$B$11*V16^Parameters!$B$9)^(Parameters!$B$7/Parameters!$B$9)*O16</f>
        <v>1.4896356458596107</v>
      </c>
      <c r="X16" s="7">
        <f>W16 - D16 - E16 - LN(1+EXP(Parameters!$B$21*C16))/Parameters!$B$21 - IF(C16&gt;0, 0,Parameters!$B$6*C16^2/F16)</f>
        <v>1.1225950500290878</v>
      </c>
      <c r="Y16" s="7">
        <f>EXP(-Parameters!$B$55*A16)</f>
        <v>0.83426848831164502</v>
      </c>
      <c r="Z16" s="7">
        <f>IF(X16&gt;0,X16^(1-Parameters!$B$52)/(1-Parameters!$B$52)*Y16*Parameters!$B$65,-10+X16*1000)</f>
        <v>-2.2890733145956443</v>
      </c>
      <c r="AB16" s="9"/>
      <c r="AC16" s="23">
        <f t="shared" si="6"/>
        <v>5.6074421833593462</v>
      </c>
      <c r="AD16" s="23">
        <f t="shared" si="6"/>
        <v>0.58348962989670672</v>
      </c>
      <c r="AE16" s="23">
        <f t="shared" si="7"/>
        <v>0</v>
      </c>
      <c r="AF16" s="23">
        <f t="shared" si="8"/>
        <v>79.59704399855552</v>
      </c>
      <c r="AG16" s="23">
        <f t="shared" si="9"/>
        <v>12.183345991522826</v>
      </c>
      <c r="AH16" s="23">
        <f t="shared" si="10"/>
        <v>54.418643705596978</v>
      </c>
      <c r="AI16" s="23">
        <f t="shared" si="11"/>
        <v>133.92842523918313</v>
      </c>
      <c r="AJ16" s="23">
        <f t="shared" si="12"/>
        <v>144.48960368759435</v>
      </c>
      <c r="AK16" s="23">
        <f t="shared" si="13"/>
        <v>108.88791116887971</v>
      </c>
      <c r="AL16" s="9">
        <f t="shared" si="22"/>
        <v>2.1634388482979716E-2</v>
      </c>
      <c r="AM16" s="9">
        <f t="shared" si="22"/>
        <v>2.1287103466370638E-2</v>
      </c>
      <c r="AN16" s="9">
        <f t="shared" si="25"/>
        <v>2.1633003605400169E-2</v>
      </c>
      <c r="AO16" s="9">
        <f t="shared" si="25"/>
        <v>2.1266241419785815E-2</v>
      </c>
      <c r="AP16" s="23"/>
      <c r="AQ16" s="8">
        <f t="shared" si="1"/>
        <v>144.48960368759433</v>
      </c>
      <c r="AR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-2.6126333071646297E-3</v>
      </c>
      <c r="AS16" s="32">
        <f>((C17-C15)/2-(F17-F15)/F16/2*C16)/(F16/2/Parameters!$B$5-C16)-((D17-D15)/D16-(G17-G15)/G16)/(G16/2/Parameters!$B$5/D16-1)</f>
        <v>2.8546728716466902E-4</v>
      </c>
      <c r="AT16" s="32">
        <f>+Parameters!$B$5*C16^2/F16^2-Parameters!$B$5*D16^2/G16^2</f>
        <v>2.6692207566546E-3</v>
      </c>
      <c r="AU16" s="30">
        <f>EXP(-Parameters!$B$42*'6states,BAU'!A16)*(Parameters!$B$37*EXP(-Parameters!$B$38*Parameters!$E$25*'6states,BAU'!I16/('6states,BAU'!F16+'6states,BAU'!I16))*(1/Parameters!$B$38/Parameters!$E$25+'6states,BAU'!I16/('6states,BAU'!F16+'6states,BAU'!I16))-Parameters!$B$37/Parameters!$B$38/Parameters!$E$25*EXP(-Parameters!$B$38*Parameters!$E$25)+Parameters!$B$39)</f>
        <v>0.80769520742563927</v>
      </c>
      <c r="AV16" s="30">
        <f>J16*K16*EXP(-Parameters!$B$42*'6states,BAU'!A16)*(Parameters!$B$37*EXP(-Parameters!$B$38*Parameters!$E$25*'6states,BAU'!I16/('6states,BAU'!F16+'6states,BAU'!I16))*(1/Parameters!$B$38/Parameters!$E$25+'6states,BAU'!I16/('6states,BAU'!F16+'6states,BAU'!I16))-Parameters!$B$37/Parameters!$B$38/Parameters!$E$25*EXP(-Parameters!$B$38*Parameters!$E$25)+Parameters!$B$39)</f>
        <v>78.343694812669995</v>
      </c>
      <c r="AW16" s="8">
        <f>1000*(AR16+AS16+AT16)/(EXP(-Parameters!$B$42*A16)*((C16&lt;0)*Parameters!$B$37*EXP(-Parameters!$B$38*AF16)+(C16&gt;=0)*Parameters!$B$41))</f>
        <v>0.4234948202117822</v>
      </c>
      <c r="AX16" s="13">
        <f>1-W16/'6states,ExoDamages'!T16</f>
        <v>2.6931952681696902E-3</v>
      </c>
      <c r="AY16" s="21">
        <f>-Y16*W16*X16^(-Parameters!B$52)*Parameters!B$46*Parameters!B$45*N16</f>
        <v>-2.3147850824184961E-5</v>
      </c>
      <c r="AZ16" s="7">
        <f>1000*EXP(-(Parameters!$B$54)*'6states,BAU'!A16)*AQ16*Parameters!B$46*Parameters!B$45*N16</f>
        <v>2.0646087279024101</v>
      </c>
      <c r="BA16" s="7">
        <f>SUM(AZ16:AZ$204)*EXP(Parameters!$B$54*A16)</f>
        <v>366.1598572980414</v>
      </c>
      <c r="BB16" s="13">
        <f t="shared" si="26"/>
        <v>0.24639622229287514</v>
      </c>
      <c r="BC16" s="30">
        <f>IF(C16&lt;0,Parameters!$B$6*AC16^2/AF16,0)</f>
        <v>0</v>
      </c>
      <c r="BD16" s="30">
        <f>Parameters!$B$5*AD16^2/AG16</f>
        <v>2.7944716372159832E-2</v>
      </c>
      <c r="BE16" s="30">
        <f t="shared" si="14"/>
        <v>0</v>
      </c>
      <c r="BF16" s="30">
        <f t="shared" si="15"/>
        <v>4.7892395923311945E-2</v>
      </c>
      <c r="BG16" s="30"/>
      <c r="BH16" s="5" t="e">
        <f t="shared" si="3"/>
        <v>#NUM!</v>
      </c>
      <c r="BI16" s="2" t="e">
        <f>BH16/Parameters!$B$45</f>
        <v>#NUM!</v>
      </c>
      <c r="BJ16" s="2" t="e">
        <f t="shared" si="24"/>
        <v>#NUM!</v>
      </c>
      <c r="BM16">
        <f>-EXP(-Parameters!B$42*'6states,BAU'!A16)*(-Parameters!B$37/Parameters!B$38/Parameters!E$25*(EXP(-Parameters!B$38*Parameters!E$25*'6states,BAU'!AE16/('6states,BAU'!F16+'6states,BAU'!AE16))-EXP(-Parameters!B$38*Parameters!E$25))+Parameters!B$37*'6states,BAU'!F16/('6states,BAU'!F16+'6states,BAU'!AE16)*EXP(-Parameters!B$38*Parameters!E$25*'6states,BAU'!I16/('6states,BAU'!F16+'6states,BAU'!AE16)))</f>
        <v>-5.2999936879833935</v>
      </c>
      <c r="BN16">
        <f>-J16*K16*EXP(-Parameters!B$42*'6states,BAU'!A16)*(-Parameters!B$37/Parameters!B$38/Parameters!E$25*(EXP(-Parameters!B$38*Parameters!E$25*'6states,BAU'!I16/('6states,BAU'!F16+'6states,BAU'!I16))-EXP(-Parameters!B$38*Parameters!E$25)) + Parameters!B$37*'6states,BAU'!F16/('6states,BAU'!F16+'6states,BAU'!I16)*EXP(-Parameters!B$38*Parameters!E$25*'6states,BAU'!I16/('6states,BAU'!F16+'6states,BAU'!I16)))</f>
        <v>-514.08140618275957</v>
      </c>
      <c r="BO16" s="7">
        <f t="shared" si="4"/>
        <v>0</v>
      </c>
      <c r="BP16" s="7">
        <f t="shared" si="5"/>
        <v>-6.1076888954090327</v>
      </c>
      <c r="BU16" t="e">
        <f>EXP(-Parameters!$B$56*A16)*BH16*BN16</f>
        <v>#NUM!</v>
      </c>
      <c r="BV16" t="e">
        <f>-EXP((Parameters!$B$56)*F16)*SUM(BU16:BU24)</f>
        <v>#NUM!</v>
      </c>
      <c r="BW16">
        <f>X16^-Parameters!B$52/(1-2*Parameters!B$5*'6states,BAU'!D16/'6states,BAU'!G16)</f>
        <v>0.94607807248930709</v>
      </c>
      <c r="BX16">
        <f t="shared" si="16"/>
        <v>1.0016709870898521</v>
      </c>
      <c r="BY16">
        <f>$X16^-Parameters!$B$52/(1-2*Parameters!$B$5*'6states,BAU'!$E16/'6states,BAU'!$H16)</f>
        <v>0.9914258986009532</v>
      </c>
      <c r="BZ16">
        <f t="shared" si="17"/>
        <v>1.0017563913323606</v>
      </c>
      <c r="CA16" s="7">
        <f>($X16^-Parameters!$B$52*(1/(1+EXP(-C16)) + IF(C16&lt;0,2*Parameters!$B$6*C16/F16,0)) + BS16*(1/(1+EXP((C16-Parameters!$B$22)*Parameters!$B$21))))/(1-IF(C16&gt;0,2*Parameters!$B$5*C16/F16,0))</f>
        <v>0.51226530769819389</v>
      </c>
      <c r="CB16">
        <f t="shared" si="18"/>
        <v>1.001787648157179</v>
      </c>
      <c r="CC16" s="7">
        <f t="shared" si="19"/>
        <v>9.1411601548285759E-4</v>
      </c>
      <c r="CD16" t="e">
        <f>(1/$T16-1/Parameters!$B$13) * LN(Parameters!$B$18) / LN(P16)</f>
        <v>#DIV/0!</v>
      </c>
      <c r="CE16">
        <f>(Parameters!$B$18*'6states,BAU'!T16^+Parameters!$B$19*Parameters!$B$25^'6states,BAU'!T16)^((1-'6states,BAU'!T16)/'6states,BAU'!T16)*Parameters!$B$18*Parameters!$B$26^('6states,BAU'!T16-1)</f>
        <v>0.186202700734664</v>
      </c>
      <c r="CF16" t="e">
        <f t="shared" si="20"/>
        <v>#DIV/0!</v>
      </c>
      <c r="CG16" t="e">
        <f t="shared" si="21"/>
        <v>#DIV/0!</v>
      </c>
      <c r="CH16">
        <f t="shared" si="21"/>
        <v>0.12108393673873541</v>
      </c>
    </row>
    <row r="17" spans="1:86" x14ac:dyDescent="0.3">
      <c r="A17">
        <f>A16+Parameters!$B$65</f>
        <v>13</v>
      </c>
      <c r="B17">
        <v>2038</v>
      </c>
      <c r="C17" s="74">
        <v>5.7889683706152502E-2</v>
      </c>
      <c r="D17" s="69">
        <v>5.8985454882733096E-3</v>
      </c>
      <c r="E17" s="75">
        <v>0.30327990451294701</v>
      </c>
      <c r="F17" s="7">
        <f>MAX((1-Parameters!$B$4)^Parameters!B$65*F16 + C16*Parameters!B$65 - IF(C16&gt;0,Parameters!$B$5,0)*C16^2/F16*Parameters!B$65, 0.0001)</f>
        <v>0.82273805260206001</v>
      </c>
      <c r="G17" s="7">
        <f>(1-Parameters!$B$4)^Parameters!B$65*G16+D16*Parameters!B$65-Parameters!$B$5*D16^2/G16*Parameters!B$65</f>
        <v>0.12343275483107219</v>
      </c>
      <c r="H17" s="7">
        <f>(1-Parameters!$B$4)^Parameters!B$65*H16+E16*Parameters!B$65-Parameters!$B$5*E16^2/H16*Parameters!B$65</f>
        <v>4.4261394973769042</v>
      </c>
      <c r="I17" s="7">
        <f>I16 *(1-Parameters!$B$4)-C16*(C16&lt;0)*Parameters!B$65</f>
        <v>0</v>
      </c>
      <c r="J17" s="23">
        <f>J16*(1+Parameters!$B$51)^Parameters!B$65</f>
        <v>8.4730421296910734</v>
      </c>
      <c r="K17" s="23">
        <f>K16*(1+Parameters!$B$53)^Parameters!B$65</f>
        <v>11.710487666752648</v>
      </c>
      <c r="L17" s="23">
        <f>J17*K17*EXP(-Parameters!$B$42*'6states,BAU'!A17)*(Parameters!$B$37/Parameters!$B$38*('6states,BAU'!F17+'6states,BAU'!I17)/Parameters!$E$25*(EXP(-Parameters!$B$38*Parameters!$E$25*'6states,BAU'!I17/('6states,BAU'!F17+'6states,BAU'!I17))-EXP(-Parameters!$B$38*Parameters!$E$25))  +  Parameters!$B$39*'6states,BAU'!F17)</f>
        <v>65.280052101497034</v>
      </c>
      <c r="M17" s="8">
        <f>M16+L17*Parameters!B$65</f>
        <v>3074.3164193421617</v>
      </c>
      <c r="N17" s="7">
        <f>M17*Parameters!$B$45</f>
        <v>1.8445898516052968</v>
      </c>
      <c r="O17" s="9">
        <f>EXP(-Parameters!$B$46/2*N17^2)</f>
        <v>0.9663828069393372</v>
      </c>
      <c r="P17" s="7">
        <f>MAX((Parameters!$B$62 + Parameters!$B$31*'6states,BAU'!A17 - '6states,BAU'!M17 + Parameters!$B$47/Parameters!$B$45)/Parameters!B$62,1)</f>
        <v>1</v>
      </c>
      <c r="Q17" s="7">
        <f>Parameters!B$61*EXP(-Parameters!B$60*A17)</f>
        <v>0.35199187692781048</v>
      </c>
      <c r="R17" s="7">
        <f>(1-Parameters!B$61)*P17^-Parameters!B$63</f>
        <v>0.5</v>
      </c>
      <c r="S17" s="7">
        <f>Parameters!B$61*EXP(-Parameters!B$60*A17)+(1-Parameters!B$61)*P17^-Parameters!B$63</f>
        <v>0.85199187692781053</v>
      </c>
      <c r="T17" s="7">
        <f>1-S17/Parameters!$B$12</f>
        <v>0.57400406153609473</v>
      </c>
      <c r="U17" s="7">
        <f t="shared" si="0"/>
        <v>2.3474402211577194</v>
      </c>
      <c r="V17" s="7">
        <f>(Parameters!$B$19*(F17+Parameters!$B$20)^T17+Parameters!$B$18*G17^T17)^(1/T17)</f>
        <v>0.56173106337457535</v>
      </c>
      <c r="W17" s="7">
        <f>(Parameters!$B$10*H17^Parameters!$B$9+Parameters!$B$11*V17^Parameters!$B$9)^(Parameters!$B$7/Parameters!$B$9)*O17</f>
        <v>1.4879507293200789</v>
      </c>
      <c r="X17" s="7">
        <f>W17 - D17 - E17 - LN(1+EXP(Parameters!$B$21*C17))/Parameters!$B$21 - IF(C17&gt;0, 0,Parameters!$B$6*C17^2/F17)</f>
        <v>1.1208825955170905</v>
      </c>
      <c r="Y17" s="7">
        <f>EXP(-Parameters!$B$55*A17)</f>
        <v>0.82176566799463491</v>
      </c>
      <c r="Z17" s="7">
        <f>IF(X17&gt;0,X17^(1-Parameters!$B$52)/(1-Parameters!$B$52)*Y17*Parameters!$B$65,-10+X17*1000)</f>
        <v>-2.255973037629484</v>
      </c>
      <c r="AB17" s="9"/>
      <c r="AC17" s="23">
        <f t="shared" si="6"/>
        <v>5.7440144470001124</v>
      </c>
      <c r="AD17" s="23">
        <f t="shared" si="6"/>
        <v>0.58527406494239187</v>
      </c>
      <c r="AE17" s="23">
        <f t="shared" si="7"/>
        <v>0</v>
      </c>
      <c r="AF17" s="23">
        <f t="shared" si="8"/>
        <v>81.63491243502358</v>
      </c>
      <c r="AG17" s="23">
        <f t="shared" si="9"/>
        <v>12.24742443889617</v>
      </c>
      <c r="AH17" s="23">
        <f t="shared" si="10"/>
        <v>55.73689709086068</v>
      </c>
      <c r="AI17" s="23">
        <f t="shared" si="11"/>
        <v>137.1727471835103</v>
      </c>
      <c r="AJ17" s="23">
        <f t="shared" si="12"/>
        <v>147.63961276800921</v>
      </c>
      <c r="AK17" s="23">
        <f t="shared" si="13"/>
        <v>111.21784417966829</v>
      </c>
      <c r="AL17" s="9">
        <f t="shared" si="22"/>
        <v>2.1566697180638528E-2</v>
      </c>
      <c r="AM17" s="9">
        <f t="shared" si="22"/>
        <v>2.1171822957514408E-2</v>
      </c>
      <c r="AN17" s="9">
        <f t="shared" si="25"/>
        <v>2.1566282878913511E-2</v>
      </c>
      <c r="AO17" s="9">
        <f t="shared" si="25"/>
        <v>2.1172927598905388E-2</v>
      </c>
      <c r="AP17" s="23"/>
      <c r="AQ17" s="8">
        <f t="shared" si="1"/>
        <v>147.63961276800919</v>
      </c>
      <c r="AR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-2.5678346825902441E-3</v>
      </c>
      <c r="AS17" s="32">
        <f>((C18-C16)/2-(F18-F16)/F17/2*C17)/(F17/2/Parameters!$B$5-C17)-((D18-D16)/D17-(G18-G16)/G17)/(G17/2/Parameters!$B$5/D17-1)</f>
        <v>1.9794767814700694E-4</v>
      </c>
      <c r="AT17" s="32">
        <f>+Parameters!$B$5*C17^2/F17^2-Parameters!$B$5*D17^2/G17^2</f>
        <v>2.6671960855634467E-3</v>
      </c>
      <c r="AU17" s="30">
        <f>EXP(-Parameters!$B$42*'6states,BAU'!A17)*(Parameters!$B$37*EXP(-Parameters!$B$38*Parameters!$E$25*'6states,BAU'!I17/('6states,BAU'!F17+'6states,BAU'!I17))*(1/Parameters!$B$38/Parameters!$E$25+'6states,BAU'!I17/('6states,BAU'!F17+'6states,BAU'!I17))-Parameters!$B$37/Parameters!$B$38/Parameters!$E$25*EXP(-Parameters!$B$38*Parameters!$E$25)+Parameters!$B$39)</f>
        <v>0.79965850583175402</v>
      </c>
      <c r="AV17" s="30">
        <f>J17*K17*EXP(-Parameters!$B$42*'6states,BAU'!A17)*(Parameters!$B$37*EXP(-Parameters!$B$38*Parameters!$E$25*'6states,BAU'!I17/('6states,BAU'!F17+'6states,BAU'!I17))*(1/Parameters!$B$38/Parameters!$E$25+'6states,BAU'!I17/('6states,BAU'!F17+'6states,BAU'!I17))-Parameters!$B$37/Parameters!$B$38/Parameters!$E$25*EXP(-Parameters!$B$38*Parameters!$E$25)+Parameters!$B$39)</f>
        <v>79.34488005633979</v>
      </c>
      <c r="AW17" s="8">
        <f>1000*(AR17+AS17+AT17)/(EXP(-Parameters!$B$42*A17)*((C17&lt;0)*Parameters!$B$37*EXP(-Parameters!$B$38*AF17)+(C17&gt;=0)*Parameters!$B$41))</f>
        <v>0.37179505870567509</v>
      </c>
      <c r="AX17" s="13">
        <f>1-W17/'6states,ExoDamages'!T17</f>
        <v>3.3428349714226258E-3</v>
      </c>
      <c r="AY17" s="21">
        <f>-Y17*W17*X17^(-Parameters!B$52)*Parameters!B$46*Parameters!B$45*N17</f>
        <v>-2.331725900623264E-5</v>
      </c>
      <c r="AZ17" s="7">
        <f>1000*EXP(-(Parameters!$B$54)*'6states,BAU'!A17)*AQ17*Parameters!B$46*Parameters!B$45*N17</f>
        <v>2.0810448884411978</v>
      </c>
      <c r="BA17" s="7">
        <f>SUM(AZ17:AZ$204)*EXP(Parameters!$B$54*A17)</f>
        <v>375.98187241166835</v>
      </c>
      <c r="BB17" s="13">
        <f t="shared" si="26"/>
        <v>0.24669374225523252</v>
      </c>
      <c r="BC17" s="30">
        <f>IF(C17&lt;0,Parameters!$B$6*AC17^2/AF17,0)</f>
        <v>0</v>
      </c>
      <c r="BD17" s="30">
        <f>Parameters!$B$5*AD17^2/AG17</f>
        <v>2.7968797260451924E-2</v>
      </c>
      <c r="BE17" s="30">
        <f t="shared" si="14"/>
        <v>0</v>
      </c>
      <c r="BF17" s="30">
        <f t="shared" si="15"/>
        <v>4.7787522010231009E-2</v>
      </c>
      <c r="BG17" s="30"/>
      <c r="BH17" s="5" t="e">
        <f t="shared" si="3"/>
        <v>#NUM!</v>
      </c>
      <c r="BI17" s="2" t="e">
        <f>BH17/Parameters!$B$45</f>
        <v>#NUM!</v>
      </c>
      <c r="BJ17" s="2" t="e">
        <f t="shared" si="24"/>
        <v>#NUM!</v>
      </c>
      <c r="BM17">
        <f>-EXP(-Parameters!B$42*'6states,BAU'!A17)*(-Parameters!B$37/Parameters!B$38/Parameters!E$25*(EXP(-Parameters!B$38*Parameters!E$25*'6states,BAU'!AE17/('6states,BAU'!F17+'6states,BAU'!AE17))-EXP(-Parameters!B$38*Parameters!E$25))+Parameters!B$37*'6states,BAU'!F17/('6states,BAU'!F17+'6states,BAU'!AE17)*EXP(-Parameters!B$38*Parameters!E$25*'6states,BAU'!I17/('6states,BAU'!F17+'6states,BAU'!AE17)))</f>
        <v>-5.2472578696595988</v>
      </c>
      <c r="BN17">
        <f>-J17*K17*EXP(-Parameters!B$42*'6states,BAU'!A17)*(-Parameters!B$37/Parameters!B$38/Parameters!E$25*(EXP(-Parameters!B$38*Parameters!E$25*'6states,BAU'!I17/('6states,BAU'!F17+'6states,BAU'!I17))-EXP(-Parameters!B$38*Parameters!E$25)) + Parameters!B$37*'6states,BAU'!F17/('6states,BAU'!F17+'6states,BAU'!I17)*EXP(-Parameters!B$38*Parameters!E$25*'6states,BAU'!I17/('6states,BAU'!F17+'6states,BAU'!I17)))</f>
        <v>-520.65105699059927</v>
      </c>
      <c r="BO17" s="7">
        <f t="shared" si="4"/>
        <v>0</v>
      </c>
      <c r="BP17" s="7">
        <f t="shared" si="5"/>
        <v>-6.0469163754913531</v>
      </c>
      <c r="BU17" t="e">
        <f>EXP(-Parameters!$B$56*A17)*BH17*BN17</f>
        <v>#NUM!</v>
      </c>
      <c r="BV17" t="e">
        <f>-EXP((Parameters!$B$56)*F17)*SUM(BU17:BU25)</f>
        <v>#NUM!</v>
      </c>
      <c r="BW17">
        <f>X17^-Parameters!B$52/(1-2*Parameters!B$5*'6states,BAU'!D17/'6states,BAU'!G17)</f>
        <v>0.9478100139588862</v>
      </c>
      <c r="BX17">
        <f t="shared" si="16"/>
        <v>1.0018306538539912</v>
      </c>
      <c r="BY17">
        <f>$X17^-Parameters!$B$52/(1-2*Parameters!$B$5*'6states,BAU'!$E17/'6states,BAU'!$H17)</f>
        <v>0.99335241607531888</v>
      </c>
      <c r="BZ17">
        <f t="shared" si="17"/>
        <v>1.0019431784837216</v>
      </c>
      <c r="CA17" s="7">
        <f>($X17^-Parameters!$B$52*(1/(1+EXP(-C17)) + IF(C17&lt;0,2*Parameters!$B$6*C17/F17,0)) + BS17*(1/(1+EXP((C17-Parameters!$B$22)*Parameters!$B$21))))/(1-IF(C17&gt;0,2*Parameters!$B$5*C17/F17,0))</f>
        <v>0.51323949435082228</v>
      </c>
      <c r="CB17">
        <f t="shared" si="18"/>
        <v>1.0019017228728719</v>
      </c>
      <c r="CC17" s="7">
        <f t="shared" si="19"/>
        <v>9.7418665262838378E-4</v>
      </c>
      <c r="CD17" t="e">
        <f>(1/$T17-1/Parameters!$B$13) * LN(Parameters!$B$18) / LN(P17)</f>
        <v>#DIV/0!</v>
      </c>
      <c r="CE17">
        <f>(Parameters!$B$18*'6states,BAU'!T17^+Parameters!$B$19*Parameters!$B$25^'6states,BAU'!T17)^((1-'6states,BAU'!T17)/'6states,BAU'!T17)*Parameters!$B$18*Parameters!$B$26^('6states,BAU'!T17-1)</f>
        <v>0.18992122006768702</v>
      </c>
      <c r="CF17" t="e">
        <f t="shared" si="20"/>
        <v>#DIV/0!</v>
      </c>
      <c r="CG17" t="e">
        <f t="shared" si="21"/>
        <v>#DIV/0!</v>
      </c>
      <c r="CH17">
        <f t="shared" si="21"/>
        <v>0.12334640936786778</v>
      </c>
    </row>
    <row r="18" spans="1:86" x14ac:dyDescent="0.3">
      <c r="A18">
        <f>A17+Parameters!$B$65</f>
        <v>14</v>
      </c>
      <c r="B18">
        <v>2039</v>
      </c>
      <c r="C18" s="74">
        <v>5.79600825742871E-2</v>
      </c>
      <c r="D18" s="69">
        <v>5.7865882632323097E-3</v>
      </c>
      <c r="E18" s="75">
        <v>0.303345156019736</v>
      </c>
      <c r="F18" s="7">
        <f>MAX((1-Parameters!$B$4)^Parameters!B$65*F17 + C17*Parameters!B$65 - IF(C17&gt;0,Parameters!$B$5,0)*C17^2/F17*Parameters!B$65, 0.0001)</f>
        <v>0.82480426558677644</v>
      </c>
      <c r="G18" s="7">
        <f>(1-Parameters!$B$4)^Parameters!B$65*G17+D17*Parameters!B$65-Parameters!$B$5*D17^2/G17*Parameters!B$65</f>
        <v>0.12128550316812187</v>
      </c>
      <c r="H18" s="7">
        <f>(1-Parameters!$B$4)^Parameters!B$65*H17+E17*Parameters!B$65-Parameters!$B$5*E17^2/H17*Parameters!B$65</f>
        <v>4.4302344318394811</v>
      </c>
      <c r="I18" s="7">
        <f>I17 *(1-Parameters!$B$4)-C17*(C17&lt;0)*Parameters!B$65</f>
        <v>0</v>
      </c>
      <c r="J18" s="23">
        <f>J17*(1+Parameters!$B$51)^Parameters!B$65</f>
        <v>8.4976139518671765</v>
      </c>
      <c r="K18" s="23">
        <f>K17*(1+Parameters!$B$53)^Parameters!B$65</f>
        <v>11.944697420087701</v>
      </c>
      <c r="L18" s="23">
        <f>J18*K18*EXP(-Parameters!$B$42*'6states,BAU'!A18)*(Parameters!$B$37/Parameters!$B$38*('6states,BAU'!F18+'6states,BAU'!I18)/Parameters!$E$25*(EXP(-Parameters!$B$38*Parameters!$E$25*'6states,BAU'!I18/('6states,BAU'!F18+'6states,BAU'!I18))-EXP(-Parameters!$B$38*Parameters!$E$25))  +  Parameters!$B$39*'6states,BAU'!F18)</f>
        <v>66.280330377468445</v>
      </c>
      <c r="M18" s="8">
        <f>M17+L18*Parameters!B$65</f>
        <v>3140.5967497196302</v>
      </c>
      <c r="N18" s="7">
        <f>M18*Parameters!$B$45</f>
        <v>1.884358049831778</v>
      </c>
      <c r="O18" s="9">
        <f>EXP(-Parameters!$B$46/2*N18^2)</f>
        <v>0.96494363095959823</v>
      </c>
      <c r="P18" s="7">
        <f>MAX((Parameters!$B$62 + Parameters!$B$31*'6states,BAU'!A18 - '6states,BAU'!M18 + Parameters!$B$47/Parameters!$B$45)/Parameters!B$62,1)</f>
        <v>1</v>
      </c>
      <c r="Q18" s="7">
        <f>Parameters!B$61*EXP(-Parameters!B$60*A18)</f>
        <v>0.34261525033293516</v>
      </c>
      <c r="R18" s="7">
        <f>(1-Parameters!B$61)*P18^-Parameters!B$63</f>
        <v>0.5</v>
      </c>
      <c r="S18" s="7">
        <f>Parameters!B$61*EXP(-Parameters!B$60*A18)+(1-Parameters!B$61)*P18^-Parameters!B$63</f>
        <v>0.84261525033293516</v>
      </c>
      <c r="T18" s="7">
        <f>1-S18/Parameters!$B$12</f>
        <v>0.57869237483353242</v>
      </c>
      <c r="U18" s="7">
        <f t="shared" si="0"/>
        <v>2.3735625473307747</v>
      </c>
      <c r="V18" s="7">
        <f>(Parameters!$B$19*(F18+Parameters!$B$20)^T18+Parameters!$B$18*G18^T18)^(1/T18)</f>
        <v>0.5623994242695336</v>
      </c>
      <c r="W18" s="7">
        <f>(Parameters!$B$10*H18^Parameters!$B$9+Parameters!$B$11*V18^Parameters!$B$9)^(Parameters!$B$7/Parameters!$B$9)*O18</f>
        <v>1.4861679758267279</v>
      </c>
      <c r="X18" s="7">
        <f>W18 - D18 - E18 - LN(1+EXP(Parameters!$B$21*C18))/Parameters!$B$21 - IF(C18&gt;0, 0,Parameters!$B$6*C18^2/F18)</f>
        <v>1.1190761488758552</v>
      </c>
      <c r="Y18" s="7">
        <f>EXP(-Parameters!$B$55*A18)</f>
        <v>0.80945022202781236</v>
      </c>
      <c r="Z18" s="7">
        <f>IF(X18&gt;0,X18^(1-Parameters!$B$52)/(1-Parameters!$B$52)*Y18*Parameters!$B$65,-10+X18*1000)</f>
        <v>-2.2234185686618053</v>
      </c>
      <c r="AB18" s="9"/>
      <c r="AC18" s="23">
        <f t="shared" si="6"/>
        <v>5.8830311162807094</v>
      </c>
      <c r="AD18" s="23">
        <f t="shared" si="6"/>
        <v>0.58734696877058656</v>
      </c>
      <c r="AE18" s="23">
        <f t="shared" si="7"/>
        <v>0</v>
      </c>
      <c r="AF18" s="23">
        <f t="shared" si="8"/>
        <v>83.718810322066687</v>
      </c>
      <c r="AG18" s="23">
        <f t="shared" si="9"/>
        <v>12.310651700285295</v>
      </c>
      <c r="AH18" s="23">
        <f t="shared" si="10"/>
        <v>57.084344359161186</v>
      </c>
      <c r="AI18" s="23">
        <f t="shared" si="11"/>
        <v>140.48891749662241</v>
      </c>
      <c r="AJ18" s="23">
        <f t="shared" si="12"/>
        <v>150.8481709735745</v>
      </c>
      <c r="AK18" s="23">
        <f t="shared" si="13"/>
        <v>113.58782653365148</v>
      </c>
      <c r="AL18" s="9">
        <f t="shared" si="22"/>
        <v>2.1499585383098818E-2</v>
      </c>
      <c r="AM18" s="9">
        <f t="shared" si="22"/>
        <v>2.1085501565309528E-2</v>
      </c>
      <c r="AN18" s="9">
        <f t="shared" si="25"/>
        <v>2.1498969026896651E-2</v>
      </c>
      <c r="AO18" s="9">
        <f t="shared" si="25"/>
        <v>2.1084111343600574E-2</v>
      </c>
      <c r="AP18" s="23"/>
      <c r="AQ18" s="8">
        <f t="shared" si="1"/>
        <v>150.8481709735745</v>
      </c>
      <c r="AR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-2.522493665178894E-3</v>
      </c>
      <c r="AS18" s="32">
        <f>((C19-C17)/2-(F19-F17)/F18/2*C18)/(F18/2/Parameters!$B$5-C18)-((D19-D17)/D18-(G19-G17)/G18)/(G18/2/Parameters!$B$5/D18-1)</f>
        <v>1.0771570151530871E-4</v>
      </c>
      <c r="AT18" s="32">
        <f>+Parameters!$B$5*C18^2/F18^2-Parameters!$B$5*D18^2/G18^2</f>
        <v>2.6617692178425001E-3</v>
      </c>
      <c r="AU18" s="30">
        <f>EXP(-Parameters!$B$42*'6states,BAU'!A18)*(Parameters!$B$37*EXP(-Parameters!$B$38*Parameters!$E$25*'6states,BAU'!I18/('6states,BAU'!F18+'6states,BAU'!I18))*(1/Parameters!$B$38/Parameters!$E$25+'6states,BAU'!I18/('6states,BAU'!F18+'6states,BAU'!I18))-Parameters!$B$37/Parameters!$B$38/Parameters!$E$25*EXP(-Parameters!$B$38*Parameters!$E$25)+Parameters!$B$39)</f>
        <v>0.79170177075483616</v>
      </c>
      <c r="AV18" s="30">
        <f>J18*K18*EXP(-Parameters!$B$42*'6states,BAU'!A18)*(Parameters!$B$37*EXP(-Parameters!$B$38*Parameters!$E$25*'6states,BAU'!I18/('6states,BAU'!F18+'6states,BAU'!I18))*(1/Parameters!$B$38/Parameters!$E$25+'6states,BAU'!I18/('6states,BAU'!F18+'6states,BAU'!I18))-Parameters!$B$37/Parameters!$B$38/Parameters!$E$25*EXP(-Parameters!$B$38*Parameters!$E$25)+Parameters!$B$39)</f>
        <v>80.358859844542337</v>
      </c>
      <c r="AW18" s="8">
        <f>1000*(AR18+AS18+AT18)/(EXP(-Parameters!$B$42*A18)*((C18&lt;0)*Parameters!$B$37*EXP(-Parameters!$B$38*AF18)+(C18&gt;=0)*Parameters!$B$41))</f>
        <v>0.31197511904441561</v>
      </c>
      <c r="AX18" s="13">
        <f>1-W18/'6states,ExoDamages'!T18</f>
        <v>4.0565458490409156E-3</v>
      </c>
      <c r="AY18" s="21">
        <f>-Y18*W18*X18^(-Parameters!B$52)*Parameters!B$46*Parameters!B$45*N18</f>
        <v>-2.3485957299437423E-5</v>
      </c>
      <c r="AZ18" s="7">
        <f>1000*EXP(-(Parameters!$B$54)*'6states,BAU'!A18)*AQ18*Parameters!B$46*Parameters!B$45*N18</f>
        <v>2.0971933667949494</v>
      </c>
      <c r="BA18" s="7">
        <f>SUM(AZ18:AZ$204)*EXP(Parameters!$B$54*A18)</f>
        <v>386.01149424251429</v>
      </c>
      <c r="BB18" s="13">
        <f t="shared" si="26"/>
        <v>0.24700560961357612</v>
      </c>
      <c r="BC18" s="30">
        <f>IF(C18&lt;0,Parameters!$B$6*AC18^2/AF18,0)</f>
        <v>0</v>
      </c>
      <c r="BD18" s="30">
        <f>Parameters!$B$5*AD18^2/AG18</f>
        <v>2.8022599462870165E-2</v>
      </c>
      <c r="BE18" s="30">
        <f t="shared" si="14"/>
        <v>0</v>
      </c>
      <c r="BF18" s="30">
        <f t="shared" si="15"/>
        <v>4.7710469199366189E-2</v>
      </c>
      <c r="BG18" s="30"/>
      <c r="BH18" s="5" t="e">
        <f t="shared" si="3"/>
        <v>#NUM!</v>
      </c>
      <c r="BI18" s="2" t="e">
        <f>BH18/Parameters!$B$45</f>
        <v>#NUM!</v>
      </c>
      <c r="BJ18" s="2" t="e">
        <f t="shared" si="24"/>
        <v>#NUM!</v>
      </c>
      <c r="BM18">
        <f>-EXP(-Parameters!B$42*'6states,BAU'!A18)*(-Parameters!B$37/Parameters!B$38/Parameters!E$25*(EXP(-Parameters!B$38*Parameters!E$25*'6states,BAU'!I18/('6states,BAU'!F18+'6states,BAU'!I18))-EXP(-Parameters!B$38*Parameters!E$25))+Parameters!B$37*'6states,BAU'!F18/('6states,BAU'!F18+'6states,BAU'!I18)*EXP(-Parameters!B$38*Parameters!E$25*'6states,BAU'!I18/('6states,BAU'!F18+'6states,BAU'!I18)))</f>
        <v>-5.1950467814954999</v>
      </c>
      <c r="BN18">
        <f>-J18*K18*EXP(-Parameters!B$42*'6states,BAU'!A18)*(-Parameters!B$37/Parameters!B$38/Parameters!E$25*(EXP(-Parameters!B$38*Parameters!E$25*'6states,BAU'!I18/('6states,BAU'!F18+'6states,BAU'!I18))-EXP(-Parameters!B$38*Parameters!E$25)) + Parameters!B$37*'6states,BAU'!F18/('6states,BAU'!F18+'6states,BAU'!I18)*EXP(-Parameters!B$38*Parameters!E$25*'6states,BAU'!I18/('6states,BAU'!F18+'6states,BAU'!I18)))</f>
        <v>-527.30466397973191</v>
      </c>
      <c r="BO18" s="7">
        <f t="shared" si="4"/>
        <v>0</v>
      </c>
      <c r="BP18" s="7">
        <f t="shared" si="5"/>
        <v>-5.9867485522503365</v>
      </c>
      <c r="BU18" t="e">
        <f>EXP(-Parameters!$B$56*A18)*BH18*BN18</f>
        <v>#NUM!</v>
      </c>
      <c r="BV18" t="e">
        <f>-EXP((Parameters!$B$56)*F18)*SUM(BU18:BU26)</f>
        <v>#NUM!</v>
      </c>
      <c r="BW18">
        <f>X18^-Parameters!B$52/(1-2*Parameters!B$5*'6states,BAU'!D18/'6states,BAU'!G18)</f>
        <v>0.94971425266869225</v>
      </c>
      <c r="BX18">
        <f t="shared" si="16"/>
        <v>1.0020090932589458</v>
      </c>
      <c r="BY18">
        <f>$X18^-Parameters!$B$52/(1-2*Parameters!$B$5*'6states,BAU'!$E18/'6states,BAU'!$H18)</f>
        <v>0.99540562077117378</v>
      </c>
      <c r="BZ18">
        <f t="shared" si="17"/>
        <v>1.0020669448854487</v>
      </c>
      <c r="CA18" s="7">
        <f>($X18^-Parameters!$B$52*(1/(1+EXP(-C18)) + IF(C18&lt;0,2*Parameters!$B$6*C18/F18,0)) + BS18*(1/(1+EXP((C18-Parameters!$B$22)*Parameters!$B$21))))/(1-IF(C18&gt;0,2*Parameters!$B$5*C18/F18,0))</f>
        <v>0.51426702900082921</v>
      </c>
      <c r="CB18">
        <f t="shared" si="18"/>
        <v>1.0020020568590626</v>
      </c>
      <c r="CC18" s="7">
        <f t="shared" si="19"/>
        <v>1.0275346500069338E-3</v>
      </c>
      <c r="CD18" t="e">
        <f>(1/$T18-1/Parameters!$B$13) * LN(Parameters!$B$18) / LN(P18)</f>
        <v>#DIV/0!</v>
      </c>
      <c r="CE18">
        <f>(Parameters!$B$18*'6states,BAU'!T18^+Parameters!$B$19*Parameters!$B$25^'6states,BAU'!T18)^((1-'6states,BAU'!T18)/'6states,BAU'!T18)*Parameters!$B$18*Parameters!$B$26^('6states,BAU'!T18-1)</f>
        <v>0.19350148412142151</v>
      </c>
      <c r="CF18" t="e">
        <f t="shared" si="20"/>
        <v>#DIV/0!</v>
      </c>
      <c r="CG18" t="e">
        <f t="shared" si="21"/>
        <v>#DIV/0!</v>
      </c>
      <c r="CH18">
        <f t="shared" si="21"/>
        <v>0.12551925945187004</v>
      </c>
    </row>
    <row r="19" spans="1:86" x14ac:dyDescent="0.3">
      <c r="A19">
        <f>A18+Parameters!$B$65</f>
        <v>15</v>
      </c>
      <c r="B19">
        <v>2040</v>
      </c>
      <c r="C19" s="74">
        <v>5.8025003422475102E-2</v>
      </c>
      <c r="D19" s="69">
        <v>5.6774449100990502E-3</v>
      </c>
      <c r="E19" s="75">
        <v>0.303427272936871</v>
      </c>
      <c r="F19" s="7">
        <f>MAX((1-Parameters!$B$4)^Parameters!B$65*F18 + C18*Parameters!B$65 - IF(C18&gt;0,Parameters!$B$5,0)*C18^2/F18*Parameters!B$65, 0.0001)</f>
        <v>0.82681122848007826</v>
      </c>
      <c r="G19" s="7">
        <f>(1-Parameters!$B$4)^Parameters!B$65*G18+D18*Parameters!B$65-Parameters!$B$5*D18^2/G18*Parameters!B$65</f>
        <v>0.11916715244097696</v>
      </c>
      <c r="H19" s="7">
        <f>(1-Parameters!$B$4)^Parameters!B$65*H18+E18*Parameters!B$65-Parameters!$B$5*E18^2/H18*Parameters!B$65</f>
        <v>4.4341473196565921</v>
      </c>
      <c r="I19" s="7">
        <f>I18 *(1-Parameters!$B$4)-C18*(C18&lt;0)*Parameters!B$65</f>
        <v>0</v>
      </c>
      <c r="J19" s="23">
        <f>J18*(1+Parameters!$B$51)^Parameters!B$65</f>
        <v>8.522257032327591</v>
      </c>
      <c r="K19" s="23">
        <f>K18*(1+Parameters!$B$53)^Parameters!B$65</f>
        <v>12.183591368489456</v>
      </c>
      <c r="L19" s="23">
        <f>J19*K19*EXP(-Parameters!$B$42*'6states,BAU'!A19)*(Parameters!$B$37/Parameters!$B$38*('6states,BAU'!F19+'6states,BAU'!I19)/Parameters!$E$25*(EXP(-Parameters!$B$38*Parameters!$E$25*'6states,BAU'!I19/('6states,BAU'!F19+'6states,BAU'!I19))-EXP(-Parameters!$B$38*Parameters!$E$25))  +  Parameters!$B$39*'6states,BAU'!F19)</f>
        <v>67.290691363817061</v>
      </c>
      <c r="M19" s="8">
        <f>M18+L19*Parameters!B$65</f>
        <v>3207.8874410834474</v>
      </c>
      <c r="N19" s="7">
        <f>M19*Parameters!$B$45</f>
        <v>1.9247324646500683</v>
      </c>
      <c r="O19" s="9">
        <f>EXP(-Parameters!$B$46/2*N19^2)</f>
        <v>0.9634533781048189</v>
      </c>
      <c r="P19" s="7">
        <f>MAX((Parameters!$B$62 + Parameters!$B$31*'6states,BAU'!A19 - '6states,BAU'!M19 + Parameters!$B$47/Parameters!$B$45)/Parameters!B$62,1)</f>
        <v>1</v>
      </c>
      <c r="Q19" s="7">
        <f>Parameters!B$61*EXP(-Parameters!B$60*A19)</f>
        <v>0.33348840542923719</v>
      </c>
      <c r="R19" s="7">
        <f>(1-Parameters!B$61)*P19^-Parameters!B$63</f>
        <v>0.5</v>
      </c>
      <c r="S19" s="7">
        <f>Parameters!B$61*EXP(-Parameters!B$60*A19)+(1-Parameters!B$61)*P19^-Parameters!B$63</f>
        <v>0.83348840542923719</v>
      </c>
      <c r="T19" s="7">
        <f>1-S19/Parameters!$B$12</f>
        <v>0.58325579728538135</v>
      </c>
      <c r="U19" s="7">
        <f t="shared" si="0"/>
        <v>2.3995534754559928</v>
      </c>
      <c r="V19" s="7">
        <f>(Parameters!$B$19*(F19+Parameters!$B$20)^T19+Parameters!$B$18*G19^T19)^(1/T19)</f>
        <v>0.56304072958440576</v>
      </c>
      <c r="W19" s="7">
        <f>(Parameters!$B$10*H19^Parameters!$B$9+Parameters!$B$11*V19^Parameters!$B$9)^(Parameters!$B$7/Parameters!$B$9)*O19</f>
        <v>1.4842860904707849</v>
      </c>
      <c r="X19" s="7">
        <f>W19 - D19 - E19 - LN(1+EXP(Parameters!$B$21*C19))/Parameters!$B$21 - IF(C19&gt;0, 0,Parameters!$B$6*C19^2/F19)</f>
        <v>1.1171563691095281</v>
      </c>
      <c r="Y19" s="7">
        <f>EXP(-Parameters!$B$55*A19)</f>
        <v>0.79731934231298707</v>
      </c>
      <c r="Z19" s="7">
        <f>IF(X19&gt;0,X19^(1-Parameters!$B$52)/(1-Parameters!$B$52)*Y19*Parameters!$B$65,-10+X19*1000)</f>
        <v>-2.191413675081372</v>
      </c>
      <c r="AB19" s="9"/>
      <c r="AC19" s="23">
        <f t="shared" si="6"/>
        <v>6.024834586500547</v>
      </c>
      <c r="AD19" s="23">
        <f t="shared" si="6"/>
        <v>0.5894987408836101</v>
      </c>
      <c r="AE19" s="23">
        <f t="shared" si="7"/>
        <v>0</v>
      </c>
      <c r="AF19" s="23">
        <f t="shared" si="8"/>
        <v>85.849213132908005</v>
      </c>
      <c r="AG19" s="23">
        <f t="shared" si="9"/>
        <v>12.373327690715639</v>
      </c>
      <c r="AH19" s="23">
        <f t="shared" si="10"/>
        <v>58.461474556237626</v>
      </c>
      <c r="AI19" s="23">
        <f t="shared" si="11"/>
        <v>143.87813975731618</v>
      </c>
      <c r="AJ19" s="23">
        <f t="shared" si="12"/>
        <v>154.11594393230649</v>
      </c>
      <c r="AK19" s="23">
        <f t="shared" si="13"/>
        <v>115.99624186378639</v>
      </c>
      <c r="AL19" s="9">
        <f t="shared" si="22"/>
        <v>2.1431361087679512E-2</v>
      </c>
      <c r="AM19" s="9">
        <f t="shared" si="22"/>
        <v>2.0981453105965997E-2</v>
      </c>
      <c r="AN19" s="9">
        <f t="shared" si="25"/>
        <v>2.1430661072597522E-2</v>
      </c>
      <c r="AO19" s="9">
        <f t="shared" si="25"/>
        <v>2.0986992503884673E-2</v>
      </c>
      <c r="AP19" s="23"/>
      <c r="AQ19" s="8">
        <f t="shared" si="1"/>
        <v>154.11594393230649</v>
      </c>
      <c r="AR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-2.4794889403548571E-3</v>
      </c>
      <c r="AS19" s="32">
        <f>((C20-C18)/2-(F20-F18)/F19/2*C19)/(F19/2/Parameters!$B$5-C19)-((D20-D18)/D19-(G20-G18)/G19)/(G19/2/Parameters!$B$5/D19-1)</f>
        <v>3.2785663374608357E-5</v>
      </c>
      <c r="AT19" s="32">
        <f>+Parameters!$B$5*C19^2/F19^2-Parameters!$B$5*D19^2/G19^2</f>
        <v>2.6553022090504597E-3</v>
      </c>
      <c r="AU19" s="30">
        <f>EXP(-Parameters!$B$42*'6states,BAU'!A19)*(Parameters!$B$37*EXP(-Parameters!$B$38*Parameters!$E$25*'6states,BAU'!I19/('6states,BAU'!F19+'6states,BAU'!I19))*(1/Parameters!$B$38/Parameters!$E$25+'6states,BAU'!I19/('6states,BAU'!F19+'6states,BAU'!I19))-Parameters!$B$37/Parameters!$B$38/Parameters!$E$25*EXP(-Parameters!$B$38*Parameters!$E$25)+Parameters!$B$39)</f>
        <v>0.78382420651474749</v>
      </c>
      <c r="AV19" s="30">
        <f>J19*K19*EXP(-Parameters!$B$42*'6states,BAU'!A19)*(Parameters!$B$37*EXP(-Parameters!$B$38*Parameters!$E$25*'6states,BAU'!I19/('6states,BAU'!F19+'6states,BAU'!I19))*(1/Parameters!$B$38/Parameters!$E$25+'6states,BAU'!I19/('6states,BAU'!F19+'6states,BAU'!I19))-Parameters!$B$37/Parameters!$B$38/Parameters!$E$25*EXP(-Parameters!$B$38*Parameters!$E$25)+Parameters!$B$39)</f>
        <v>81.385797683852331</v>
      </c>
      <c r="AW19" s="8">
        <f>1000*(AR19+AS19+AT19)/(EXP(-Parameters!$B$42*A19)*((C19&lt;0)*Parameters!$B$37*EXP(-Parameters!$B$38*AF19)+(C19&gt;=0)*Parameters!$B$41))</f>
        <v>0.26612973972536547</v>
      </c>
      <c r="AX19" s="13">
        <f>1-W19/'6states,ExoDamages'!T19</f>
        <v>4.8285806115612173E-3</v>
      </c>
      <c r="AY19" s="21">
        <f>-Y19*W19*X19^(-Parameters!B$52)*Parameters!B$46*Parameters!B$45*N19</f>
        <v>-2.3654498393168879E-5</v>
      </c>
      <c r="AZ19" s="7">
        <f>1000*EXP(-(Parameters!$B$54)*'6states,BAU'!A19)*AQ19*Parameters!B$46*Parameters!B$45*N19</f>
        <v>2.1130472349073064</v>
      </c>
      <c r="BA19" s="7">
        <f>SUM(AZ19:AZ$204)*EXP(Parameters!$B$54*A19)</f>
        <v>396.25054846808604</v>
      </c>
      <c r="BB19" s="13">
        <f t="shared" si="26"/>
        <v>0.24734431160302742</v>
      </c>
      <c r="BC19" s="30">
        <f>IF(C19&lt;0,Parameters!$B$6*AC19^2/AF19,0)</f>
        <v>0</v>
      </c>
      <c r="BD19" s="30">
        <f>Parameters!$B$5*AD19^2/AG19</f>
        <v>2.8085311743914765E-2</v>
      </c>
      <c r="BE19" s="30">
        <f t="shared" si="14"/>
        <v>0</v>
      </c>
      <c r="BF19" s="30">
        <f t="shared" si="15"/>
        <v>4.764270013845525E-2</v>
      </c>
      <c r="BG19" s="30"/>
      <c r="BH19" s="5" t="e">
        <f t="shared" si="3"/>
        <v>#NUM!</v>
      </c>
      <c r="BI19" s="2" t="e">
        <f>BH19/Parameters!$B$45</f>
        <v>#NUM!</v>
      </c>
      <c r="BJ19" s="2" t="e">
        <f t="shared" si="24"/>
        <v>#NUM!</v>
      </c>
      <c r="BM19">
        <f>-EXP(-Parameters!B$42*'6states,BAU'!A19)*(-Parameters!B$37/Parameters!B$38/Parameters!E$25*(EXP(-Parameters!B$38*Parameters!E$25*'6states,BAU'!I19/('6states,BAU'!F19+'6states,BAU'!I19))-EXP(-Parameters!B$38*Parameters!E$25))+Parameters!B$37*'6states,BAU'!F19/('6states,BAU'!F19+'6states,BAU'!I19)*EXP(-Parameters!B$38*Parameters!E$25*'6states,BAU'!I19/('6states,BAU'!F19+'6states,BAU'!I19)))</f>
        <v>-5.1433552023387703</v>
      </c>
      <c r="BN19">
        <f>-J19*K19*EXP(-Parameters!B$42*'6states,BAU'!A19)*(-Parameters!B$37/Parameters!B$38/Parameters!E$25*(EXP(-Parameters!B$38*Parameters!E$25*'6states,BAU'!I19/('6states,BAU'!F19+'6states,BAU'!I19))-EXP(-Parameters!B$38*Parameters!E$25)) + Parameters!B$37*'6states,BAU'!F19/('6states,BAU'!F19+'6states,BAU'!I19)*EXP(-Parameters!B$38*Parameters!E$25*'6states,BAU'!I19/('6states,BAU'!F19+'6states,BAU'!I19)))</f>
        <v>-534.04330005959923</v>
      </c>
      <c r="BO19" s="7">
        <f t="shared" si="4"/>
        <v>0</v>
      </c>
      <c r="BP19" s="7">
        <f t="shared" si="5"/>
        <v>-5.9271794088535179</v>
      </c>
      <c r="BU19" t="e">
        <f>EXP(-Parameters!$B$56*A19)*BH19*BN19</f>
        <v>#NUM!</v>
      </c>
      <c r="BV19" t="e">
        <f>-EXP((Parameters!$B$56)*F19)*SUM(BU19:BU27)</f>
        <v>#NUM!</v>
      </c>
      <c r="BW19">
        <f>X19^-Parameters!B$52/(1-2*Parameters!B$5*'6states,BAU'!D19/'6states,BAU'!G19)</f>
        <v>0.95177555714484474</v>
      </c>
      <c r="BX19">
        <f t="shared" si="16"/>
        <v>1.0021704470269455</v>
      </c>
      <c r="BY19">
        <f>$X19^-Parameters!$B$52/(1-2*Parameters!$B$5*'6states,BAU'!$E19/'6states,BAU'!$H19)</f>
        <v>0.9976186940516989</v>
      </c>
      <c r="BZ19">
        <f t="shared" si="17"/>
        <v>1.0022232879083108</v>
      </c>
      <c r="CA19" s="7">
        <f>($X19^-Parameters!$B$52*(1/(1+EXP(-C19)) + IF(C19&lt;0,2*Parameters!$B$6*C19/F19,0)) + BS19*(1/(1+EXP((C19-Parameters!$B$22)*Parameters!$B$21))))/(1-IF(C19&gt;0,2*Parameters!$B$5*C19/F19,0))</f>
        <v>0.51536628987225575</v>
      </c>
      <c r="CB19">
        <f t="shared" si="18"/>
        <v>1.0021375293562225</v>
      </c>
      <c r="CC19" s="7">
        <f t="shared" si="19"/>
        <v>1.0992608714265328E-3</v>
      </c>
      <c r="CD19" t="e">
        <f>(1/$T19-1/Parameters!$B$13) * LN(Parameters!$B$18) / LN(P19)</f>
        <v>#DIV/0!</v>
      </c>
      <c r="CE19">
        <f>(Parameters!$B$18*'6states,BAU'!T19^+Parameters!$B$19*Parameters!$B$25^'6states,BAU'!T19)^((1-'6states,BAU'!T19)/'6states,BAU'!T19)*Parameters!$B$18*Parameters!$B$26^('6states,BAU'!T19-1)</f>
        <v>0.19694750891181831</v>
      </c>
      <c r="CF19" t="e">
        <f t="shared" si="20"/>
        <v>#DIV/0!</v>
      </c>
      <c r="CG19" t="e">
        <f t="shared" si="21"/>
        <v>#DIV/0!</v>
      </c>
      <c r="CH19">
        <f t="shared" si="21"/>
        <v>0.12760555356370695</v>
      </c>
    </row>
    <row r="20" spans="1:86" x14ac:dyDescent="0.3">
      <c r="A20">
        <f>A19+Parameters!$B$65</f>
        <v>16</v>
      </c>
      <c r="B20">
        <v>2041</v>
      </c>
      <c r="C20" s="74">
        <v>5.8092453975256898E-2</v>
      </c>
      <c r="D20" s="69">
        <v>5.5733848146712704E-3</v>
      </c>
      <c r="E20" s="75">
        <v>0.303496027328019</v>
      </c>
      <c r="F20" s="7">
        <f>MAX((1-Parameters!$B$4)^Parameters!B$65*F19 + C19*Parameters!B$65 - IF(C19&gt;0,Parameters!$B$5,0)*C19^2/F19*Parameters!B$65, 0.0001)</f>
        <v>0.82875765360152376</v>
      </c>
      <c r="G20" s="7">
        <f>(1-Parameters!$B$4)^Parameters!B$65*G19+D19*Parameters!B$65-Parameters!$B$5*D19^2/G19*Parameters!B$65</f>
        <v>0.11707849465713412</v>
      </c>
      <c r="H20" s="7">
        <f>(1-Parameters!$B$4)^Parameters!B$65*H19+E19*Parameters!B$65-Parameters!$B$5*E19^2/H19*Parameters!B$65</f>
        <v>4.4379032956276481</v>
      </c>
      <c r="I20" s="7">
        <f>I19 *(1-Parameters!$B$4)-C19*(C19&lt;0)*Parameters!B$65</f>
        <v>0</v>
      </c>
      <c r="J20" s="23">
        <f>J19*(1+Parameters!$B$51)^Parameters!B$65</f>
        <v>8.5469715777213402</v>
      </c>
      <c r="K20" s="23">
        <f>K19*(1+Parameters!$B$53)^Parameters!B$65</f>
        <v>12.427263195859245</v>
      </c>
      <c r="L20" s="23">
        <f>J20*K20*EXP(-Parameters!$B$42*'6states,BAU'!A20)*(Parameters!$B$37/Parameters!$B$38*('6states,BAU'!F20+'6states,BAU'!I20)/Parameters!$E$25*(EXP(-Parameters!$B$38*Parameters!$E$25*'6states,BAU'!I20/('6states,BAU'!F20+'6states,BAU'!I20))-EXP(-Parameters!$B$38*Parameters!$E$25))  +  Parameters!$B$39*'6states,BAU'!F20)</f>
        <v>68.311061642117181</v>
      </c>
      <c r="M20" s="8">
        <f>M19+L20*Parameters!B$65</f>
        <v>3276.1985027255646</v>
      </c>
      <c r="N20" s="7">
        <f>M20*Parameters!$B$45</f>
        <v>1.9657191016353386</v>
      </c>
      <c r="O20" s="9">
        <f>EXP(-Parameters!$B$46/2*N20^2)</f>
        <v>0.96191064384685299</v>
      </c>
      <c r="P20" s="7">
        <f>MAX((Parameters!$B$62 + Parameters!$B$31*'6states,BAU'!A20 - '6states,BAU'!M20 + Parameters!$B$47/Parameters!$B$45)/Parameters!B$62,1)</f>
        <v>1</v>
      </c>
      <c r="Q20" s="7">
        <f>Parameters!B$61*EXP(-Parameters!B$60*A20)</f>
        <v>0.32460468834257372</v>
      </c>
      <c r="R20" s="7">
        <f>(1-Parameters!B$61)*P20^-Parameters!B$63</f>
        <v>0.5</v>
      </c>
      <c r="S20" s="7">
        <f>Parameters!B$61*EXP(-Parameters!B$60*A20)+(1-Parameters!B$61)*P20^-Parameters!B$63</f>
        <v>0.82460468834257372</v>
      </c>
      <c r="T20" s="7">
        <f>1-S20/Parameters!$B$12</f>
        <v>0.58769765582871314</v>
      </c>
      <c r="U20" s="7">
        <f t="shared" si="0"/>
        <v>2.4254045948003635</v>
      </c>
      <c r="V20" s="7">
        <f>(Parameters!$B$19*(F20+Parameters!$B$20)^T20+Parameters!$B$18*G20^T20)^(1/T20)</f>
        <v>0.56365449372863685</v>
      </c>
      <c r="W20" s="7">
        <f>(Parameters!$B$10*H20^Parameters!$B$9+Parameters!$B$11*V20^Parameters!$B$9)^(Parameters!$B$7/Parameters!$B$9)*O20</f>
        <v>1.4823049754300959</v>
      </c>
      <c r="X20" s="7">
        <f>W20 - D20 - E20 - LN(1+EXP(Parameters!$B$21*C20))/Parameters!$B$21 - IF(C20&gt;0, 0,Parameters!$B$6*C20^2/F20)</f>
        <v>1.1151431092221764</v>
      </c>
      <c r="Y20" s="7">
        <f>EXP(-Parameters!$B$55*A20)</f>
        <v>0.7853702628357192</v>
      </c>
      <c r="Z20" s="7">
        <f>IF(X20&gt;0,X20^(1-Parameters!$B$52)/(1-Parameters!$B$52)*Y20*Parameters!$B$65,-10+X20*1000)</f>
        <v>-2.1599350752391935</v>
      </c>
      <c r="AB20" s="9"/>
      <c r="AC20" s="23">
        <f t="shared" si="6"/>
        <v>6.1703170307874968</v>
      </c>
      <c r="AD20" s="23">
        <f t="shared" si="6"/>
        <v>0.59197966151930792</v>
      </c>
      <c r="AE20" s="23">
        <f t="shared" si="7"/>
        <v>0</v>
      </c>
      <c r="AF20" s="23">
        <f t="shared" si="8"/>
        <v>88.02687981800571</v>
      </c>
      <c r="AG20" s="23">
        <f t="shared" si="9"/>
        <v>12.435546789425898</v>
      </c>
      <c r="AH20" s="23">
        <f t="shared" si="10"/>
        <v>59.86882433327834</v>
      </c>
      <c r="AI20" s="23">
        <f t="shared" si="11"/>
        <v>147.34173470502327</v>
      </c>
      <c r="AJ20" s="23">
        <f t="shared" si="12"/>
        <v>157.44371271719746</v>
      </c>
      <c r="AK20" s="23">
        <f t="shared" si="13"/>
        <v>118.44544424874226</v>
      </c>
      <c r="AL20" s="9">
        <f t="shared" si="22"/>
        <v>2.1362813000086689E-2</v>
      </c>
      <c r="AM20" s="9">
        <f t="shared" si="22"/>
        <v>2.0894675622842307E-2</v>
      </c>
      <c r="AN20" s="9">
        <f t="shared" si="25"/>
        <v>2.1361648263323298E-2</v>
      </c>
      <c r="AO20" s="9">
        <f t="shared" si="25"/>
        <v>2.0894504646198086E-2</v>
      </c>
      <c r="AP20" s="23"/>
      <c r="AQ20" s="8">
        <f t="shared" si="1"/>
        <v>157.44371271719746</v>
      </c>
      <c r="AR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-2.4370765930089859E-3</v>
      </c>
      <c r="AS20" s="32">
        <f>((C21-C19)/2-(F21-F19)/F20/2*C20)/(F20/2/Parameters!$B$5-C20)-((D21-D19)/D20-(G21-G19)/G20)/(G20/2/Parameters!$B$5/D20-1)</f>
        <v>-5.6238677370533537E-5</v>
      </c>
      <c r="AT20" s="32">
        <f>+Parameters!$B$5*C20^2/F20^2-Parameters!$B$5*D20^2/G20^2</f>
        <v>2.6473004307542821E-3</v>
      </c>
      <c r="AU20" s="30">
        <f>EXP(-Parameters!$B$42*'6states,BAU'!A20)*(Parameters!$B$37*EXP(-Parameters!$B$38*Parameters!$E$25*'6states,BAU'!I20/('6states,BAU'!F20+'6states,BAU'!I20))*(1/Parameters!$B$38/Parameters!$E$25+'6states,BAU'!I20/('6states,BAU'!F20+'6states,BAU'!I20))-Parameters!$B$37/Parameters!$B$38/Parameters!$E$25*EXP(-Parameters!$B$38*Parameters!$E$25)+Parameters!$B$39)</f>
        <v>0.77602502534849938</v>
      </c>
      <c r="AV20" s="30">
        <f>J20*K20*EXP(-Parameters!$B$42*'6states,BAU'!A20)*(Parameters!$B$37*EXP(-Parameters!$B$38*Parameters!$E$25*'6states,BAU'!I20/('6states,BAU'!F20+'6states,BAU'!I20))*(1/Parameters!$B$38/Parameters!$E$25+'6states,BAU'!I20/('6states,BAU'!F20+'6states,BAU'!I20))-Parameters!$B$37/Parameters!$B$38/Parameters!$E$25*EXP(-Parameters!$B$38*Parameters!$E$25)+Parameters!$B$39)</f>
        <v>82.425859170359985</v>
      </c>
      <c r="AW20" s="8">
        <f>1000*(AR20+AS20+AT20)/(EXP(-Parameters!$B$42*A20)*((C20&lt;0)*Parameters!$B$37*EXP(-Parameters!$B$38*AF20)+(C20&gt;=0)*Parameters!$B$41))</f>
        <v>0.19842808587984723</v>
      </c>
      <c r="AX20" s="13">
        <f>1-W20/'6states,ExoDamages'!T20</f>
        <v>5.6794849460468644E-3</v>
      </c>
      <c r="AY20" s="21">
        <f>-Y20*W20*X20^(-Parameters!B$52)*Parameters!B$46*Parameters!B$45*N20</f>
        <v>-2.3822342719376333E-5</v>
      </c>
      <c r="AZ20" s="7">
        <f>1000*EXP(-(Parameters!$B$54)*'6states,BAU'!A20)*AQ20*Parameters!B$46*Parameters!B$45*N20</f>
        <v>2.1286012216376413</v>
      </c>
      <c r="BA20" s="7">
        <f>SUM(AZ20:AZ$204)*EXP(Parameters!$B$54*A20)</f>
        <v>406.7007389264171</v>
      </c>
      <c r="BB20" s="13">
        <f t="shared" si="26"/>
        <v>0.24769657540373152</v>
      </c>
      <c r="BC20" s="30">
        <f>IF(C20&lt;0,Parameters!$B$6*AC20^2/AF20,0)</f>
        <v>0</v>
      </c>
      <c r="BD20" s="30">
        <f>Parameters!$B$5*AD20^2/AG20</f>
        <v>2.8180499465491768E-2</v>
      </c>
      <c r="BE20" s="30">
        <f t="shared" si="14"/>
        <v>0</v>
      </c>
      <c r="BF20" s="30">
        <f t="shared" si="15"/>
        <v>4.7603830498444646E-2</v>
      </c>
      <c r="BG20" s="30"/>
      <c r="BH20" s="5" t="e">
        <f t="shared" si="3"/>
        <v>#NUM!</v>
      </c>
      <c r="BI20" s="2" t="e">
        <f>BH20/Parameters!$B$45</f>
        <v>#NUM!</v>
      </c>
      <c r="BJ20" s="2" t="e">
        <f t="shared" si="24"/>
        <v>#NUM!</v>
      </c>
      <c r="BM20">
        <f>-EXP(-Parameters!B$42*'6states,BAU'!A20)*(-Parameters!B$37/Parameters!B$38/Parameters!E$25*(EXP(-Parameters!B$38*Parameters!E$25*'6states,BAU'!I20/('6states,BAU'!F20+'6states,BAU'!I20))-EXP(-Parameters!B$38*Parameters!E$25))+Parameters!B$37*'6states,BAU'!F20/('6states,BAU'!F20+'6states,BAU'!I20)*EXP(-Parameters!B$38*Parameters!E$25*'6states,BAU'!I20/('6states,BAU'!F20+'6states,BAU'!I20)))</f>
        <v>-5.0921779629884183</v>
      </c>
      <c r="BN20">
        <f>-J20*K20*EXP(-Parameters!B$42*'6states,BAU'!A20)*(-Parameters!B$37/Parameters!B$38/Parameters!E$25*(EXP(-Parameters!B$38*Parameters!E$25*'6states,BAU'!I20/('6states,BAU'!F20+'6states,BAU'!I20))-EXP(-Parameters!B$38*Parameters!E$25)) + Parameters!B$37*'6states,BAU'!F20/('6states,BAU'!F20+'6states,BAU'!I20)*EXP(-Parameters!B$38*Parameters!E$25*'6states,BAU'!I20/('6states,BAU'!F20+'6states,BAU'!I20)))</f>
        <v>-540.86805185077867</v>
      </c>
      <c r="BO20" s="7">
        <f t="shared" si="4"/>
        <v>0</v>
      </c>
      <c r="BP20" s="7">
        <f t="shared" si="5"/>
        <v>-5.8682029883369173</v>
      </c>
      <c r="BU20" t="e">
        <f>EXP(-Parameters!$B$56*A20)*BH20*BN20</f>
        <v>#NUM!</v>
      </c>
      <c r="BV20" t="e">
        <f>-EXP((Parameters!$B$56)*F20)*SUM(BU20:BU28)</f>
        <v>#NUM!</v>
      </c>
      <c r="BW20">
        <f>X20^-Parameters!B$52/(1-2*Parameters!B$5*'6states,BAU'!D20/'6states,BAU'!G20)</f>
        <v>0.95401404493223529</v>
      </c>
      <c r="BX20">
        <f t="shared" si="16"/>
        <v>1.0023519072018465</v>
      </c>
      <c r="BY20">
        <f>$X20^-Parameters!$B$52/(1-2*Parameters!$B$5*'6states,BAU'!$E20/'6states,BAU'!$H20)</f>
        <v>0.99995263172897919</v>
      </c>
      <c r="BZ20">
        <f t="shared" si="17"/>
        <v>1.0023395087634148</v>
      </c>
      <c r="CA20" s="7">
        <f>($X20^-Parameters!$B$52*(1/(1+EXP(-C20)) + IF(C20&lt;0,2*Parameters!$B$6*C20/F20,0)) + BS20*(1/(1+EXP((C20-Parameters!$B$22)*Parameters!$B$21))))/(1-IF(C20&gt;0,2*Parameters!$B$5*C20/F20,0))</f>
        <v>0.51653941986292495</v>
      </c>
      <c r="CB20">
        <f t="shared" si="18"/>
        <v>1.0022763033083906</v>
      </c>
      <c r="CC20" s="7">
        <f t="shared" si="19"/>
        <v>1.1731299906692083E-3</v>
      </c>
      <c r="CD20" t="e">
        <f>(1/$T20-1/Parameters!$B$13) * LN(Parameters!$B$18) / LN(P20)</f>
        <v>#DIV/0!</v>
      </c>
      <c r="CE20">
        <f>(Parameters!$B$18*'6states,BAU'!T20^+Parameters!$B$19*Parameters!$B$25^'6states,BAU'!T20)^((1-'6states,BAU'!T20)/'6states,BAU'!T20)*Parameters!$B$18*Parameters!$B$26^('6states,BAU'!T20-1)</f>
        <v>0.20026340183924601</v>
      </c>
      <c r="CF20" t="e">
        <f t="shared" si="20"/>
        <v>#DIV/0!</v>
      </c>
      <c r="CG20" t="e">
        <f t="shared" si="21"/>
        <v>#DIV/0!</v>
      </c>
      <c r="CH20">
        <f t="shared" si="21"/>
        <v>0.1296083640457717</v>
      </c>
    </row>
    <row r="21" spans="1:86" x14ac:dyDescent="0.3">
      <c r="A21">
        <f>A20+Parameters!$B$65</f>
        <v>17</v>
      </c>
      <c r="B21">
        <v>2042</v>
      </c>
      <c r="C21" s="74">
        <v>5.8157680289378497E-2</v>
      </c>
      <c r="D21" s="69">
        <v>5.4729791614296901E-3</v>
      </c>
      <c r="E21" s="75">
        <v>0.30356250299718701</v>
      </c>
      <c r="F21" s="7">
        <f>MAX((1-Parameters!$B$4)^Parameters!B$65*F20 + C20*Parameters!B$65 - IF(C20&gt;0,Parameters!$B$5,0)*C20^2/F20*Parameters!B$65, 0.0001)</f>
        <v>0.83064921250086343</v>
      </c>
      <c r="G21" s="7">
        <f>(1-Parameters!$B$4)^Parameters!B$65*G20+D20*Parameters!B$65-Parameters!$B$5*D20^2/G20*Parameters!B$65</f>
        <v>0.11502232769185144</v>
      </c>
      <c r="H21" s="7">
        <f>(1-Parameters!$B$4)^Parameters!B$65*H20+E20*Parameters!B$65-Parameters!$B$5*E20^2/H20*Parameters!B$65</f>
        <v>4.4414999452442121</v>
      </c>
      <c r="I21" s="7">
        <f>I20 *(1-Parameters!$B$4)-C20*(C20&lt;0)*Parameters!B$65</f>
        <v>0</v>
      </c>
      <c r="J21" s="23">
        <f>J20*(1+Parameters!$B$51)^Parameters!B$65</f>
        <v>8.5717577952967314</v>
      </c>
      <c r="K21" s="23">
        <f>K20*(1+Parameters!$B$53)^Parameters!B$65</f>
        <v>12.67580845977643</v>
      </c>
      <c r="L21" s="23">
        <f>J21*K21*EXP(-Parameters!$B$42*'6states,BAU'!A21)*(Parameters!$B$37/Parameters!$B$38*('6states,BAU'!F21+'6states,BAU'!I21)/Parameters!$E$25*(EXP(-Parameters!$B$38*Parameters!$E$25*'6states,BAU'!I21/('6states,BAU'!F21+'6states,BAU'!I21))-EXP(-Parameters!$B$38*Parameters!$E$25))  +  Parameters!$B$39*'6states,BAU'!F21)</f>
        <v>69.341941721593557</v>
      </c>
      <c r="M21" s="8">
        <f>M20+L21*Parameters!B$65</f>
        <v>3345.5404444471583</v>
      </c>
      <c r="N21" s="7">
        <f>M21*Parameters!$B$45</f>
        <v>2.0073242666682947</v>
      </c>
      <c r="O21" s="9">
        <f>EXP(-Parameters!$B$46/2*N21^2)</f>
        <v>0.96031399041211185</v>
      </c>
      <c r="P21" s="7">
        <f>MAX((Parameters!$B$62 + Parameters!$B$31*'6states,BAU'!A21 - '6states,BAU'!M21 + Parameters!$B$47/Parameters!$B$45)/Parameters!B$62,1)</f>
        <v>1</v>
      </c>
      <c r="Q21" s="7">
        <f>Parameters!B$61*EXP(-Parameters!B$60*A21)</f>
        <v>0.31595762244974795</v>
      </c>
      <c r="R21" s="7">
        <f>(1-Parameters!B$61)*P21^-Parameters!B$63</f>
        <v>0.5</v>
      </c>
      <c r="S21" s="7">
        <f>Parameters!B$61*EXP(-Parameters!B$60*A21)+(1-Parameters!B$61)*P21^-Parameters!B$63</f>
        <v>0.81595762244974801</v>
      </c>
      <c r="T21" s="7">
        <f>1-S21/Parameters!$B$12</f>
        <v>0.59202118877512599</v>
      </c>
      <c r="U21" s="7">
        <f t="shared" si="0"/>
        <v>2.4511076861999324</v>
      </c>
      <c r="V21" s="7">
        <f>(Parameters!$B$19*(F21+Parameters!$B$20)^T21+Parameters!$B$18*G21^T21)^(1/T21)</f>
        <v>0.56424552512006454</v>
      </c>
      <c r="W21" s="7">
        <f>(Parameters!$B$10*H21^Parameters!$B$9+Parameters!$B$11*V21^Parameters!$B$9)^(Parameters!$B$7/Parameters!$B$9)*O21</f>
        <v>1.4802229382671208</v>
      </c>
      <c r="X21" s="7">
        <f>W21 - D21 - E21 - LN(1+EXP(Parameters!$B$21*C21))/Parameters!$B$21 - IF(C21&gt;0, 0,Parameters!$B$6*C21^2/F21)</f>
        <v>1.1130297757308967</v>
      </c>
      <c r="Y21" s="7">
        <f>EXP(-Parameters!$B$55*A21)</f>
        <v>0.7736002590346287</v>
      </c>
      <c r="Z21" s="7">
        <f>IF(X21&gt;0,X21^(1-Parameters!$B$52)/(1-Parameters!$B$52)*Y21*Parameters!$B$65,-10+X21*1000)</f>
        <v>-2.1289780713543847</v>
      </c>
      <c r="AB21" s="9"/>
      <c r="AC21" s="23">
        <f t="shared" si="6"/>
        <v>6.3190622665043161</v>
      </c>
      <c r="AD21" s="23">
        <f t="shared" si="6"/>
        <v>0.59466085875971542</v>
      </c>
      <c r="AE21" s="23">
        <f t="shared" si="7"/>
        <v>0</v>
      </c>
      <c r="AF21" s="23">
        <f t="shared" si="8"/>
        <v>90.253326289810047</v>
      </c>
      <c r="AG21" s="23">
        <f t="shared" si="9"/>
        <v>12.497631389466141</v>
      </c>
      <c r="AH21" s="23">
        <f t="shared" si="10"/>
        <v>61.307510703470946</v>
      </c>
      <c r="AI21" s="23">
        <f t="shared" si="11"/>
        <v>150.88245139424049</v>
      </c>
      <c r="AJ21" s="23">
        <f t="shared" si="12"/>
        <v>160.8320838911828</v>
      </c>
      <c r="AK21" s="23">
        <f t="shared" si="13"/>
        <v>120.93509270522578</v>
      </c>
      <c r="AL21" s="9">
        <f t="shared" si="22"/>
        <v>2.1292848711484069E-2</v>
      </c>
      <c r="AM21" s="9">
        <f t="shared" si="22"/>
        <v>2.0801509267791118E-2</v>
      </c>
      <c r="AN21" s="9">
        <f t="shared" si="25"/>
        <v>2.129151715623543E-2</v>
      </c>
      <c r="AO21" s="9">
        <f t="shared" si="25"/>
        <v>2.0798488153404193E-2</v>
      </c>
      <c r="AP21" s="23"/>
      <c r="AQ21" s="8">
        <f t="shared" si="1"/>
        <v>160.83208389118283</v>
      </c>
      <c r="AR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-2.3955662865755992E-3</v>
      </c>
      <c r="AS21" s="32">
        <f>((C22-C20)/2-(F22-F20)/F21/2*C21)/(F21/2/Parameters!$B$5-C21)-((D22-D20)/D21-(G22-G20)/G21)/(G21/2/Parameters!$B$5/D21-1)</f>
        <v>-1.3677437143593557E-4</v>
      </c>
      <c r="AT21" s="32">
        <f>+Parameters!$B$5*C21^2/F21^2-Parameters!$B$5*D21^2/G21^2</f>
        <v>2.6380266346167445E-3</v>
      </c>
      <c r="AU21" s="30">
        <f>EXP(-Parameters!$B$42*'6states,BAU'!A21)*(Parameters!$B$37*EXP(-Parameters!$B$38*Parameters!$E$25*'6states,BAU'!I21/('6states,BAU'!F21+'6states,BAU'!I21))*(1/Parameters!$B$38/Parameters!$E$25+'6states,BAU'!I21/('6states,BAU'!F21+'6states,BAU'!I21))-Parameters!$B$37/Parameters!$B$38/Parameters!$E$25*EXP(-Parameters!$B$38*Parameters!$E$25)+Parameters!$B$39)</f>
        <v>0.76830344733147571</v>
      </c>
      <c r="AV21" s="30">
        <f>J21*K21*EXP(-Parameters!$B$42*'6states,BAU'!A21)*(Parameters!$B$37*EXP(-Parameters!$B$38*Parameters!$E$25*'6states,BAU'!I21/('6states,BAU'!F21+'6states,BAU'!I21))*(1/Parameters!$B$38/Parameters!$E$25+'6states,BAU'!I21/('6states,BAU'!F21+'6states,BAU'!I21))-Parameters!$B$37/Parameters!$B$38/Parameters!$E$25*EXP(-Parameters!$B$38*Parameters!$E$25)+Parameters!$B$39)</f>
        <v>83.479212016373864</v>
      </c>
      <c r="AW21" s="8">
        <f>1000*(AR21+AS21+AT21)/(EXP(-Parameters!$B$42*A21)*((C21&lt;0)*Parameters!$B$37*EXP(-Parameters!$B$38*AF21)+(C21&gt;=0)*Parameters!$B$41))</f>
        <v>0.13755759781149696</v>
      </c>
      <c r="AX21" s="13">
        <f>1-W21/'6states,ExoDamages'!T21</f>
        <v>6.5871165504149953E-3</v>
      </c>
      <c r="AY21" s="21">
        <f>-Y21*W21*X21^(-Parameters!B$52)*Parameters!B$46*Parameters!B$45*N21</f>
        <v>-2.39896782056991E-5</v>
      </c>
      <c r="AZ21" s="7">
        <f>1000*EXP(-(Parameters!$B$54)*'6states,BAU'!A21)*AQ21*Parameters!B$46*Parameters!B$45*N21</f>
        <v>2.1438481185176479</v>
      </c>
      <c r="BA21" s="7">
        <f>SUM(AZ21:AZ$204)*EXP(Parameters!$B$54*A21)</f>
        <v>417.36363551380947</v>
      </c>
      <c r="BB21" s="13">
        <f t="shared" si="26"/>
        <v>0.24806612095733621</v>
      </c>
      <c r="BC21" s="30">
        <f>IF(C21&lt;0,Parameters!$B$6*AC21^2/AF21,0)</f>
        <v>0</v>
      </c>
      <c r="BD21" s="30">
        <f>Parameters!$B$5*AD21^2/AG21</f>
        <v>2.8295084558094635E-2</v>
      </c>
      <c r="BE21" s="30">
        <f t="shared" si="14"/>
        <v>0</v>
      </c>
      <c r="BF21" s="30">
        <f t="shared" si="15"/>
        <v>4.7581884937087864E-2</v>
      </c>
      <c r="BG21" s="30"/>
      <c r="BH21" s="5" t="e">
        <f t="shared" si="3"/>
        <v>#NUM!</v>
      </c>
      <c r="BI21" s="2" t="e">
        <f>BH21/Parameters!$B$45</f>
        <v>#NUM!</v>
      </c>
      <c r="BJ21" s="2" t="e">
        <f t="shared" si="24"/>
        <v>#NUM!</v>
      </c>
      <c r="BM21">
        <f>-EXP(-Parameters!B$42*'6states,BAU'!A21)*(-Parameters!B$37/Parameters!B$38/Parameters!E$25*(EXP(-Parameters!B$38*Parameters!E$25*'6states,BAU'!I21/('6states,BAU'!F21+'6states,BAU'!I21))-EXP(-Parameters!B$38*Parameters!E$25))+Parameters!B$37*'6states,BAU'!F21/('6states,BAU'!F21+'6states,BAU'!I21)*EXP(-Parameters!B$38*Parameters!E$25*'6states,BAU'!I21/('6states,BAU'!F21+'6states,BAU'!I21)))</f>
        <v>-5.04150994567786</v>
      </c>
      <c r="BN21">
        <f>-J21*K21*EXP(-Parameters!B$42*'6states,BAU'!A21)*(-Parameters!B$37/Parameters!B$38/Parameters!E$25*(EXP(-Parameters!B$38*Parameters!E$25*'6states,BAU'!I21/('6states,BAU'!F21+'6states,BAU'!I21))-EXP(-Parameters!B$38*Parameters!E$25)) + Parameters!B$37*'6states,BAU'!F21/('6states,BAU'!F21+'6states,BAU'!I21)*EXP(-Parameters!B$38*Parameters!E$25*'6states,BAU'!I21/('6states,BAU'!F21+'6states,BAU'!I21)))</f>
        <v>-547.78001986020479</v>
      </c>
      <c r="BO21" s="7">
        <f t="shared" si="4"/>
        <v>0</v>
      </c>
      <c r="BP21" s="7">
        <f t="shared" si="5"/>
        <v>-5.8098133930093354</v>
      </c>
      <c r="BU21" t="e">
        <f>EXP(-Parameters!$B$56*A21)*BH21*BN21</f>
        <v>#NUM!</v>
      </c>
      <c r="BV21" t="e">
        <f>-EXP((Parameters!$B$56)*F21)*SUM(BU21:BU29)</f>
        <v>#NUM!</v>
      </c>
      <c r="BW21">
        <f>X21^-Parameters!B$52/(1-2*Parameters!B$5*'6states,BAU'!D21/'6states,BAU'!G21)</f>
        <v>0.95641386121895189</v>
      </c>
      <c r="BX21">
        <f t="shared" si="16"/>
        <v>1.0025154936653864</v>
      </c>
      <c r="BY21">
        <f>$X21^-Parameters!$B$52/(1-2*Parameters!$B$5*'6states,BAU'!$E21/'6states,BAU'!$H21)</f>
        <v>1.0024227787938562</v>
      </c>
      <c r="BZ21">
        <f t="shared" si="17"/>
        <v>1.0024702640770153</v>
      </c>
      <c r="CA21" s="7">
        <f>($X21^-Parameters!$B$52*(1/(1+EXP(-C21)) + IF(C21&lt;0,2*Parameters!$B$6*C21/F21,0)) + BS21*(1/(1+EXP((C21-Parameters!$B$22)*Parameters!$B$21))))/(1-IF(C21&gt;0,2*Parameters!$B$5*C21/F21,0))</f>
        <v>0.51778261470026243</v>
      </c>
      <c r="CB21">
        <f t="shared" si="18"/>
        <v>1.0024067763069611</v>
      </c>
      <c r="CC21" s="7">
        <f t="shared" si="19"/>
        <v>1.2431948373374802E-3</v>
      </c>
      <c r="CD21" t="e">
        <f>(1/$T21-1/Parameters!$B$13) * LN(Parameters!$B$18) / LN(P21)</f>
        <v>#DIV/0!</v>
      </c>
      <c r="CE21">
        <f>(Parameters!$B$18*'6states,BAU'!T21^+Parameters!$B$19*Parameters!$B$25^'6states,BAU'!T21)^((1-'6states,BAU'!T21)/'6states,BAU'!T21)*Parameters!$B$18*Parameters!$B$26^('6states,BAU'!T21-1)</f>
        <v>0.20345332272066474</v>
      </c>
      <c r="CF21" t="e">
        <f t="shared" si="20"/>
        <v>#DIV/0!</v>
      </c>
      <c r="CG21" t="e">
        <f t="shared" si="21"/>
        <v>#DIV/0!</v>
      </c>
      <c r="CH21">
        <f t="shared" si="21"/>
        <v>0.13153074758514116</v>
      </c>
    </row>
    <row r="22" spans="1:86" x14ac:dyDescent="0.3">
      <c r="A22">
        <f>A21+Parameters!$B$65</f>
        <v>18</v>
      </c>
      <c r="B22">
        <v>2043</v>
      </c>
      <c r="C22" s="74">
        <v>5.8222751201556497E-2</v>
      </c>
      <c r="D22" s="69">
        <v>5.3769089668697602E-3</v>
      </c>
      <c r="E22" s="75">
        <v>0.30362079437970102</v>
      </c>
      <c r="F22" s="7">
        <f>MAX((1-Parameters!$B$4)^Parameters!B$65*F21 + C21*Parameters!B$65 - IF(C21&gt;0,Parameters!$B$5,0)*C21^2/F21*Parameters!B$65, 0.0001)</f>
        <v>0.83248716304445192</v>
      </c>
      <c r="G22" s="7">
        <f>(1-Parameters!$B$4)^Parameters!B$65*G21+D21*Parameters!B$65-Parameters!$B$5*D21^2/G21*Parameters!B$65</f>
        <v>0.11299998777674146</v>
      </c>
      <c r="H22" s="7">
        <f>(1-Parameters!$B$4)^Parameters!B$65*H21+E21*Parameters!B$65-Parameters!$B$5*E21^2/H21*Parameters!B$65</f>
        <v>4.4449445627095248</v>
      </c>
      <c r="I22" s="7">
        <f>I21 *(1-Parameters!$B$4)-C21*(C21&lt;0)*Parameters!B$65</f>
        <v>0</v>
      </c>
      <c r="J22" s="23">
        <f>J21*(1+Parameters!$B$51)^Parameters!B$65</f>
        <v>8.5966158929030918</v>
      </c>
      <c r="K22" s="23">
        <f>K21*(1+Parameters!$B$53)^Parameters!B$65</f>
        <v>12.929324628971958</v>
      </c>
      <c r="L22" s="23">
        <f>J22*K22*EXP(-Parameters!$B$42*'6states,BAU'!A22)*(Parameters!$B$37/Parameters!$B$38*('6states,BAU'!F22+'6states,BAU'!I22)/Parameters!$E$25*(EXP(-Parameters!$B$38*Parameters!$E$25*'6states,BAU'!I22/('6states,BAU'!F22+'6states,BAU'!I22))-EXP(-Parameters!$B$38*Parameters!$E$25))  +  Parameters!$B$39*'6states,BAU'!F22)</f>
        <v>70.38348139591092</v>
      </c>
      <c r="M22" s="8">
        <f>M21+L22*Parameters!B$65</f>
        <v>3415.9239258430694</v>
      </c>
      <c r="N22" s="7">
        <f>M22*Parameters!$B$45</f>
        <v>2.0495543555058413</v>
      </c>
      <c r="O22" s="9">
        <f>EXP(-Parameters!$B$46/2*N22^2)</f>
        <v>0.95866195444310187</v>
      </c>
      <c r="P22" s="7">
        <f>MAX((Parameters!$B$62 + Parameters!$B$31*'6states,BAU'!A22 - '6states,BAU'!M22 + Parameters!$B$47/Parameters!$B$45)/Parameters!B$62,1)</f>
        <v>1</v>
      </c>
      <c r="Q22" s="7">
        <f>Parameters!B$61*EXP(-Parameters!B$60*A22)</f>
        <v>0.30754090365676434</v>
      </c>
      <c r="R22" s="7">
        <f>(1-Parameters!B$61)*P22^-Parameters!B$63</f>
        <v>0.5</v>
      </c>
      <c r="S22" s="7">
        <f>Parameters!B$61*EXP(-Parameters!B$60*A22)+(1-Parameters!B$61)*P22^-Parameters!B$63</f>
        <v>0.80754090365676434</v>
      </c>
      <c r="T22" s="7">
        <f>1-S22/Parameters!$B$12</f>
        <v>0.59622954817161777</v>
      </c>
      <c r="U22" s="7">
        <f t="shared" si="0"/>
        <v>2.4766547315974425</v>
      </c>
      <c r="V22" s="7">
        <f>(Parameters!$B$19*(F22+Parameters!$B$20)^T22+Parameters!$B$18*G22^T22)^(1/T22)</f>
        <v>0.56481520165035559</v>
      </c>
      <c r="W22" s="7">
        <f>(Parameters!$B$10*H22^Parameters!$B$9+Parameters!$B$11*V22^Parameters!$B$9)^(Parameters!$B$7/Parameters!$B$9)*O22</f>
        <v>1.4780385624042245</v>
      </c>
      <c r="X22" s="7">
        <f>W22 - D22 - E22 - LN(1+EXP(Parameters!$B$21*C22))/Parameters!$B$21 - IF(C22&gt;0, 0,Parameters!$B$6*C22^2/F22)</f>
        <v>1.110818107769574</v>
      </c>
      <c r="Y22" s="7">
        <f>EXP(-Parameters!$B$55*A22)</f>
        <v>0.76200664718015654</v>
      </c>
      <c r="Z22" s="7">
        <f>IF(X22&gt;0,X22^(1-Parameters!$B$52)/(1-Parameters!$B$52)*Y22*Parameters!$B$65,-10+X22*1000)</f>
        <v>-2.0985324188248899</v>
      </c>
      <c r="AB22" s="9"/>
      <c r="AC22" s="23">
        <f t="shared" si="6"/>
        <v>6.4713678282398588</v>
      </c>
      <c r="AD22" s="23">
        <f t="shared" si="6"/>
        <v>0.59763503073082469</v>
      </c>
      <c r="AE22" s="23">
        <f t="shared" si="7"/>
        <v>0</v>
      </c>
      <c r="AF22" s="23">
        <f t="shared" si="8"/>
        <v>92.529647486058906</v>
      </c>
      <c r="AG22" s="23">
        <f t="shared" si="9"/>
        <v>12.559772089065291</v>
      </c>
      <c r="AH22" s="23">
        <f t="shared" si="10"/>
        <v>62.77832719047472</v>
      </c>
      <c r="AI22" s="23">
        <f t="shared" si="11"/>
        <v>154.50224274710698</v>
      </c>
      <c r="AJ22" s="23">
        <f t="shared" si="12"/>
        <v>164.28167690888648</v>
      </c>
      <c r="AK22" s="23">
        <f t="shared" si="13"/>
        <v>123.46569712518364</v>
      </c>
      <c r="AL22" s="9">
        <f t="shared" si="22"/>
        <v>2.1221633134267393E-2</v>
      </c>
      <c r="AM22" s="9">
        <f t="shared" si="22"/>
        <v>2.0709383669081483E-2</v>
      </c>
      <c r="AN22" s="9">
        <f t="shared" si="25"/>
        <v>2.1220282303791471E-2</v>
      </c>
      <c r="AO22" s="9">
        <f t="shared" si="25"/>
        <v>2.0705809805191499E-2</v>
      </c>
      <c r="AP22" s="23"/>
      <c r="AQ22" s="8">
        <f t="shared" si="1"/>
        <v>164.28167690888651</v>
      </c>
      <c r="AR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-2.353980182513404E-3</v>
      </c>
      <c r="AS22" s="32">
        <f>((C23-C21)/2-(F23-F21)/F22/2*C22)/(F22/2/Parameters!$B$5-C22)-((D23-D21)/D22-(G23-G21)/G22)/(G22/2/Parameters!$B$5/D22-1)</f>
        <v>-1.7882771353569925E-4</v>
      </c>
      <c r="AT22" s="32">
        <f>+Parameters!$B$5*C22^2/F22^2-Parameters!$B$5*D22^2/G22^2</f>
        <v>2.627200584296789E-3</v>
      </c>
      <c r="AU22" s="30">
        <f>EXP(-Parameters!$B$42*'6states,BAU'!A22)*(Parameters!$B$37*EXP(-Parameters!$B$38*Parameters!$E$25*'6states,BAU'!I22/('6states,BAU'!F22+'6states,BAU'!I22))*(1/Parameters!$B$38/Parameters!$E$25+'6states,BAU'!I22/('6states,BAU'!F22+'6states,BAU'!I22))-Parameters!$B$37/Parameters!$B$38/Parameters!$E$25*EXP(-Parameters!$B$38*Parameters!$E$25)+Parameters!$B$39)</f>
        <v>0.76065870029944016</v>
      </c>
      <c r="AV22" s="30">
        <f>J22*K22*EXP(-Parameters!$B$42*'6states,BAU'!A22)*(Parameters!$B$37*EXP(-Parameters!$B$38*Parameters!$E$25*'6states,BAU'!I22/('6states,BAU'!F22+'6states,BAU'!I22))*(1/Parameters!$B$38/Parameters!$E$25+'6states,BAU'!I22/('6states,BAU'!F22+'6states,BAU'!I22))-Parameters!$B$37/Parameters!$B$38/Parameters!$E$25*EXP(-Parameters!$B$38*Parameters!$E$25)+Parameters!$B$39)</f>
        <v>84.546026077464802</v>
      </c>
      <c r="AW22" s="8">
        <f>1000*(AR22+AS22+AT22)/(EXP(-Parameters!$B$42*A22)*((C22&lt;0)*Parameters!$B$37*EXP(-Parameters!$B$38*AF22)+(C22&gt;=0)*Parameters!$B$41))</f>
        <v>0.12409335252528801</v>
      </c>
      <c r="AX22" s="13">
        <f>1-W22/'6states,ExoDamages'!T22</f>
        <v>7.5760426139870329E-3</v>
      </c>
      <c r="AY22" s="21">
        <f>-Y22*W22*X22^(-Parameters!B$52)*Parameters!B$46*Parameters!B$45*N22</f>
        <v>-2.4156459929904234E-5</v>
      </c>
      <c r="AZ22" s="7">
        <f>1000*EXP(-(Parameters!$B$54)*'6states,BAU'!A22)*AQ22*Parameters!B$46*Parameters!B$45*N22</f>
        <v>2.1587811735703339</v>
      </c>
      <c r="BA22" s="7">
        <f>SUM(AZ22:AZ$204)*EXP(Parameters!$B$54*A22)</f>
        <v>428.24066784223487</v>
      </c>
      <c r="BB22" s="13">
        <f t="shared" si="26"/>
        <v>0.24845120004906696</v>
      </c>
      <c r="BC22" s="30">
        <f>IF(C22&lt;0,Parameters!$B$6*AC22^2/AF22,0)</f>
        <v>0</v>
      </c>
      <c r="BD22" s="30">
        <f>Parameters!$B$5*AD22^2/AG22</f>
        <v>2.8437429232301817E-2</v>
      </c>
      <c r="BE22" s="30">
        <f t="shared" si="14"/>
        <v>0</v>
      </c>
      <c r="BF22" s="30">
        <f t="shared" si="15"/>
        <v>4.7583270340640485E-2</v>
      </c>
      <c r="BG22" s="30"/>
      <c r="BH22" s="5" t="e">
        <f t="shared" si="3"/>
        <v>#NUM!</v>
      </c>
      <c r="BI22" s="2" t="e">
        <f>BH22/Parameters!$B$45</f>
        <v>#NUM!</v>
      </c>
      <c r="BJ22" s="2" t="e">
        <f t="shared" si="24"/>
        <v>#NUM!</v>
      </c>
      <c r="BM22">
        <f>-EXP(-Parameters!B$42*'6states,BAU'!A22)*(-Parameters!B$37/Parameters!B$38/Parameters!E$25*(EXP(-Parameters!B$38*Parameters!E$25*'6states,BAU'!I22/('6states,BAU'!F22+'6states,BAU'!I22))-EXP(-Parameters!B$38*Parameters!E$25))+Parameters!B$37*'6states,BAU'!F22/('6states,BAU'!F22+'6states,BAU'!I22)*EXP(-Parameters!B$38*Parameters!E$25*'6states,BAU'!I22/('6states,BAU'!F22+'6states,BAU'!I22)))</f>
        <v>-4.9913460835631431</v>
      </c>
      <c r="BN22">
        <f>-J22*K22*EXP(-Parameters!B$42*'6states,BAU'!A22)*(-Parameters!B$37/Parameters!B$38/Parameters!E$25*(EXP(-Parameters!B$38*Parameters!E$25*'6states,BAU'!I22/('6states,BAU'!F22+'6states,BAU'!I22))-EXP(-Parameters!B$38*Parameters!E$25)) + Parameters!B$37*'6states,BAU'!F22/('6states,BAU'!F22+'6states,BAU'!I22)*EXP(-Parameters!B$38*Parameters!E$25*'6states,BAU'!I22/('6states,BAU'!F22+'6states,BAU'!I22)))</f>
        <v>-554.78031865862806</v>
      </c>
      <c r="BO22" s="7">
        <f t="shared" si="4"/>
        <v>0</v>
      </c>
      <c r="BP22" s="7">
        <f t="shared" si="5"/>
        <v>-5.7520047838625832</v>
      </c>
      <c r="BU22" t="e">
        <f>EXP(-Parameters!$B$56*A22)*BH22*BN22</f>
        <v>#NUM!</v>
      </c>
      <c r="BV22" t="e">
        <f>-EXP((Parameters!$B$56)*F22)*SUM(BU22:BU30)</f>
        <v>#NUM!</v>
      </c>
      <c r="BW22">
        <f>X22^-Parameters!B$52/(1-2*Parameters!B$5*'6states,BAU'!D22/'6states,BAU'!G22)</f>
        <v>0.95898842401596962</v>
      </c>
      <c r="BX22">
        <f t="shared" si="16"/>
        <v>1.0026918919741883</v>
      </c>
      <c r="BY22">
        <f>$X22^-Parameters!$B$52/(1-2*Parameters!$B$5*'6states,BAU'!$E22/'6states,BAU'!$H22)</f>
        <v>1.0050253279931947</v>
      </c>
      <c r="BZ22">
        <f t="shared" si="17"/>
        <v>1.0025962590379978</v>
      </c>
      <c r="CA22" s="7">
        <f>($X22^-Parameters!$B$52*(1/(1+EXP(-C22)) + IF(C22&lt;0,2*Parameters!$B$6*C22/F22,0)) + BS22*(1/(1+EXP((C22-Parameters!$B$22)*Parameters!$B$21))))/(1-IF(C22&gt;0,2*Parameters!$B$5*C22/F22,0))</f>
        <v>0.5190989910001369</v>
      </c>
      <c r="CB22">
        <f t="shared" si="18"/>
        <v>1.0025423339109918</v>
      </c>
      <c r="CC22" s="7">
        <f t="shared" si="19"/>
        <v>1.3163762998744666E-3</v>
      </c>
      <c r="CD22" t="e">
        <f>(1/$T22-1/Parameters!$B$13) * LN(Parameters!$B$18) / LN(P22)</f>
        <v>#DIV/0!</v>
      </c>
      <c r="CE22">
        <f>(Parameters!$B$18*'6states,BAU'!T22^+Parameters!$B$19*Parameters!$B$25^'6states,BAU'!T22)^((1-'6states,BAU'!T22)/'6states,BAU'!T22)*Parameters!$B$18*Parameters!$B$26^('6states,BAU'!T22-1)</f>
        <v>0.20652145079989837</v>
      </c>
      <c r="CF22" t="e">
        <f t="shared" si="20"/>
        <v>#DIV/0!</v>
      </c>
      <c r="CG22" t="e">
        <f t="shared" si="21"/>
        <v>#DIV/0!</v>
      </c>
      <c r="CH22">
        <f t="shared" si="21"/>
        <v>0.13337572764197758</v>
      </c>
    </row>
    <row r="23" spans="1:86" x14ac:dyDescent="0.3">
      <c r="A23">
        <f>A22+Parameters!$B$65</f>
        <v>19</v>
      </c>
      <c r="B23">
        <v>2044</v>
      </c>
      <c r="C23" s="74">
        <v>5.8281640442398502E-2</v>
      </c>
      <c r="D23" s="69">
        <v>5.2821090509575699E-3</v>
      </c>
      <c r="E23" s="75">
        <v>0.30369078038667502</v>
      </c>
      <c r="F23" s="7">
        <f>MAX((1-Parameters!$B$4)^Parameters!B$65*F22 + C22*Parameters!B$65 - IF(C22&gt;0,Parameters!$B$5,0)*C22^2/F22*Parameters!B$65, 0.0001)</f>
        <v>0.83427447045378311</v>
      </c>
      <c r="G23" s="7">
        <f>(1-Parameters!$B$4)^Parameters!B$65*G22+D22*Parameters!B$65-Parameters!$B$5*D22^2/G22*Parameters!B$65</f>
        <v>0.11101334659948661</v>
      </c>
      <c r="H23" s="7">
        <f>(1-Parameters!$B$4)^Parameters!B$65*H22+E22*Parameters!B$65-Parameters!$B$5*E22^2/H22*Parameters!B$65</f>
        <v>4.4482389208063395</v>
      </c>
      <c r="I23" s="7">
        <f>I22 *(1-Parameters!$B$4)-C22*(C22&lt;0)*Parameters!B$65</f>
        <v>0</v>
      </c>
      <c r="J23" s="23">
        <f>J22*(1+Parameters!$B$51)^Parameters!B$65</f>
        <v>8.6215460789925107</v>
      </c>
      <c r="K23" s="23">
        <f>K22*(1+Parameters!$B$53)^Parameters!B$65</f>
        <v>13.187911121551398</v>
      </c>
      <c r="L23" s="23">
        <f>J23*K23*EXP(-Parameters!$B$42*'6states,BAU'!A23)*(Parameters!$B$37/Parameters!$B$38*('6states,BAU'!F23+'6states,BAU'!I23)/Parameters!$E$25*(EXP(-Parameters!$B$38*Parameters!$E$25*'6states,BAU'!I23/('6states,BAU'!F23+'6states,BAU'!I23))-EXP(-Parameters!$B$38*Parameters!$E$25))  +  Parameters!$B$39*'6states,BAU'!F23)</f>
        <v>71.435980735804009</v>
      </c>
      <c r="M23" s="8">
        <f>M22+L23*Parameters!B$65</f>
        <v>3487.3599065788735</v>
      </c>
      <c r="N23" s="7">
        <f>M23*Parameters!$B$45</f>
        <v>2.0924159439473238</v>
      </c>
      <c r="O23" s="9">
        <f>EXP(-Parameters!$B$46/2*N23^2)</f>
        <v>0.95695304353558786</v>
      </c>
      <c r="P23" s="7">
        <f>MAX((Parameters!$B$62 + Parameters!$B$31*'6states,BAU'!A23 - '6states,BAU'!M23 + Parameters!$B$47/Parameters!$B$45)/Parameters!B$62,1)</f>
        <v>1</v>
      </c>
      <c r="Q23" s="7">
        <f>Parameters!B$61*EXP(-Parameters!B$60*A23)</f>
        <v>0.2993483958028646</v>
      </c>
      <c r="R23" s="7">
        <f>(1-Parameters!B$61)*P23^-Parameters!B$63</f>
        <v>0.5</v>
      </c>
      <c r="S23" s="7">
        <f>Parameters!B$61*EXP(-Parameters!B$60*A23)+(1-Parameters!B$61)*P23^-Parameters!B$63</f>
        <v>0.79934839580286465</v>
      </c>
      <c r="T23" s="7">
        <f>1-S23/Parameters!$B$12</f>
        <v>0.60032580209856767</v>
      </c>
      <c r="U23" s="7">
        <f t="shared" si="0"/>
        <v>2.5020379230150356</v>
      </c>
      <c r="V23" s="7">
        <f>(Parameters!$B$19*(F23+Parameters!$B$20)^T23+Parameters!$B$18*G23^T23)^(1/T23)</f>
        <v>0.56536624404741709</v>
      </c>
      <c r="W23" s="7">
        <f>(Parameters!$B$10*H23^Parameters!$B$9+Parameters!$B$11*V23^Parameters!$B$9)^(Parameters!$B$7/Parameters!$B$9)*O23</f>
        <v>1.475750114256986</v>
      </c>
      <c r="X23" s="7">
        <f>W23 - D23 - E23 - LN(1+EXP(Parameters!$B$21*C23))/Parameters!$B$21 - IF(C23&gt;0, 0,Parameters!$B$6*C23^2/F23)</f>
        <v>1.1084955842919466</v>
      </c>
      <c r="Y23" s="7">
        <f>EXP(-Parameters!$B$55*A23)</f>
        <v>0.75058678376263543</v>
      </c>
      <c r="Z23" s="7">
        <f>IF(X23&gt;0,X23^(1-Parameters!$B$52)/(1-Parameters!$B$52)*Y23*Parameters!$B$65,-10+X23*1000)</f>
        <v>-2.0685974271562966</v>
      </c>
      <c r="AB23" s="9"/>
      <c r="AC23" s="23">
        <f t="shared" si="6"/>
        <v>6.6266332083257966</v>
      </c>
      <c r="AD23" s="23">
        <f t="shared" si="6"/>
        <v>0.60057676793891557</v>
      </c>
      <c r="AE23" s="23">
        <f t="shared" si="7"/>
        <v>0</v>
      </c>
      <c r="AF23" s="23">
        <f t="shared" si="8"/>
        <v>94.857160313312932</v>
      </c>
      <c r="AG23" s="23">
        <f t="shared" si="9"/>
        <v>12.622237870442225</v>
      </c>
      <c r="AH23" s="23">
        <f t="shared" si="10"/>
        <v>64.282245647731784</v>
      </c>
      <c r="AI23" s="23">
        <f t="shared" si="11"/>
        <v>158.20350056893443</v>
      </c>
      <c r="AJ23" s="23">
        <f t="shared" si="12"/>
        <v>167.7930586732723</v>
      </c>
      <c r="AK23" s="23">
        <f t="shared" si="13"/>
        <v>126.03615125437986</v>
      </c>
      <c r="AL23" s="9">
        <f t="shared" si="22"/>
        <v>2.1148929847659481E-2</v>
      </c>
      <c r="AM23" s="9">
        <f t="shared" si="22"/>
        <v>2.0605419101340061E-2</v>
      </c>
      <c r="AN23" s="9">
        <f t="shared" si="25"/>
        <v>2.114758601076918E-2</v>
      </c>
      <c r="AO23" s="9">
        <f t="shared" si="25"/>
        <v>2.0608432395347442E-2</v>
      </c>
      <c r="AP23" s="23"/>
      <c r="AQ23" s="8">
        <f t="shared" si="1"/>
        <v>167.7930586732723</v>
      </c>
      <c r="AR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-2.3150008511129559E-3</v>
      </c>
      <c r="AS23" s="32">
        <f>((C24-C22)/2-(F24-F22)/F23/2*C23)/(F23/2/Parameters!$B$5-C23)-((D24-D22)/D23-(G24-G22)/G23)/(G23/2/Parameters!$B$5/D23-1)</f>
        <v>-2.1137540591090691E-4</v>
      </c>
      <c r="AT23" s="32">
        <f>+Parameters!$B$5*C23^2/F23^2-Parameters!$B$5*D23^2/G23^2</f>
        <v>2.6163529707764594E-3</v>
      </c>
      <c r="AU23" s="30">
        <f>EXP(-Parameters!$B$42*'6states,BAU'!A23)*(Parameters!$B$37*EXP(-Parameters!$B$38*Parameters!$E$25*'6states,BAU'!I23/('6states,BAU'!F23+'6states,BAU'!I23))*(1/Parameters!$B$38/Parameters!$E$25+'6states,BAU'!I23/('6states,BAU'!F23+'6states,BAU'!I23))-Parameters!$B$37/Parameters!$B$38/Parameters!$E$25*EXP(-Parameters!$B$38*Parameters!$E$25)+Parameters!$B$39)</f>
        <v>0.75309001977131895</v>
      </c>
      <c r="AV23" s="30">
        <f>J23*K23*EXP(-Parameters!$B$42*'6states,BAU'!A23)*(Parameters!$B$37*EXP(-Parameters!$B$38*Parameters!$E$25*'6states,BAU'!I23/('6states,BAU'!F23+'6states,BAU'!I23))*(1/Parameters!$B$38/Parameters!$E$25+'6states,BAU'!I23/('6states,BAU'!F23+'6states,BAU'!I23))-Parameters!$B$37/Parameters!$B$38/Parameters!$E$25*EXP(-Parameters!$B$38*Parameters!$E$25)+Parameters!$B$39)</f>
        <v>85.626473379855625</v>
      </c>
      <c r="AW23" s="8">
        <f>1000*(AR23+AS23+AT23)/(EXP(-Parameters!$B$42*A23)*((C23&lt;0)*Parameters!$B$37*EXP(-Parameters!$B$38*AF23)+(C23&gt;=0)*Parameters!$B$41))</f>
        <v>0.11947670449798077</v>
      </c>
      <c r="AX23" s="13">
        <f>1-W23/'6states,ExoDamages'!T23</f>
        <v>8.6266655973836759E-3</v>
      </c>
      <c r="AY23" s="21">
        <f>-Y23*W23*X23^(-Parameters!B$52)*Parameters!B$46*Parameters!B$45*N23</f>
        <v>-2.4323059996613449E-5</v>
      </c>
      <c r="AZ23" s="7">
        <f>1000*EXP(-(Parameters!$B$54)*'6states,BAU'!A23)*AQ23*Parameters!B$46*Parameters!B$45*N23</f>
        <v>2.173393326800265</v>
      </c>
      <c r="BA23" s="7">
        <f>SUM(AZ23:AZ$204)*EXP(Parameters!$B$54*A23)</f>
        <v>439.33311459459338</v>
      </c>
      <c r="BB23" s="13">
        <f t="shared" si="26"/>
        <v>0.24885956391400127</v>
      </c>
      <c r="BC23" s="30">
        <f>IF(C23&lt;0,Parameters!$B$6*AC23^2/AF23,0)</f>
        <v>0</v>
      </c>
      <c r="BD23" s="30">
        <f>Parameters!$B$5*AD23^2/AG23</f>
        <v>2.8575951260797865E-2</v>
      </c>
      <c r="BE23" s="30">
        <f t="shared" si="14"/>
        <v>0</v>
      </c>
      <c r="BF23" s="30">
        <f t="shared" si="15"/>
        <v>4.7580846922977073E-2</v>
      </c>
      <c r="BG23" s="30"/>
      <c r="BH23" s="5" t="e">
        <f t="shared" si="3"/>
        <v>#NUM!</v>
      </c>
      <c r="BI23" s="2" t="e">
        <f>BH23/Parameters!$B$45</f>
        <v>#NUM!</v>
      </c>
      <c r="BJ23" s="2" t="e">
        <f t="shared" si="24"/>
        <v>#NUM!</v>
      </c>
      <c r="BM23">
        <f>-EXP(-Parameters!B$42*'6states,BAU'!A23)*(-Parameters!B$37/Parameters!B$38/Parameters!E$25*(EXP(-Parameters!B$38*Parameters!E$25*'6states,BAU'!I23/('6states,BAU'!F23+'6states,BAU'!I23))-EXP(-Parameters!B$38*Parameters!E$25))+Parameters!B$37*'6states,BAU'!F23/('6states,BAU'!F23+'6states,BAU'!I23)*EXP(-Parameters!B$38*Parameters!E$25*'6states,BAU'!I23/('6states,BAU'!F23+'6states,BAU'!I23)))</f>
        <v>-4.9416813602162515</v>
      </c>
      <c r="BN23">
        <f>-J23*K23*EXP(-Parameters!B$42*'6states,BAU'!A23)*(-Parameters!B$37/Parameters!B$38/Parameters!E$25*(EXP(-Parameters!B$38*Parameters!E$25*'6states,BAU'!I23/('6states,BAU'!F23+'6states,BAU'!I23))-EXP(-Parameters!B$38*Parameters!E$25)) + Parameters!B$37*'6states,BAU'!F23/('6states,BAU'!F23+'6states,BAU'!I23)*EXP(-Parameters!B$38*Parameters!E$25*'6states,BAU'!I23/('6states,BAU'!F23+'6states,BAU'!I23)))</f>
        <v>-561.87007706034217</v>
      </c>
      <c r="BO23" s="7">
        <f t="shared" si="4"/>
        <v>0</v>
      </c>
      <c r="BP23" s="7">
        <f t="shared" si="5"/>
        <v>-5.6947713799875705</v>
      </c>
      <c r="BU23" t="e">
        <f>EXP(-Parameters!$B$56*A23)*BH23*BN23</f>
        <v>#NUM!</v>
      </c>
      <c r="BV23" t="e">
        <f>-EXP((Parameters!$B$56)*F23)*SUM(BU23:BU31)</f>
        <v>#NUM!</v>
      </c>
      <c r="BW23">
        <f>X23^-Parameters!B$52/(1-2*Parameters!B$5*'6states,BAU'!D23/'6states,BAU'!G23)</f>
        <v>0.96169678876917342</v>
      </c>
      <c r="BX23">
        <f t="shared" si="16"/>
        <v>1.0028241892033085</v>
      </c>
      <c r="BY23">
        <f>$X23^-Parameters!$B$52/(1-2*Parameters!$B$5*'6states,BAU'!$E23/'6states,BAU'!$H23)</f>
        <v>1.0077877402525961</v>
      </c>
      <c r="BZ23">
        <f t="shared" si="17"/>
        <v>1.002748599644665</v>
      </c>
      <c r="CA23" s="7">
        <f>($X23^-Parameters!$B$52*(1/(1+EXP(-C23)) + IF(C23&lt;0,2*Parameters!$B$6*C23/F23,0)) + BS23*(1/(1+EXP((C23-Parameters!$B$22)*Parameters!$B$21))))/(1-IF(C23&gt;0,2*Parameters!$B$5*C23/F23,0))</f>
        <v>0.5204867880005114</v>
      </c>
      <c r="CB23">
        <f t="shared" si="18"/>
        <v>1.0026734727372533</v>
      </c>
      <c r="CC23" s="7">
        <f t="shared" si="19"/>
        <v>1.3877970003745022E-3</v>
      </c>
      <c r="CD23" t="e">
        <f>(1/$T23-1/Parameters!$B$13) * LN(Parameters!$B$18) / LN(P23)</f>
        <v>#DIV/0!</v>
      </c>
      <c r="CE23">
        <f>(Parameters!$B$18*'6states,BAU'!T23^+Parameters!$B$19*Parameters!$B$25^'6states,BAU'!T23)^((1-'6states,BAU'!T23)/'6states,BAU'!T23)*Parameters!$B$18*Parameters!$B$26^('6states,BAU'!T23-1)</f>
        <v>0.20947195699697518</v>
      </c>
      <c r="CF23" t="e">
        <f t="shared" si="20"/>
        <v>#DIV/0!</v>
      </c>
      <c r="CG23" t="e">
        <f t="shared" si="21"/>
        <v>#DIV/0!</v>
      </c>
      <c r="CH23">
        <f t="shared" si="21"/>
        <v>0.13514628019139319</v>
      </c>
    </row>
    <row r="24" spans="1:86" x14ac:dyDescent="0.3">
      <c r="A24">
        <f>A23+Parameters!$B$65</f>
        <v>20</v>
      </c>
      <c r="B24">
        <v>2045</v>
      </c>
      <c r="C24" s="74">
        <v>5.83433884481597E-2</v>
      </c>
      <c r="D24" s="69">
        <v>5.19134958823854E-3</v>
      </c>
      <c r="E24" s="75">
        <v>0.30374052960398701</v>
      </c>
      <c r="F24" s="7">
        <f>MAX((1-Parameters!$B$4)^Parameters!B$65*F23 + C23*Parameters!B$65 - IF(C23&gt;0,Parameters!$B$5,0)*C23^2/F23*Parameters!B$65, 0.0001)</f>
        <v>0.83600874537869085</v>
      </c>
      <c r="G24" s="7">
        <f>(1-Parameters!$B$4)^Parameters!B$65*G23+D23*Parameters!B$65-Parameters!$B$5*D23^2/G23*Parameters!B$65</f>
        <v>0.10906138892715239</v>
      </c>
      <c r="H24" s="7">
        <f>(1-Parameters!$B$4)^Parameters!B$65*H23+E23*Parameters!B$65-Parameters!$B$5*E23^2/H23*Parameters!B$65</f>
        <v>4.4514018542795686</v>
      </c>
      <c r="I24" s="7">
        <f>I23 *(1-Parameters!$B$4)-C23*(C23&lt;0)*Parameters!B$65</f>
        <v>0</v>
      </c>
      <c r="J24" s="23">
        <f>J23*(1+Parameters!$B$51)^Parameters!B$65</f>
        <v>8.6465485626215877</v>
      </c>
      <c r="K24" s="23">
        <f>K23*(1+Parameters!$B$53)^Parameters!B$65</f>
        <v>13.451669343982426</v>
      </c>
      <c r="L24" s="23">
        <f>J24*K24*EXP(-Parameters!$B$42*'6states,BAU'!A24)*(Parameters!$B$37/Parameters!$B$38*('6states,BAU'!F24+'6states,BAU'!I24)/Parameters!$E$25*(EXP(-Parameters!$B$38*Parameters!$E$25*'6states,BAU'!I24/('6states,BAU'!F24+'6states,BAU'!I24))-EXP(-Parameters!$B$38*Parameters!$E$25))  +  Parameters!$B$39*'6states,BAU'!F24)</f>
        <v>72.499287137470262</v>
      </c>
      <c r="M24" s="8">
        <f>M23+L24*Parameters!B$65</f>
        <v>3559.8591937163437</v>
      </c>
      <c r="N24" s="7">
        <f>M24*Parameters!$B$45</f>
        <v>2.1359155162298062</v>
      </c>
      <c r="O24" s="9">
        <f>EXP(-Parameters!$B$46/2*N24^2)</f>
        <v>0.95518574724663086</v>
      </c>
      <c r="P24" s="7">
        <f>MAX((Parameters!$B$62 + Parameters!$B$31*'6states,BAU'!A24 - '6states,BAU'!M24 + Parameters!$B$47/Parameters!$B$45)/Parameters!B$62,1)</f>
        <v>1</v>
      </c>
      <c r="Q24" s="7">
        <f>Parameters!B$61*EXP(-Parameters!B$60*A24)</f>
        <v>0.29137412618699482</v>
      </c>
      <c r="R24" s="7">
        <f>(1-Parameters!B$61)*P24^-Parameters!B$63</f>
        <v>0.5</v>
      </c>
      <c r="S24" s="7">
        <f>Parameters!B$61*EXP(-Parameters!B$60*A24)+(1-Parameters!B$61)*P24^-Parameters!B$63</f>
        <v>0.79137412618699488</v>
      </c>
      <c r="T24" s="7">
        <f>1-S24/Parameters!$B$12</f>
        <v>0.60431293690650256</v>
      </c>
      <c r="U24" s="7">
        <f t="shared" si="0"/>
        <v>2.5272496709444066</v>
      </c>
      <c r="V24" s="7">
        <f>(Parameters!$B$19*(F24+Parameters!$B$20)^T24+Parameters!$B$18*G24^T24)^(1/T24)</f>
        <v>0.56589653496764603</v>
      </c>
      <c r="W24" s="7">
        <f>(Parameters!$B$10*H24^Parameters!$B$9+Parameters!$B$11*V24^Parameters!$B$9)^(Parameters!$B$7/Parameters!$B$9)*O24</f>
        <v>1.4733565555442623</v>
      </c>
      <c r="X24" s="7">
        <f>W24 - D24 - E24 - LN(1+EXP(Parameters!$B$21*C24))/Parameters!$B$21 - IF(C24&gt;0, 0,Parameters!$B$6*C24^2/F24)</f>
        <v>1.1060812878204291</v>
      </c>
      <c r="Y24" s="7">
        <f>EXP(-Parameters!$B$55*A24)</f>
        <v>0.7393380648895318</v>
      </c>
      <c r="Z24" s="7">
        <f>IF(X24&gt;0,X24^(1-Parameters!$B$52)/(1-Parameters!$B$52)*Y24*Parameters!$B$65,-10+X24*1000)</f>
        <v>-2.0391517965027726</v>
      </c>
      <c r="AB24" s="9"/>
      <c r="AC24" s="23">
        <f t="shared" si="6"/>
        <v>6.7859493957018699</v>
      </c>
      <c r="AD24" s="23">
        <f t="shared" si="6"/>
        <v>0.6038085297785899</v>
      </c>
      <c r="AE24" s="23">
        <f t="shared" si="7"/>
        <v>0</v>
      </c>
      <c r="AF24" s="23">
        <f t="shared" si="8"/>
        <v>97.236605404651471</v>
      </c>
      <c r="AG24" s="23">
        <f t="shared" si="9"/>
        <v>12.684986010749272</v>
      </c>
      <c r="AH24" s="23">
        <f t="shared" si="10"/>
        <v>65.819715851875728</v>
      </c>
      <c r="AI24" s="23">
        <f t="shared" si="11"/>
        <v>161.98733179426105</v>
      </c>
      <c r="AJ24" s="23">
        <f t="shared" si="12"/>
        <v>171.3668556743612</v>
      </c>
      <c r="AK24" s="23">
        <f t="shared" si="13"/>
        <v>128.64888115559802</v>
      </c>
      <c r="AL24" s="9">
        <f t="shared" si="22"/>
        <v>2.1075186825459724E-2</v>
      </c>
      <c r="AM24" s="9">
        <f t="shared" si="22"/>
        <v>2.0518061364902529E-2</v>
      </c>
      <c r="AN24" s="9">
        <f t="shared" ref="AN24:AO39" si="27">AVERAGE(AL22:AL26)</f>
        <v>2.1073492599433051E-2</v>
      </c>
      <c r="AO24" s="9">
        <f t="shared" si="27"/>
        <v>2.0508591671974406E-2</v>
      </c>
      <c r="AP24" s="23"/>
      <c r="AQ24" s="8">
        <f t="shared" si="1"/>
        <v>171.3668556743612</v>
      </c>
      <c r="AR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-2.2764941726129322E-3</v>
      </c>
      <c r="AS24" s="32">
        <f>((C25-C23)/2-(F25-F23)/F24/2*C24)/(F24/2/Parameters!$B$5-C24)-((D25-D23)/D24-(G25-G23)/G24)/(G24/2/Parameters!$B$5/D24-1)</f>
        <v>-2.7654820482842348E-4</v>
      </c>
      <c r="AT24" s="32">
        <f>+Parameters!$B$5*C24^2/F24^2-Parameters!$B$5*D24^2/G24^2</f>
        <v>2.6045826511964351E-3</v>
      </c>
      <c r="AU24" s="30">
        <f>EXP(-Parameters!$B$42*'6states,BAU'!A24)*(Parameters!$B$37*EXP(-Parameters!$B$38*Parameters!$E$25*'6states,BAU'!I24/('6states,BAU'!F24+'6states,BAU'!I24))*(1/Parameters!$B$38/Parameters!$E$25+'6states,BAU'!I24/('6states,BAU'!F24+'6states,BAU'!I24))-Parameters!$B$37/Parameters!$B$38/Parameters!$E$25*EXP(-Parameters!$B$38*Parameters!$E$25)+Parameters!$B$39)</f>
        <v>0.74559664887275201</v>
      </c>
      <c r="AV24" s="30">
        <f>J24*K24*EXP(-Parameters!$B$42*'6states,BAU'!A24)*(Parameters!$B$37*EXP(-Parameters!$B$38*Parameters!$E$25*'6states,BAU'!I24/('6states,BAU'!F24+'6states,BAU'!I24))*(1/Parameters!$B$38/Parameters!$E$25+'6states,BAU'!I24/('6states,BAU'!F24+'6states,BAU'!I24))-Parameters!$B$37/Parameters!$B$38/Parameters!$E$25*EXP(-Parameters!$B$38*Parameters!$E$25)+Parameters!$B$39)</f>
        <v>86.720728148160603</v>
      </c>
      <c r="AW24" s="8">
        <f>1000*(AR24+AS24+AT24)/(EXP(-Parameters!$B$42*A24)*((C24&lt;0)*Parameters!$B$37*EXP(-Parameters!$B$38*AF24)+(C24&gt;=0)*Parameters!$B$41))</f>
        <v>6.9126214331839936E-2</v>
      </c>
      <c r="AX24" s="13">
        <f>1-W24/'6states,ExoDamages'!T24</f>
        <v>9.7607874494790581E-3</v>
      </c>
      <c r="AY24" s="21">
        <f>-Y24*W24*X24^(-Parameters!B$52)*Parameters!B$46*Parameters!B$45*N24</f>
        <v>-2.4488929091502223E-5</v>
      </c>
      <c r="AZ24" s="7">
        <f>1000*EXP(-(Parameters!$B$54)*'6states,BAU'!A24)*AQ24*Parameters!B$46*Parameters!B$45*N24</f>
        <v>2.187678407507458</v>
      </c>
      <c r="BA24" s="7">
        <f>SUM(AZ24:AZ$204)*EXP(Parameters!$B$54*A24)</f>
        <v>450.64209387186395</v>
      </c>
      <c r="BB24" s="13">
        <f t="shared" si="26"/>
        <v>0.24927792682519589</v>
      </c>
      <c r="BC24" s="30">
        <f>IF(C24&lt;0,Parameters!$B$6*AC24^2/AF24,0)</f>
        <v>0</v>
      </c>
      <c r="BD24" s="30">
        <f>Parameters!$B$5*AD24^2/AG24</f>
        <v>2.8741438132011559E-2</v>
      </c>
      <c r="BE24" s="30">
        <f t="shared" si="14"/>
        <v>0</v>
      </c>
      <c r="BF24" s="30">
        <f t="shared" si="15"/>
        <v>4.7600251925143777E-2</v>
      </c>
      <c r="BG24" s="30"/>
      <c r="BH24" s="5" t="e">
        <f t="shared" si="3"/>
        <v>#NUM!</v>
      </c>
      <c r="BI24" s="2" t="e">
        <f>BH24/Parameters!$B$45</f>
        <v>#NUM!</v>
      </c>
      <c r="BJ24" s="2" t="e">
        <f t="shared" si="24"/>
        <v>#NUM!</v>
      </c>
      <c r="BM24">
        <f>-EXP(-Parameters!B$42*'6states,BAU'!A24)*(-Parameters!B$37/Parameters!B$38/Parameters!E$25*(EXP(-Parameters!B$38*Parameters!E$25*'6states,BAU'!I24/('6states,BAU'!F24+'6states,BAU'!I24))-EXP(-Parameters!B$38*Parameters!E$25))+Parameters!B$37*'6states,BAU'!F24/('6states,BAU'!F24+'6states,BAU'!I24)*EXP(-Parameters!B$38*Parameters!E$25*'6states,BAU'!I24/('6states,BAU'!F24+'6states,BAU'!I24)))</f>
        <v>-4.8925108091234613</v>
      </c>
      <c r="BN24">
        <f>-J24*K24*EXP(-Parameters!B$42*'6states,BAU'!A24)*(-Parameters!B$37/Parameters!B$38/Parameters!E$25*(EXP(-Parameters!B$38*Parameters!E$25*'6states,BAU'!I24/('6states,BAU'!F24+'6states,BAU'!I24))-EXP(-Parameters!B$38*Parameters!E$25)) + Parameters!B$37*'6states,BAU'!F24/('6states,BAU'!F24+'6states,BAU'!I24)*EXP(-Parameters!B$38*Parameters!E$25*'6states,BAU'!I24/('6states,BAU'!F24+'6states,BAU'!I24)))</f>
        <v>-569.05043830520685</v>
      </c>
      <c r="BO24" s="7">
        <f t="shared" si="4"/>
        <v>0</v>
      </c>
      <c r="BP24" s="7">
        <f t="shared" si="5"/>
        <v>-5.6381074579962132</v>
      </c>
      <c r="BU24" t="e">
        <f>EXP(-Parameters!$B$56*A24)*BH24*BN24</f>
        <v>#NUM!</v>
      </c>
      <c r="BV24" t="e">
        <f>-EXP((Parameters!$B$56)*F24)*SUM(BU24:BU32)</f>
        <v>#NUM!</v>
      </c>
      <c r="BW24">
        <f>X24^-Parameters!B$52/(1-2*Parameters!B$5*'6states,BAU'!D24/'6states,BAU'!G24)</f>
        <v>0.96457308391983443</v>
      </c>
      <c r="BX24">
        <f t="shared" si="16"/>
        <v>1.0029908544816317</v>
      </c>
      <c r="BY24">
        <f>$X24^-Parameters!$B$52/(1-2*Parameters!$B$5*'6states,BAU'!$E24/'6states,BAU'!$H24)</f>
        <v>1.0106711319600283</v>
      </c>
      <c r="BZ24">
        <f t="shared" si="17"/>
        <v>1.0028611101249452</v>
      </c>
      <c r="CA24" s="7">
        <f>($X24^-Parameters!$B$52*(1/(1+EXP(-C24)) + IF(C24&lt;0,2*Parameters!$B$6*C24/F24,0)) + BS24*(1/(1+EXP((C24-Parameters!$B$22)*Parameters!$B$21))))/(1-IF(C24&gt;0,2*Parameters!$B$5*C24/F24,0))</f>
        <v>0.52195051710903428</v>
      </c>
      <c r="CB24">
        <f t="shared" si="18"/>
        <v>1.0028122310542136</v>
      </c>
      <c r="CC24" s="7">
        <f t="shared" si="19"/>
        <v>1.4637291085228821E-3</v>
      </c>
      <c r="CD24" t="e">
        <f>(1/$T24-1/Parameters!$B$13) * LN(Parameters!$B$18) / LN(P24)</f>
        <v>#DIV/0!</v>
      </c>
      <c r="CE24">
        <f>(Parameters!$B$18*'6states,BAU'!T24^+Parameters!$B$19*Parameters!$B$25^'6states,BAU'!T24)^((1-'6states,BAU'!T24)/'6states,BAU'!T24)*Parameters!$B$18*Parameters!$B$26^('6states,BAU'!T24-1)</f>
        <v>0.2123089807345985</v>
      </c>
      <c r="CF24" t="e">
        <f t="shared" si="20"/>
        <v>#DIV/0!</v>
      </c>
      <c r="CG24" t="e">
        <f t="shared" si="21"/>
        <v>#DIV/0!</v>
      </c>
      <c r="CH24">
        <f t="shared" si="21"/>
        <v>0.13684532230486079</v>
      </c>
    </row>
    <row r="25" spans="1:86" x14ac:dyDescent="0.3">
      <c r="A25">
        <f>A24+Parameters!$B$65</f>
        <v>21</v>
      </c>
      <c r="B25">
        <v>2046</v>
      </c>
      <c r="C25" s="74">
        <v>5.8400391151826901E-2</v>
      </c>
      <c r="D25" s="69">
        <v>5.1034204828351304E-3</v>
      </c>
      <c r="E25" s="75">
        <v>0.30380093954186199</v>
      </c>
      <c r="F25" s="7">
        <f>MAX((1-Parameters!$B$4)^Parameters!B$65*F24 + C24*Parameters!B$65 - IF(C24&gt;0,Parameters!$B$5,0)*C24^2/F24*Parameters!B$65, 0.0001)</f>
        <v>0.83769551464286018</v>
      </c>
      <c r="G25" s="7">
        <f>(1-Parameters!$B$4)^Parameters!B$65*G24+D24*Parameters!B$65-Parameters!$B$5*D24^2/G24*Parameters!B$65</f>
        <v>0.1071456676036414</v>
      </c>
      <c r="H25" s="7">
        <f>(1-Parameters!$B$4)^Parameters!B$65*H24+E24*Parameters!B$65-Parameters!$B$5*E24^2/H24*Parameters!B$65</f>
        <v>4.454423531980261</v>
      </c>
      <c r="I25" s="7">
        <f>I24 *(1-Parameters!$B$4)-C24*(C24&lt;0)*Parameters!B$65</f>
        <v>0</v>
      </c>
      <c r="J25" s="23">
        <f>J24*(1+Parameters!$B$51)^Parameters!B$65</f>
        <v>8.6716235534531894</v>
      </c>
      <c r="K25" s="23">
        <f>K24*(1+Parameters!$B$53)^Parameters!B$65</f>
        <v>13.720702730862074</v>
      </c>
      <c r="L25" s="23">
        <f>J25*K25*EXP(-Parameters!$B$42*'6states,BAU'!A25)*(Parameters!$B$37/Parameters!$B$38*('6states,BAU'!F25+'6states,BAU'!I25)/Parameters!$E$25*(EXP(-Parameters!$B$38*Parameters!$E$25*'6states,BAU'!I25/('6states,BAU'!F25+'6states,BAU'!I25))-EXP(-Parameters!$B$38*Parameters!$E$25))  +  Parameters!$B$39*'6states,BAU'!F25)</f>
        <v>73.573931572122518</v>
      </c>
      <c r="M25" s="8">
        <f>M24+L25*Parameters!B$65</f>
        <v>3633.4331252884663</v>
      </c>
      <c r="N25" s="7">
        <f>M25*Parameters!$B$45</f>
        <v>2.1800598751730798</v>
      </c>
      <c r="O25" s="9">
        <f>EXP(-Parameters!$B$46/2*N25^2)</f>
        <v>0.95335852091384776</v>
      </c>
      <c r="P25" s="7">
        <f>MAX((Parameters!$B$62 + Parameters!$B$31*'6states,BAU'!A25 - '6states,BAU'!M25 + Parameters!$B$47/Parameters!$B$45)/Parameters!B$62,1)</f>
        <v>1</v>
      </c>
      <c r="Q25" s="7">
        <f>Parameters!B$61*EXP(-Parameters!B$60*A25)</f>
        <v>0.28361228121344206</v>
      </c>
      <c r="R25" s="7">
        <f>(1-Parameters!B$61)*P25^-Parameters!B$63</f>
        <v>0.5</v>
      </c>
      <c r="S25" s="7">
        <f>Parameters!B$61*EXP(-Parameters!B$60*A25)+(1-Parameters!B$61)*P25^-Parameters!B$63</f>
        <v>0.78361228121344206</v>
      </c>
      <c r="T25" s="7">
        <f>1-S25/Parameters!$B$12</f>
        <v>0.60819385939327897</v>
      </c>
      <c r="U25" s="7">
        <f t="shared" si="0"/>
        <v>2.5522826121394537</v>
      </c>
      <c r="V25" s="7">
        <f>(Parameters!$B$19*(F25+Parameters!$B$20)^T25+Parameters!$B$18*G25^T25)^(1/T25)</f>
        <v>0.5664101639062622</v>
      </c>
      <c r="W25" s="7">
        <f>(Parameters!$B$10*H25^Parameters!$B$9+Parameters!$B$11*V25^Parameters!$B$9)^(Parameters!$B$7/Parameters!$B$9)*O25</f>
        <v>1.4708553026206295</v>
      </c>
      <c r="X25" s="7">
        <f>W25 - D25 - E25 - LN(1+EXP(Parameters!$B$21*C25))/Parameters!$B$21 - IF(C25&gt;0, 0,Parameters!$B$6*C25^2/F25)</f>
        <v>1.1035505513620727</v>
      </c>
      <c r="Y25" s="7">
        <f>EXP(-Parameters!$B$55*A25)</f>
        <v>0.72825792569172154</v>
      </c>
      <c r="Z25" s="7">
        <f>IF(X25&gt;0,X25^(1-Parameters!$B$52)/(1-Parameters!$B$52)*Y25*Parameters!$B$65,-10+X25*1000)</f>
        <v>-2.0102028954915436</v>
      </c>
      <c r="AB25" s="9"/>
      <c r="AC25" s="23">
        <f t="shared" si="6"/>
        <v>6.9485234474441366</v>
      </c>
      <c r="AD25" s="23">
        <f t="shared" si="6"/>
        <v>0.60720889342942808</v>
      </c>
      <c r="AE25" s="23">
        <f t="shared" si="7"/>
        <v>0</v>
      </c>
      <c r="AF25" s="23">
        <f t="shared" si="8"/>
        <v>99.669656495658757</v>
      </c>
      <c r="AG25" s="23">
        <f t="shared" si="9"/>
        <v>12.748273923378816</v>
      </c>
      <c r="AH25" s="23">
        <f t="shared" si="10"/>
        <v>67.391916854485316</v>
      </c>
      <c r="AI25" s="23">
        <f t="shared" si="11"/>
        <v>165.85663815878758</v>
      </c>
      <c r="AJ25" s="23">
        <f t="shared" si="12"/>
        <v>175.00349495068869</v>
      </c>
      <c r="AK25" s="23">
        <f t="shared" si="13"/>
        <v>131.30129319929037</v>
      </c>
      <c r="AL25" s="9">
        <f t="shared" si="22"/>
        <v>2.0999331534975241E-2</v>
      </c>
      <c r="AM25" s="9">
        <f t="shared" si="22"/>
        <v>2.0407788573622021E-2</v>
      </c>
      <c r="AN25" s="9">
        <f t="shared" si="27"/>
        <v>2.0997944135415381E-2</v>
      </c>
      <c r="AO25" s="9">
        <f t="shared" si="27"/>
        <v>2.0408537493611868E-2</v>
      </c>
      <c r="AP25" s="23"/>
      <c r="AQ25" s="8">
        <f t="shared" si="1"/>
        <v>175.00349495068869</v>
      </c>
      <c r="AR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-2.2382521151622574E-3</v>
      </c>
      <c r="AS25" s="32">
        <f>((C26-C24)/2-(F26-F24)/F25/2*C25)/(F25/2/Parameters!$B$5-C25)-((D26-D24)/D25-(G26-G24)/G25)/(G25/2/Parameters!$B$5/D25-1)</f>
        <v>-3.315698120802348E-4</v>
      </c>
      <c r="AT25" s="32">
        <f>+Parameters!$B$5*C25^2/F25^2-Parameters!$B$5*D25^2/G25^2</f>
        <v>2.5915746393066559E-3</v>
      </c>
      <c r="AU25" s="30">
        <f>EXP(-Parameters!$B$42*'6states,BAU'!A25)*(Parameters!$B$37*EXP(-Parameters!$B$38*Parameters!$E$25*'6states,BAU'!I25/('6states,BAU'!F25+'6states,BAU'!I25))*(1/Parameters!$B$38/Parameters!$E$25+'6states,BAU'!I25/('6states,BAU'!F25+'6states,BAU'!I25))-Parameters!$B$37/Parameters!$B$38/Parameters!$E$25*EXP(-Parameters!$B$38*Parameters!$E$25)+Parameters!$B$39)</f>
        <v>0.73817783826040495</v>
      </c>
      <c r="AV25" s="30">
        <f>J25*K25*EXP(-Parameters!$B$42*'6states,BAU'!A25)*(Parameters!$B$37*EXP(-Parameters!$B$38*Parameters!$E$25*'6states,BAU'!I25/('6states,BAU'!F25+'6states,BAU'!I25))*(1/Parameters!$B$38/Parameters!$E$25+'6states,BAU'!I25/('6states,BAU'!F25+'6states,BAU'!I25))-Parameters!$B$37/Parameters!$B$38/Parameters!$E$25*EXP(-Parameters!$B$38*Parameters!$E$25)+Parameters!$B$39)</f>
        <v>87.828966833479754</v>
      </c>
      <c r="AW25" s="8">
        <f>1000*(AR25+AS25+AT25)/(EXP(-Parameters!$B$42*A25)*((C25&lt;0)*Parameters!$B$37*EXP(-Parameters!$B$38*AF25)+(C25&gt;=0)*Parameters!$B$41))</f>
        <v>2.946811857075821E-2</v>
      </c>
      <c r="AX25" s="13">
        <f>1-W25/'6states,ExoDamages'!T25</f>
        <v>1.0950692590290689E-2</v>
      </c>
      <c r="AY25" s="21">
        <f>-Y25*W25*X25^(-Parameters!B$52)*Parameters!B$46*Parameters!B$45*N25</f>
        <v>-2.4654794468067483E-5</v>
      </c>
      <c r="AZ25" s="7">
        <f>1000*EXP(-(Parameters!$B$54)*'6states,BAU'!A25)*AQ25*Parameters!B$46*Parameters!B$45*N25</f>
        <v>2.2016282478770517</v>
      </c>
      <c r="BA25" s="7">
        <f>SUM(AZ25:AZ$204)*EXP(Parameters!$B$54*A25)</f>
        <v>462.16855078983394</v>
      </c>
      <c r="BB25" s="13">
        <f t="shared" si="26"/>
        <v>0.24972187986275438</v>
      </c>
      <c r="BC25" s="30">
        <f>IF(C25&lt;0,Parameters!$B$6*AC25^2/AF25,0)</f>
        <v>0</v>
      </c>
      <c r="BD25" s="30">
        <f>Parameters!$B$5*AD25^2/AG25</f>
        <v>2.8921769525491119E-2</v>
      </c>
      <c r="BE25" s="30">
        <f t="shared" si="14"/>
        <v>0</v>
      </c>
      <c r="BF25" s="30">
        <f t="shared" si="15"/>
        <v>4.7630675107779047E-2</v>
      </c>
      <c r="BG25" s="30"/>
      <c r="BH25" s="5" t="e">
        <f t="shared" si="3"/>
        <v>#NUM!</v>
      </c>
      <c r="BI25" s="2" t="e">
        <f>BH25/Parameters!$B$45</f>
        <v>#NUM!</v>
      </c>
      <c r="BJ25" s="2" t="e">
        <f t="shared" si="24"/>
        <v>#NUM!</v>
      </c>
      <c r="BM25">
        <f>-EXP(-Parameters!B$42*'6states,BAU'!A25)*(-Parameters!B$37/Parameters!B$38/Parameters!E$25*(EXP(-Parameters!B$38*Parameters!E$25*'6states,BAU'!I25/('6states,BAU'!F25+'6states,BAU'!I25))-EXP(-Parameters!B$38*Parameters!E$25))+Parameters!B$37*'6states,BAU'!F25/('6states,BAU'!F25+'6states,BAU'!I25)*EXP(-Parameters!B$38*Parameters!E$25*'6states,BAU'!I25/('6states,BAU'!F25+'6states,BAU'!I25)))</f>
        <v>-4.843829513188691</v>
      </c>
      <c r="BN25">
        <f>-J25*K25*EXP(-Parameters!B$42*'6states,BAU'!A25)*(-Parameters!B$37/Parameters!B$38/Parameters!E$25*(EXP(-Parameters!B$38*Parameters!E$25*'6states,BAU'!I25/('6states,BAU'!F25+'6states,BAU'!I25))-EXP(-Parameters!B$38*Parameters!E$25)) + Parameters!B$37*'6states,BAU'!F25/('6states,BAU'!F25+'6states,BAU'!I25)*EXP(-Parameters!B$38*Parameters!E$25*'6states,BAU'!I25/('6states,BAU'!F25+'6states,BAU'!I25)))</f>
        <v>-576.32256024300023</v>
      </c>
      <c r="BO25" s="7">
        <f t="shared" si="4"/>
        <v>0</v>
      </c>
      <c r="BP25" s="7">
        <f t="shared" si="5"/>
        <v>-5.5820073514490964</v>
      </c>
      <c r="BU25" t="e">
        <f>EXP(-Parameters!$B$56*A25)*BH25*BN25</f>
        <v>#NUM!</v>
      </c>
      <c r="BV25" t="e">
        <f>-EXP((Parameters!$B$56)*F25)*SUM(BU25:BU33)</f>
        <v>#NUM!</v>
      </c>
      <c r="BW25">
        <f>X25^-Parameters!B$52/(1-2*Parameters!B$5*'6states,BAU'!D25/'6states,BAU'!G25)</f>
        <v>0.96762558544520894</v>
      </c>
      <c r="BX25">
        <f t="shared" si="16"/>
        <v>1.003164614041447</v>
      </c>
      <c r="BY25">
        <f>$X25^-Parameters!$B$52/(1-2*Parameters!$B$5*'6states,BAU'!$E25/'6states,BAU'!$H25)</f>
        <v>1.0137244997326429</v>
      </c>
      <c r="BZ25">
        <f t="shared" si="17"/>
        <v>1.0030211289073756</v>
      </c>
      <c r="CA25" s="7">
        <f>($X25^-Parameters!$B$52*(1/(1+EXP(-C25)) + IF(C25&lt;0,2*Parameters!$B$6*C25/F25,0)) + BS25*(1/(1+EXP((C25-Parameters!$B$22)*Parameters!$B$21))))/(1-IF(C25&gt;0,2*Parameters!$B$5*C25/F25,0))</f>
        <v>0.52349337295999987</v>
      </c>
      <c r="CB25">
        <f t="shared" si="18"/>
        <v>1.0029559427577754</v>
      </c>
      <c r="CC25" s="7">
        <f t="shared" si="19"/>
        <v>1.5428558509655854E-3</v>
      </c>
      <c r="CD25" t="e">
        <f>(1/$T25-1/Parameters!$B$13) * LN(Parameters!$B$18) / LN(P25)</f>
        <v>#DIV/0!</v>
      </c>
      <c r="CE25">
        <f>(Parameters!$B$18*'6states,BAU'!T25^+Parameters!$B$19*Parameters!$B$25^'6states,BAU'!T25)^((1-'6states,BAU'!T25)/'6states,BAU'!T25)*Parameters!$B$18*Parameters!$B$26^('6states,BAU'!T25-1)</f>
        <v>0.21503661075141292</v>
      </c>
      <c r="CF25" t="e">
        <f t="shared" si="20"/>
        <v>#DIV/0!</v>
      </c>
      <c r="CG25" t="e">
        <f t="shared" si="21"/>
        <v>#DIV/0!</v>
      </c>
      <c r="CH25">
        <f t="shared" si="21"/>
        <v>0.13847570315655877</v>
      </c>
    </row>
    <row r="26" spans="1:86" x14ac:dyDescent="0.3">
      <c r="A26">
        <f>A25+Parameters!$B$65</f>
        <v>22</v>
      </c>
      <c r="B26">
        <v>2047</v>
      </c>
      <c r="C26" s="74">
        <v>5.8453579858536303E-2</v>
      </c>
      <c r="D26" s="69">
        <v>5.0184944361524996E-3</v>
      </c>
      <c r="E26" s="75">
        <v>0.30386376393492398</v>
      </c>
      <c r="F26" s="7">
        <f>MAX((1-Parameters!$B$4)^Parameters!B$65*F25 + C25*Parameters!B$65 - IF(C25&gt;0,Parameters!$B$5,0)*C25^2/F25*Parameters!B$65, 0.0001)</f>
        <v>0.83933344339764604</v>
      </c>
      <c r="G26" s="7">
        <f>(1-Parameters!$B$4)^Parameters!B$65*G25+D25*Parameters!B$65-Parameters!$B$5*D25^2/G25*Parameters!B$65</f>
        <v>0.10526654623125119</v>
      </c>
      <c r="H26" s="7">
        <f>(1-Parameters!$B$4)^Parameters!B$65*H25+E25*Parameters!B$65-Parameters!$B$5*E25^2/H25*Parameters!B$65</f>
        <v>4.457321376096715</v>
      </c>
      <c r="I26" s="7">
        <f>I25 *(1-Parameters!$B$4)-C25*(C25&lt;0)*Parameters!B$65</f>
        <v>0</v>
      </c>
      <c r="J26" s="23">
        <f>J25*(1+Parameters!$B$51)^Parameters!B$65</f>
        <v>8.6967712617582027</v>
      </c>
      <c r="K26" s="23">
        <f>K25*(1+Parameters!$B$53)^Parameters!B$65</f>
        <v>13.995116785479317</v>
      </c>
      <c r="L26" s="23">
        <f>J26*K26*EXP(-Parameters!$B$42*'6states,BAU'!A26)*(Parameters!$B$37/Parameters!$B$38*('6states,BAU'!F26+'6states,BAU'!I26)/Parameters!$E$25*(EXP(-Parameters!$B$38*Parameters!$E$25*'6states,BAU'!I26/('6states,BAU'!F26+'6states,BAU'!I26))-EXP(-Parameters!$B$38*Parameters!$E$25))  +  Parameters!$B$39*'6states,BAU'!F26)</f>
        <v>74.659858117432165</v>
      </c>
      <c r="M26" s="8">
        <f>M25+L26*Parameters!B$65</f>
        <v>3708.0929834058984</v>
      </c>
      <c r="N26" s="7">
        <f>M26*Parameters!$B$45</f>
        <v>2.2248557900435388</v>
      </c>
      <c r="O26" s="9">
        <f>EXP(-Parameters!$B$46/2*N26^2)</f>
        <v>0.95146980007546755</v>
      </c>
      <c r="P26" s="7">
        <f>MAX((Parameters!$B$62 + Parameters!$B$31*'6states,BAU'!A26 - '6states,BAU'!M26 + Parameters!$B$47/Parameters!$B$45)/Parameters!B$62,1)</f>
        <v>1</v>
      </c>
      <c r="Q26" s="7">
        <f>Parameters!B$61*EXP(-Parameters!B$60*A26)</f>
        <v>0.2760572021534653</v>
      </c>
      <c r="R26" s="7">
        <f>(1-Parameters!B$61)*P26^-Parameters!B$63</f>
        <v>0.5</v>
      </c>
      <c r="S26" s="7">
        <f>Parameters!B$61*EXP(-Parameters!B$60*A26)+(1-Parameters!B$61)*P26^-Parameters!B$63</f>
        <v>0.7760572021534653</v>
      </c>
      <c r="T26" s="7">
        <f>1-S26/Parameters!$B$12</f>
        <v>0.61197139892326735</v>
      </c>
      <c r="U26" s="7">
        <f t="shared" si="0"/>
        <v>2.5771296167991751</v>
      </c>
      <c r="V26" s="7">
        <f>(Parameters!$B$19*(F26+Parameters!$B$20)^T26+Parameters!$B$18*G26^T26)^(1/T26)</f>
        <v>0.56690647197416733</v>
      </c>
      <c r="W26" s="7">
        <f>(Parameters!$B$10*H26^Parameters!$B$9+Parameters!$B$11*V26^Parameters!$B$9)^(Parameters!$B$7/Parameters!$B$9)*O26</f>
        <v>1.4682453103168338</v>
      </c>
      <c r="X26" s="7">
        <f>W26 - D26 - E26 - LN(1+EXP(Parameters!$B$21*C26))/Parameters!$B$21 - IF(C26&gt;0, 0,Parameters!$B$6*C26^2/F26)</f>
        <v>1.1009094720064867</v>
      </c>
      <c r="Y26" s="7">
        <f>EXP(-Parameters!$B$55*A26)</f>
        <v>0.71734383973866223</v>
      </c>
      <c r="Z26" s="7">
        <f>IF(X26&gt;0,X26^(1-Parameters!$B$52)/(1-Parameters!$B$52)*Y26*Parameters!$B$65,-10+X26*1000)</f>
        <v>-1.9817381312101752</v>
      </c>
      <c r="AB26" s="9"/>
      <c r="AC26" s="23">
        <f t="shared" si="6"/>
        <v>7.1145213701453844</v>
      </c>
      <c r="AD26" s="23">
        <f t="shared" si="6"/>
        <v>0.61081264823079251</v>
      </c>
      <c r="AE26" s="23">
        <f t="shared" si="7"/>
        <v>0</v>
      </c>
      <c r="AF26" s="23">
        <f t="shared" si="8"/>
        <v>102.15722859372863</v>
      </c>
      <c r="AG26" s="23">
        <f t="shared" si="9"/>
        <v>12.812236556530841</v>
      </c>
      <c r="AH26" s="23">
        <f t="shared" si="10"/>
        <v>68.999507292707563</v>
      </c>
      <c r="AI26" s="23">
        <f t="shared" si="11"/>
        <v>169.81304061867709</v>
      </c>
      <c r="AJ26" s="23">
        <f t="shared" si="12"/>
        <v>178.70355694458613</v>
      </c>
      <c r="AK26" s="23">
        <f t="shared" si="13"/>
        <v>133.99425636788962</v>
      </c>
      <c r="AL26" s="9">
        <f t="shared" si="22"/>
        <v>2.0922381654803424E-2</v>
      </c>
      <c r="AM26" s="9">
        <f t="shared" si="22"/>
        <v>2.0302305650925945E-2</v>
      </c>
      <c r="AN26" s="9">
        <f t="shared" si="27"/>
        <v>2.0920756530739836E-2</v>
      </c>
      <c r="AO26" s="9">
        <f t="shared" si="27"/>
        <v>2.0303134712608716E-2</v>
      </c>
      <c r="AP26" s="23"/>
      <c r="AQ26" s="8">
        <f t="shared" si="1"/>
        <v>178.70355694458615</v>
      </c>
      <c r="AR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-2.1999623149969085E-3</v>
      </c>
      <c r="AS26" s="32">
        <f>((C27-C25)/2-(F27-F25)/F26/2*C26)/(F26/2/Parameters!$B$5-C26)-((D27-D25)/D26-(G27-G25)/G26)/(G26/2/Parameters!$B$5/D26-1)</f>
        <v>-3.917515727785225E-4</v>
      </c>
      <c r="AT26" s="32">
        <f>+Parameters!$B$5*C26^2/F26^2-Parameters!$B$5*D26^2/G26^2</f>
        <v>2.5773019030465856E-3</v>
      </c>
      <c r="AU26" s="30">
        <f>EXP(-Parameters!$B$42*'6states,BAU'!A26)*(Parameters!$B$37*EXP(-Parameters!$B$38*Parameters!$E$25*'6states,BAU'!I26/('6states,BAU'!F26+'6states,BAU'!I26))*(1/Parameters!$B$38/Parameters!$E$25+'6states,BAU'!I26/('6states,BAU'!F26+'6states,BAU'!I26))-Parameters!$B$37/Parameters!$B$38/Parameters!$E$25*EXP(-Parameters!$B$38*Parameters!$E$25)+Parameters!$B$39)</f>
        <v>0.73083284604703425</v>
      </c>
      <c r="AV26" s="30">
        <f>J26*K26*EXP(-Parameters!$B$42*'6states,BAU'!A26)*(Parameters!$B$37*EXP(-Parameters!$B$38*Parameters!$E$25*'6states,BAU'!I26/('6states,BAU'!F26+'6states,BAU'!I26))*(1/Parameters!$B$38/Parameters!$E$25+'6states,BAU'!I26/('6states,BAU'!F26+'6states,BAU'!I26))-Parameters!$B$37/Parameters!$B$38/Parameters!$E$25*EXP(-Parameters!$B$38*Parameters!$E$25)+Parameters!$B$39)</f>
        <v>88.951368141851816</v>
      </c>
      <c r="AW26" s="8">
        <f>1000*(AR26+AS26+AT26)/(EXP(-Parameters!$B$42*A26)*((C26&lt;0)*Parameters!$B$37*EXP(-Parameters!$B$38*AF26)+(C26&gt;=0)*Parameters!$B$41))</f>
        <v>-1.9719946642789539E-2</v>
      </c>
      <c r="AX26" s="13">
        <f>1-W26/'6states,ExoDamages'!T26</f>
        <v>1.2227213431580064E-2</v>
      </c>
      <c r="AY26" s="21">
        <f>-Y26*W26*X26^(-Parameters!B$52)*Parameters!B$46*Parameters!B$45*N26</f>
        <v>-2.4820498419641466E-5</v>
      </c>
      <c r="AZ26" s="7">
        <f>1000*EXP(-(Parameters!$B$54)*'6states,BAU'!A26)*AQ26*Parameters!B$46*Parameters!B$45*N26</f>
        <v>2.2152368745751048</v>
      </c>
      <c r="BA26" s="7">
        <f>SUM(AZ26:AZ$204)*EXP(Parameters!$B$54*A26)</f>
        <v>473.9132505505861</v>
      </c>
      <c r="BB26" s="13">
        <f t="shared" si="26"/>
        <v>0.25018696511303351</v>
      </c>
      <c r="BC26" s="30">
        <f>IF(C26&lt;0,Parameters!$B$6*AC26^2/AF26,0)</f>
        <v>0</v>
      </c>
      <c r="BD26" s="30">
        <f>Parameters!$B$5*AD26^2/AG26</f>
        <v>2.9119981479621988E-2</v>
      </c>
      <c r="BE26" s="30">
        <f t="shared" si="14"/>
        <v>0</v>
      </c>
      <c r="BF26" s="30">
        <f t="shared" si="15"/>
        <v>4.7674162550444023E-2</v>
      </c>
      <c r="BG26" s="30"/>
      <c r="BH26" s="5" t="e">
        <f t="shared" si="3"/>
        <v>#NUM!</v>
      </c>
      <c r="BI26" s="2" t="e">
        <f>BH26/Parameters!$B$45</f>
        <v>#NUM!</v>
      </c>
      <c r="BJ26" s="2" t="e">
        <f t="shared" si="24"/>
        <v>#NUM!</v>
      </c>
      <c r="BM26">
        <f>-EXP(-Parameters!B$42*'6states,BAU'!A26)*(-Parameters!B$37/Parameters!B$38/Parameters!E$25*(EXP(-Parameters!B$38*Parameters!E$25*'6states,BAU'!I26/('6states,BAU'!F26+'6states,BAU'!I26))-EXP(-Parameters!B$38*Parameters!E$25))+Parameters!B$37*'6states,BAU'!F26/('6states,BAU'!F26+'6states,BAU'!I26)*EXP(-Parameters!B$38*Parameters!E$25*'6states,BAU'!I26/('6states,BAU'!F26+'6states,BAU'!I26)))</f>
        <v>-4.795632604241777</v>
      </c>
      <c r="BN26">
        <f>-J26*K26*EXP(-Parameters!B$42*'6states,BAU'!A26)*(-Parameters!B$37/Parameters!B$38/Parameters!E$25*(EXP(-Parameters!B$38*Parameters!E$25*'6states,BAU'!I26/('6states,BAU'!F26+'6states,BAU'!I26))-EXP(-Parameters!B$38*Parameters!E$25)) + Parameters!B$37*'6states,BAU'!F26/('6states,BAU'!F26+'6states,BAU'!I26)*EXP(-Parameters!B$38*Parameters!E$25*'6states,BAU'!I26/('6states,BAU'!F26+'6states,BAU'!I26)))</f>
        <v>-583.68761552012211</v>
      </c>
      <c r="BO26" s="7">
        <f t="shared" si="4"/>
        <v>0</v>
      </c>
      <c r="BU26" t="e">
        <f>EXP(-Parameters!$B$56*A26)*BH26*BN26</f>
        <v>#NUM!</v>
      </c>
      <c r="BV26" t="e">
        <f>-EXP((Parameters!$B$56)*F26)*SUM(BU26:BU34)</f>
        <v>#NUM!</v>
      </c>
      <c r="BW26">
        <f>X26^-Parameters!B$52/(1-2*Parameters!B$5*'6states,BAU'!D26/'6states,BAU'!G26)</f>
        <v>0.97085402881067362</v>
      </c>
      <c r="BX26">
        <f t="shared" si="16"/>
        <v>1.0033364592813854</v>
      </c>
      <c r="BY26">
        <f>$X26^-Parameters!$B$52/(1-2*Parameters!$B$5*'6states,BAU'!$E26/'6states,BAU'!$H26)</f>
        <v>1.0169377408547431</v>
      </c>
      <c r="BZ26">
        <f t="shared" si="17"/>
        <v>1.0031697380530387</v>
      </c>
      <c r="CA26" s="7">
        <f>($X26^-Parameters!$B$52*(1/(1+EXP(-C26)) + IF(C26&lt;0,2*Parameters!$B$6*C26/F26,0)) + BS26*(1/(1+EXP((C26-Parameters!$B$22)*Parameters!$B$21))))/(1-IF(C26&gt;0,2*Parameters!$B$5*C26/F26,0))</f>
        <v>0.52511435953435937</v>
      </c>
      <c r="CB26">
        <f t="shared" si="18"/>
        <v>1.0030964796463304</v>
      </c>
      <c r="CC26" s="7">
        <f t="shared" si="19"/>
        <v>1.6209865743594953E-3</v>
      </c>
      <c r="CD26" t="e">
        <f>(1/$T26-1/Parameters!$B$13) * LN(Parameters!$B$18) / LN(P26)</f>
        <v>#DIV/0!</v>
      </c>
      <c r="CE26">
        <f>(Parameters!$B$18*'6states,BAU'!T26^+Parameters!$B$19*Parameters!$B$25^'6states,BAU'!T26)^((1-'6states,BAU'!T26)/'6states,BAU'!T26)*Parameters!$B$18*Parameters!$B$26^('6states,BAU'!T26-1)</f>
        <v>0.21765886937757165</v>
      </c>
      <c r="CF26" t="e">
        <f t="shared" si="20"/>
        <v>#DIV/0!</v>
      </c>
      <c r="CG26" t="e">
        <f t="shared" si="21"/>
        <v>#DIV/0!</v>
      </c>
      <c r="CH26">
        <f t="shared" si="21"/>
        <v>0.14004019709312565</v>
      </c>
    </row>
    <row r="27" spans="1:86" x14ac:dyDescent="0.3">
      <c r="A27">
        <f>A26+Parameters!$B$65</f>
        <v>23</v>
      </c>
      <c r="B27">
        <v>2048</v>
      </c>
      <c r="C27" s="74">
        <v>5.8512595247250998E-2</v>
      </c>
      <c r="D27" s="69">
        <v>4.9372561578227602E-3</v>
      </c>
      <c r="E27" s="75">
        <v>0.30390269626794397</v>
      </c>
      <c r="F27" s="7">
        <f>MAX((1-Parameters!$B$4)^Parameters!B$65*F26 + C26*Parameters!B$65 - IF(C26&gt;0,Parameters!$B$5,0)*C26^2/F26*Parameters!B$65, 0.0001)</f>
        <v>0.84092207530163288</v>
      </c>
      <c r="G27" s="7">
        <f>(1-Parameters!$B$4)^Parameters!B$65*G26+D26*Parameters!B$65-Parameters!$B$5*D26^2/G26*Parameters!B$65</f>
        <v>0.10342452238995037</v>
      </c>
      <c r="H27" s="7">
        <f>(1-Parameters!$B$4)^Parameters!B$65*H26+E26*Parameters!B$65-Parameters!$B$5*E26^2/H26*Parameters!B$65</f>
        <v>4.4601046760151828</v>
      </c>
      <c r="I27" s="7">
        <f>I26 *(1-Parameters!$B$4)-C26*(C26&lt;0)*Parameters!B$65</f>
        <v>0</v>
      </c>
      <c r="J27" s="23">
        <f>J26*(1+Parameters!$B$51)^Parameters!B$65</f>
        <v>8.7219918984173006</v>
      </c>
      <c r="K27" s="23">
        <f>K26*(1+Parameters!$B$53)^Parameters!B$65</f>
        <v>14.275019121188903</v>
      </c>
      <c r="L27" s="23">
        <f>J27*K27*EXP(-Parameters!$B$42*'6states,BAU'!A27)*(Parameters!$B$37/Parameters!$B$38*('6states,BAU'!F27+'6states,BAU'!I27)/Parameters!$E$25*(EXP(-Parameters!$B$38*Parameters!$E$25*'6states,BAU'!I27/('6states,BAU'!F27+'6states,BAU'!I27))-EXP(-Parameters!$B$38*Parameters!$E$25))  +  Parameters!$B$39*'6states,BAU'!F27)</f>
        <v>75.757082997005938</v>
      </c>
      <c r="M27" s="8">
        <f>M26+L27*Parameters!B$65</f>
        <v>3783.8500664029043</v>
      </c>
      <c r="N27" s="7">
        <f>M27*Parameters!$B$45</f>
        <v>2.2703100398417422</v>
      </c>
      <c r="O27" s="9">
        <f>EXP(-Parameters!$B$46/2*N27^2)</f>
        <v>0.94951799943940518</v>
      </c>
      <c r="P27" s="7">
        <f>MAX((Parameters!$B$62 + Parameters!$B$31*'6states,BAU'!A27 - '6states,BAU'!M27 + Parameters!$B$47/Parameters!$B$45)/Parameters!B$62,1)</f>
        <v>1</v>
      </c>
      <c r="Q27" s="7">
        <f>Parameters!B$61*EXP(-Parameters!B$60*A27)</f>
        <v>0.26870338101983182</v>
      </c>
      <c r="R27" s="7">
        <f>(1-Parameters!B$61)*P27^-Parameters!B$63</f>
        <v>0.5</v>
      </c>
      <c r="S27" s="7">
        <f>Parameters!B$61*EXP(-Parameters!B$60*A27)+(1-Parameters!B$61)*P27^-Parameters!B$63</f>
        <v>0.76870338101983182</v>
      </c>
      <c r="T27" s="7">
        <f>1-S27/Parameters!$B$12</f>
        <v>0.61564830949008409</v>
      </c>
      <c r="U27" s="7">
        <f t="shared" si="0"/>
        <v>2.6017837951312481</v>
      </c>
      <c r="V27" s="7">
        <f>(Parameters!$B$19*(F27+Parameters!$B$20)^T27+Parameters!$B$18*G27^T27)^(1/T27)</f>
        <v>0.56738541014006316</v>
      </c>
      <c r="W27" s="7">
        <f>(Parameters!$B$10*H27^Parameters!$B$9+Parameters!$B$11*V27^Parameters!$B$9)^(Parameters!$B$7/Parameters!$B$9)*O27</f>
        <v>1.4655249145756057</v>
      </c>
      <c r="X27" s="7">
        <f>W27 - D27 - E27 - LN(1+EXP(Parameters!$B$21*C27))/Parameters!$B$21 - IF(C27&gt;0, 0,Parameters!$B$6*C27^2/F27)</f>
        <v>1.0981723668232706</v>
      </c>
      <c r="Y27" s="7">
        <f>EXP(-Parameters!$B$55*A27)</f>
        <v>0.70659331846233153</v>
      </c>
      <c r="Z27" s="7">
        <f>IF(X27&gt;0,X27^(1-Parameters!$B$52)/(1-Parameters!$B$52)*Y27*Parameters!$B$65,-10+X27*1000)</f>
        <v>-1.9537401572072015</v>
      </c>
      <c r="AB27" s="9"/>
      <c r="AC27" s="23">
        <f t="shared" si="6"/>
        <v>7.2852043572241048</v>
      </c>
      <c r="AD27" s="23">
        <f t="shared" si="6"/>
        <v>0.61472098309281176</v>
      </c>
      <c r="AE27" s="23">
        <f t="shared" si="7"/>
        <v>0</v>
      </c>
      <c r="AF27" s="23">
        <f t="shared" si="8"/>
        <v>104.70034940658719</v>
      </c>
      <c r="AG27" s="23">
        <f t="shared" si="9"/>
        <v>12.877035755724531</v>
      </c>
      <c r="AH27" s="23">
        <f t="shared" si="10"/>
        <v>70.643228944318153</v>
      </c>
      <c r="AI27" s="23">
        <f t="shared" si="11"/>
        <v>173.85836474550962</v>
      </c>
      <c r="AJ27" s="23">
        <f t="shared" si="12"/>
        <v>182.46752597746536</v>
      </c>
      <c r="AK27" s="23">
        <f t="shared" si="13"/>
        <v>136.7297088423004</v>
      </c>
      <c r="AL27" s="9">
        <f t="shared" si="22"/>
        <v>2.0843890814179034E-2</v>
      </c>
      <c r="AM27" s="9">
        <f t="shared" si="22"/>
        <v>2.0209112777268778E-2</v>
      </c>
      <c r="AN27" s="9">
        <f t="shared" si="27"/>
        <v>2.0842011413969529E-2</v>
      </c>
      <c r="AO27" s="9">
        <f t="shared" si="27"/>
        <v>2.0196562170829324E-2</v>
      </c>
      <c r="AP27" s="23"/>
      <c r="AQ27" s="8">
        <f t="shared" si="1"/>
        <v>182.46752597746536</v>
      </c>
      <c r="AR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-2.162141718227103E-3</v>
      </c>
      <c r="AS27" s="32">
        <f>((C28-C26)/2-(F28-F26)/F27/2*C27)/(F27/2/Parameters!$B$5-C27)-((D28-D26)/D27-(G28-G26)/G27)/(G27/2/Parameters!$B$5/D27-1)</f>
        <v>-4.30919396235953E-4</v>
      </c>
      <c r="AT27" s="32">
        <f>+Parameters!$B$5*C27^2/F27^2-Parameters!$B$5*D27^2/G27^2</f>
        <v>2.5626863752902271E-3</v>
      </c>
      <c r="AU27" s="30">
        <f>EXP(-Parameters!$B$42*'6states,BAU'!A27)*(Parameters!$B$37*EXP(-Parameters!$B$38*Parameters!$E$25*'6states,BAU'!I27/('6states,BAU'!F27+'6states,BAU'!I27))*(1/Parameters!$B$38/Parameters!$E$25+'6states,BAU'!I27/('6states,BAU'!F27+'6states,BAU'!I27))-Parameters!$B$37/Parameters!$B$38/Parameters!$E$25*EXP(-Parameters!$B$38*Parameters!$E$25)+Parameters!$B$39)</f>
        <v>0.72356093772729768</v>
      </c>
      <c r="AV27" s="30">
        <f>J27*K27*EXP(-Parameters!$B$42*'6states,BAU'!A27)*(Parameters!$B$37*EXP(-Parameters!$B$38*Parameters!$E$25*'6states,BAU'!I27/('6states,BAU'!F27+'6states,BAU'!I27))*(1/Parameters!$B$38/Parameters!$E$25+'6states,BAU'!I27/('6states,BAU'!F27+'6states,BAU'!I27))-Parameters!$B$37/Parameters!$B$38/Parameters!$E$25*EXP(-Parameters!$B$38*Parameters!$E$25)+Parameters!$B$39)</f>
        <v>90.088113063071148</v>
      </c>
      <c r="AW27" s="8">
        <f>1000*(AR27+AS27+AT27)/(EXP(-Parameters!$B$42*A27)*((C27&lt;0)*Parameters!$B$37*EXP(-Parameters!$B$38*AF27)+(C27&gt;=0)*Parameters!$B$41))</f>
        <v>-4.1979517673018538E-2</v>
      </c>
      <c r="AX27" s="13">
        <f>1-W27/'6states,ExoDamages'!T27</f>
        <v>1.3590919583898242E-2</v>
      </c>
      <c r="AY27" s="21">
        <f>-Y27*W27*X27^(-Parameters!B$52)*Parameters!B$46*Parameters!B$45*N27</f>
        <v>-2.4985613611621064E-5</v>
      </c>
      <c r="AZ27" s="7">
        <f>1000*EXP(-(Parameters!$B$54)*'6states,BAU'!A27)*AQ27*Parameters!B$46*Parameters!B$45*N27</f>
        <v>2.2284973700312474</v>
      </c>
      <c r="BA27" s="7">
        <f>SUM(AZ27:AZ$204)*EXP(Parameters!$B$54*A27)</f>
        <v>485.87676262994245</v>
      </c>
      <c r="BB27" s="13">
        <f t="shared" si="26"/>
        <v>0.25066277892614169</v>
      </c>
      <c r="BC27" s="30">
        <f>IF(C27&lt;0,Parameters!$B$6*AC27^2/AF27,0)</f>
        <v>0</v>
      </c>
      <c r="BD27" s="30">
        <f>Parameters!$B$5*AD27^2/AG27</f>
        <v>2.9345409473341275E-2</v>
      </c>
      <c r="BE27" s="30">
        <f t="shared" si="14"/>
        <v>0</v>
      </c>
      <c r="BF27" s="30">
        <f t="shared" si="15"/>
        <v>4.7737770924456385E-2</v>
      </c>
      <c r="BG27" s="30"/>
      <c r="BH27" s="5" t="e">
        <f t="shared" si="3"/>
        <v>#NUM!</v>
      </c>
      <c r="BI27" s="2" t="e">
        <f>BH27/Parameters!$B$45</f>
        <v>#NUM!</v>
      </c>
      <c r="BJ27" s="2" t="e">
        <f t="shared" si="24"/>
        <v>#NUM!</v>
      </c>
      <c r="BM27">
        <f>-EXP(-Parameters!B$42*'6states,BAU'!A27)*(-Parameters!B$37/Parameters!B$38/Parameters!E$25*(EXP(-Parameters!B$38*Parameters!E$25*'6states,BAU'!I27/('6states,BAU'!F27+'6states,BAU'!I27))-EXP(-Parameters!B$38*Parameters!E$25))+Parameters!B$37*'6states,BAU'!F27/('6states,BAU'!F27+'6states,BAU'!I27)*EXP(-Parameters!B$38*Parameters!E$25*'6states,BAU'!I27/('6states,BAU'!F27+'6states,BAU'!I27)))</f>
        <v>-4.7479152625516612</v>
      </c>
      <c r="BN27">
        <f>-J27*K27*EXP(-Parameters!B$42*'6states,BAU'!A27)*(-Parameters!B$37/Parameters!B$38/Parameters!E$25*(EXP(-Parameters!B$38*Parameters!E$25*'6states,BAU'!I27/('6states,BAU'!F27+'6states,BAU'!I27))-EXP(-Parameters!B$38*Parameters!E$25)) + Parameters!B$37*'6states,BAU'!F27/('6states,BAU'!F27+'6states,BAU'!I27)*EXP(-Parameters!B$38*Parameters!E$25*'6states,BAU'!I27/('6states,BAU'!F27+'6states,BAU'!I27)))</f>
        <v>-591.14679176868776</v>
      </c>
      <c r="BO27" s="7">
        <f t="shared" si="4"/>
        <v>0</v>
      </c>
      <c r="BU27" t="e">
        <f>EXP(-Parameters!$B$56*A27)*BH27*BN27</f>
        <v>#NUM!</v>
      </c>
      <c r="BV27" t="e">
        <f>-EXP((Parameters!$B$56)*F27)*SUM(BU27:BU35)</f>
        <v>#NUM!</v>
      </c>
      <c r="BW27">
        <f>X27^-Parameters!B$52/(1-2*Parameters!B$5*'6states,BAU'!D27/'6states,BAU'!G27)</f>
        <v>0.9742591538987565</v>
      </c>
      <c r="BX27">
        <f t="shared" si="16"/>
        <v>1.0035073502164422</v>
      </c>
      <c r="BY27">
        <f>$X27^-Parameters!$B$52/(1-2*Parameters!$B$5*'6states,BAU'!$E27/'6states,BAU'!$H27)</f>
        <v>1.0202810986417541</v>
      </c>
      <c r="BZ27">
        <f t="shared" si="17"/>
        <v>1.0032876720498158</v>
      </c>
      <c r="CA27" s="7">
        <f>($X27^-Parameters!$B$52*(1/(1+EXP(-C27)) + IF(C27&lt;0,2*Parameters!$B$6*C27/F27,0)) + BS27*(1/(1+EXP((C27-Parameters!$B$22)*Parameters!$B$21))))/(1-IF(C27&gt;0,2*Parameters!$B$5*C27/F27,0))</f>
        <v>0.52682196239518175</v>
      </c>
      <c r="CB27">
        <f t="shared" si="18"/>
        <v>1.0032518685307645</v>
      </c>
      <c r="CC27" s="7">
        <f t="shared" si="19"/>
        <v>1.7076028608223881E-3</v>
      </c>
      <c r="CD27" t="e">
        <f>(1/$T27-1/Parameters!$B$13) * LN(Parameters!$B$18) / LN(P27)</f>
        <v>#DIV/0!</v>
      </c>
      <c r="CE27">
        <f>(Parameters!$B$18*'6states,BAU'!T27^+Parameters!$B$19*Parameters!$B$25^'6states,BAU'!T27)^((1-'6states,BAU'!T27)/'6states,BAU'!T27)*Parameters!$B$18*Parameters!$B$26^('6states,BAU'!T27-1)</f>
        <v>0.22017969980816007</v>
      </c>
      <c r="CF27" t="e">
        <f t="shared" si="20"/>
        <v>#DIV/0!</v>
      </c>
      <c r="CG27" t="e">
        <f t="shared" si="21"/>
        <v>#DIV/0!</v>
      </c>
      <c r="CH27">
        <f t="shared" si="21"/>
        <v>0.14154149845254471</v>
      </c>
    </row>
    <row r="28" spans="1:86" x14ac:dyDescent="0.3">
      <c r="A28">
        <f>A27+Parameters!$B$65</f>
        <v>24</v>
      </c>
      <c r="B28">
        <v>2049</v>
      </c>
      <c r="C28" s="74">
        <v>5.85570470521109E-2</v>
      </c>
      <c r="D28" s="69">
        <v>4.8571920123218898E-3</v>
      </c>
      <c r="E28" s="75">
        <v>0.30397809160365502</v>
      </c>
      <c r="F28" s="7">
        <f>MAX((1-Parameters!$B$4)^Parameters!B$65*F27 + C27*Parameters!B$65 - IF(C27&gt;0,Parameters!$B$5,0)*C27^2/F27*Parameters!B$65, 0.0001)</f>
        <v>0.8424692795455877</v>
      </c>
      <c r="G28" s="7">
        <f>(1-Parameters!$B$4)^Parameters!B$65*G27+D27*Parameters!B$65-Parameters!$B$5*D27^2/G27*Parameters!B$65</f>
        <v>0.10162068248598775</v>
      </c>
      <c r="H28" s="7">
        <f>(1-Parameters!$B$4)^Parameters!B$65*H27+E27*Parameters!B$65-Parameters!$B$5*E27^2/H27*Parameters!B$65</f>
        <v>4.4627594605298464</v>
      </c>
      <c r="I28" s="7">
        <f>I27 *(1-Parameters!$B$4)-C27*(C27&lt;0)*Parameters!B$65</f>
        <v>0</v>
      </c>
      <c r="J28" s="23">
        <f>J27*(1+Parameters!$B$51)^Parameters!B$65</f>
        <v>8.7472856749227095</v>
      </c>
      <c r="K28" s="23">
        <f>K27*(1+Parameters!$B$53)^Parameters!B$65</f>
        <v>14.560519503612682</v>
      </c>
      <c r="L28" s="23">
        <f>J28*K28*EXP(-Parameters!$B$42*'6states,BAU'!A28)*(Parameters!$B$37/Parameters!$B$38*('6states,BAU'!F28+'6states,BAU'!I28)/Parameters!$E$25*(EXP(-Parameters!$B$38*Parameters!$E$25*'6states,BAU'!I28/('6states,BAU'!F28+'6states,BAU'!I28))-EXP(-Parameters!$B$38*Parameters!$E$25))  +  Parameters!$B$39*'6states,BAU'!F28)</f>
        <v>76.866378862778333</v>
      </c>
      <c r="M28" s="8">
        <f>M27+L28*Parameters!B$65</f>
        <v>3860.7164452656825</v>
      </c>
      <c r="N28" s="7">
        <f>M28*Parameters!$B$45</f>
        <v>2.3164298671594095</v>
      </c>
      <c r="O28" s="9">
        <f>EXP(-Parameters!$B$46/2*N28^2)</f>
        <v>0.94750149360644687</v>
      </c>
      <c r="P28" s="7">
        <f>MAX((Parameters!$B$62 + Parameters!$B$31*'6states,BAU'!A28 - '6states,BAU'!M28 + Parameters!$B$47/Parameters!$B$45)/Parameters!B$62,1)</f>
        <v>1</v>
      </c>
      <c r="Q28" s="7">
        <f>Parameters!B$61*EXP(-Parameters!B$60*A28)</f>
        <v>0.26154545655125039</v>
      </c>
      <c r="R28" s="7">
        <f>(1-Parameters!B$61)*P28^-Parameters!B$63</f>
        <v>0.5</v>
      </c>
      <c r="S28" s="7">
        <f>Parameters!B$61*EXP(-Parameters!B$60*A28)+(1-Parameters!B$61)*P28^-Parameters!B$63</f>
        <v>0.76154545655125039</v>
      </c>
      <c r="T28" s="7">
        <f>1-S28/Parameters!$B$12</f>
        <v>0.61922727172437475</v>
      </c>
      <c r="U28" s="7">
        <f t="shared" si="0"/>
        <v>2.6262385032894016</v>
      </c>
      <c r="V28" s="7">
        <f>(Parameters!$B$19*(F28+Parameters!$B$20)^T28+Parameters!$B$18*G28^T28)^(1/T28)</f>
        <v>0.56785224972814141</v>
      </c>
      <c r="W28" s="7">
        <f>(Parameters!$B$10*H28^Parameters!$B$9+Parameters!$B$11*V28^Parameters!$B$9)^(Parameters!$B$7/Parameters!$B$9)*O28</f>
        <v>1.462691224211633</v>
      </c>
      <c r="X28" s="7">
        <f>W28 - D28 - E28 - LN(1+EXP(Parameters!$B$21*C28))/Parameters!$B$21 - IF(C28&gt;0, 0,Parameters!$B$6*C28^2/F28)</f>
        <v>1.0952988934652783</v>
      </c>
      <c r="Y28" s="7">
        <f>EXP(-Parameters!$B$55*A28)</f>
        <v>0.69600391058979738</v>
      </c>
      <c r="Z28" s="7">
        <f>IF(X28&gt;0,X28^(1-Parameters!$B$52)/(1-Parameters!$B$52)*Y28*Parameters!$B$65,-10+X28*1000)</f>
        <v>-1.926225856562785</v>
      </c>
      <c r="AB28" s="9"/>
      <c r="AC28" s="23">
        <f t="shared" si="6"/>
        <v>7.4581196840355615</v>
      </c>
      <c r="AD28" s="23">
        <f t="shared" si="6"/>
        <v>0.61863637563554885</v>
      </c>
      <c r="AE28" s="23">
        <f t="shared" si="7"/>
        <v>0</v>
      </c>
      <c r="AF28" s="23">
        <f t="shared" si="8"/>
        <v>107.30111973342248</v>
      </c>
      <c r="AG28" s="23">
        <f t="shared" si="9"/>
        <v>12.942920630533262</v>
      </c>
      <c r="AH28" s="23">
        <f t="shared" si="10"/>
        <v>72.324515229609062</v>
      </c>
      <c r="AI28" s="23">
        <f t="shared" si="11"/>
        <v>177.99613829575503</v>
      </c>
      <c r="AJ28" s="23">
        <f t="shared" si="12"/>
        <v>186.29570239856557</v>
      </c>
      <c r="AK28" s="23">
        <f t="shared" si="13"/>
        <v>139.50276949563639</v>
      </c>
      <c r="AL28" s="9">
        <f t="shared" si="22"/>
        <v>2.0762991824281762E-2</v>
      </c>
      <c r="AM28" s="9">
        <f t="shared" si="22"/>
        <v>2.0078405196324312E-2</v>
      </c>
      <c r="AN28" s="9">
        <f t="shared" si="27"/>
        <v>2.0761566079048954E-2</v>
      </c>
      <c r="AO28" s="9">
        <f t="shared" si="27"/>
        <v>2.0087271759995317E-2</v>
      </c>
      <c r="AP28" s="23"/>
      <c r="AQ28" s="8">
        <f t="shared" si="1"/>
        <v>186.29570239856554</v>
      </c>
      <c r="AR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-2.1243411362529014E-3</v>
      </c>
      <c r="AS28" s="32">
        <f>((C29-C27)/2-(F29-F27)/F28/2*C28)/(F28/2/Parameters!$B$5-C28)-((D29-D27)/D28-(G29-G27)/G28)/(G28/2/Parameters!$B$5/D28-1)</f>
        <v>-4.8109243842301785E-4</v>
      </c>
      <c r="AT28" s="32">
        <f>+Parameters!$B$5*C28^2/F28^2-Parameters!$B$5*D28^2/G28^2</f>
        <v>2.5465665089293003E-3</v>
      </c>
      <c r="AU28" s="30">
        <f>EXP(-Parameters!$B$42*'6states,BAU'!A28)*(Parameters!$B$37*EXP(-Parameters!$B$38*Parameters!$E$25*'6states,BAU'!I28/('6states,BAU'!F28+'6states,BAU'!I28))*(1/Parameters!$B$38/Parameters!$E$25+'6states,BAU'!I28/('6states,BAU'!F28+'6states,BAU'!I28))-Parameters!$B$37/Parameters!$B$38/Parameters!$E$25*EXP(-Parameters!$B$38*Parameters!$E$25)+Parameters!$B$39)</f>
        <v>0.71636138610430322</v>
      </c>
      <c r="AV28" s="30">
        <f>J28*K28*EXP(-Parameters!$B$42*'6states,BAU'!A28)*(Parameters!$B$37*EXP(-Parameters!$B$38*Parameters!$E$25*'6states,BAU'!I28/('6states,BAU'!F28+'6states,BAU'!I28))*(1/Parameters!$B$38/Parameters!$E$25+'6states,BAU'!I28/('6states,BAU'!F28+'6states,BAU'!I28))-Parameters!$B$37/Parameters!$B$38/Parameters!$E$25*EXP(-Parameters!$B$38*Parameters!$E$25)+Parameters!$B$39)</f>
        <v>91.239384899872704</v>
      </c>
      <c r="AW28" s="8">
        <f>1000*(AR28+AS28+AT28)/(EXP(-Parameters!$B$42*A28)*((C28&lt;0)*Parameters!$B$37*EXP(-Parameters!$B$38*AF28)+(C28&gt;=0)*Parameters!$B$41))</f>
        <v>-8.2175096101631206E-2</v>
      </c>
      <c r="AX28" s="13">
        <f>1-W28/'6states,ExoDamages'!T28</f>
        <v>1.504330609414295E-2</v>
      </c>
      <c r="AY28" s="21">
        <f>-Y28*W28*X28^(-Parameters!B$52)*Parameters!B$46*Parameters!B$45*N28</f>
        <v>-2.5151374461815194E-5</v>
      </c>
      <c r="AZ28" s="7">
        <f>1000*EXP(-(Parameters!$B$54)*'6states,BAU'!A28)*AQ28*Parameters!B$46*Parameters!B$45*N28</f>
        <v>2.2414013468909202</v>
      </c>
      <c r="BA28" s="7">
        <f>SUM(AZ28:AZ$204)*EXP(Parameters!$B$54*A28)</f>
        <v>498.05945086165576</v>
      </c>
      <c r="BB28" s="13">
        <f t="shared" si="26"/>
        <v>0.25117558961639791</v>
      </c>
      <c r="BC28" s="30">
        <f>IF(C28&lt;0,Parameters!$B$6*AC28^2/AF28,0)</f>
        <v>0</v>
      </c>
      <c r="BD28" s="30">
        <f>Parameters!$B$5*AD28^2/AG28</f>
        <v>2.9569134833187939E-2</v>
      </c>
      <c r="BE28" s="30">
        <f t="shared" si="14"/>
        <v>0</v>
      </c>
      <c r="BF28" s="30">
        <f t="shared" si="15"/>
        <v>4.7797278009736224E-2</v>
      </c>
      <c r="BG28" s="30"/>
      <c r="BH28" s="5" t="e">
        <f t="shared" si="3"/>
        <v>#NUM!</v>
      </c>
      <c r="BI28" s="2" t="e">
        <f>BH28/Parameters!$B$45</f>
        <v>#NUM!</v>
      </c>
      <c r="BJ28" s="2" t="e">
        <f t="shared" si="24"/>
        <v>#NUM!</v>
      </c>
      <c r="BM28">
        <f>-EXP(-Parameters!B$42*'6states,BAU'!A28)*(-Parameters!B$37/Parameters!B$38/Parameters!E$25*(EXP(-Parameters!B$38*Parameters!E$25*'6states,BAU'!I28/('6states,BAU'!F28+'6states,BAU'!I28))-EXP(-Parameters!B$38*Parameters!E$25))+Parameters!B$37*'6states,BAU'!F28/('6states,BAU'!F28+'6states,BAU'!I28)*EXP(-Parameters!B$38*Parameters!E$25*'6states,BAU'!I28/('6states,BAU'!F28+'6states,BAU'!I28)))</f>
        <v>-4.7006727163444104</v>
      </c>
      <c r="BN28">
        <f>-J28*K28*EXP(-Parameters!B$42*'6states,BAU'!A28)*(-Parameters!B$37/Parameters!B$38/Parameters!E$25*(EXP(-Parameters!B$38*Parameters!E$25*'6states,BAU'!I28/('6states,BAU'!F28+'6states,BAU'!I28))-EXP(-Parameters!B$38*Parameters!E$25)) + Parameters!B$37*'6states,BAU'!F28/('6states,BAU'!F28+'6states,BAU'!I28)*EXP(-Parameters!B$38*Parameters!E$25*'6states,BAU'!I28/('6states,BAU'!F28+'6states,BAU'!I28)))</f>
        <v>-598.70129179803575</v>
      </c>
      <c r="BO28" s="7">
        <f t="shared" si="4"/>
        <v>0</v>
      </c>
      <c r="BU28" t="e">
        <f>EXP(-Parameters!$B$56*A28)*BH28*BN28</f>
        <v>#NUM!</v>
      </c>
      <c r="BV28" t="e">
        <f>-EXP((Parameters!$B$56)*F28)*SUM(BU28:BU36)</f>
        <v>#NUM!</v>
      </c>
      <c r="BW28">
        <f>X28^-Parameters!B$52/(1-2*Parameters!B$5*'6states,BAU'!D28/'6states,BAU'!G28)</f>
        <v>0.97783990392663256</v>
      </c>
      <c r="BX28">
        <f t="shared" si="16"/>
        <v>1.0036753568222037</v>
      </c>
      <c r="BY28">
        <f>$X28^-Parameters!$B$52/(1-2*Parameters!$B$5*'6states,BAU'!$E28/'6states,BAU'!$H28)</f>
        <v>1.0238402143037015</v>
      </c>
      <c r="BZ28">
        <f t="shared" si="17"/>
        <v>1.0034883677318784</v>
      </c>
      <c r="CA28" s="7">
        <f>($X28^-Parameters!$B$52*(1/(1+EXP(-C28)) + IF(C28&lt;0,2*Parameters!$B$6*C28/F28,0)) + BS28*(1/(1+EXP((C28-Parameters!$B$22)*Parameters!$B$21))))/(1-IF(C28&gt;0,2*Parameters!$B$5*C28/F28,0))</f>
        <v>0.52860791763270931</v>
      </c>
      <c r="CB28">
        <f t="shared" si="18"/>
        <v>1.0033900546389671</v>
      </c>
      <c r="CC28" s="7">
        <f t="shared" si="19"/>
        <v>1.7859552375275589E-3</v>
      </c>
      <c r="CD28" t="e">
        <f>(1/$T28-1/Parameters!$B$13) * LN(Parameters!$B$18) / LN(P28)</f>
        <v>#DIV/0!</v>
      </c>
      <c r="CE28">
        <f>(Parameters!$B$18*'6states,BAU'!T28^+Parameters!$B$19*Parameters!$B$25^'6states,BAU'!T28)^((1-'6states,BAU'!T28)/'6states,BAU'!T28)*Parameters!$B$18*Parameters!$B$26^('6states,BAU'!T28-1)</f>
        <v>0.22260295596442228</v>
      </c>
      <c r="CF28" t="e">
        <f t="shared" si="20"/>
        <v>#DIV/0!</v>
      </c>
      <c r="CG28" t="e">
        <f t="shared" si="21"/>
        <v>#DIV/0!</v>
      </c>
      <c r="CH28">
        <f t="shared" si="21"/>
        <v>0.14298221785969389</v>
      </c>
    </row>
    <row r="29" spans="1:86" s="53" customFormat="1" x14ac:dyDescent="0.3">
      <c r="A29" s="53">
        <f>A28+Parameters!$B$65</f>
        <v>25</v>
      </c>
      <c r="B29" s="53">
        <v>2050</v>
      </c>
      <c r="C29" s="76">
        <v>5.8610792100649803E-2</v>
      </c>
      <c r="D29" s="77">
        <v>4.7815139033733798E-3</v>
      </c>
      <c r="E29" s="78">
        <v>0.30402056658980198</v>
      </c>
      <c r="F29" s="54">
        <f>MAX((1-Parameters!$B$4)^Parameters!B$65*F28 + C28*Parameters!B$65 - IF(C28&gt;0,Parameters!$B$5,0)*C28^2/F28*Parameters!B$65, 0.0001)</f>
        <v>0.84396491657653727</v>
      </c>
      <c r="G29" s="54">
        <f>(1-Parameters!$B$4)^Parameters!B$65*G28+D28*Parameters!B$65-Parameters!$B$5*D28^2/G28*Parameters!B$65</f>
        <v>9.9853773012981387E-2</v>
      </c>
      <c r="H29" s="54">
        <f>(1-Parameters!$B$4)^Parameters!B$65*H28+E28*Parameters!B$65-Parameters!$B$5*E28^2/H28*Parameters!B$65</f>
        <v>4.4653247029687373</v>
      </c>
      <c r="I29" s="54">
        <f>I28 *(1-Parameters!$B$4)-C28*(C28&lt;0)*Parameters!B$65</f>
        <v>0</v>
      </c>
      <c r="J29" s="56">
        <f>J28*(1+Parameters!$B$51)^Parameters!B$65</f>
        <v>8.7726528033799838</v>
      </c>
      <c r="K29" s="56">
        <f>K28*(1+Parameters!$B$53)^Parameters!B$65</f>
        <v>14.851729893684935</v>
      </c>
      <c r="L29" s="56">
        <f>J29*K29*EXP(-Parameters!$B$42*'6states,BAU'!A29)*(Parameters!$B$37/Parameters!$B$38*('6states,BAU'!F29+'6states,BAU'!I29)/Parameters!$E$25*(EXP(-Parameters!$B$38*Parameters!$E$25*'6states,BAU'!I29/('6states,BAU'!F29+'6states,BAU'!I29))-EXP(-Parameters!$B$38*Parameters!$E$25))  +  Parameters!$B$39*'6states,BAU'!F29)</f>
        <v>77.986889790380204</v>
      </c>
      <c r="M29" s="57">
        <f>M28+L29*Parameters!B$65</f>
        <v>3938.7033350560628</v>
      </c>
      <c r="N29" s="54">
        <f>M29*Parameters!$B$45</f>
        <v>2.3632220010336376</v>
      </c>
      <c r="O29" s="55">
        <f>EXP(-Parameters!$B$46/2*N29^2)</f>
        <v>0.94541865996937791</v>
      </c>
      <c r="P29" s="54">
        <f>MAX((Parameters!$B$62 + Parameters!$B$31*'6states,BAU'!A29 - '6states,BAU'!M29 + Parameters!$B$47/Parameters!$B$45)/Parameters!B$62,1)</f>
        <v>1</v>
      </c>
      <c r="Q29" s="54">
        <f>Parameters!B$61*EXP(-Parameters!B$60*A29)</f>
        <v>0.25457821030377459</v>
      </c>
      <c r="R29" s="54">
        <f>(1-Parameters!B$61)*P29^-Parameters!B$63</f>
        <v>0.5</v>
      </c>
      <c r="S29" s="54">
        <f>Parameters!B$61*EXP(-Parameters!B$60*A29)+(1-Parameters!B$61)*P29^-Parameters!B$63</f>
        <v>0.75457821030377459</v>
      </c>
      <c r="T29" s="54">
        <f>1-S29/Parameters!$B$12</f>
        <v>0.62271089484811271</v>
      </c>
      <c r="U29" s="54">
        <f t="shared" si="0"/>
        <v>2.65048734868033</v>
      </c>
      <c r="V29" s="54">
        <f>(Parameters!$B$19*(F29+Parameters!$B$20)^T29+Parameters!$B$18*G29^T29)^(1/T29)</f>
        <v>0.56830017300961067</v>
      </c>
      <c r="W29" s="54">
        <f>(Parameters!$B$10*H29^Parameters!$B$9+Parameters!$B$11*V29^Parameters!$B$9)^(Parameters!$B$7/Parameters!$B$9)*O29</f>
        <v>1.4597439943471795</v>
      </c>
      <c r="X29" s="54">
        <f>W29 - D29 - E29 - LN(1+EXP(Parameters!$B$21*C29))/Parameters!$B$21 - IF(C29&gt;0, 0,Parameters!$B$6*C29^2/F29)</f>
        <v>1.0923311216763394</v>
      </c>
      <c r="Y29" s="54">
        <f>EXP(-Parameters!$B$55*A29)</f>
        <v>0.68557320158429325</v>
      </c>
      <c r="Z29" s="54">
        <f>IF(X29&gt;0,X29^(1-Parameters!$B$52)/(1-Parameters!$B$52)*Y29*Parameters!$B$65,-10+X29*1000)</f>
        <v>-1.8991609906564513</v>
      </c>
      <c r="AB29" s="55"/>
      <c r="AC29" s="56">
        <f t="shared" si="6"/>
        <v>7.6363455881268063</v>
      </c>
      <c r="AD29" s="56">
        <f t="shared" si="6"/>
        <v>0.62297899912169041</v>
      </c>
      <c r="AE29" s="56">
        <f t="shared" si="7"/>
        <v>0</v>
      </c>
      <c r="AF29" s="56">
        <f t="shared" si="8"/>
        <v>109.95940399791317</v>
      </c>
      <c r="AG29" s="56">
        <f t="shared" si="9"/>
        <v>13.009855210556729</v>
      </c>
      <c r="AH29" s="56">
        <f t="shared" si="10"/>
        <v>74.043300957973713</v>
      </c>
      <c r="AI29" s="56">
        <f t="shared" si="11"/>
        <v>182.2262008303673</v>
      </c>
      <c r="AJ29" s="56">
        <f t="shared" si="12"/>
        <v>190.1886872964493</v>
      </c>
      <c r="AK29" s="56">
        <f t="shared" si="13"/>
        <v>142.31880585169984</v>
      </c>
      <c r="AL29" s="55">
        <f t="shared" si="22"/>
        <v>2.068146124160819E-2</v>
      </c>
      <c r="AM29" s="55">
        <f t="shared" si="22"/>
        <v>1.9985198656005565E-2</v>
      </c>
      <c r="AN29" s="55">
        <f t="shared" si="27"/>
        <v>2.0679349868852094E-2</v>
      </c>
      <c r="AO29" s="55">
        <f t="shared" si="27"/>
        <v>1.9974554708931613E-2</v>
      </c>
      <c r="AP29" s="56"/>
      <c r="AQ29" s="57">
        <f t="shared" si="1"/>
        <v>190.18868729644933</v>
      </c>
      <c r="AR29" s="58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-2.0861822484002702E-3</v>
      </c>
      <c r="AS29" s="58">
        <f>((C30-C28)/2-(F30-F28)/F29/2*C29)/(F29/2/Parameters!$B$5-C29)-((D30-D28)/D29-(G30-G28)/G29)/(G29/2/Parameters!$B$5/D29-1)</f>
        <v>-5.1110754691933351E-4</v>
      </c>
      <c r="AT29" s="58">
        <f>+Parameters!$B$5*C29^2/F29^2-Parameters!$B$5*D29^2/G29^2</f>
        <v>2.5298907607840823E-3</v>
      </c>
      <c r="AU29" s="59">
        <f>EXP(-Parameters!$B$42*'6states,BAU'!A29)*(Parameters!$B$37*EXP(-Parameters!$B$38*Parameters!$E$25*'6states,BAU'!I29/('6states,BAU'!F29+'6states,BAU'!I29))*(1/Parameters!$B$38/Parameters!$E$25+'6states,BAU'!I29/('6states,BAU'!F29+'6states,BAU'!I29))-Parameters!$B$37/Parameters!$B$38/Parameters!$E$25*EXP(-Parameters!$B$38*Parameters!$E$25)+Parameters!$B$39)</f>
        <v>0.70923347121688896</v>
      </c>
      <c r="AV29" s="59">
        <f>J29*K29*EXP(-Parameters!$B$42*'6states,BAU'!A29)*(Parameters!$B$37*EXP(-Parameters!$B$38*Parameters!$E$25*'6states,BAU'!I29/('6states,BAU'!F29+'6states,BAU'!I29))*(1/Parameters!$B$38/Parameters!$E$25+'6states,BAU'!I29/('6states,BAU'!F29+'6states,BAU'!I29))-Parameters!$B$37/Parameters!$B$38/Parameters!$E$25*EXP(-Parameters!$B$38*Parameters!$E$25)+Parameters!$B$39)</f>
        <v>92.405369297489926</v>
      </c>
      <c r="AW29" s="57">
        <f>1000*(AR29+AS29+AT29)/(EXP(-Parameters!$B$42*A29)*((C29&lt;0)*Parameters!$B$37*EXP(-Parameters!$B$38*AF29)+(C29&gt;=0)*Parameters!$B$41))</f>
        <v>-9.503081463411378E-2</v>
      </c>
      <c r="AX29" s="60">
        <f>1-W29/'6states,ExoDamages'!T29</f>
        <v>1.6584109486785015E-2</v>
      </c>
      <c r="AY29" s="61">
        <f>-Y29*W29*X29^(-Parameters!B$52)*Parameters!B$46*Parameters!B$45*N29</f>
        <v>-2.5316522146312247E-5</v>
      </c>
      <c r="AZ29" s="54">
        <f>1000*EXP(-(Parameters!$B$54)*'6states,BAU'!A29)*AQ29*Parameters!B$46*Parameters!B$45*N29</f>
        <v>2.2539438979734396</v>
      </c>
      <c r="BA29" s="54">
        <f>SUM(AZ29:AZ$204)*EXP(Parameters!$B$54*A29)</f>
        <v>510.46146482632997</v>
      </c>
      <c r="BB29" s="60">
        <f t="shared" si="26"/>
        <v>0.25169678657122202</v>
      </c>
      <c r="BC29" s="59">
        <f>IF(C29&lt;0,Parameters!$B$6*AC29^2/AF29,0)</f>
        <v>0</v>
      </c>
      <c r="BD29" s="59">
        <f>Parameters!$B$5*AD29^2/AG29</f>
        <v>2.9831449087284276E-2</v>
      </c>
      <c r="BE29" s="59">
        <f t="shared" si="14"/>
        <v>0</v>
      </c>
      <c r="BF29" s="59">
        <f t="shared" si="15"/>
        <v>4.7885160060519329E-2</v>
      </c>
      <c r="BG29" s="59"/>
      <c r="BH29" s="62" t="e">
        <f t="shared" si="3"/>
        <v>#NUM!</v>
      </c>
      <c r="BI29" s="63" t="e">
        <f>BH29/Parameters!$B$45</f>
        <v>#NUM!</v>
      </c>
      <c r="BJ29" s="63" t="e">
        <f t="shared" si="24"/>
        <v>#NUM!</v>
      </c>
      <c r="BM29" s="53">
        <f>-EXP(-Parameters!B$42*'6states,BAU'!A29)*(-Parameters!B$37/Parameters!B$38/Parameters!E$25*(EXP(-Parameters!B$38*Parameters!E$25*'6states,BAU'!I29/('6states,BAU'!F29+'6states,BAU'!I29))-EXP(-Parameters!B$38*Parameters!E$25))+Parameters!B$37*'6states,BAU'!F29/('6states,BAU'!F29+'6states,BAU'!I29)*EXP(-Parameters!B$38*Parameters!E$25*'6states,BAU'!I29/('6states,BAU'!F29+'6states,BAU'!I29)))</f>
        <v>-4.6539002413260331</v>
      </c>
      <c r="BN29" s="53">
        <f>-J29*K29*EXP(-Parameters!B$42*'6states,BAU'!A29)*(-Parameters!B$37/Parameters!B$38/Parameters!E$25*(EXP(-Parameters!B$38*Parameters!E$25*'6states,BAU'!I29/('6states,BAU'!F29+'6states,BAU'!I29))-EXP(-Parameters!B$38*Parameters!E$25)) + Parameters!B$37*'6states,BAU'!F29/('6states,BAU'!F29+'6states,BAU'!I29)*EXP(-Parameters!B$38*Parameters!E$25*'6states,BAU'!I29/('6states,BAU'!F29+'6states,BAU'!I29)))</f>
        <v>-606.35233378868338</v>
      </c>
      <c r="BO29" s="54">
        <f t="shared" si="4"/>
        <v>0</v>
      </c>
      <c r="BU29" s="53" t="e">
        <f>EXP(-Parameters!$B$56*A29)*BH29*BN29</f>
        <v>#NUM!</v>
      </c>
      <c r="BV29" s="53" t="e">
        <f>-EXP((Parameters!$B$56)*F29)*SUM(BU29:BU37)</f>
        <v>#NUM!</v>
      </c>
      <c r="BW29" s="53">
        <f>X29^-Parameters!B$52/(1-2*Parameters!B$5*'6states,BAU'!D29/'6states,BAU'!G29)</f>
        <v>0.98161893497913288</v>
      </c>
      <c r="BX29" s="53">
        <f t="shared" si="16"/>
        <v>1.003864672567897</v>
      </c>
      <c r="BY29" s="53">
        <f>$X29^-Parameters!$B$52/(1-2*Parameters!$B$5*'6states,BAU'!$E29/'6states,BAU'!$H29)</f>
        <v>1.0275268106295989</v>
      </c>
      <c r="BZ29" s="53">
        <f t="shared" si="17"/>
        <v>1.0036007535886882</v>
      </c>
      <c r="CA29" s="54">
        <f>($X29^-Parameters!$B$52*(1/(1+EXP(-C29)) + IF(C29&lt;0,2*Parameters!$B$6*C29/F29,0)) + BS29*(1/(1+EXP((C29-Parameters!$B$22)*Parameters!$B$21))))/(1-IF(C29&gt;0,2*Parameters!$B$5*C29/F29,0))</f>
        <v>0.53048821219188647</v>
      </c>
      <c r="CB29" s="53">
        <f t="shared" si="18"/>
        <v>1.0035570684744901</v>
      </c>
      <c r="CC29" s="54">
        <f t="shared" si="19"/>
        <v>1.8802945591771536E-3</v>
      </c>
      <c r="CD29" s="53" t="e">
        <f>(1/$T29-1/Parameters!$B$13) * LN(Parameters!$B$18) / LN(P29)</f>
        <v>#DIV/0!</v>
      </c>
      <c r="CE29" s="53">
        <f>(Parameters!$B$18*'6states,BAU'!T29^+Parameters!$B$19*Parameters!$B$25^'6states,BAU'!T29)^((1-'6states,BAU'!T29)/'6states,BAU'!T29)*Parameters!$B$18*Parameters!$B$26^('6states,BAU'!T29-1)</f>
        <v>0.22493239458173581</v>
      </c>
      <c r="CF29" s="53" t="e">
        <f t="shared" si="20"/>
        <v>#DIV/0!</v>
      </c>
      <c r="CG29" s="53" t="e">
        <f t="shared" si="21"/>
        <v>#DIV/0!</v>
      </c>
      <c r="CH29" s="53">
        <f t="shared" si="21"/>
        <v>0.14436487976294887</v>
      </c>
    </row>
    <row r="30" spans="1:86" x14ac:dyDescent="0.3">
      <c r="A30">
        <f>A29+Parameters!$B$65</f>
        <v>26</v>
      </c>
      <c r="B30">
        <v>2051</v>
      </c>
      <c r="C30" s="74">
        <v>5.8657206832589001E-2</v>
      </c>
      <c r="D30" s="69">
        <v>4.7063922719815998E-3</v>
      </c>
      <c r="E30" s="75">
        <v>0.304079750647825</v>
      </c>
      <c r="F30" s="7">
        <f>MAX((1-Parameters!$B$4)^Parameters!B$65*F29 + C29*Parameters!B$65 - IF(C29&gt;0,Parameters!$B$5,0)*C29^2/F29*Parameters!B$65, 0.0001)</f>
        <v>0.8454199744859443</v>
      </c>
      <c r="G30" s="7">
        <f>(1-Parameters!$B$4)^Parameters!B$65*G29+D29*Parameters!B$65-Parameters!$B$5*D29^2/G29*Parameters!B$65</f>
        <v>9.8125521035243607E-2</v>
      </c>
      <c r="H30" s="7">
        <f>(1-Parameters!$B$4)^Parameters!B$65*H29+E29*Parameters!B$65-Parameters!$B$5*E29^2/H29*Parameters!B$65</f>
        <v>4.4677771780310831</v>
      </c>
      <c r="I30" s="7">
        <f>I29 *(1-Parameters!$B$4)-C29*(C29&lt;0)*Parameters!B$65</f>
        <v>0</v>
      </c>
      <c r="J30" s="23">
        <f>J29*(1+Parameters!$B$51)^Parameters!B$65</f>
        <v>8.7980934965097841</v>
      </c>
      <c r="K30" s="23">
        <f>K29*(1+Parameters!$B$53)^Parameters!B$65</f>
        <v>15.148764491558634</v>
      </c>
      <c r="L30" s="23">
        <f>J30*K30*EXP(-Parameters!$B$42*'6states,BAU'!A30)*(Parameters!$B$37/Parameters!$B$38*('6states,BAU'!F30+'6states,BAU'!I30)/Parameters!$E$25*(EXP(-Parameters!$B$38*Parameters!$E$25*'6states,BAU'!I30/('6states,BAU'!F30+'6states,BAU'!I30))-EXP(-Parameters!$B$38*Parameters!$E$25))  +  Parameters!$B$39*'6states,BAU'!F30)</f>
        <v>79.119688700214127</v>
      </c>
      <c r="M30" s="8">
        <f>M29+L30*Parameters!B$65</f>
        <v>4017.8230237562771</v>
      </c>
      <c r="N30" s="7">
        <f>M30*Parameters!$B$45</f>
        <v>2.4106938142537659</v>
      </c>
      <c r="O30" s="9">
        <f>EXP(-Parameters!$B$46/2*N30^2)</f>
        <v>0.9432678287665176</v>
      </c>
      <c r="P30" s="7">
        <f>MAX((Parameters!$B$62 + Parameters!$B$31*'6states,BAU'!A30 - '6states,BAU'!M30 + Parameters!$B$47/Parameters!$B$45)/Parameters!B$62,1)</f>
        <v>1</v>
      </c>
      <c r="Q30" s="7">
        <f>Parameters!B$61*EXP(-Parameters!B$60*A30)</f>
        <v>0.24779656284632573</v>
      </c>
      <c r="R30" s="7">
        <f>(1-Parameters!B$61)*P30^-Parameters!B$63</f>
        <v>0.5</v>
      </c>
      <c r="S30" s="7">
        <f>Parameters!B$61*EXP(-Parameters!B$60*A30)+(1-Parameters!B$61)*P30^-Parameters!B$63</f>
        <v>0.74779656284632567</v>
      </c>
      <c r="T30" s="7">
        <f>1-S30/Parameters!$B$12</f>
        <v>0.62610171857683716</v>
      </c>
      <c r="U30" s="7">
        <f t="shared" si="0"/>
        <v>2.6745241946384897</v>
      </c>
      <c r="V30" s="7">
        <f>(Parameters!$B$19*(F30+Parameters!$B$20)^T30+Parameters!$B$18*G30^T30)^(1/T30)</f>
        <v>0.56873671769637968</v>
      </c>
      <c r="W30" s="7">
        <f>(Parameters!$B$10*H30^Parameters!$B$9+Parameters!$B$11*V30^Parameters!$B$9)^(Parameters!$B$7/Parameters!$B$9)*O30</f>
        <v>1.4566798175425701</v>
      </c>
      <c r="X30" s="7">
        <f>W30 - D30 - E30 - LN(1+EXP(Parameters!$B$21*C30))/Parameters!$B$21 - IF(C30&gt;0, 0,Parameters!$B$6*C30^2/F30)</f>
        <v>1.0892364677142243</v>
      </c>
      <c r="Y30" s="7">
        <f>EXP(-Parameters!$B$55*A30)</f>
        <v>0.67529881309466844</v>
      </c>
      <c r="Z30" s="7">
        <f>IF(X30&gt;0,X30^(1-Parameters!$B$52)/(1-Parameters!$B$52)*Y30*Parameters!$B$65,-10+X30*1000)</f>
        <v>-1.8725575825678966</v>
      </c>
      <c r="AB30" s="9"/>
      <c r="AC30" s="23">
        <f t="shared" si="6"/>
        <v>7.8178469770463019</v>
      </c>
      <c r="AD30" s="23">
        <f t="shared" si="6"/>
        <v>0.62726912144516489</v>
      </c>
      <c r="AE30" s="23">
        <f t="shared" si="7"/>
        <v>0</v>
      </c>
      <c r="AF30" s="23">
        <f t="shared" si="8"/>
        <v>112.67778247152138</v>
      </c>
      <c r="AG30" s="23">
        <f t="shared" si="9"/>
        <v>13.07819361712715</v>
      </c>
      <c r="AH30" s="23">
        <f t="shared" si="10"/>
        <v>75.80136984476367</v>
      </c>
      <c r="AI30" s="23">
        <f t="shared" si="11"/>
        <v>186.55294220862709</v>
      </c>
      <c r="AJ30" s="23">
        <f t="shared" si="12"/>
        <v>194.14664494001266</v>
      </c>
      <c r="AK30" s="23">
        <f t="shared" si="13"/>
        <v>145.17370475399409</v>
      </c>
      <c r="AL30" s="9">
        <f t="shared" si="22"/>
        <v>2.0597104860372362E-2</v>
      </c>
      <c r="AM30" s="9">
        <f t="shared" si="22"/>
        <v>1.9861336519451989E-2</v>
      </c>
      <c r="AN30" s="9">
        <f t="shared" si="27"/>
        <v>2.0595325043390032E-2</v>
      </c>
      <c r="AO30" s="9">
        <f t="shared" si="27"/>
        <v>1.9859507888159555E-2</v>
      </c>
      <c r="AP30" s="23"/>
      <c r="AQ30" s="8">
        <f t="shared" si="1"/>
        <v>194.14664494001264</v>
      </c>
      <c r="AR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-2.0500099711775435E-3</v>
      </c>
      <c r="AS30" s="32">
        <f>((C31-C29)/2-(F31-F29)/F30/2*C30)/(F30/2/Parameters!$B$5-C30)-((D31-D29)/D30-(G31-G29)/G30)/(G30/2/Parameters!$B$5/D30-1)</f>
        <v>-5.3181583164934286E-4</v>
      </c>
      <c r="AT30" s="32">
        <f>+Parameters!$B$5*C30^2/F30^2-Parameters!$B$5*D30^2/G30^2</f>
        <v>2.5134602581931022E-3</v>
      </c>
      <c r="AU30" s="30">
        <f>EXP(-Parameters!$B$42*'6states,BAU'!A30)*(Parameters!$B$37*EXP(-Parameters!$B$38*Parameters!$E$25*'6states,BAU'!I30/('6states,BAU'!F30+'6states,BAU'!I30))*(1/Parameters!$B$38/Parameters!$E$25+'6states,BAU'!I30/('6states,BAU'!F30+'6states,BAU'!I30))-Parameters!$B$37/Parameters!$B$38/Parameters!$E$25*EXP(-Parameters!$B$38*Parameters!$E$25)+Parameters!$B$39)</f>
        <v>0.70217648026762614</v>
      </c>
      <c r="AV30" s="30">
        <f>J30*K30*EXP(-Parameters!$B$42*'6states,BAU'!A30)*(Parameters!$B$37*EXP(-Parameters!$B$38*Parameters!$E$25*'6states,BAU'!I30/('6states,BAU'!F30+'6states,BAU'!I30))*(1/Parameters!$B$38/Parameters!$E$25+'6states,BAU'!I30/('6states,BAU'!F30+'6states,BAU'!I30))-Parameters!$B$37/Parameters!$B$38/Parameters!$E$25*EXP(-Parameters!$B$38*Parameters!$E$25)+Parameters!$B$39)</f>
        <v>93.586254273590669</v>
      </c>
      <c r="AW30" s="8">
        <f>1000*(AR30+AS30+AT30)/(EXP(-Parameters!$B$42*A30)*((C30&lt;0)*Parameters!$B$37*EXP(-Parameters!$B$38*AF30)+(C30&gt;=0)*Parameters!$B$41))</f>
        <v>-9.7362339176794196E-2</v>
      </c>
      <c r="AX30" s="13">
        <f>1-W30/'6states,ExoDamages'!T30</f>
        <v>1.8180065965994752E-2</v>
      </c>
      <c r="AY30" s="21">
        <f>-Y30*W30*X30^(-Parameters!B$52)*Parameters!B$46*Parameters!B$45*N30</f>
        <v>-2.548205900863033E-5</v>
      </c>
      <c r="AZ30" s="7">
        <f>1000*EXP(-(Parameters!$B$54)*'6states,BAU'!A30)*AQ30*Parameters!B$46*Parameters!B$45*N30</f>
        <v>2.2661158426469363</v>
      </c>
      <c r="BA30" s="7">
        <f>SUM(AZ30:AZ$204)*EXP(Parameters!$B$54*A30)</f>
        <v>523.0827192766144</v>
      </c>
      <c r="BB30" s="13">
        <f t="shared" si="26"/>
        <v>0.25224716188645718</v>
      </c>
      <c r="BC30" s="30">
        <f>IF(C30&lt;0,Parameters!$B$6*AC30^2/AF30,0)</f>
        <v>0</v>
      </c>
      <c r="BD30" s="30">
        <f>Parameters!$B$5*AD30^2/AG30</f>
        <v>3.0085695489574859E-2</v>
      </c>
      <c r="BE30" s="30">
        <f t="shared" si="14"/>
        <v>0</v>
      </c>
      <c r="BF30" s="30">
        <f t="shared" si="15"/>
        <v>4.7962978665776576E-2</v>
      </c>
      <c r="BG30" s="30"/>
      <c r="BH30" s="5" t="e">
        <f t="shared" si="3"/>
        <v>#NUM!</v>
      </c>
      <c r="BI30" s="2" t="e">
        <f>BH30/Parameters!$B$45</f>
        <v>#NUM!</v>
      </c>
      <c r="BJ30" s="2" t="e">
        <f t="shared" si="24"/>
        <v>#NUM!</v>
      </c>
      <c r="BM30">
        <f>-EXP(-Parameters!B$42*'6states,BAU'!A30)*(-Parameters!B$37/Parameters!B$38/Parameters!E$25*(EXP(-Parameters!B$38*Parameters!E$25*'6states,BAU'!I30/('6states,BAU'!F30+'6states,BAU'!I30))-EXP(-Parameters!B$38*Parameters!E$25))+Parameters!B$37*'6states,BAU'!F30/('6states,BAU'!F30+'6states,BAU'!I30)*EXP(-Parameters!B$38*Parameters!E$25*'6states,BAU'!I30/('6states,BAU'!F30+'6states,BAU'!I30)))</f>
        <v>-4.6075931602100519</v>
      </c>
      <c r="BN30">
        <f>-J30*K30*EXP(-Parameters!B$42*'6states,BAU'!A30)*(-Parameters!B$37/Parameters!B$38/Parameters!E$25*(EXP(-Parameters!B$38*Parameters!E$25*'6states,BAU'!I30/('6states,BAU'!F30+'6states,BAU'!I30))-EXP(-Parameters!B$38*Parameters!E$25)) + Parameters!B$37*'6states,BAU'!F30/('6states,BAU'!F30+'6states,BAU'!I30)*EXP(-Parameters!B$38*Parameters!E$25*'6states,BAU'!I30/('6states,BAU'!F30+'6states,BAU'!I30)))</f>
        <v>-614.10115148876184</v>
      </c>
      <c r="BO30" s="7">
        <f t="shared" si="4"/>
        <v>0</v>
      </c>
      <c r="BU30" t="e">
        <f>EXP(-Parameters!$B$56*A30)*BH30*BN30</f>
        <v>#NUM!</v>
      </c>
      <c r="BV30" t="e">
        <f>-EXP((Parameters!$B$56)*F30)*SUM(BU30:BU38)</f>
        <v>#NUM!</v>
      </c>
      <c r="BW30">
        <f>X30^-Parameters!B$52/(1-2*Parameters!B$5*'6states,BAU'!D30/'6states,BAU'!G30)</f>
        <v>0.98555545507430931</v>
      </c>
      <c r="BX30">
        <f t="shared" si="16"/>
        <v>1.0040102324383751</v>
      </c>
      <c r="BY30">
        <f>$X30^-Parameters!$B$52/(1-2*Parameters!$B$5*'6states,BAU'!$E30/'6states,BAU'!$H30)</f>
        <v>1.0314122492892048</v>
      </c>
      <c r="BZ30">
        <f t="shared" si="17"/>
        <v>1.0037813501500998</v>
      </c>
      <c r="CA30" s="7">
        <f>($X30^-Parameters!$B$52*(1/(1+EXP(-C30)) + IF(C30&lt;0,2*Parameters!$B$6*C30/F30,0)) + BS30*(1/(1+EXP((C30-Parameters!$B$22)*Parameters!$B$21))))/(1-IF(C30&gt;0,2*Parameters!$B$5*C30/F30,0))</f>
        <v>0.53245599570112068</v>
      </c>
      <c r="CB30">
        <f t="shared" si="18"/>
        <v>1.003709382157812</v>
      </c>
      <c r="CC30" s="7">
        <f t="shared" si="19"/>
        <v>1.9677835092342111E-3</v>
      </c>
      <c r="CD30" t="e">
        <f>(1/$T30-1/Parameters!$B$13) * LN(Parameters!$B$18) / LN(P30)</f>
        <v>#DIV/0!</v>
      </c>
      <c r="CE30">
        <f>(Parameters!$B$18*'6states,BAU'!T30^+Parameters!$B$19*Parameters!$B$25^'6states,BAU'!T30)^((1-'6states,BAU'!T30)/'6states,BAU'!T30)*Parameters!$B$18*Parameters!$B$26^('6states,BAU'!T30-1)</f>
        <v>0.22717166920720425</v>
      </c>
      <c r="CF30" t="e">
        <f t="shared" si="20"/>
        <v>#DIV/0!</v>
      </c>
      <c r="CG30" t="e">
        <f t="shared" si="21"/>
        <v>#DIV/0!</v>
      </c>
      <c r="CH30">
        <f t="shared" si="21"/>
        <v>0.14569192100859429</v>
      </c>
    </row>
    <row r="31" spans="1:86" x14ac:dyDescent="0.3">
      <c r="A31">
        <f>A30+Parameters!$B$65</f>
        <v>27</v>
      </c>
      <c r="B31">
        <v>2052</v>
      </c>
      <c r="C31" s="74">
        <v>5.8698523080839303E-2</v>
      </c>
      <c r="D31" s="69">
        <v>4.6343173349396496E-3</v>
      </c>
      <c r="E31" s="75">
        <v>0.30414710098588998</v>
      </c>
      <c r="F31" s="7">
        <f>MAX((1-Parameters!$B$4)^Parameters!B$65*F30 + C30*Parameters!B$65 - IF(C30&gt;0,Parameters!$B$5,0)*C30^2/F30*Parameters!B$65, 0.0001)</f>
        <v>0.84683049129932553</v>
      </c>
      <c r="G31" s="7">
        <f>(1-Parameters!$B$4)^Parameters!B$65*G30+D30*Parameters!B$65-Parameters!$B$5*D30^2/G30*Parameters!B$65</f>
        <v>9.6434085441974543E-2</v>
      </c>
      <c r="H31" s="7">
        <f>(1-Parameters!$B$4)^Parameters!B$65*H30+E30*Parameters!B$65-Parameters!$B$5*E30^2/H30*Parameters!B$65</f>
        <v>4.470137883337757</v>
      </c>
      <c r="I31" s="7">
        <f>I30 *(1-Parameters!$B$4)-C30*(C30&lt;0)*Parameters!B$65</f>
        <v>0</v>
      </c>
      <c r="J31" s="23">
        <f>J30*(1+Parameters!$B$51)^Parameters!B$65</f>
        <v>8.8236079676496608</v>
      </c>
      <c r="K31" s="23">
        <f>K30*(1+Parameters!$B$53)^Parameters!B$65</f>
        <v>15.451739781389806</v>
      </c>
      <c r="L31" s="23">
        <f>J31*K31*EXP(-Parameters!$B$42*'6states,BAU'!A31)*(Parameters!$B$37/Parameters!$B$38*('6states,BAU'!F31+'6states,BAU'!I31)/Parameters!$E$25*(EXP(-Parameters!$B$38*Parameters!$E$25*'6states,BAU'!I31/('6states,BAU'!F31+'6states,BAU'!I31))-EXP(-Parameters!$B$38*Parameters!$E$25))  +  Parameters!$B$39*'6states,BAU'!F31)</f>
        <v>80.264482607863712</v>
      </c>
      <c r="M31" s="8">
        <f>M30+L31*Parameters!B$65</f>
        <v>4098.0875063641406</v>
      </c>
      <c r="N31" s="7">
        <f>M31*Parameters!$B$45</f>
        <v>2.4588525038184841</v>
      </c>
      <c r="O31" s="9">
        <f>EXP(-Parameters!$B$46/2*N31^2)</f>
        <v>0.94104731961904753</v>
      </c>
      <c r="P31" s="7">
        <f>MAX((Parameters!$B$62 + Parameters!$B$31*'6states,BAU'!A31 - '6states,BAU'!M31 + Parameters!$B$47/Parameters!$B$45)/Parameters!B$62,1)</f>
        <v>1</v>
      </c>
      <c r="Q31" s="7">
        <f>Parameters!B$61*EXP(-Parameters!B$60*A31)</f>
        <v>0.24119557005756295</v>
      </c>
      <c r="R31" s="7">
        <f>(1-Parameters!B$61)*P31^-Parameters!B$63</f>
        <v>0.5</v>
      </c>
      <c r="S31" s="7">
        <f>Parameters!B$61*EXP(-Parameters!B$60*A31)+(1-Parameters!B$61)*P31^-Parameters!B$63</f>
        <v>0.74119557005756298</v>
      </c>
      <c r="T31" s="7">
        <f>1-S31/Parameters!$B$12</f>
        <v>0.62940221497121851</v>
      </c>
      <c r="U31" s="7">
        <f t="shared" si="0"/>
        <v>2.6983431644696356</v>
      </c>
      <c r="V31" s="7">
        <f>(Parameters!$B$19*(F31+Parameters!$B$20)^T31+Parameters!$B$18*G31^T31)^(1/T31)</f>
        <v>0.56915842501370528</v>
      </c>
      <c r="W31" s="7">
        <f>(Parameters!$B$10*H31^Parameters!$B$9+Parameters!$B$11*V31^Parameters!$B$9)^(Parameters!$B$7/Parameters!$B$9)*O31</f>
        <v>1.4534973512002911</v>
      </c>
      <c r="X31" s="7">
        <f>W31 - D31 - E31 - LN(1+EXP(Parameters!$B$21*C31))/Parameters!$B$21 - IF(C31&gt;0, 0,Parameters!$B$6*C31^2/F31)</f>
        <v>1.0860174097236075</v>
      </c>
      <c r="Y31" s="7">
        <f>EXP(-Parameters!$B$55*A31)</f>
        <v>0.66517840241309079</v>
      </c>
      <c r="Z31" s="7">
        <f>IF(X31&gt;0,X31^(1-Parameters!$B$52)/(1-Parameters!$B$52)*Y31*Parameters!$B$65,-10+X31*1000)</f>
        <v>-1.8464060724767672</v>
      </c>
      <c r="AB31" s="9"/>
      <c r="AC31" s="23">
        <f t="shared" si="6"/>
        <v>8.0029621691257944</v>
      </c>
      <c r="AD31" s="23">
        <f t="shared" si="6"/>
        <v>0.63184326222600395</v>
      </c>
      <c r="AE31" s="23">
        <f t="shared" si="7"/>
        <v>0</v>
      </c>
      <c r="AF31" s="23">
        <f t="shared" si="8"/>
        <v>115.45694899677891</v>
      </c>
      <c r="AG31" s="23">
        <f t="shared" si="9"/>
        <v>13.147832297986531</v>
      </c>
      <c r="AH31" s="23">
        <f t="shared" si="10"/>
        <v>77.599113309049457</v>
      </c>
      <c r="AI31" s="23">
        <f t="shared" si="11"/>
        <v>190.97732574266701</v>
      </c>
      <c r="AJ31" s="23">
        <f t="shared" si="12"/>
        <v>198.16996585349443</v>
      </c>
      <c r="AK31" s="23">
        <f t="shared" si="13"/>
        <v>148.06771599790216</v>
      </c>
      <c r="AL31" s="9">
        <f t="shared" si="22"/>
        <v>2.0511300603819116E-2</v>
      </c>
      <c r="AM31" s="9">
        <f t="shared" si="22"/>
        <v>1.9738720395607423E-2</v>
      </c>
      <c r="AN31" s="9">
        <f t="shared" si="27"/>
        <v>2.0509391015884049E-2</v>
      </c>
      <c r="AO31" s="9">
        <f t="shared" si="27"/>
        <v>1.9742734231562586E-2</v>
      </c>
      <c r="AP31" s="23"/>
      <c r="AQ31" s="8">
        <f t="shared" si="1"/>
        <v>198.16996585349443</v>
      </c>
      <c r="AR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-2.0124741976437961E-3</v>
      </c>
      <c r="AS31" s="32">
        <f>((C32-C30)/2-(F32-F30)/F31/2*C31)/(F31/2/Parameters!$B$5-C31)-((D32-D30)/D31-(G32-G30)/G31)/(G31/2/Parameters!$B$5/D31-1)</f>
        <v>-5.6771994331709951E-4</v>
      </c>
      <c r="AT31" s="32">
        <f>+Parameters!$B$5*C31^2/F31^2-Parameters!$B$5*D31^2/G31^2</f>
        <v>2.4951859783321523E-3</v>
      </c>
      <c r="AU31" s="30">
        <f>EXP(-Parameters!$B$42*'6states,BAU'!A31)*(Parameters!$B$37*EXP(-Parameters!$B$38*Parameters!$E$25*'6states,BAU'!I31/('6states,BAU'!F31+'6states,BAU'!I31))*(1/Parameters!$B$38/Parameters!$E$25+'6states,BAU'!I31/('6states,BAU'!F31+'6states,BAU'!I31))-Parameters!$B$37/Parameters!$B$38/Parameters!$E$25*EXP(-Parameters!$B$38*Parameters!$E$25)+Parameters!$B$39)</f>
        <v>0.6951897075515393</v>
      </c>
      <c r="AV31" s="30">
        <f>J31*K31*EXP(-Parameters!$B$42*'6states,BAU'!A31)*(Parameters!$B$37*EXP(-Parameters!$B$38*Parameters!$E$25*'6states,BAU'!I31/('6states,BAU'!F31+'6states,BAU'!I31))*(1/Parameters!$B$38/Parameters!$E$25+'6states,BAU'!I31/('6states,BAU'!F31+'6states,BAU'!I31))-Parameters!$B$37/Parameters!$B$38/Parameters!$E$25*EXP(-Parameters!$B$38*Parameters!$E$25)+Parameters!$B$39)</f>
        <v>94.782230248595255</v>
      </c>
      <c r="AW31" s="8">
        <f>1000*(AR31+AS31+AT31)/(EXP(-Parameters!$B$42*A31)*((C31&lt;0)*Parameters!$B$37*EXP(-Parameters!$B$38*AF31)+(C31&gt;=0)*Parameters!$B$41))</f>
        <v>-0.122280525308901</v>
      </c>
      <c r="AX31" s="13">
        <f>1-W31/'6states,ExoDamages'!T31</f>
        <v>1.9868745984641167E-2</v>
      </c>
      <c r="AY31" s="21">
        <f>-Y31*W31*X31^(-Parameters!B$52)*Parameters!B$46*Parameters!B$45*N31</f>
        <v>-2.5647941075148232E-5</v>
      </c>
      <c r="AZ31" s="7">
        <f>1000*EXP(-(Parameters!$B$54)*'6states,BAU'!A31)*AQ31*Parameters!B$46*Parameters!B$45*N31</f>
        <v>2.2779109374459772</v>
      </c>
      <c r="BA31" s="7">
        <f>SUM(AZ31:AZ$204)*EXP(Parameters!$B$54*A31)</f>
        <v>535.92289138189244</v>
      </c>
      <c r="BB31" s="13">
        <f t="shared" si="26"/>
        <v>0.25282463782834264</v>
      </c>
      <c r="BC31" s="30">
        <f>IF(C31&lt;0,Parameters!$B$6*AC31^2/AF31,0)</f>
        <v>0</v>
      </c>
      <c r="BD31" s="30">
        <f>Parameters!$B$5*AD31^2/AG31</f>
        <v>3.036439003572753E-2</v>
      </c>
      <c r="BE31" s="30">
        <f t="shared" si="14"/>
        <v>0</v>
      </c>
      <c r="BF31" s="30">
        <f t="shared" si="15"/>
        <v>4.8056839173615327E-2</v>
      </c>
      <c r="BG31" s="30"/>
      <c r="BH31" s="5" t="e">
        <f t="shared" si="3"/>
        <v>#NUM!</v>
      </c>
      <c r="BI31" s="2" t="e">
        <f>BH31/Parameters!$B$45</f>
        <v>#NUM!</v>
      </c>
      <c r="BJ31" s="2" t="e">
        <f t="shared" si="24"/>
        <v>#NUM!</v>
      </c>
      <c r="BM31">
        <f>-EXP(-Parameters!B$42*'6states,BAU'!A31)*(-Parameters!B$37/Parameters!B$38/Parameters!E$25*(EXP(-Parameters!B$38*Parameters!E$25*'6states,BAU'!I31/('6states,BAU'!F31+'6states,BAU'!I31))-EXP(-Parameters!B$38*Parameters!E$25))+Parameters!B$37*'6states,BAU'!F31/('6states,BAU'!F31+'6states,BAU'!I31)*EXP(-Parameters!B$38*Parameters!E$25*'6states,BAU'!I31/('6states,BAU'!F31+'6states,BAU'!I31)))</f>
        <v>-4.5617468422497662</v>
      </c>
      <c r="BN31">
        <f>-J31*K31*EXP(-Parameters!B$42*'6states,BAU'!A31)*(-Parameters!B$37/Parameters!B$38/Parameters!E$25*(EXP(-Parameters!B$38*Parameters!E$25*'6states,BAU'!I31/('6states,BAU'!F31+'6states,BAU'!I31))-EXP(-Parameters!B$38*Parameters!E$25)) + Parameters!B$37*'6states,BAU'!F31/('6states,BAU'!F31+'6states,BAU'!I31)*EXP(-Parameters!B$38*Parameters!E$25*'6states,BAU'!I31/('6states,BAU'!F31+'6states,BAU'!I31)))</f>
        <v>-621.94899441296002</v>
      </c>
      <c r="BO31" s="7">
        <f t="shared" si="4"/>
        <v>0</v>
      </c>
      <c r="BU31" t="e">
        <f>EXP(-Parameters!$B$56*A31)*BH31*BN31</f>
        <v>#NUM!</v>
      </c>
      <c r="BV31" t="e">
        <f>-EXP((Parameters!$B$56)*F31)*SUM(BU31:BU39)</f>
        <v>#NUM!</v>
      </c>
      <c r="BW31">
        <f>X31^-Parameters!B$52/(1-2*Parameters!B$5*'6states,BAU'!D31/'6states,BAU'!G31)</f>
        <v>0.98970672817350336</v>
      </c>
      <c r="BX31">
        <f t="shared" si="16"/>
        <v>1.0042121151862338</v>
      </c>
      <c r="BY31">
        <f>$X31^-Parameters!$B$52/(1-2*Parameters!$B$5*'6states,BAU'!$E31/'6states,BAU'!$H31)</f>
        <v>1.0354915656670793</v>
      </c>
      <c r="BZ31">
        <f t="shared" si="17"/>
        <v>1.0039550784671074</v>
      </c>
      <c r="CA31" s="7">
        <f>($X31^-Parameters!$B$52*(1/(1+EXP(-C31)) + IF(C31&lt;0,2*Parameters!$B$6*C31/F31,0)) + BS31*(1/(1+EXP((C31-Parameters!$B$22)*Parameters!$B$21))))/(1-IF(C31&gt;0,2*Parameters!$B$5*C31/F31,0))</f>
        <v>0.53451556859157912</v>
      </c>
      <c r="CB31">
        <f t="shared" si="18"/>
        <v>1.0038680621630458</v>
      </c>
      <c r="CC31" s="7">
        <f t="shared" si="19"/>
        <v>2.0595728904584387E-3</v>
      </c>
      <c r="CD31" t="e">
        <f>(1/$T31-1/Parameters!$B$13) * LN(Parameters!$B$18) / LN(P31)</f>
        <v>#DIV/0!</v>
      </c>
      <c r="CE31">
        <f>(Parameters!$B$18*'6states,BAU'!T31^+Parameters!$B$19*Parameters!$B$25^'6states,BAU'!T31)^((1-'6states,BAU'!T31)/'6states,BAU'!T31)*Parameters!$B$18*Parameters!$B$26^('6states,BAU'!T31-1)</f>
        <v>0.229324325828966</v>
      </c>
      <c r="CF31" t="e">
        <f t="shared" si="20"/>
        <v>#DIV/0!</v>
      </c>
      <c r="CG31" t="e">
        <f t="shared" si="21"/>
        <v>#DIV/0!</v>
      </c>
      <c r="CH31">
        <f t="shared" si="21"/>
        <v>0.14696569027812867</v>
      </c>
    </row>
    <row r="32" spans="1:86" x14ac:dyDescent="0.3">
      <c r="A32">
        <f>A31+Parameters!$B$65</f>
        <v>28</v>
      </c>
      <c r="B32">
        <v>2053</v>
      </c>
      <c r="C32" s="74">
        <v>5.8747842958500003E-2</v>
      </c>
      <c r="D32" s="69">
        <v>4.5642833237402401E-3</v>
      </c>
      <c r="E32" s="75">
        <v>0.30418841693236298</v>
      </c>
      <c r="F32" s="7">
        <f>MAX((1-Parameters!$B$4)^Parameters!B$65*F31 + C31*Parameters!B$65 - IF(C31&gt;0,Parameters!$B$5,0)*C31^2/F31*Parameters!B$65, 0.0001)</f>
        <v>0.84819465593977073</v>
      </c>
      <c r="G32" s="7">
        <f>(1-Parameters!$B$4)^Parameters!B$65*G31+D31*Parameters!B$65-Parameters!$B$5*D31^2/G31*Parameters!B$65</f>
        <v>9.4779988159769304E-2</v>
      </c>
      <c r="H32" s="7">
        <f>(1-Parameters!$B$4)^Parameters!B$65*H31+E31*Parameters!B$65-Parameters!$B$5*E31^2/H31*Parameters!B$65</f>
        <v>4.4724192162341412</v>
      </c>
      <c r="I32" s="7">
        <f>I31 *(1-Parameters!$B$4)-C31*(C31&lt;0)*Parameters!B$65</f>
        <v>0</v>
      </c>
      <c r="J32" s="23">
        <f>J31*(1+Parameters!$B$51)^Parameters!B$65</f>
        <v>8.8491964307558444</v>
      </c>
      <c r="K32" s="23">
        <f>K31*(1+Parameters!$B$53)^Parameters!B$65</f>
        <v>15.760774577017603</v>
      </c>
      <c r="L32" s="23">
        <f>J32*K32*EXP(-Parameters!$B$42*'6states,BAU'!A32)*(Parameters!$B$37/Parameters!$B$38*('6states,BAU'!F32+'6states,BAU'!I32)/Parameters!$E$25*(EXP(-Parameters!$B$38*Parameters!$E$25*'6states,BAU'!I32/('6states,BAU'!F32+'6states,BAU'!I32))-EXP(-Parameters!$B$38*Parameters!$E$25))  +  Parameters!$B$39*'6states,BAU'!F32)</f>
        <v>81.421165287794992</v>
      </c>
      <c r="M32" s="8">
        <f>M31+L32*Parameters!B$65</f>
        <v>4179.5086716519354</v>
      </c>
      <c r="N32" s="7">
        <f>M32*Parameters!$B$45</f>
        <v>2.5077052029911608</v>
      </c>
      <c r="O32" s="9">
        <f>EXP(-Parameters!$B$46/2*N32^2)</f>
        <v>0.93875543799121208</v>
      </c>
      <c r="P32" s="7">
        <f>MAX((Parameters!$B$62 + Parameters!$B$31*'6states,BAU'!A32 - '6states,BAU'!M32 + Parameters!$B$47/Parameters!$B$45)/Parameters!B$62,1)</f>
        <v>1</v>
      </c>
      <c r="Q32" s="7">
        <f>Parameters!B$61*EXP(-Parameters!B$60*A32)</f>
        <v>0.23477041952139963</v>
      </c>
      <c r="R32" s="7">
        <f>(1-Parameters!B$61)*P32^-Parameters!B$63</f>
        <v>0.5</v>
      </c>
      <c r="S32" s="7">
        <f>Parameters!B$61*EXP(-Parameters!B$60*A32)+(1-Parameters!B$61)*P32^-Parameters!B$63</f>
        <v>0.73477041952139965</v>
      </c>
      <c r="T32" s="7">
        <f>1-S32/Parameters!$B$12</f>
        <v>0.63261479023930023</v>
      </c>
      <c r="U32" s="7">
        <f t="shared" si="0"/>
        <v>2.7219386448664076</v>
      </c>
      <c r="V32" s="7">
        <f>(Parameters!$B$19*(F32+Parameters!$B$20)^T32+Parameters!$B$18*G32^T32)^(1/T32)</f>
        <v>0.56956450739369513</v>
      </c>
      <c r="W32" s="7">
        <f>(Parameters!$B$10*H32^Parameters!$B$9+Parameters!$B$11*V32^Parameters!$B$9)^(Parameters!$B$7/Parameters!$B$9)*O32</f>
        <v>1.4501948909236844</v>
      </c>
      <c r="X32" s="7">
        <f>W32 - D32 - E32 - LN(1+EXP(Parameters!$B$21*C32))/Parameters!$B$21 - IF(C32&gt;0, 0,Parameters!$B$6*C32^2/F32)</f>
        <v>1.0826943476351683</v>
      </c>
      <c r="Y32" s="7">
        <f>EXP(-Parameters!$B$55*A32)</f>
        <v>0.65520966194087471</v>
      </c>
      <c r="Z32" s="7">
        <f>IF(X32&gt;0,X32^(1-Parameters!$B$52)/(1-Parameters!$B$52)*Y32*Parameters!$B$65,-10+X32*1000)</f>
        <v>-1.8206865937352408</v>
      </c>
      <c r="AB32" s="9"/>
      <c r="AC32" s="23">
        <f t="shared" si="6"/>
        <v>8.1935728273192545</v>
      </c>
      <c r="AD32" s="23">
        <f t="shared" si="6"/>
        <v>0.63658146298243778</v>
      </c>
      <c r="AE32" s="23">
        <f t="shared" si="7"/>
        <v>0</v>
      </c>
      <c r="AF32" s="23">
        <f t="shared" si="8"/>
        <v>118.29786993362242</v>
      </c>
      <c r="AG32" s="23">
        <f t="shared" si="9"/>
        <v>13.218982969436242</v>
      </c>
      <c r="AH32" s="23">
        <f t="shared" si="10"/>
        <v>79.437270139145411</v>
      </c>
      <c r="AI32" s="23">
        <f t="shared" si="11"/>
        <v>195.5011696467752</v>
      </c>
      <c r="AJ32" s="23">
        <f t="shared" si="12"/>
        <v>202.25895716687427</v>
      </c>
      <c r="AK32" s="23">
        <f t="shared" si="13"/>
        <v>151.00358652048399</v>
      </c>
      <c r="AL32" s="9">
        <f t="shared" si="22"/>
        <v>2.0423766686868738E-2</v>
      </c>
      <c r="AM32" s="9">
        <f t="shared" si="22"/>
        <v>1.9633878673408489E-2</v>
      </c>
      <c r="AN32" s="9">
        <f t="shared" si="27"/>
        <v>2.0421404511424868E-2</v>
      </c>
      <c r="AO32" s="9">
        <f t="shared" si="27"/>
        <v>1.9621595901658219E-2</v>
      </c>
      <c r="AP32" s="23"/>
      <c r="AQ32" s="8">
        <f t="shared" si="1"/>
        <v>202.2589571668743</v>
      </c>
      <c r="AR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-1.9773653071323343E-3</v>
      </c>
      <c r="AS32" s="32">
        <f>((C33-C31)/2-(F33-F31)/F32/2*C32)/(F32/2/Parameters!$B$5-C32)-((D33-D31)/D32-(G33-G31)/G32)/(G32/2/Parameters!$B$5/D32-1)</f>
        <v>-5.8143223461826796E-4</v>
      </c>
      <c r="AT32" s="32">
        <f>+Parameters!$B$5*C32^2/F32^2-Parameters!$B$5*D32^2/G32^2</f>
        <v>2.4781953171110695E-3</v>
      </c>
      <c r="AU32" s="30">
        <f>EXP(-Parameters!$B$42*'6states,BAU'!A32)*(Parameters!$B$37*EXP(-Parameters!$B$38*Parameters!$E$25*'6states,BAU'!I32/('6states,BAU'!F32+'6states,BAU'!I32))*(1/Parameters!$B$38/Parameters!$E$25+'6states,BAU'!I32/('6states,BAU'!F32+'6states,BAU'!I32))-Parameters!$B$37/Parameters!$B$38/Parameters!$E$25*EXP(-Parameters!$B$38*Parameters!$E$25)+Parameters!$B$39)</f>
        <v>0.6882724543855343</v>
      </c>
      <c r="AV32" s="30">
        <f>J32*K32*EXP(-Parameters!$B$42*'6states,BAU'!A32)*(Parameters!$B$37*EXP(-Parameters!$B$38*Parameters!$E$25*'6states,BAU'!I32/('6states,BAU'!F32+'6states,BAU'!I32))*(1/Parameters!$B$38/Parameters!$E$25+'6states,BAU'!I32/('6states,BAU'!F32+'6states,BAU'!I32))-Parameters!$B$37/Parameters!$B$38/Parameters!$E$25*EXP(-Parameters!$B$38*Parameters!$E$25)+Parameters!$B$39)</f>
        <v>95.993490076382429</v>
      </c>
      <c r="AW32" s="8">
        <f>1000*(AR32+AS32+AT32)/(EXP(-Parameters!$B$42*A32)*((C32&lt;0)*Parameters!$B$37*EXP(-Parameters!$B$38*AF32)+(C32&gt;=0)*Parameters!$B$41))</f>
        <v>-0.11710802041539189</v>
      </c>
      <c r="AX32" s="13">
        <f>1-W32/'6states,ExoDamages'!T32</f>
        <v>2.1650855075999842E-2</v>
      </c>
      <c r="AY32" s="21">
        <f>-Y32*W32*X32^(-Parameters!B$52)*Parameters!B$46*Parameters!B$45*N32</f>
        <v>-2.5813537754600976E-5</v>
      </c>
      <c r="AZ32" s="7">
        <f>1000*EXP(-(Parameters!$B$54)*'6states,BAU'!A32)*AQ32*Parameters!B$46*Parameters!B$45*N32</f>
        <v>2.289322284354177</v>
      </c>
      <c r="BA32" s="7">
        <f>SUM(AZ32:AZ$204)*EXP(Parameters!$B$54*A32)</f>
        <v>548.98140058466527</v>
      </c>
      <c r="BB32" s="13">
        <f t="shared" si="26"/>
        <v>0.25341458966286118</v>
      </c>
      <c r="BC32" s="30">
        <f>IF(C32&lt;0,Parameters!$B$6*AC32^2/AF32,0)</f>
        <v>0</v>
      </c>
      <c r="BD32" s="30">
        <f>Parameters!$B$5*AD32^2/AG32</f>
        <v>3.0655607920050384E-2</v>
      </c>
      <c r="BE32" s="30">
        <f t="shared" si="14"/>
        <v>0</v>
      </c>
      <c r="BF32" s="30">
        <f t="shared" si="15"/>
        <v>4.8156614200523966E-2</v>
      </c>
      <c r="BG32" s="30"/>
      <c r="BH32" s="5" t="e">
        <f t="shared" si="3"/>
        <v>#NUM!</v>
      </c>
      <c r="BI32" s="2" t="e">
        <f>BH32/Parameters!$B$45</f>
        <v>#NUM!</v>
      </c>
      <c r="BJ32" s="2" t="e">
        <f t="shared" si="24"/>
        <v>#NUM!</v>
      </c>
      <c r="BM32">
        <f>-EXP(-Parameters!B$42*'6states,BAU'!A32)*(-Parameters!B$37/Parameters!B$38/Parameters!E$25*(EXP(-Parameters!B$38*Parameters!E$25*'6states,BAU'!I32/('6states,BAU'!F32+'6states,BAU'!I32))-EXP(-Parameters!B$38*Parameters!E$25))+Parameters!B$37*'6states,BAU'!F32/('6states,BAU'!F32+'6states,BAU'!I32)*EXP(-Parameters!B$38*Parameters!E$25*'6states,BAU'!I32/('6states,BAU'!F32+'6states,BAU'!I32)))</f>
        <v>-4.5163567027751732</v>
      </c>
      <c r="BN32">
        <f>-J32*K32*EXP(-Parameters!B$42*'6states,BAU'!A32)*(-Parameters!B$37/Parameters!B$38/Parameters!E$25*(EXP(-Parameters!B$38*Parameters!E$25*'6states,BAU'!I32/('6states,BAU'!F32+'6states,BAU'!I32))-EXP(-Parameters!B$38*Parameters!E$25)) + Parameters!B$37*'6states,BAU'!F32/('6states,BAU'!F32+'6states,BAU'!I32)*EXP(-Parameters!B$38*Parameters!E$25*'6states,BAU'!I32/('6states,BAU'!F32+'6states,BAU'!I32)))</f>
        <v>-629.8971280440129</v>
      </c>
      <c r="BO32" s="7">
        <f t="shared" si="4"/>
        <v>0</v>
      </c>
      <c r="BU32" t="e">
        <f>EXP(-Parameters!$B$56*A32)*BH32*BN32</f>
        <v>#NUM!</v>
      </c>
      <c r="BV32" t="e">
        <f>-EXP((Parameters!$B$56)*F32)*SUM(BU32:BU40)</f>
        <v>#NUM!</v>
      </c>
      <c r="BW32">
        <f>X32^-Parameters!B$52/(1-2*Parameters!B$5*'6states,BAU'!D32/'6states,BAU'!G32)</f>
        <v>0.99402922065452892</v>
      </c>
      <c r="BX32">
        <f t="shared" si="16"/>
        <v>1.0043674478085065</v>
      </c>
      <c r="BY32">
        <f>$X32^-Parameters!$B$52/(1-2*Parameters!$B$5*'6states,BAU'!$E32/'6states,BAU'!$H32)</f>
        <v>1.0397231160606477</v>
      </c>
      <c r="BZ32">
        <f t="shared" si="17"/>
        <v>1.0040865136268322</v>
      </c>
      <c r="CA32" s="7">
        <f>($X32^-Parameters!$B$52*(1/(1+EXP(-C32)) + IF(C32&lt;0,2*Parameters!$B$6*C32/F32,0)) + BS32*(1/(1+EXP((C32-Parameters!$B$22)*Parameters!$B$21))))/(1-IF(C32&gt;0,2*Parameters!$B$5*C32/F32,0))</f>
        <v>0.53667790478081967</v>
      </c>
      <c r="CB32">
        <f t="shared" si="18"/>
        <v>1.0040454129239644</v>
      </c>
      <c r="CC32" s="7">
        <f t="shared" si="19"/>
        <v>2.1623361892405546E-3</v>
      </c>
      <c r="CD32" t="e">
        <f>(1/$T32-1/Parameters!$B$13) * LN(Parameters!$B$18) / LN(P32)</f>
        <v>#DIV/0!</v>
      </c>
      <c r="CE32">
        <f>(Parameters!$B$18*'6states,BAU'!T32^+Parameters!$B$19*Parameters!$B$25^'6states,BAU'!T32)^((1-'6states,BAU'!T32)/'6states,BAU'!T32)*Parameters!$B$18*Parameters!$B$26^('6states,BAU'!T32-1)</f>
        <v>0.23139379989421124</v>
      </c>
      <c r="CF32" t="e">
        <f t="shared" si="20"/>
        <v>#DIV/0!</v>
      </c>
      <c r="CG32" t="e">
        <f t="shared" si="21"/>
        <v>#DIV/0!</v>
      </c>
      <c r="CH32">
        <f t="shared" si="21"/>
        <v>0.14818844823827104</v>
      </c>
    </row>
    <row r="33" spans="1:86" x14ac:dyDescent="0.3">
      <c r="A33">
        <f>A32+Parameters!$B$65</f>
        <v>29</v>
      </c>
      <c r="B33">
        <v>2054</v>
      </c>
      <c r="C33" s="74">
        <v>5.87842238626715E-2</v>
      </c>
      <c r="D33" s="69">
        <v>4.4957807563096499E-3</v>
      </c>
      <c r="E33" s="75">
        <v>0.30425800923677898</v>
      </c>
      <c r="F33" s="7">
        <f>MAX((1-Parameters!$B$4)^Parameters!B$65*F32 + C32*Parameters!B$65 - IF(C32&gt;0,Parameters!$B$5,0)*C32^2/F32*Parameters!B$65, 0.0001)</f>
        <v>0.8495220491480191</v>
      </c>
      <c r="G33" s="7">
        <f>(1-Parameters!$B$4)^Parameters!B$65*G32+D32*Parameters!B$65-Parameters!$B$5*D32^2/G32*Parameters!B$65</f>
        <v>9.3162809797136828E-2</v>
      </c>
      <c r="H33" s="7">
        <f>(1-Parameters!$B$4)^Parameters!B$65*H32+E32*Parameters!B$65-Parameters!$B$5*E32^2/H32*Parameters!B$65</f>
        <v>4.474603305305175</v>
      </c>
      <c r="I33" s="7">
        <f>I32 *(1-Parameters!$B$4)-C32*(C32&lt;0)*Parameters!B$65</f>
        <v>0</v>
      </c>
      <c r="J33" s="23">
        <f>J32*(1+Parameters!$B$51)^Parameters!B$65</f>
        <v>8.8748591004050361</v>
      </c>
      <c r="K33" s="23">
        <f>K32*(1+Parameters!$B$53)^Parameters!B$65</f>
        <v>16.075990068557957</v>
      </c>
      <c r="L33" s="23">
        <f>J33*K33*EXP(-Parameters!$B$42*'6states,BAU'!A33)*(Parameters!$B$37/Parameters!$B$38*('6states,BAU'!F33+'6states,BAU'!I33)/Parameters!$E$25*(EXP(-Parameters!$B$38*Parameters!$E$25*'6states,BAU'!I33/('6states,BAU'!F33+'6states,BAU'!I33))-EXP(-Parameters!$B$38*Parameters!$E$25))  +  Parameters!$B$39*'6states,BAU'!F33)</f>
        <v>82.590728222762849</v>
      </c>
      <c r="M33" s="8">
        <f>M32+L33*Parameters!B$65</f>
        <v>4262.0993998746981</v>
      </c>
      <c r="N33" s="7">
        <f>M33*Parameters!$B$45</f>
        <v>2.5572596399248186</v>
      </c>
      <c r="O33" s="9">
        <f>EXP(-Parameters!$B$46/2*N33^2)</f>
        <v>0.93639044489411294</v>
      </c>
      <c r="P33" s="7">
        <f>MAX((Parameters!$B$62 + Parameters!$B$31*'6states,BAU'!A33 - '6states,BAU'!M33 + Parameters!$B$47/Parameters!$B$45)/Parameters!B$62,1)</f>
        <v>1</v>
      </c>
      <c r="Q33" s="7">
        <f>Parameters!B$61*EXP(-Parameters!B$60*A33)</f>
        <v>0.22851642701853894</v>
      </c>
      <c r="R33" s="7">
        <f>(1-Parameters!B$61)*P33^-Parameters!B$63</f>
        <v>0.5</v>
      </c>
      <c r="S33" s="7">
        <f>Parameters!B$61*EXP(-Parameters!B$60*A33)+(1-Parameters!B$61)*P33^-Parameters!B$63</f>
        <v>0.72851642701853891</v>
      </c>
      <c r="T33" s="7">
        <f>1-S33/Parameters!$B$12</f>
        <v>0.63574178649073054</v>
      </c>
      <c r="U33" s="7">
        <f t="shared" si="0"/>
        <v>2.7453052887016165</v>
      </c>
      <c r="V33" s="7">
        <f>(Parameters!$B$19*(F33+Parameters!$B$20)^T33+Parameters!$B$18*G33^T33)^(1/T33)</f>
        <v>0.56996045836671805</v>
      </c>
      <c r="W33" s="7">
        <f>(Parameters!$B$10*H33^Parameters!$B$9+Parameters!$B$11*V33^Parameters!$B$9)^(Parameters!$B$7/Parameters!$B$9)*O33</f>
        <v>1.4467690751496627</v>
      </c>
      <c r="X33" s="7">
        <f>W33 - D33 - E33 - LN(1+EXP(Parameters!$B$21*C33))/Parameters!$B$21 - IF(C33&gt;0, 0,Parameters!$B$6*C33^2/F33)</f>
        <v>1.079231061220792</v>
      </c>
      <c r="Y33" s="7">
        <f>EXP(-Parameters!$B$55*A33)</f>
        <v>0.64539031866231678</v>
      </c>
      <c r="Z33" s="7">
        <f>IF(X33&gt;0,X33^(1-Parameters!$B$52)/(1-Parameters!$B$52)*Y33*Parameters!$B$65,-10+X33*1000)</f>
        <v>-1.795412933454489</v>
      </c>
      <c r="AB33" s="9"/>
      <c r="AC33" s="23">
        <f t="shared" si="6"/>
        <v>8.3868714139879934</v>
      </c>
      <c r="AD33" s="23">
        <f t="shared" si="6"/>
        <v>0.64142269185583434</v>
      </c>
      <c r="AE33" s="23">
        <f t="shared" si="7"/>
        <v>0</v>
      </c>
      <c r="AF33" s="23">
        <f t="shared" si="8"/>
        <v>121.20313447017126</v>
      </c>
      <c r="AG33" s="23">
        <f t="shared" si="9"/>
        <v>13.291738071761257</v>
      </c>
      <c r="AH33" s="23">
        <f t="shared" si="10"/>
        <v>81.317482162332013</v>
      </c>
      <c r="AI33" s="23">
        <f t="shared" si="11"/>
        <v>200.12851458288688</v>
      </c>
      <c r="AJ33" s="23">
        <f t="shared" si="12"/>
        <v>206.41364981463445</v>
      </c>
      <c r="AK33" s="23">
        <f t="shared" si="13"/>
        <v>153.97621235224452</v>
      </c>
      <c r="AL33" s="9">
        <f t="shared" si="22"/>
        <v>2.0333321686751837E-2</v>
      </c>
      <c r="AM33" s="9">
        <f t="shared" si="22"/>
        <v>1.9494536913339466E-2</v>
      </c>
      <c r="AN33" s="9">
        <f t="shared" si="27"/>
        <v>2.0331358052684222E-2</v>
      </c>
      <c r="AO33" s="9">
        <f t="shared" si="27"/>
        <v>1.9501618916693532E-2</v>
      </c>
      <c r="AP33" s="23"/>
      <c r="AQ33" s="8">
        <f t="shared" si="1"/>
        <v>206.41364981463445</v>
      </c>
      <c r="AR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-1.9415004578353899E-3</v>
      </c>
      <c r="AS33" s="32">
        <f>((C34-C32)/2-(F34-F32)/F33/2*C33)/(F33/2/Parameters!$B$5-C33)-((D34-D32)/D33-(G34-G32)/G33)/(G33/2/Parameters!$B$5/D33-1)</f>
        <v>-6.0456936229471311E-4</v>
      </c>
      <c r="AT33" s="32">
        <f>+Parameters!$B$5*C33^2/F33^2-Parameters!$B$5*D33^2/G33^2</f>
        <v>2.4594379015479445E-3</v>
      </c>
      <c r="AU33" s="30">
        <f>EXP(-Parameters!$B$42*'6states,BAU'!A33)*(Parameters!$B$37*EXP(-Parameters!$B$38*Parameters!$E$25*'6states,BAU'!I33/('6states,BAU'!F33+'6states,BAU'!I33))*(1/Parameters!$B$38/Parameters!$E$25+'6states,BAU'!I33/('6states,BAU'!F33+'6states,BAU'!I33))-Parameters!$B$37/Parameters!$B$38/Parameters!$E$25*EXP(-Parameters!$B$38*Parameters!$E$25)+Parameters!$B$39)</f>
        <v>0.68142402903853005</v>
      </c>
      <c r="AV33" s="30">
        <f>J33*K33*EXP(-Parameters!$B$42*'6states,BAU'!A33)*(Parameters!$B$37*EXP(-Parameters!$B$38*Parameters!$E$25*'6states,BAU'!I33/('6states,BAU'!F33+'6states,BAU'!I33))*(1/Parameters!$B$38/Parameters!$E$25+'6states,BAU'!I33/('6states,BAU'!F33+'6states,BAU'!I33))-Parameters!$B$37/Parameters!$B$38/Parameters!$E$25*EXP(-Parameters!$B$38*Parameters!$E$25)+Parameters!$B$39)</f>
        <v>97.220229075387309</v>
      </c>
      <c r="AW33" s="8">
        <f>1000*(AR33+AS33+AT33)/(EXP(-Parameters!$B$42*A33)*((C33&lt;0)*Parameters!$B$37*EXP(-Parameters!$B$38*AF33)+(C33&gt;=0)*Parameters!$B$41))</f>
        <v>-0.12713364203547917</v>
      </c>
      <c r="AX33" s="13">
        <f>1-W33/'6states,ExoDamages'!T33</f>
        <v>2.3528002617222543E-2</v>
      </c>
      <c r="AY33" s="21">
        <f>-Y33*W33*X33^(-Parameters!B$52)*Parameters!B$46*Parameters!B$45*N33</f>
        <v>-2.5980009574496549E-5</v>
      </c>
      <c r="AZ33" s="7">
        <f>1000*EXP(-(Parameters!$B$54)*'6states,BAU'!A33)*AQ33*Parameters!B$46*Parameters!B$45*N33</f>
        <v>2.3003408521761579</v>
      </c>
      <c r="BA33" s="7">
        <f>SUM(AZ33:AZ$204)*EXP(Parameters!$B$54*A33)</f>
        <v>562.25739643412942</v>
      </c>
      <c r="BB33" s="13">
        <f t="shared" si="26"/>
        <v>0.25404055157713384</v>
      </c>
      <c r="BC33" s="30">
        <f>IF(C33&lt;0,Parameters!$B$6*AC33^2/AF33,0)</f>
        <v>0</v>
      </c>
      <c r="BD33" s="30">
        <f>Parameters!$B$5*AD33^2/AG33</f>
        <v>3.0953293497534888E-2</v>
      </c>
      <c r="BE33" s="30">
        <f t="shared" si="14"/>
        <v>0</v>
      </c>
      <c r="BF33" s="30">
        <f t="shared" si="15"/>
        <v>4.8257247351161575E-2</v>
      </c>
      <c r="BG33" s="30"/>
      <c r="BH33" s="5" t="e">
        <f t="shared" si="3"/>
        <v>#NUM!</v>
      </c>
      <c r="BI33" s="2" t="e">
        <f>BH33/Parameters!$B$45</f>
        <v>#NUM!</v>
      </c>
      <c r="BJ33" s="2" t="e">
        <f t="shared" si="24"/>
        <v>#NUM!</v>
      </c>
      <c r="BM33">
        <f>-EXP(-Parameters!B$42*'6states,BAU'!A33)*(-Parameters!B$37/Parameters!B$38/Parameters!E$25*(EXP(-Parameters!B$38*Parameters!E$25*'6states,BAU'!I33/('6states,BAU'!F33+'6states,BAU'!I33))-EXP(-Parameters!B$38*Parameters!E$25))+Parameters!B$37*'6states,BAU'!F33/('6states,BAU'!F33+'6states,BAU'!I33)*EXP(-Parameters!B$38*Parameters!E$25*'6states,BAU'!I33/('6states,BAU'!F33+'6states,BAU'!I33)))</f>
        <v>-4.4714182027345011</v>
      </c>
      <c r="BN33">
        <f>-J33*K33*EXP(-Parameters!B$42*'6states,BAU'!A33)*(-Parameters!B$37/Parameters!B$38/Parameters!E$25*(EXP(-Parameters!B$38*Parameters!E$25*'6states,BAU'!I33/('6states,BAU'!F33+'6states,BAU'!I33))-EXP(-Parameters!B$38*Parameters!E$25)) + Parameters!B$37*'6states,BAU'!F33/('6states,BAU'!F33+'6states,BAU'!I33)*EXP(-Parameters!B$38*Parameters!E$25*'6states,BAU'!I33/('6states,BAU'!F33+'6states,BAU'!I33)))</f>
        <v>-637.94683403676197</v>
      </c>
      <c r="BO33" s="7">
        <f t="shared" si="4"/>
        <v>0</v>
      </c>
      <c r="BU33" t="e">
        <f>EXP(-Parameters!$B$56*A33)*BH33*BN33</f>
        <v>#NUM!</v>
      </c>
      <c r="BV33" t="e">
        <f>-EXP((Parameters!$B$56)*F33)*SUM(BU33:BU41)</f>
        <v>#NUM!</v>
      </c>
      <c r="BW33">
        <f>X33^-Parameters!B$52/(1-2*Parameters!B$5*'6states,BAU'!D33/'6states,BAU'!G33)</f>
        <v>0.99856035946368171</v>
      </c>
      <c r="BX33">
        <f t="shared" si="16"/>
        <v>1.0045583557454874</v>
      </c>
      <c r="BY33">
        <f>$X33^-Parameters!$B$52/(1-2*Parameters!$B$5*'6states,BAU'!$E33/'6states,BAU'!$H33)</f>
        <v>1.0441872719169414</v>
      </c>
      <c r="BZ33">
        <f t="shared" si="17"/>
        <v>1.0042936006589982</v>
      </c>
      <c r="CA33" s="7">
        <f>($X33^-Parameters!$B$52*(1/(1+EXP(-C33)) + IF(C33&lt;0,2*Parameters!$B$6*C33/F33,0)) + BS33*(1/(1+EXP((C33-Parameters!$B$22)*Parameters!$B$21))))/(1-IF(C33&gt;0,2*Parameters!$B$5*C33/F33,0))</f>
        <v>0.5389318930680338</v>
      </c>
      <c r="CB33">
        <f t="shared" si="18"/>
        <v>1.0041998902267733</v>
      </c>
      <c r="CC33" s="7">
        <f t="shared" si="19"/>
        <v>2.2539882872141259E-3</v>
      </c>
      <c r="CD33" t="e">
        <f>(1/$T33-1/Parameters!$B$13) * LN(Parameters!$B$18) / LN(P33)</f>
        <v>#DIV/0!</v>
      </c>
      <c r="CE33">
        <f>(Parameters!$B$18*'6states,BAU'!T33^+Parameters!$B$19*Parameters!$B$25^'6states,BAU'!T33)^((1-'6states,BAU'!T33)/'6states,BAU'!T33)*Parameters!$B$18*Parameters!$B$26^('6states,BAU'!T33-1)</f>
        <v>0.23338341450386524</v>
      </c>
      <c r="CF33" t="e">
        <f t="shared" si="20"/>
        <v>#DIV/0!</v>
      </c>
      <c r="CG33" t="e">
        <f t="shared" si="21"/>
        <v>#DIV/0!</v>
      </c>
      <c r="CH33">
        <f t="shared" si="21"/>
        <v>0.14936236827501159</v>
      </c>
    </row>
    <row r="34" spans="1:86" s="89" customFormat="1" x14ac:dyDescent="0.3">
      <c r="A34" s="89">
        <f>A33+Parameters!$B$65</f>
        <v>30</v>
      </c>
      <c r="B34" s="89">
        <v>2055</v>
      </c>
      <c r="C34" s="90">
        <v>5.88257750205948E-2</v>
      </c>
      <c r="D34" s="91">
        <v>4.4294868215005298E-3</v>
      </c>
      <c r="E34" s="92">
        <v>0.30430849346428701</v>
      </c>
      <c r="F34" s="93">
        <f>MAX((1-Parameters!$B$4)^Parameters!B$65*F33 + C33*Parameters!B$65 - IF(C33&gt;0,Parameters!$B$5,0)*C33^2/F33*Parameters!B$65, 0.0001)</f>
        <v>0.85080365479352504</v>
      </c>
      <c r="G34" s="93">
        <f>(1-Parameters!$B$4)^Parameters!B$65*G33+D33*Parameters!B$65-Parameters!$B$5*D33^2/G33*Parameters!B$65</f>
        <v>9.1581695813212752E-2</v>
      </c>
      <c r="H34" s="93">
        <f>(1-Parameters!$B$4)^Parameters!B$65*H33+E33*Parameters!B$65-Parameters!$B$5*E33^2/H33*Parameters!B$65</f>
        <v>4.4767202430154001</v>
      </c>
      <c r="I34" s="93">
        <f>I33 *(1-Parameters!$B$4)-C33*(C33&lt;0)*Parameters!B$65</f>
        <v>0</v>
      </c>
      <c r="J34" s="64">
        <f>J33*(1+Parameters!$B$51)^Parameters!B$65</f>
        <v>8.9005961917962093</v>
      </c>
      <c r="K34" s="64">
        <f>K33*(1+Parameters!$B$53)^Parameters!B$65</f>
        <v>16.397509869929117</v>
      </c>
      <c r="L34" s="64">
        <f>J34*K34*EXP(-Parameters!$B$42*'6states,BAU'!A34)*(Parameters!$B$37/Parameters!$B$38*('6states,BAU'!F34+'6states,BAU'!I34)/Parameters!$E$25*(EXP(-Parameters!$B$38*Parameters!$E$25*'6states,BAU'!I34/('6states,BAU'!F34+'6states,BAU'!I34))-EXP(-Parameters!$B$38*Parameters!$E$25))  +  Parameters!$B$39*'6states,BAU'!F34)</f>
        <v>83.772378277768084</v>
      </c>
      <c r="M34" s="95">
        <f>M33+L34*Parameters!B$65</f>
        <v>4345.8717781524665</v>
      </c>
      <c r="N34" s="93">
        <f>M34*Parameters!$B$45</f>
        <v>2.6075230668914795</v>
      </c>
      <c r="O34" s="94">
        <f>EXP(-Parameters!$B$46/2*N34^2)</f>
        <v>0.93395060810054853</v>
      </c>
      <c r="P34" s="93">
        <f>MAX((Parameters!$B$62 + Parameters!$B$31*'6states,BAU'!A34 - '6states,BAU'!M34 + Parameters!$B$47/Parameters!$B$45)/Parameters!B$62,1)</f>
        <v>1</v>
      </c>
      <c r="Q34" s="93">
        <f>Parameters!B$61*EXP(-Parameters!B$60*A34)</f>
        <v>0.22242903311147058</v>
      </c>
      <c r="R34" s="93">
        <f>(1-Parameters!B$61)*P34^-Parameters!B$63</f>
        <v>0.5</v>
      </c>
      <c r="S34" s="93">
        <f>Parameters!B$61*EXP(-Parameters!B$60*A34)+(1-Parameters!B$61)*P34^-Parameters!B$63</f>
        <v>0.72242903311147055</v>
      </c>
      <c r="T34" s="93">
        <f>1-S34/Parameters!$B$12</f>
        <v>0.63878548344426478</v>
      </c>
      <c r="U34" s="93">
        <f t="shared" si="0"/>
        <v>2.7684380172071532</v>
      </c>
      <c r="V34" s="93">
        <f>(Parameters!$B$19*(F34+Parameters!$B$20)^T34+Parameters!$B$18*G34^T34)^(1/T34)</f>
        <v>0.57034038750046356</v>
      </c>
      <c r="W34" s="93">
        <f>(Parameters!$B$10*H34^Parameters!$B$9+Parameters!$B$11*V34^Parameters!$B$9)^(Parameters!$B$7/Parameters!$B$9)*O34</f>
        <v>1.4432188688053338</v>
      </c>
      <c r="X34" s="93">
        <f>W34 - D34 - E34 - LN(1+EXP(Parameters!$B$21*C34))/Parameters!$B$21 - IF(C34&gt;0, 0,Parameters!$B$6*C34^2/F34)</f>
        <v>1.0756551134267467</v>
      </c>
      <c r="Y34" s="93">
        <f>EXP(-Parameters!$B$55*A34)</f>
        <v>0.63571813362641427</v>
      </c>
      <c r="Z34" s="93">
        <f>IF(X34&gt;0,X34^(1-Parameters!$B$52)/(1-Parameters!$B$52)*Y34*Parameters!$B$65,-10+X34*1000)</f>
        <v>-1.7705613888974827</v>
      </c>
      <c r="AB34" s="94"/>
      <c r="AC34" s="23">
        <f t="shared" si="6"/>
        <v>8.5854815002641516</v>
      </c>
      <c r="AD34" s="23">
        <f t="shared" si="6"/>
        <v>0.64647303241381304</v>
      </c>
      <c r="AE34" s="64">
        <f t="shared" si="7"/>
        <v>0</v>
      </c>
      <c r="AF34" s="64">
        <f t="shared" si="8"/>
        <v>124.17276331726396</v>
      </c>
      <c r="AG34" s="64">
        <f t="shared" si="9"/>
        <v>13.366129981149999</v>
      </c>
      <c r="AH34" s="64">
        <f t="shared" si="10"/>
        <v>83.239818668337307</v>
      </c>
      <c r="AI34" s="64">
        <f t="shared" si="11"/>
        <v>204.85953107829803</v>
      </c>
      <c r="AJ34" s="64">
        <f t="shared" si="12"/>
        <v>210.63435024225987</v>
      </c>
      <c r="AK34" s="64">
        <f t="shared" si="13"/>
        <v>156.9892971874439</v>
      </c>
      <c r="AL34" s="94">
        <f t="shared" si="22"/>
        <v>2.0241528719312285E-2</v>
      </c>
      <c r="AM34" s="94">
        <f t="shared" si="22"/>
        <v>1.937950700648372E-2</v>
      </c>
      <c r="AN34" s="9">
        <f t="shared" si="27"/>
        <v>2.023894355757232E-2</v>
      </c>
      <c r="AO34" s="9">
        <f t="shared" si="27"/>
        <v>1.9376186931334517E-2</v>
      </c>
      <c r="AP34" s="64"/>
      <c r="AQ34" s="95">
        <f t="shared" si="1"/>
        <v>210.63435024225987</v>
      </c>
      <c r="AR34" s="103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-1.9071168653166609E-3</v>
      </c>
      <c r="AS34" s="103">
        <f>((C35-C33)/2-(F35-F33)/F34/2*C34)/(F34/2/Parameters!$B$5-C34)-((D35-D33)/D34-(G35-G33)/G34)/(G34/2/Parameters!$B$5/D34-1)</f>
        <v>-6.2951222044525042E-4</v>
      </c>
      <c r="AT34" s="103">
        <f>+Parameters!$B$5*C34^2/F34^2-Parameters!$B$5*D34^2/G34^2</f>
        <v>2.4412172207553089E-3</v>
      </c>
      <c r="AU34" s="104">
        <f>EXP(-Parameters!$B$42*'6states,BAU'!A34)*(Parameters!$B$37*EXP(-Parameters!$B$38*Parameters!$E$25*'6states,BAU'!I34/('6states,BAU'!F34+'6states,BAU'!I34))*(1/Parameters!$B$38/Parameters!$E$25+'6states,BAU'!I34/('6states,BAU'!F34+'6states,BAU'!I34))-Parameters!$B$37/Parameters!$B$38/Parameters!$E$25*EXP(-Parameters!$B$38*Parameters!$E$25)+Parameters!$B$39)</f>
        <v>0.67464374666228499</v>
      </c>
      <c r="AV34" s="104">
        <f>J34*K34*EXP(-Parameters!$B$42*'6states,BAU'!A34)*(Parameters!$B$37*EXP(-Parameters!$B$38*Parameters!$E$25*'6states,BAU'!I34/('6states,BAU'!F34+'6states,BAU'!I34))*(1/Parameters!$B$38/Parameters!$E$25+'6states,BAU'!I34/('6states,BAU'!F34+'6states,BAU'!I34))-Parameters!$B$37/Parameters!$B$38/Parameters!$E$25*EXP(-Parameters!$B$38*Parameters!$E$25)+Parameters!$B$39)</f>
        <v>98.462645060096932</v>
      </c>
      <c r="AW34" s="95">
        <f>1000*(AR34+AS34+AT34)/(EXP(-Parameters!$B$42*A34)*((C34&lt;0)*Parameters!$B$37*EXP(-Parameters!$B$38*AF34)+(C34&gt;=0)*Parameters!$B$41))</f>
        <v>-0.14142555308433624</v>
      </c>
      <c r="AX34" s="98">
        <f>1-W34/'6states,ExoDamages'!T34</f>
        <v>2.550041103735956E-2</v>
      </c>
      <c r="AY34" s="99">
        <f>-Y34*W34*X34^(-Parameters!B$52)*Parameters!B$46*Parameters!B$45*N34</f>
        <v>-2.6146505453166741E-5</v>
      </c>
      <c r="AZ34" s="93">
        <f>1000*EXP(-(Parameters!$B$54)*'6states,BAU'!A34)*AQ34*Parameters!B$46*Parameters!B$45*N34</f>
        <v>2.3109607785127055</v>
      </c>
      <c r="BA34" s="93">
        <f>SUM(AZ34:AZ$204)*EXP(Parameters!$B$54*A34)</f>
        <v>575.74975062753754</v>
      </c>
      <c r="BB34" s="98">
        <f t="shared" si="26"/>
        <v>0.25468330774433673</v>
      </c>
      <c r="BC34" s="30">
        <f>IF(C34&lt;0,Parameters!$B$6*AC34^2/AF34,0)</f>
        <v>0</v>
      </c>
      <c r="BD34" s="30">
        <f>Parameters!$B$5*AD34^2/AG34</f>
        <v>3.1267643082006989E-2</v>
      </c>
      <c r="BE34" s="30">
        <f t="shared" si="14"/>
        <v>0</v>
      </c>
      <c r="BF34" s="30">
        <f t="shared" si="15"/>
        <v>4.8366507981406869E-2</v>
      </c>
      <c r="BG34" s="104"/>
      <c r="BH34" s="100" t="e">
        <f t="shared" si="3"/>
        <v>#NUM!</v>
      </c>
      <c r="BI34" s="105" t="e">
        <f>BH34/Parameters!$B$45</f>
        <v>#NUM!</v>
      </c>
      <c r="BJ34" s="105" t="e">
        <f t="shared" si="24"/>
        <v>#NUM!</v>
      </c>
      <c r="BM34" s="89">
        <f>-EXP(-Parameters!B$42*'6states,BAU'!A34)*(-Parameters!B$37/Parameters!B$38/Parameters!E$25*(EXP(-Parameters!B$38*Parameters!E$25*'6states,BAU'!I34/('6states,BAU'!F34+'6states,BAU'!I34))-EXP(-Parameters!B$38*Parameters!E$25))+Parameters!B$37*'6states,BAU'!F34/('6states,BAU'!F34+'6states,BAU'!I34)*EXP(-Parameters!B$38*Parameters!E$25*'6states,BAU'!I34/('6states,BAU'!F34+'6states,BAU'!I34)))</f>
        <v>-4.4269268482402966</v>
      </c>
      <c r="BN34" s="89">
        <f>-J34*K34*EXP(-Parameters!B$42*'6states,BAU'!A34)*(-Parameters!B$37/Parameters!B$38/Parameters!E$25*(EXP(-Parameters!B$38*Parameters!E$25*'6states,BAU'!I34/('6states,BAU'!F34+'6states,BAU'!I34))-EXP(-Parameters!B$38*Parameters!E$25)) + Parameters!B$37*'6states,BAU'!F34/('6states,BAU'!F34+'6states,BAU'!I34)*EXP(-Parameters!B$38*Parameters!E$25*'6states,BAU'!I34/('6states,BAU'!F34+'6states,BAU'!I34)))</f>
        <v>-646.09941042482592</v>
      </c>
      <c r="BO34" s="93">
        <f t="shared" si="4"/>
        <v>0</v>
      </c>
      <c r="BU34" s="89" t="e">
        <f>EXP(-Parameters!$B$56*A34)*BH34*BN34</f>
        <v>#NUM!</v>
      </c>
      <c r="BV34" s="89" t="e">
        <f>-EXP((Parameters!$B$56)*F34)*SUM(BU34:BU42)</f>
        <v>#NUM!</v>
      </c>
      <c r="BW34" s="89">
        <f>X34^-Parameters!B$52/(1-2*Parameters!B$5*'6states,BAU'!D34/'6states,BAU'!G34)</f>
        <v>1.0032871536216734</v>
      </c>
      <c r="BX34" s="89">
        <f t="shared" si="16"/>
        <v>1.0047336088531797</v>
      </c>
      <c r="BY34" s="89">
        <f>$X34^-Parameters!$B$52/(1-2*Parameters!$B$5*'6states,BAU'!$E34/'6states,BAU'!$H34)</f>
        <v>1.0488256129658564</v>
      </c>
      <c r="BZ34" s="89">
        <f t="shared" si="17"/>
        <v>1.0044420585977838</v>
      </c>
      <c r="CA34" s="93">
        <f>($X34^-Parameters!$B$52*(1/(1+EXP(-C34)) + IF(C34&lt;0,2*Parameters!$B$6*C34/F34,0)) + BS34*(1/(1+EXP((C34-Parameters!$B$22)*Parameters!$B$21))))/(1-IF(C34&gt;0,2*Parameters!$B$5*C34/F34,0))</f>
        <v>0.54129333184713924</v>
      </c>
      <c r="CB34" s="89">
        <f t="shared" si="18"/>
        <v>1.0043817016759988</v>
      </c>
      <c r="CC34" s="93">
        <f t="shared" si="19"/>
        <v>2.3614387791054403E-3</v>
      </c>
      <c r="CD34" s="89" t="e">
        <f>(1/$T34-1/Parameters!$B$13) * LN(Parameters!$B$18) / LN(P34)</f>
        <v>#DIV/0!</v>
      </c>
      <c r="CE34" s="89">
        <f>(Parameters!$B$18*'6states,BAU'!T34^+Parameters!$B$19*Parameters!$B$25^'6states,BAU'!T34)^((1-'6states,BAU'!T34)/'6states,BAU'!T34)*Parameters!$B$18*Parameters!$B$26^('6states,BAU'!T34-1)</f>
        <v>0.23529637959928645</v>
      </c>
      <c r="CF34" s="89" t="e">
        <f t="shared" si="20"/>
        <v>#DIV/0!</v>
      </c>
      <c r="CG34" s="89" t="e">
        <f t="shared" si="21"/>
        <v>#DIV/0!</v>
      </c>
      <c r="CH34" s="89">
        <f t="shared" si="21"/>
        <v>0.15048953770175111</v>
      </c>
    </row>
    <row r="35" spans="1:86" x14ac:dyDescent="0.3">
      <c r="A35">
        <f>A34+Parameters!$B$65</f>
        <v>31</v>
      </c>
      <c r="B35">
        <v>2056</v>
      </c>
      <c r="C35" s="74">
        <v>5.8873918103129599E-2</v>
      </c>
      <c r="D35" s="69">
        <v>4.36582018765822E-3</v>
      </c>
      <c r="E35" s="75">
        <v>0.30433691244802302</v>
      </c>
      <c r="F35" s="7">
        <f>MAX((1-Parameters!$B$4)^Parameters!B$65*F34 + C34*Parameters!B$65 - IF(C34&gt;0,Parameters!$B$5,0)*C34^2/F34*Parameters!B$65, 0.0001)</f>
        <v>0.85204658215887186</v>
      </c>
      <c r="G35" s="7">
        <f>(1-Parameters!$B$4)^Parameters!B$65*G34+D34*Parameters!B$65-Parameters!$B$5*D34^2/G34*Parameters!B$65</f>
        <v>9.0036455158356565E-2</v>
      </c>
      <c r="H35" s="7">
        <f>(1-Parameters!$B$4)^Parameters!B$65*H34+E34*Parameters!B$65-Parameters!$B$5*E34^2/H34*Parameters!B$65</f>
        <v>4.4787574298577404</v>
      </c>
      <c r="I35" s="7">
        <f>I34 *(1-Parameters!$B$4)-C34*(C34&lt;0)*Parameters!B$65</f>
        <v>0</v>
      </c>
      <c r="J35" s="23">
        <f>J34*(1+Parameters!$B$51)^Parameters!B$65</f>
        <v>8.9264079207524176</v>
      </c>
      <c r="K35" s="23">
        <f>K34*(1+Parameters!$B$53)^Parameters!B$65</f>
        <v>16.725460067327699</v>
      </c>
      <c r="L35" s="23">
        <f>J35*K35*EXP(-Parameters!$B$42*'6states,BAU'!A35)*(Parameters!$B$37/Parameters!$B$38*('6states,BAU'!F35+'6states,BAU'!I35)/Parameters!$E$25*(EXP(-Parameters!$B$38*Parameters!$E$25*'6states,BAU'!I35/('6states,BAU'!F35+'6states,BAU'!I35))-EXP(-Parameters!$B$38*Parameters!$E$25))  +  Parameters!$B$39*'6states,BAU'!F35)</f>
        <v>84.966884710346221</v>
      </c>
      <c r="M35" s="8">
        <f>M34+L35*Parameters!B$65</f>
        <v>4430.8386628628123</v>
      </c>
      <c r="N35" s="7">
        <f>M35*Parameters!$B$45</f>
        <v>2.6585031977176872</v>
      </c>
      <c r="O35" s="9">
        <f>EXP(-Parameters!$B$46/2*N35^2)</f>
        <v>0.9314341587419922</v>
      </c>
      <c r="P35" s="7">
        <f>MAX((Parameters!$B$62 + Parameters!$B$31*'6states,BAU'!A35 - '6states,BAU'!M35 + Parameters!$B$47/Parameters!$B$45)/Parameters!B$62,1)</f>
        <v>1</v>
      </c>
      <c r="Q35" s="7">
        <f>Parameters!B$61*EXP(-Parameters!B$60*A35)</f>
        <v>0.21650379982043882</v>
      </c>
      <c r="R35" s="7">
        <f>(1-Parameters!B$61)*P35^-Parameters!B$63</f>
        <v>0.5</v>
      </c>
      <c r="S35" s="7">
        <f>Parameters!B$61*EXP(-Parameters!B$60*A35)+(1-Parameters!B$61)*P35^-Parameters!B$63</f>
        <v>0.71650379982043888</v>
      </c>
      <c r="T35" s="7">
        <f>1-S35/Parameters!$B$12</f>
        <v>0.64174810008978056</v>
      </c>
      <c r="U35" s="7">
        <f t="shared" si="0"/>
        <v>2.7913320215485453</v>
      </c>
      <c r="V35" s="7">
        <f>(Parameters!$B$19*(F35+Parameters!$B$20)^T35+Parameters!$B$18*G35^T35)^(1/T35)</f>
        <v>0.57070846488548332</v>
      </c>
      <c r="W35" s="7">
        <f>(Parameters!$B$10*H35^Parameters!$B$9+Parameters!$B$11*V35^Parameters!$B$9)^(Parameters!$B$7/Parameters!$B$9)*O35</f>
        <v>1.4395411063906669</v>
      </c>
      <c r="X35" s="7">
        <f>W35 - D35 - E35 - LN(1+EXP(Parameters!$B$21*C35))/Parameters!$B$21 - IF(C35&gt;0, 0,Parameters!$B$6*C35^2/F35)</f>
        <v>1.0719644555806866</v>
      </c>
      <c r="Y35" s="7">
        <f>EXP(-Parameters!$B$55*A35)</f>
        <v>0.62619090143635336</v>
      </c>
      <c r="Z35" s="7">
        <f>IF(X35&gt;0,X35^(1-Parameters!$B$52)/(1-Parameters!$B$52)*Y35*Parameters!$B$65,-10+X35*1000)</f>
        <v>-1.7461259790283483</v>
      </c>
      <c r="AB35" s="9"/>
      <c r="AC35" s="23">
        <f t="shared" si="6"/>
        <v>8.7897746639261616</v>
      </c>
      <c r="AD35" s="23">
        <f t="shared" si="6"/>
        <v>0.65180944141537744</v>
      </c>
      <c r="AE35" s="23">
        <f t="shared" si="7"/>
        <v>0</v>
      </c>
      <c r="AF35" s="23">
        <f t="shared" si="8"/>
        <v>127.20908853434742</v>
      </c>
      <c r="AG35" s="23">
        <f t="shared" si="9"/>
        <v>13.442287822501447</v>
      </c>
      <c r="AH35" s="23">
        <f t="shared" si="10"/>
        <v>85.20579174552941</v>
      </c>
      <c r="AI35" s="23">
        <f t="shared" si="11"/>
        <v>209.69794049760316</v>
      </c>
      <c r="AJ35" s="23">
        <f t="shared" si="12"/>
        <v>214.92101005522005</v>
      </c>
      <c r="AK35" s="23">
        <f t="shared" si="13"/>
        <v>160.04244860665477</v>
      </c>
      <c r="AL35" s="9">
        <f t="shared" si="22"/>
        <v>2.0146872566669138E-2</v>
      </c>
      <c r="AM35" s="9">
        <f t="shared" si="22"/>
        <v>1.9261451594628554E-2</v>
      </c>
      <c r="AN35" s="9">
        <f t="shared" si="27"/>
        <v>2.0144186161364531E-2</v>
      </c>
      <c r="AO35" s="9">
        <f t="shared" si="27"/>
        <v>1.9243801152607355E-2</v>
      </c>
      <c r="AP35" s="23"/>
      <c r="AQ35" s="8">
        <f t="shared" si="1"/>
        <v>214.92101005522005</v>
      </c>
      <c r="AR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-1.8735808972956609E-3</v>
      </c>
      <c r="AS35" s="32">
        <f>((C36-C34)/2-(F36-F34)/F35/2*C35)/(F35/2/Parameters!$B$5-C35)-((D36-D34)/D35-(G36-G34)/G35)/(G35/2/Parameters!$B$5/D35-1)</f>
        <v>-6.5395786867857432E-4</v>
      </c>
      <c r="AT35" s="32">
        <f>+Parameters!$B$5*C35^2/F35^2-Parameters!$B$5*D35^2/G35^2</f>
        <v>2.4231754845412696E-3</v>
      </c>
      <c r="AU35" s="30">
        <f>EXP(-Parameters!$B$42*'6states,BAU'!A35)*(Parameters!$B$37*EXP(-Parameters!$B$38*Parameters!$E$25*'6states,BAU'!I35/('6states,BAU'!F35+'6states,BAU'!I35))*(1/Parameters!$B$38/Parameters!$E$25+'6states,BAU'!I35/('6states,BAU'!F35+'6states,BAU'!I35))-Parameters!$B$37/Parameters!$B$38/Parameters!$E$25*EXP(-Parameters!$B$38*Parameters!$E$25)+Parameters!$B$39)</f>
        <v>0.66793092922291097</v>
      </c>
      <c r="AV35" s="30">
        <f>J35*K35*EXP(-Parameters!$B$42*'6states,BAU'!A35)*(Parameters!$B$37*EXP(-Parameters!$B$38*Parameters!$E$25*'6states,BAU'!I35/('6states,BAU'!F35+'6states,BAU'!I35))*(1/Parameters!$B$38/Parameters!$E$25+'6states,BAU'!I35/('6states,BAU'!F35+'6states,BAU'!I35))-Parameters!$B$37/Parameters!$B$38/Parameters!$E$25*EXP(-Parameters!$B$38*Parameters!$E$25)+Parameters!$B$39)</f>
        <v>99.720938372948467</v>
      </c>
      <c r="AW35" s="8">
        <f>1000*(AR35+AS35+AT35)/(EXP(-Parameters!$B$42*A35)*((C35&lt;0)*Parameters!$B$37*EXP(-Parameters!$B$38*AF35)+(C35&gt;=0)*Parameters!$B$41))</f>
        <v>-0.15624861324266665</v>
      </c>
      <c r="AX35" s="13">
        <f>1-W35/'6states,ExoDamages'!T35</f>
        <v>2.7530406281798148E-2</v>
      </c>
      <c r="AY35" s="21">
        <f>-Y35*W35*X35^(-Parameters!B$52)*Parameters!B$46*Parameters!B$45*N35</f>
        <v>-2.6313086817123959E-5</v>
      </c>
      <c r="AZ35" s="7">
        <f>1000*EXP(-(Parameters!$B$54)*'6states,BAU'!A35)*AQ35*Parameters!B$46*Parameters!B$45*N35</f>
        <v>2.3211731701040152</v>
      </c>
      <c r="BA35" s="7">
        <f>SUM(AZ35:AZ$204)*EXP(Parameters!$B$54*A35)</f>
        <v>589.457034240094</v>
      </c>
      <c r="BB35" s="13">
        <f t="shared" si="26"/>
        <v>0.25534293470815056</v>
      </c>
      <c r="BC35" s="30">
        <f>IF(C35&lt;0,Parameters!$B$6*AC35^2/AF35,0)</f>
        <v>0</v>
      </c>
      <c r="BD35" s="30">
        <f>Parameters!$B$5*AD35^2/AG35</f>
        <v>3.160589577668825E-2</v>
      </c>
      <c r="BE35" s="30">
        <f t="shared" si="14"/>
        <v>0</v>
      </c>
      <c r="BF35" s="30">
        <f t="shared" si="15"/>
        <v>4.8489472180791589E-2</v>
      </c>
      <c r="BG35" s="30"/>
      <c r="BH35" s="5" t="e">
        <f t="shared" si="3"/>
        <v>#NUM!</v>
      </c>
      <c r="BI35" s="2" t="e">
        <f>BH35/Parameters!$B$45</f>
        <v>#NUM!</v>
      </c>
      <c r="BJ35" s="2" t="e">
        <f t="shared" si="24"/>
        <v>#NUM!</v>
      </c>
      <c r="BM35">
        <f>-EXP(-Parameters!B$42*'6states,BAU'!A35)*(-Parameters!B$37/Parameters!B$38/Parameters!E$25*(EXP(-Parameters!B$38*Parameters!E$25*'6states,BAU'!I35/('6states,BAU'!F35+'6states,BAU'!I35))-EXP(-Parameters!B$38*Parameters!E$25))+Parameters!B$37*'6states,BAU'!F35/('6states,BAU'!F35+'6states,BAU'!I35)*EXP(-Parameters!B$38*Parameters!E$25*'6states,BAU'!I35/('6states,BAU'!F35+'6states,BAU'!I35)))</f>
        <v>-4.3828781901200351</v>
      </c>
      <c r="BN35">
        <f>-J35*K35*EXP(-Parameters!B$42*'6states,BAU'!A35)*(-Parameters!B$37/Parameters!B$38/Parameters!E$25*(EXP(-Parameters!B$38*Parameters!E$25*'6states,BAU'!I35/('6states,BAU'!F35+'6states,BAU'!I35))-EXP(-Parameters!B$38*Parameters!E$25)) + Parameters!B$37*'6states,BAU'!F35/('6states,BAU'!F35+'6states,BAU'!I35)*EXP(-Parameters!B$38*Parameters!E$25*'6states,BAU'!I35/('6states,BAU'!F35+'6states,BAU'!I35)))</f>
        <v>-654.35617182991189</v>
      </c>
      <c r="BO35" s="7">
        <f t="shared" si="4"/>
        <v>0</v>
      </c>
      <c r="BU35" t="e">
        <f>EXP(-Parameters!$B$56*A35)*BH35*BN35</f>
        <v>#NUM!</v>
      </c>
      <c r="BV35" t="e">
        <f>-EXP((Parameters!$B$56)*F35)*SUM(BU35:BU43)</f>
        <v>#NUM!</v>
      </c>
      <c r="BW35">
        <f>X35^-Parameters!B$52/(1-2*Parameters!B$5*'6states,BAU'!D35/'6states,BAU'!G35)</f>
        <v>1.0082276492592248</v>
      </c>
      <c r="BX35">
        <f t="shared" si="16"/>
        <v>1.0049243086784447</v>
      </c>
      <c r="BY35">
        <f>$X35^-Parameters!$B$52/(1-2*Parameters!$B$5*'6states,BAU'!$E35/'6states,BAU'!$H35)</f>
        <v>1.053643456845287</v>
      </c>
      <c r="BZ35">
        <f t="shared" si="17"/>
        <v>1.0045935604736109</v>
      </c>
      <c r="CA35" s="7">
        <f>($X35^-Parameters!$B$52*(1/(1+EXP(-C35)) + IF(C35&lt;0,2*Parameters!$B$6*C35/F35,0)) + BS35*(1/(1+EXP((C35-Parameters!$B$22)*Parameters!$B$21))))/(1-IF(C35&gt;0,2*Parameters!$B$5*C35/F35,0))</f>
        <v>0.54376744986997272</v>
      </c>
      <c r="CB35">
        <f t="shared" si="18"/>
        <v>1.0045707528197154</v>
      </c>
      <c r="CC35" s="7">
        <f t="shared" si="19"/>
        <v>2.4741180228334825E-3</v>
      </c>
      <c r="CD35" t="e">
        <f>(1/$T35-1/Parameters!$B$13) * LN(Parameters!$B$18) / LN(P35)</f>
        <v>#DIV/0!</v>
      </c>
      <c r="CE35">
        <f>(Parameters!$B$18*'6states,BAU'!T35^+Parameters!$B$19*Parameters!$B$25^'6states,BAU'!T35)^((1-'6states,BAU'!T35)/'6states,BAU'!T35)*Parameters!$B$18*Parameters!$B$26^('6states,BAU'!T35-1)</f>
        <v>0.23713579198050591</v>
      </c>
      <c r="CF35" t="e">
        <f t="shared" si="20"/>
        <v>#DIV/0!</v>
      </c>
      <c r="CG35" t="e">
        <f t="shared" si="21"/>
        <v>#DIV/0!</v>
      </c>
      <c r="CH35">
        <f t="shared" si="21"/>
        <v>0.15157195934779266</v>
      </c>
    </row>
    <row r="36" spans="1:86" x14ac:dyDescent="0.3">
      <c r="A36">
        <f>A35+Parameters!$B$65</f>
        <v>32</v>
      </c>
      <c r="B36">
        <v>2057</v>
      </c>
      <c r="C36" s="74">
        <v>5.8910482066581497E-2</v>
      </c>
      <c r="D36" s="69">
        <v>4.3032629735608001E-3</v>
      </c>
      <c r="E36" s="75">
        <v>0.30439242677338502</v>
      </c>
      <c r="F36" s="7">
        <f>MAX((1-Parameters!$B$4)^Parameters!B$65*F35 + C35*Parameters!B$65 - IF(C35&gt;0,Parameters!$B$5,0)*C35^2/F35*Parameters!B$65, 0.0001)</f>
        <v>0.85325875529597439</v>
      </c>
      <c r="G36" s="7">
        <f>(1-Parameters!$B$4)^Parameters!B$65*G35+D35*Parameters!B$65-Parameters!$B$5*D35^2/G35*Parameters!B$65</f>
        <v>8.8527286000018357E-2</v>
      </c>
      <c r="H36" s="7">
        <f>(1-Parameters!$B$4)^Parameters!B$65*H35+E35*Parameters!B$65-Parameters!$B$5*E35^2/H35*Parameters!B$65</f>
        <v>4.4807004435616795</v>
      </c>
      <c r="I36" s="7">
        <f>I35 *(1-Parameters!$B$4)-C35*(C35&lt;0)*Parameters!B$65</f>
        <v>0</v>
      </c>
      <c r="J36" s="23">
        <f>J35*(1+Parameters!$B$51)^Parameters!B$65</f>
        <v>8.9522945037225981</v>
      </c>
      <c r="K36" s="23">
        <f>K35*(1+Parameters!$B$53)^Parameters!B$65</f>
        <v>17.059969268674255</v>
      </c>
      <c r="L36" s="23">
        <f>J36*K36*EXP(-Parameters!$B$42*'6states,BAU'!A36)*(Parameters!$B$37/Parameters!$B$38*('6states,BAU'!F36+'6states,BAU'!I36)/Parameters!$E$25*(EXP(-Parameters!$B$38*Parameters!$E$25*'6states,BAU'!I36/('6states,BAU'!F36+'6states,BAU'!I36))-EXP(-Parameters!$B$38*Parameters!$E$25))  +  Parameters!$B$39*'6states,BAU'!F36)</f>
        <v>86.17513413671648</v>
      </c>
      <c r="M36" s="8">
        <f>M35+L36*Parameters!B$65</f>
        <v>4517.0137969995285</v>
      </c>
      <c r="N36" s="7">
        <f>M36*Parameters!$B$45</f>
        <v>2.7102082781997168</v>
      </c>
      <c r="O36" s="9">
        <f>EXP(-Parameters!$B$46/2*N36^2)</f>
        <v>0.92883928725105669</v>
      </c>
      <c r="P36" s="7">
        <f>MAX((Parameters!$B$62 + Parameters!$B$31*'6states,BAU'!A36 - '6states,BAU'!M36 + Parameters!$B$47/Parameters!$B$45)/Parameters!B$62,1)</f>
        <v>1</v>
      </c>
      <c r="Q36" s="7">
        <f>Parameters!B$61*EXP(-Parameters!B$60*A36)</f>
        <v>0.21073640738795882</v>
      </c>
      <c r="R36" s="7">
        <f>(1-Parameters!B$61)*P36^-Parameters!B$63</f>
        <v>0.5</v>
      </c>
      <c r="S36" s="7">
        <f>Parameters!B$61*EXP(-Parameters!B$60*A36)+(1-Parameters!B$61)*P36^-Parameters!B$63</f>
        <v>0.71073640738795885</v>
      </c>
      <c r="T36" s="7">
        <f>1-S36/Parameters!$B$12</f>
        <v>0.64463179630602063</v>
      </c>
      <c r="U36" s="7">
        <f t="shared" si="0"/>
        <v>2.8139827638072448</v>
      </c>
      <c r="V36" s="7">
        <f>(Parameters!$B$19*(F36+Parameters!$B$20)^T36+Parameters!$B$18*G36^T36)^(1/T36)</f>
        <v>0.57106960313682387</v>
      </c>
      <c r="W36" s="7">
        <f>(Parameters!$B$10*H36^Parameters!$B$9+Parameters!$B$11*V36^Parameters!$B$9)^(Parameters!$B$7/Parameters!$B$9)*O36</f>
        <v>1.4357325178976772</v>
      </c>
      <c r="X36" s="7">
        <f>W36 - D36 - E36 - LN(1+EXP(Parameters!$B$21*C36))/Parameters!$B$21 - IF(C36&gt;0, 0,Parameters!$B$6*C36^2/F36)</f>
        <v>1.0681263460137567</v>
      </c>
      <c r="Y36" s="7">
        <f>EXP(-Parameters!$B$55*A36)</f>
        <v>0.61680644974664667</v>
      </c>
      <c r="Z36" s="7">
        <f>IF(X36&gt;0,X36^(1-Parameters!$B$52)/(1-Parameters!$B$52)*Y36*Parameters!$B$65,-10+X36*1000)</f>
        <v>-1.7221181439720397</v>
      </c>
      <c r="AB36" s="9"/>
      <c r="AC36" s="23">
        <f t="shared" si="6"/>
        <v>8.9971545737571539</v>
      </c>
      <c r="AD36" s="23">
        <f t="shared" si="6"/>
        <v>0.65721957767878558</v>
      </c>
      <c r="AE36" s="23">
        <f t="shared" si="7"/>
        <v>0</v>
      </c>
      <c r="AF36" s="23">
        <f t="shared" si="8"/>
        <v>130.31468498480399</v>
      </c>
      <c r="AG36" s="23">
        <f t="shared" si="9"/>
        <v>13.52040669497771</v>
      </c>
      <c r="AH36" s="23">
        <f t="shared" si="10"/>
        <v>87.217101465730877</v>
      </c>
      <c r="AI36" s="23">
        <f t="shared" si="11"/>
        <v>214.64792684698986</v>
      </c>
      <c r="AJ36" s="23">
        <f t="shared" si="12"/>
        <v>219.27349661636453</v>
      </c>
      <c r="AK36" s="23">
        <f t="shared" si="13"/>
        <v>163.13052452238827</v>
      </c>
      <c r="AL36" s="9">
        <f t="shared" si="22"/>
        <v>2.00492281282596E-2</v>
      </c>
      <c r="AM36" s="9">
        <f t="shared" si="22"/>
        <v>1.911156046881235E-2</v>
      </c>
      <c r="AN36" s="9">
        <f t="shared" si="27"/>
        <v>2.0047189694344603E-2</v>
      </c>
      <c r="AO36" s="9">
        <f t="shared" si="27"/>
        <v>1.9111834706914799E-2</v>
      </c>
      <c r="AP36" s="23"/>
      <c r="AQ36" s="8">
        <f t="shared" si="1"/>
        <v>219.27349661636453</v>
      </c>
      <c r="AR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-1.839887300198545E-3</v>
      </c>
      <c r="AS36" s="32">
        <f>((C37-C35)/2-(F37-F35)/F36/2*C36)/(F36/2/Parameters!$B$5-C36)-((D37-D35)/D36-(G37-G35)/G36)/(G36/2/Parameters!$B$5/D36-1)</f>
        <v>-6.8193952125339993E-4</v>
      </c>
      <c r="AT36" s="32">
        <f>+Parameters!$B$5*C36^2/F36^2-Parameters!$B$5*D36^2/G36^2</f>
        <v>2.4038850058238372E-3</v>
      </c>
      <c r="AU36" s="30">
        <f>EXP(-Parameters!$B$42*'6states,BAU'!A36)*(Parameters!$B$37*EXP(-Parameters!$B$38*Parameters!$E$25*'6states,BAU'!I36/('6states,BAU'!F36+'6states,BAU'!I36))*(1/Parameters!$B$38/Parameters!$E$25+'6states,BAU'!I36/('6states,BAU'!F36+'6states,BAU'!I36))-Parameters!$B$37/Parameters!$B$38/Parameters!$E$25*EXP(-Parameters!$B$38*Parameters!$E$25)+Parameters!$B$39)</f>
        <v>0.66128490543307039</v>
      </c>
      <c r="AV36" s="30">
        <f>J36*K36*EXP(-Parameters!$B$42*'6states,BAU'!A36)*(Parameters!$B$37*EXP(-Parameters!$B$38*Parameters!$E$25*'6states,BAU'!I36/('6states,BAU'!F36+'6states,BAU'!I36))*(1/Parameters!$B$38/Parameters!$E$25+'6states,BAU'!I36/('6states,BAU'!F36+'6states,BAU'!I36))-Parameters!$B$37/Parameters!$B$38/Parameters!$E$25*EXP(-Parameters!$B$38*Parameters!$E$25)+Parameters!$B$39)</f>
        <v>100.99531191663476</v>
      </c>
      <c r="AW36" s="8">
        <f>1000*(AR36+AS36+AT36)/(EXP(-Parameters!$B$42*A36)*((C36&lt;0)*Parameters!$B$37*EXP(-Parameters!$B$38*AF36)+(C36&gt;=0)*Parameters!$B$41))</f>
        <v>-0.17835249929206942</v>
      </c>
      <c r="AX36" s="13">
        <f>1-W36/'6states,ExoDamages'!T36</f>
        <v>2.9661267126913637E-2</v>
      </c>
      <c r="AY36" s="21">
        <f>-Y36*W36*X36^(-Parameters!B$52)*Parameters!B$46*Parameters!B$45*N36</f>
        <v>-2.6480846967741402E-5</v>
      </c>
      <c r="AZ36" s="7">
        <f>1000*EXP(-(Parameters!$B$54)*'6states,BAU'!A36)*AQ36*Parameters!B$46*Parameters!B$45*N36</f>
        <v>2.3309693085864183</v>
      </c>
      <c r="BA36" s="7">
        <f>SUM(AZ36:AZ$204)*EXP(Parameters!$B$54*A36)</f>
        <v>603.37751174086748</v>
      </c>
      <c r="BB36" s="13">
        <f t="shared" si="26"/>
        <v>0.25604084829938084</v>
      </c>
      <c r="BC36" s="30">
        <f>IF(C36&lt;0,Parameters!$B$6*AC36^2/AF36,0)</f>
        <v>0</v>
      </c>
      <c r="BD36" s="30">
        <f>Parameters!$B$5*AD36^2/AG36</f>
        <v>3.194708436135496E-2</v>
      </c>
      <c r="BE36" s="30">
        <f t="shared" si="14"/>
        <v>0</v>
      </c>
      <c r="BF36" s="30">
        <f t="shared" si="15"/>
        <v>4.8609453288333139E-2</v>
      </c>
      <c r="BG36" s="30"/>
      <c r="BH36" s="5" t="e">
        <f t="shared" ref="BH36:BH55" si="28">SUM(AY36:AY234)/Y36</f>
        <v>#NUM!</v>
      </c>
      <c r="BI36" s="2" t="e">
        <f>BH36/Parameters!$B$45</f>
        <v>#NUM!</v>
      </c>
      <c r="BJ36" s="2" t="e">
        <f t="shared" si="24"/>
        <v>#NUM!</v>
      </c>
      <c r="BM36">
        <f>-EXP(-Parameters!B$42*'6states,BAU'!A36)*(-Parameters!B$37/Parameters!B$38/Parameters!E$25*(EXP(-Parameters!B$38*Parameters!E$25*'6states,BAU'!I36/('6states,BAU'!F36+'6states,BAU'!I36))-EXP(-Parameters!B$38*Parameters!E$25))+Parameters!B$37*'6states,BAU'!F36/('6states,BAU'!F36+'6states,BAU'!I36)*EXP(-Parameters!B$38*Parameters!E$25*'6states,BAU'!I36/('6states,BAU'!F36+'6states,BAU'!I36)))</f>
        <v>-4.3392678234711948</v>
      </c>
      <c r="BN36">
        <f>-J36*K36*EXP(-Parameters!B$42*'6states,BAU'!A36)*(-Parameters!B$37/Parameters!B$38/Parameters!E$25*(EXP(-Parameters!B$38*Parameters!E$25*'6states,BAU'!I36/('6states,BAU'!F36+'6states,BAU'!I36))-EXP(-Parameters!B$38*Parameters!E$25)) + Parameters!B$37*'6states,BAU'!F36/('6states,BAU'!F36+'6states,BAU'!I36)*EXP(-Parameters!B$38*Parameters!E$25*'6states,BAU'!I36/('6states,BAU'!F36+'6states,BAU'!I36)))</f>
        <v>-662.71844967380036</v>
      </c>
      <c r="BO36" s="7">
        <f t="shared" si="4"/>
        <v>0</v>
      </c>
      <c r="BU36" t="e">
        <f>EXP(-Parameters!$B$56*A36)*BH36*BN36</f>
        <v>#NUM!</v>
      </c>
      <c r="BV36" t="e">
        <f>-EXP((Parameters!$B$56)*F36)*SUM(BU36:BU44)</f>
        <v>#NUM!</v>
      </c>
      <c r="BW36">
        <f>X36^-Parameters!B$52/(1-2*Parameters!B$5*'6states,BAU'!D36/'6states,BAU'!G36)</f>
        <v>1.0133908946746331</v>
      </c>
      <c r="BX36">
        <f t="shared" si="16"/>
        <v>1.005121110712647</v>
      </c>
      <c r="BY36">
        <f>$X36^-Parameters!$B$52/(1-2*Parameters!$B$5*'6states,BAU'!$E36/'6states,BAU'!$H36)</f>
        <v>1.0587160144941592</v>
      </c>
      <c r="BZ36">
        <f t="shared" si="17"/>
        <v>1.0048143018550695</v>
      </c>
      <c r="CA36" s="7">
        <f>($X36^-Parameters!$B$52*(1/(1+EXP(-C36)) + IF(C36&lt;0,2*Parameters!$B$6*C36/F36,0)) + BS36*(1/(1+EXP((C36-Parameters!$B$22)*Parameters!$B$21))))/(1-IF(C36&gt;0,2*Parameters!$B$5*C36/F36,0))</f>
        <v>0.54634647383649082</v>
      </c>
      <c r="CB36">
        <f t="shared" si="18"/>
        <v>1.0047428803749374</v>
      </c>
      <c r="CC36" s="7">
        <f t="shared" si="19"/>
        <v>2.5790239665181014E-3</v>
      </c>
      <c r="CD36" t="e">
        <f>(1/$T36-1/Parameters!$B$13) * LN(Parameters!$B$18) / LN(P36)</f>
        <v>#DIV/0!</v>
      </c>
      <c r="CE36">
        <f>(Parameters!$B$18*'6states,BAU'!T36^+Parameters!$B$19*Parameters!$B$25^'6states,BAU'!T36)^((1-'6states,BAU'!T36)/'6states,BAU'!T36)*Parameters!$B$18*Parameters!$B$26^('6states,BAU'!T36-1)</f>
        <v>0.23890463601683173</v>
      </c>
      <c r="CF36" t="e">
        <f t="shared" si="20"/>
        <v>#DIV/0!</v>
      </c>
      <c r="CG36" t="e">
        <f t="shared" si="21"/>
        <v>#DIV/0!</v>
      </c>
      <c r="CH36">
        <f t="shared" si="21"/>
        <v>0.15261155344748578</v>
      </c>
    </row>
    <row r="37" spans="1:86" x14ac:dyDescent="0.3">
      <c r="A37">
        <f>A36+Parameters!$B$65</f>
        <v>33</v>
      </c>
      <c r="B37">
        <v>2058</v>
      </c>
      <c r="C37" s="74">
        <v>5.89437905727314E-2</v>
      </c>
      <c r="D37" s="69">
        <v>4.2428947281896298E-3</v>
      </c>
      <c r="E37" s="75">
        <v>0.30445180923798998</v>
      </c>
      <c r="F37" s="7">
        <f>MAX((1-Parameters!$B$4)^Parameters!B$65*F36 + C36*Parameters!B$65 - IF(C36&gt;0,Parameters!$B$5,0)*C36^2/F36*Parameters!B$65, 0.0001)</f>
        <v>0.85443197857556441</v>
      </c>
      <c r="G37" s="7">
        <f>(1-Parameters!$B$4)^Parameters!B$65*G36+D36*Parameters!B$65-Parameters!$B$5*D36^2/G36*Parameters!B$65</f>
        <v>8.7053003423677291E-2</v>
      </c>
      <c r="H37" s="7">
        <f>(1-Parameters!$B$4)^Parameters!B$65*H36+E36*Parameters!B$65-Parameters!$B$5*E36^2/H36*Parameters!B$65</f>
        <v>4.4825781817959056</v>
      </c>
      <c r="I37" s="7">
        <f>I36 *(1-Parameters!$B$4)-C36*(C36&lt;0)*Parameters!B$65</f>
        <v>0</v>
      </c>
      <c r="J37" s="23">
        <f>J36*(1+Parameters!$B$51)^Parameters!B$65</f>
        <v>8.9782561577833935</v>
      </c>
      <c r="K37" s="23">
        <f>K36*(1+Parameters!$B$53)^Parameters!B$65</f>
        <v>17.401168654047741</v>
      </c>
      <c r="L37" s="23">
        <f>J37*K37*EXP(-Parameters!$B$42*'6states,BAU'!A37)*(Parameters!$B$37/Parameters!$B$38*('6states,BAU'!F37+'6states,BAU'!I37)/Parameters!$E$25*(EXP(-Parameters!$B$38*Parameters!$E$25*'6states,BAU'!I37/('6states,BAU'!F37+'6states,BAU'!I37))-EXP(-Parameters!$B$38*Parameters!$E$25))  +  Parameters!$B$39*'6states,BAU'!F37)</f>
        <v>87.396404741680257</v>
      </c>
      <c r="M37" s="8">
        <f>M36+L37*Parameters!B$65</f>
        <v>4604.4102017412088</v>
      </c>
      <c r="N37" s="7">
        <f>M37*Parameters!$B$45</f>
        <v>2.7626461210447251</v>
      </c>
      <c r="O37" s="9">
        <f>EXP(-Parameters!$B$46/2*N37^2)</f>
        <v>0.92616419227636171</v>
      </c>
      <c r="P37" s="7">
        <f>MAX((Parameters!$B$62 + Parameters!$B$31*'6states,BAU'!A37 - '6states,BAU'!M37 + Parameters!$B$47/Parameters!$B$45)/Parameters!B$62,1)</f>
        <v>1</v>
      </c>
      <c r="Q37" s="7">
        <f>Parameters!B$61*EXP(-Parameters!B$60*A37)</f>
        <v>0.20512265112952199</v>
      </c>
      <c r="R37" s="7">
        <f>(1-Parameters!B$61)*P37^-Parameters!B$63</f>
        <v>0.5</v>
      </c>
      <c r="S37" s="7">
        <f>Parameters!B$61*EXP(-Parameters!B$60*A37)+(1-Parameters!B$61)*P37^-Parameters!B$63</f>
        <v>0.70512265112952199</v>
      </c>
      <c r="T37" s="7">
        <f>1-S37/Parameters!$B$12</f>
        <v>0.64743867443523895</v>
      </c>
      <c r="U37" s="7">
        <f t="shared" si="0"/>
        <v>2.8363859773845577</v>
      </c>
      <c r="V37" s="7">
        <f>(Parameters!$B$19*(F37+Parameters!$B$20)^T37+Parameters!$B$18*G37^T37)^(1/T37)</f>
        <v>0.57141822585116342</v>
      </c>
      <c r="W37" s="7">
        <f>(Parameters!$B$10*H37^Parameters!$B$9+Parameters!$B$11*V37^Parameters!$B$9)^(Parameters!$B$7/Parameters!$B$9)*O37</f>
        <v>1.4317918956340674</v>
      </c>
      <c r="X37" s="7">
        <f>W37 - D37 - E37 - LN(1+EXP(Parameters!$B$21*C37))/Parameters!$B$21 - IF(C37&gt;0, 0,Parameters!$B$6*C37^2/F37)</f>
        <v>1.0641534010254632</v>
      </c>
      <c r="Y37" s="7">
        <f>EXP(-Parameters!$B$55*A37)</f>
        <v>0.60756263876780681</v>
      </c>
      <c r="Z37" s="7">
        <f>IF(X37&gt;0,X37^(1-Parameters!$B$52)/(1-Parameters!$B$52)*Y37*Parameters!$B$65,-10+X37*1000)</f>
        <v>-1.6985233916176361</v>
      </c>
      <c r="AB37" s="9"/>
      <c r="AC37" s="23">
        <f t="shared" si="6"/>
        <v>9.2089151079779281</v>
      </c>
      <c r="AD37" s="23">
        <f t="shared" si="6"/>
        <v>0.66287656399995942</v>
      </c>
      <c r="AE37" s="23">
        <f t="shared" si="7"/>
        <v>0</v>
      </c>
      <c r="AF37" s="23">
        <f t="shared" si="8"/>
        <v>133.48974471764066</v>
      </c>
      <c r="AG37" s="23">
        <f t="shared" si="9"/>
        <v>13.600477855830706</v>
      </c>
      <c r="AH37" s="23">
        <f t="shared" si="10"/>
        <v>89.273897757249046</v>
      </c>
      <c r="AI37" s="23">
        <f t="shared" si="11"/>
        <v>219.70985911143711</v>
      </c>
      <c r="AJ37" s="23">
        <f t="shared" si="12"/>
        <v>223.69192566459554</v>
      </c>
      <c r="AK37" s="23">
        <f t="shared" si="13"/>
        <v>166.25497336852686</v>
      </c>
      <c r="AL37" s="9">
        <f t="shared" si="22"/>
        <v>1.994997970582979E-2</v>
      </c>
      <c r="AM37" s="9">
        <f t="shared" si="22"/>
        <v>1.8971949779772679E-2</v>
      </c>
      <c r="AN37" s="9">
        <f t="shared" si="27"/>
        <v>1.994766423865766E-2</v>
      </c>
      <c r="AO37" s="9">
        <f t="shared" si="27"/>
        <v>1.8975482966124523E-2</v>
      </c>
      <c r="AP37" s="23"/>
      <c r="AQ37" s="8">
        <f t="shared" si="1"/>
        <v>223.69192566459557</v>
      </c>
      <c r="AR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-1.8057285374641504E-3</v>
      </c>
      <c r="AS37" s="32">
        <f>((C38-C36)/2-(F38-F36)/F37/2*C37)/(F37/2/Parameters!$B$5-C37)-((D38-D36)/D37-(G38-G36)/G37)/(G37/2/Parameters!$B$5/D37-1)</f>
        <v>-7.1503438762218579E-4</v>
      </c>
      <c r="AT37" s="32">
        <f>+Parameters!$B$5*C37^2/F37^2-Parameters!$B$5*D37^2/G37^2</f>
        <v>2.383548773958358E-3</v>
      </c>
      <c r="AU37" s="30">
        <f>EXP(-Parameters!$B$42*'6states,BAU'!A37)*(Parameters!$B$37*EXP(-Parameters!$B$38*Parameters!$E$25*'6states,BAU'!I37/('6states,BAU'!F37+'6states,BAU'!I37))*(1/Parameters!$B$38/Parameters!$E$25+'6states,BAU'!I37/('6states,BAU'!F37+'6states,BAU'!I37))-Parameters!$B$37/Parameters!$B$38/Parameters!$E$25*EXP(-Parameters!$B$38*Parameters!$E$25)+Parameters!$B$39)</f>
        <v>0.65470501068484566</v>
      </c>
      <c r="AV37" s="30">
        <f>J37*K37*EXP(-Parameters!$B$42*'6states,BAU'!A37)*(Parameters!$B$37*EXP(-Parameters!$B$38*Parameters!$E$25*'6states,BAU'!I37/('6states,BAU'!F37+'6states,BAU'!I37))*(1/Parameters!$B$38/Parameters!$E$25+'6states,BAU'!I37/('6states,BAU'!F37+'6states,BAU'!I37))-Parameters!$B$37/Parameters!$B$38/Parameters!$E$25*EXP(-Parameters!$B$38*Parameters!$E$25)+Parameters!$B$39)</f>
        <v>102.28597118682289</v>
      </c>
      <c r="AW37" s="8">
        <f>1000*(AR37+AS37+AT37)/(EXP(-Parameters!$B$42*A37)*((C37&lt;0)*Parameters!$B$37*EXP(-Parameters!$B$38*AF37)+(C37&gt;=0)*Parameters!$B$41))</f>
        <v>-0.20958164194351769</v>
      </c>
      <c r="AX37" s="13">
        <f>1-W37/'6states,ExoDamages'!T37</f>
        <v>3.1893115048193033E-2</v>
      </c>
      <c r="AY37" s="21">
        <f>-Y37*W37*X37^(-Parameters!B$52)*Parameters!B$46*Parameters!B$45*N37</f>
        <v>-2.6649422656823106E-5</v>
      </c>
      <c r="AZ37" s="7">
        <f>1000*EXP(-(Parameters!$B$54)*'6states,BAU'!A37)*AQ37*Parameters!B$46*Parameters!B$45*N37</f>
        <v>2.34034334121539</v>
      </c>
      <c r="BA37" s="7">
        <f>SUM(AZ37:AZ$204)*EXP(Parameters!$B$54*A37)</f>
        <v>617.50912637475426</v>
      </c>
      <c r="BB37" s="13">
        <f t="shared" si="26"/>
        <v>0.25676810691549745</v>
      </c>
      <c r="BC37" s="30">
        <f>IF(C37&lt;0,Parameters!$B$6*AC37^2/AF37,0)</f>
        <v>0</v>
      </c>
      <c r="BD37" s="30">
        <f>Parameters!$B$5*AD37^2/AG37</f>
        <v>3.2308080918790172E-2</v>
      </c>
      <c r="BE37" s="30">
        <f t="shared" si="14"/>
        <v>0</v>
      </c>
      <c r="BF37" s="30">
        <f t="shared" si="15"/>
        <v>4.8739211300268794E-2</v>
      </c>
      <c r="BG37" s="30"/>
      <c r="BH37" s="5" t="e">
        <f t="shared" si="28"/>
        <v>#NUM!</v>
      </c>
      <c r="BI37" s="2" t="e">
        <f>BH37/Parameters!$B$45</f>
        <v>#NUM!</v>
      </c>
      <c r="BJ37" s="2" t="e">
        <f t="shared" si="24"/>
        <v>#NUM!</v>
      </c>
      <c r="BM37">
        <f>-EXP(-Parameters!B$42*'6states,BAU'!A37)*(-Parameters!B$37/Parameters!B$38/Parameters!E$25*(EXP(-Parameters!B$38*Parameters!E$25*'6states,BAU'!I37/('6states,BAU'!F37+'6states,BAU'!I37))-EXP(-Parameters!B$38*Parameters!E$25))+Parameters!B$37*'6states,BAU'!F37/('6states,BAU'!F37+'6states,BAU'!I37)*EXP(-Parameters!B$38*Parameters!E$25*'6states,BAU'!I37/('6states,BAU'!F37+'6states,BAU'!I37)))</f>
        <v>-4.2960913872207707</v>
      </c>
      <c r="BN37">
        <f>-J37*K37*EXP(-Parameters!B$42*'6states,BAU'!A37)*(-Parameters!B$37/Parameters!B$38/Parameters!E$25*(EXP(-Parameters!B$38*Parameters!E$25*'6states,BAU'!I37/('6states,BAU'!F37+'6states,BAU'!I37))-EXP(-Parameters!B$38*Parameters!E$25)) + Parameters!B$37*'6states,BAU'!F37/('6states,BAU'!F37+'6states,BAU'!I37)*EXP(-Parameters!B$38*Parameters!E$25*'6states,BAU'!I37/('6states,BAU'!F37+'6states,BAU'!I37)))</f>
        <v>-671.18759239304086</v>
      </c>
      <c r="BO37" s="7">
        <f t="shared" si="4"/>
        <v>0</v>
      </c>
      <c r="BU37" t="e">
        <f>EXP(-Parameters!$B$56*A37)*BH37*BN37</f>
        <v>#NUM!</v>
      </c>
      <c r="BV37" t="e">
        <f>-EXP((Parameters!$B$56)*F37)*SUM(BU37:BU45)</f>
        <v>#NUM!</v>
      </c>
      <c r="BW37">
        <f>X37^-Parameters!B$52/(1-2*Parameters!B$5*'6states,BAU'!D37/'6states,BAU'!G37)</f>
        <v>1.0187947205820393</v>
      </c>
      <c r="BX37">
        <f t="shared" si="16"/>
        <v>1.0053324200323916</v>
      </c>
      <c r="BY37">
        <f>$X37^-Parameters!$B$52/(1-2*Parameters!$B$5*'6states,BAU'!$E37/'6states,BAU'!$H37)</f>
        <v>1.064018111984125</v>
      </c>
      <c r="BZ37">
        <f t="shared" si="17"/>
        <v>1.0050080450445431</v>
      </c>
      <c r="CA37" s="7">
        <f>($X37^-Parameters!$B$52*(1/(1+EXP(-C37)) + IF(C37&lt;0,2*Parameters!$B$6*C37/F37,0)) + BS37*(1/(1+EXP((C37-Parameters!$B$22)*Parameters!$B$21))))/(1-IF(C37&gt;0,2*Parameters!$B$5*C37/F37,0))</f>
        <v>0.5490396942242538</v>
      </c>
      <c r="CB37">
        <f t="shared" si="18"/>
        <v>1.0049295099661777</v>
      </c>
      <c r="CC37" s="7">
        <f t="shared" si="19"/>
        <v>2.6932203877629846E-3</v>
      </c>
      <c r="CD37" t="e">
        <f>(1/$T37-1/Parameters!$B$13) * LN(Parameters!$B$18) / LN(P37)</f>
        <v>#DIV/0!</v>
      </c>
      <c r="CE37">
        <f>(Parameters!$B$18*'6states,BAU'!T37^+Parameters!$B$19*Parameters!$B$25^'6states,BAU'!T37)^((1-'6states,BAU'!T37)/'6states,BAU'!T37)*Parameters!$B$18*Parameters!$B$26^('6states,BAU'!T37-1)</f>
        <v>0.24060578492936049</v>
      </c>
      <c r="CF37" t="e">
        <f t="shared" si="20"/>
        <v>#DIV/0!</v>
      </c>
      <c r="CG37" t="e">
        <f t="shared" ref="CG37:CH68" si="29">1-2^-CD37</f>
        <v>#DIV/0!</v>
      </c>
      <c r="CH37">
        <f t="shared" si="29"/>
        <v>0.15361015976244585</v>
      </c>
    </row>
    <row r="38" spans="1:86" x14ac:dyDescent="0.3">
      <c r="A38">
        <f>A37+Parameters!$B$65</f>
        <v>34</v>
      </c>
      <c r="B38">
        <v>2059</v>
      </c>
      <c r="C38" s="74">
        <v>5.8977809781278298E-2</v>
      </c>
      <c r="D38" s="69">
        <v>4.1844377678609702E-3</v>
      </c>
      <c r="E38" s="75">
        <v>0.30450498347743199</v>
      </c>
      <c r="F38" s="7">
        <f>MAX((1-Parameters!$B$4)^Parameters!B$65*F37 + C37*Parameters!B$65 - IF(C37&gt;0,Parameters!$B$5,0)*C37^2/F37*Parameters!B$65, 0.0001)</f>
        <v>0.85556570507787288</v>
      </c>
      <c r="G38" s="7">
        <f>(1-Parameters!$B$4)^Parameters!B$65*G37+D37*Parameters!B$65-Parameters!$B$5*D37^2/G37*Parameters!B$65</f>
        <v>8.5613468893835587E-2</v>
      </c>
      <c r="H38" s="7">
        <f>(1-Parameters!$B$4)^Parameters!B$65*H37+E37*Parameters!B$65-Parameters!$B$5*E37^2/H37*Parameters!B$65</f>
        <v>4.4843977893771925</v>
      </c>
      <c r="I38" s="7">
        <f>I37 *(1-Parameters!$B$4)-C37*(C37&lt;0)*Parameters!B$65</f>
        <v>0</v>
      </c>
      <c r="J38" s="23">
        <f>J37*(1+Parameters!$B$51)^Parameters!B$65</f>
        <v>9.0042931006409646</v>
      </c>
      <c r="K38" s="23">
        <f>K37*(1+Parameters!$B$53)^Parameters!B$65</f>
        <v>17.749192027128696</v>
      </c>
      <c r="L38" s="23">
        <f>J38*K38*EXP(-Parameters!$B$42*'6states,BAU'!A38)*(Parameters!$B$37/Parameters!$B$38*('6states,BAU'!F38+'6states,BAU'!I38)/Parameters!$E$25*(EXP(-Parameters!$B$38*Parameters!$E$25*'6states,BAU'!I38/('6states,BAU'!F38+'6states,BAU'!I38))-EXP(-Parameters!$B$38*Parameters!$E$25))  +  Parameters!$B$39*'6states,BAU'!F38)</f>
        <v>88.630724437475862</v>
      </c>
      <c r="M38" s="8">
        <f>M37+L38*Parameters!B$65</f>
        <v>4693.0409261786845</v>
      </c>
      <c r="N38" s="7">
        <f>M38*Parameters!$B$45</f>
        <v>2.8158245557072106</v>
      </c>
      <c r="O38" s="9">
        <f>EXP(-Parameters!$B$46/2*N38^2)</f>
        <v>0.92340706055354549</v>
      </c>
      <c r="P38" s="7">
        <f>MAX((Parameters!$B$62 + Parameters!$B$31*'6states,BAU'!A38 - '6states,BAU'!M38 + Parameters!$B$47/Parameters!$B$45)/Parameters!B$62,1)</f>
        <v>1</v>
      </c>
      <c r="Q38" s="7">
        <f>Parameters!B$61*EXP(-Parameters!B$60*A38)</f>
        <v>0.19965843836819494</v>
      </c>
      <c r="R38" s="7">
        <f>(1-Parameters!B$61)*P38^-Parameters!B$63</f>
        <v>0.5</v>
      </c>
      <c r="S38" s="7">
        <f>Parameters!B$61*EXP(-Parameters!B$60*A38)+(1-Parameters!B$61)*P38^-Parameters!B$63</f>
        <v>0.69965843836819497</v>
      </c>
      <c r="T38" s="7">
        <f>1-S38/Parameters!$B$12</f>
        <v>0.65017078081590252</v>
      </c>
      <c r="U38" s="7">
        <f t="shared" si="0"/>
        <v>2.8585376668429472</v>
      </c>
      <c r="V38" s="7">
        <f>(Parameters!$B$19*(F38+Parameters!$B$20)^T38+Parameters!$B$18*G38^T38)^(1/T38)</f>
        <v>0.57175396689131741</v>
      </c>
      <c r="W38" s="7">
        <f>(Parameters!$B$10*H38^Parameters!$B$9+Parameters!$B$11*V38^Parameters!$B$9)^(Parameters!$B$7/Parameters!$B$9)*O38</f>
        <v>1.4277169680731663</v>
      </c>
      <c r="X38" s="7">
        <f>W38 - D38 - E38 - LN(1+EXP(Parameters!$B$21*C38))/Parameters!$B$21 - IF(C38&gt;0, 0,Parameters!$B$6*C38^2/F38)</f>
        <v>1.0600497369776094</v>
      </c>
      <c r="Y38" s="7">
        <f>EXP(-Parameters!$B$55*A38)</f>
        <v>0.59845736077844469</v>
      </c>
      <c r="Z38" s="7">
        <f>IF(X38&gt;0,X38^(1-Parameters!$B$52)/(1-Parameters!$B$52)*Y38*Parameters!$B$65,-10+X38*1000)</f>
        <v>-1.675332385095478</v>
      </c>
      <c r="AB38" s="9"/>
      <c r="AC38" s="23">
        <f t="shared" si="6"/>
        <v>9.4257702944448489</v>
      </c>
      <c r="AD38" s="23">
        <f t="shared" si="6"/>
        <v>0.66875235546263412</v>
      </c>
      <c r="AE38" s="23">
        <f t="shared" si="7"/>
        <v>0</v>
      </c>
      <c r="AF38" s="23">
        <f t="shared" si="8"/>
        <v>136.7355932303322</v>
      </c>
      <c r="AG38" s="23">
        <f t="shared" si="9"/>
        <v>13.682652762057232</v>
      </c>
      <c r="AH38" s="23">
        <f t="shared" si="10"/>
        <v>91.377105674851933</v>
      </c>
      <c r="AI38" s="23">
        <f t="shared" si="11"/>
        <v>224.8860139211566</v>
      </c>
      <c r="AJ38" s="23">
        <f t="shared" si="12"/>
        <v>228.17619434234675</v>
      </c>
      <c r="AK38" s="23">
        <f t="shared" si="13"/>
        <v>169.41601186094542</v>
      </c>
      <c r="AL38" s="9">
        <f t="shared" si="22"/>
        <v>1.98483393516522E-2</v>
      </c>
      <c r="AM38" s="9">
        <f t="shared" si="22"/>
        <v>1.8834704684876691E-2</v>
      </c>
      <c r="AN38" s="9">
        <f t="shared" si="27"/>
        <v>1.9845559229046829E-2</v>
      </c>
      <c r="AO38" s="9">
        <f t="shared" si="27"/>
        <v>1.883281777673762E-2</v>
      </c>
      <c r="AP38" s="23"/>
      <c r="AQ38" s="8">
        <f t="shared" si="1"/>
        <v>228.17619434234672</v>
      </c>
      <c r="AR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-1.7721242861615846E-3</v>
      </c>
      <c r="AS38" s="32">
        <f>((C39-C37)/2-(F39-F37)/F38/2*C38)/(F38/2/Parameters!$B$5-C38)-((D39-D37)/D38-(G39-G37)/G38)/(G38/2/Parameters!$B$5/D38-1)</f>
        <v>-7.290537791327516E-4</v>
      </c>
      <c r="AT38" s="32">
        <f>+Parameters!$B$5*C38^2/F38^2-Parameters!$B$5*D38^2/G38^2</f>
        <v>2.363079221057547E-3</v>
      </c>
      <c r="AU38" s="30">
        <f>EXP(-Parameters!$B$42*'6states,BAU'!A38)*(Parameters!$B$37*EXP(-Parameters!$B$38*Parameters!$E$25*'6states,BAU'!I38/('6states,BAU'!F38+'6states,BAU'!I38))*(1/Parameters!$B$38/Parameters!$E$25+'6states,BAU'!I38/('6states,BAU'!F38+'6states,BAU'!I38))-Parameters!$B$37/Parameters!$B$38/Parameters!$E$25*EXP(-Parameters!$B$38*Parameters!$E$25)+Parameters!$B$39)</f>
        <v>0.64819058698327869</v>
      </c>
      <c r="AV38" s="30">
        <f>J38*K38*EXP(-Parameters!$B$42*'6states,BAU'!A38)*(Parameters!$B$37*EXP(-Parameters!$B$38*Parameters!$E$25*'6states,BAU'!I38/('6states,BAU'!F38+'6states,BAU'!I38))*(1/Parameters!$B$38/Parameters!$E$25+'6states,BAU'!I38/('6states,BAU'!F38+'6states,BAU'!I38))-Parameters!$B$37/Parameters!$B$38/Parameters!$E$25*EXP(-Parameters!$B$38*Parameters!$E$25)+Parameters!$B$39)</f>
        <v>103.5931243052908</v>
      </c>
      <c r="AW38" s="8">
        <f>1000*(AR38+AS38+AT38)/(EXP(-Parameters!$B$42*A38)*((C38&lt;0)*Parameters!$B$37*EXP(-Parameters!$B$38*AF38)+(C38&gt;=0)*Parameters!$B$41))</f>
        <v>-0.21305283817759546</v>
      </c>
      <c r="AX38" s="13">
        <f>1-W38/'6states,ExoDamages'!T38</f>
        <v>3.4226372550619444E-2</v>
      </c>
      <c r="AY38" s="21">
        <f>-Y38*W38*X38^(-Parameters!B$52)*Parameters!B$46*Parameters!B$45*N38</f>
        <v>-2.6818705189490037E-5</v>
      </c>
      <c r="AZ38" s="7">
        <f>1000*EXP(-(Parameters!$B$54)*'6states,BAU'!A38)*AQ38*Parameters!B$46*Parameters!B$45*N38</f>
        <v>2.3492876598254031</v>
      </c>
      <c r="BA38" s="7">
        <f>SUM(AZ38:AZ$204)*EXP(Parameters!$B$54*A38)</f>
        <v>631.84947631070884</v>
      </c>
      <c r="BB38" s="13">
        <f t="shared" si="26"/>
        <v>0.25752109083831343</v>
      </c>
      <c r="BC38" s="30">
        <f>IF(C38&lt;0,Parameters!$B$6*AC38^2/AF38,0)</f>
        <v>0</v>
      </c>
      <c r="BD38" s="30">
        <f>Parameters!$B$5*AD38^2/AG38</f>
        <v>3.2685892181449974E-2</v>
      </c>
      <c r="BE38" s="30">
        <f t="shared" si="14"/>
        <v>0</v>
      </c>
      <c r="BF38" s="30">
        <f t="shared" si="15"/>
        <v>4.8875928308077958E-2</v>
      </c>
      <c r="BG38" s="30"/>
      <c r="BH38" s="5" t="e">
        <f t="shared" si="28"/>
        <v>#NUM!</v>
      </c>
      <c r="BI38" s="2" t="e">
        <f>BH38/Parameters!$B$45</f>
        <v>#NUM!</v>
      </c>
      <c r="BJ38" s="2" t="e">
        <f t="shared" si="24"/>
        <v>#NUM!</v>
      </c>
      <c r="BM38">
        <f>-EXP(-Parameters!B$42*'6states,BAU'!A38)*(-Parameters!B$37/Parameters!B$38/Parameters!E$25*(EXP(-Parameters!B$38*Parameters!E$25*'6states,BAU'!I38/('6states,BAU'!F38+'6states,BAU'!I38))-EXP(-Parameters!B$38*Parameters!E$25))+Parameters!B$37*'6states,BAU'!F38/('6states,BAU'!F38+'6states,BAU'!I38)*EXP(-Parameters!B$38*Parameters!E$25*'6states,BAU'!I38/('6states,BAU'!F38+'6states,BAU'!I38)))</f>
        <v>-4.253344563689156</v>
      </c>
      <c r="BN38">
        <f>-J38*K38*EXP(-Parameters!B$42*'6states,BAU'!A38)*(-Parameters!B$37/Parameters!B$38/Parameters!E$25*(EXP(-Parameters!B$38*Parameters!E$25*'6states,BAU'!I38/('6states,BAU'!F38+'6states,BAU'!I38))-EXP(-Parameters!B$38*Parameters!E$25)) + Parameters!B$37*'6states,BAU'!F38/('6states,BAU'!F38+'6states,BAU'!I38)*EXP(-Parameters!B$38*Parameters!E$25*'6states,BAU'!I38/('6states,BAU'!F38+'6states,BAU'!I38)))</f>
        <v>-679.76496565638979</v>
      </c>
      <c r="BO38" s="7">
        <f t="shared" si="4"/>
        <v>0</v>
      </c>
      <c r="BU38" t="e">
        <f>EXP(-Parameters!$B$56*A38)*BH38*BN38</f>
        <v>#NUM!</v>
      </c>
      <c r="BV38" t="e">
        <f>-EXP((Parameters!$B$56)*F38)*SUM(BU38:BU46)</f>
        <v>#NUM!</v>
      </c>
      <c r="BW38">
        <f>X38^-Parameters!B$52/(1-2*Parameters!B$5*'6states,BAU'!D38/'6states,BAU'!G38)</f>
        <v>1.0244330365469152</v>
      </c>
      <c r="BX38">
        <f t="shared" si="16"/>
        <v>1.0055343003364354</v>
      </c>
      <c r="BY38">
        <f>$X38^-Parameters!$B$52/(1-2*Parameters!$B$5*'6states,BAU'!$E38/'6states,BAU'!$H38)</f>
        <v>1.0695436953686619</v>
      </c>
      <c r="BZ38">
        <f t="shared" si="17"/>
        <v>1.0051931290664151</v>
      </c>
      <c r="CA38" s="7">
        <f>($X38^-Parameters!$B$52*(1/(1+EXP(-C38)) + IF(C38&lt;0,2*Parameters!$B$6*C38/F38,0)) + BS38*(1/(1+EXP((C38-Parameters!$B$22)*Parameters!$B$21))))/(1-IF(C38&gt;0,2*Parameters!$B$5*C38/F38,0))</f>
        <v>0.55185396093854022</v>
      </c>
      <c r="CB38">
        <f t="shared" si="18"/>
        <v>1.0051257982690354</v>
      </c>
      <c r="CC38" s="7">
        <f t="shared" si="19"/>
        <v>2.8142667142864175E-3</v>
      </c>
      <c r="CD38" t="e">
        <f>(1/$T38-1/Parameters!$B$13) * LN(Parameters!$B$18) / LN(P38)</f>
        <v>#DIV/0!</v>
      </c>
      <c r="CE38">
        <f>(Parameters!$B$18*'6states,BAU'!T38^+Parameters!$B$19*Parameters!$B$25^'6states,BAU'!T38)^((1-'6states,BAU'!T38)/'6states,BAU'!T38)*Parameters!$B$18*Parameters!$B$26^('6states,BAU'!T38-1)</f>
        <v>0.24224200254137063</v>
      </c>
      <c r="CF38" t="e">
        <f t="shared" si="20"/>
        <v>#DIV/0!</v>
      </c>
      <c r="CG38" t="e">
        <f t="shared" si="29"/>
        <v>#DIV/0!</v>
      </c>
      <c r="CH38">
        <f t="shared" si="29"/>
        <v>0.1545695398797351</v>
      </c>
    </row>
    <row r="39" spans="1:86" x14ac:dyDescent="0.3">
      <c r="A39">
        <f>A38+Parameters!$B$65</f>
        <v>35</v>
      </c>
      <c r="B39">
        <v>2060</v>
      </c>
      <c r="C39" s="74">
        <v>5.9015735220631499E-2</v>
      </c>
      <c r="D39" s="69">
        <v>4.1277298389164902E-3</v>
      </c>
      <c r="E39" s="75">
        <v>0.30454421016418998</v>
      </c>
      <c r="F39" s="7">
        <f>MAX((1-Parameters!$B$4)^Parameters!B$65*F38 + C38*Parameters!B$65 - IF(C38&gt;0,Parameters!$B$5,0)*C38^2/F38*Parameters!B$65, 0.0001)</f>
        <v>0.85666283888703654</v>
      </c>
      <c r="G39" s="7">
        <f>(1-Parameters!$B$4)^Parameters!B$65*G38+D38*Parameters!B$65-Parameters!$B$5*D38^2/G38*Parameters!B$65</f>
        <v>8.4208301187922704E-2</v>
      </c>
      <c r="H39" s="7">
        <f>(1-Parameters!$B$4)^Parameters!B$65*H38+E38*Parameters!B$65-Parameters!$B$5*E38^2/H38*Parameters!B$65</f>
        <v>4.4861572875126159</v>
      </c>
      <c r="I39" s="7">
        <f>I38 *(1-Parameters!$B$4)-C38*(C38&lt;0)*Parameters!B$65</f>
        <v>0</v>
      </c>
      <c r="J39" s="23">
        <f>J38*(1+Parameters!$B$51)^Parameters!B$65</f>
        <v>9.0304055506328229</v>
      </c>
      <c r="K39" s="23">
        <f>K38*(1+Parameters!$B$53)^Parameters!B$65</f>
        <v>18.10417586767127</v>
      </c>
      <c r="L39" s="23">
        <f>J39*K39*EXP(-Parameters!$B$42*'6states,BAU'!A39)*(Parameters!$B$37/Parameters!$B$38*('6states,BAU'!F39+'6states,BAU'!I39)/Parameters!$E$25*(EXP(-Parameters!$B$38*Parameters!$E$25*'6states,BAU'!I39/('6states,BAU'!F39+'6states,BAU'!I39))-EXP(-Parameters!$B$38*Parameters!$E$25))  +  Parameters!$B$39*'6states,BAU'!F39)</f>
        <v>89.878479693400806</v>
      </c>
      <c r="M39" s="8">
        <f>M38+L39*Parameters!B$65</f>
        <v>4782.919405872085</v>
      </c>
      <c r="N39" s="7">
        <f>M39*Parameters!$B$45</f>
        <v>2.8697516435232506</v>
      </c>
      <c r="O39" s="9">
        <f>EXP(-Parameters!$B$46/2*N39^2)</f>
        <v>0.9205660571087535</v>
      </c>
      <c r="P39" s="7">
        <f>MAX((Parameters!$B$62 + Parameters!$B$31*'6states,BAU'!A39 - '6states,BAU'!M39 + Parameters!$B$47/Parameters!$B$45)/Parameters!B$62,1)</f>
        <v>1</v>
      </c>
      <c r="Q39" s="7">
        <f>Parameters!B$61*EXP(-Parameters!B$60*A39)</f>
        <v>0.19433978545087652</v>
      </c>
      <c r="R39" s="7">
        <f>(1-Parameters!B$61)*P39^-Parameters!B$63</f>
        <v>0.5</v>
      </c>
      <c r="S39" s="7">
        <f>Parameters!B$61*EXP(-Parameters!B$60*A39)+(1-Parameters!B$61)*P39^-Parameters!B$63</f>
        <v>0.69433978545087649</v>
      </c>
      <c r="T39" s="7">
        <f>1-S39/Parameters!$B$12</f>
        <v>0.6528301072745617</v>
      </c>
      <c r="U39" s="7">
        <f t="shared" si="0"/>
        <v>2.8804341072019657</v>
      </c>
      <c r="V39" s="7">
        <f>(Parameters!$B$19*(F39+Parameters!$B$20)^T39+Parameters!$B$18*G39^T39)^(1/T39)</f>
        <v>0.57207840195338822</v>
      </c>
      <c r="W39" s="7">
        <f>(Parameters!$B$10*H39^Parameters!$B$9+Parameters!$B$11*V39^Parameters!$B$9)^(Parameters!$B$7/Parameters!$B$9)*O39</f>
        <v>1.4235049622444322</v>
      </c>
      <c r="X39" s="7">
        <f>W39 - D39 - E39 - LN(1+EXP(Parameters!$B$21*C39))/Parameters!$B$21 - IF(C39&gt;0, 0,Parameters!$B$6*C39^2/F39)</f>
        <v>1.0558172869524893</v>
      </c>
      <c r="Y39" s="7">
        <f>EXP(-Parameters!$B$55*A39)</f>
        <v>0.58948853964467807</v>
      </c>
      <c r="Z39" s="7">
        <f>IF(X39&gt;0,X39^(1-Parameters!$B$52)/(1-Parameters!$B$52)*Y39*Parameters!$B$65,-10+X39*1000)</f>
        <v>-1.652537231982921</v>
      </c>
      <c r="AB39" s="9"/>
      <c r="AC39" s="23">
        <f t="shared" si="6"/>
        <v>9.6483674849992536</v>
      </c>
      <c r="AD39" s="23">
        <f t="shared" si="6"/>
        <v>0.67483450330277717</v>
      </c>
      <c r="AE39" s="23">
        <f t="shared" si="7"/>
        <v>0</v>
      </c>
      <c r="AF39" s="23">
        <f t="shared" si="8"/>
        <v>140.05413724703223</v>
      </c>
      <c r="AG39" s="23">
        <f t="shared" si="9"/>
        <v>13.767050975661531</v>
      </c>
      <c r="AH39" s="23">
        <f t="shared" si="10"/>
        <v>93.52798252266426</v>
      </c>
      <c r="AI39" s="23">
        <f t="shared" si="11"/>
        <v>230.17948559732213</v>
      </c>
      <c r="AJ39" s="23">
        <f t="shared" si="12"/>
        <v>232.72605079149778</v>
      </c>
      <c r="AK39" s="23">
        <f t="shared" si="13"/>
        <v>172.61350965888246</v>
      </c>
      <c r="AL39" s="9">
        <f t="shared" si="22"/>
        <v>1.9743901440877565E-2</v>
      </c>
      <c r="AM39" s="9">
        <f t="shared" si="22"/>
        <v>1.8697748302532347E-2</v>
      </c>
      <c r="AN39" s="9">
        <f t="shared" si="27"/>
        <v>1.9740917156956604E-2</v>
      </c>
      <c r="AO39" s="9">
        <f t="shared" si="27"/>
        <v>1.8687146624178121E-2</v>
      </c>
      <c r="AP39" s="23"/>
      <c r="AQ39" s="8">
        <f t="shared" si="1"/>
        <v>232.72605079149778</v>
      </c>
      <c r="AR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-1.7398124409501721E-3</v>
      </c>
      <c r="AS39" s="32">
        <f>((C40-C38)/2-(F40-F38)/F39/2*C39)/(F39/2/Parameters!$B$5-C39)-((D40-D38)/D39-(G40-G38)/G39)/(G39/2/Parameters!$B$5/D39-1)</f>
        <v>-7.3504875900003283E-4</v>
      </c>
      <c r="AT39" s="32">
        <f>+Parameters!$B$5*C39^2/F39^2-Parameters!$B$5*D39^2/G39^2</f>
        <v>2.3430965944314201E-3</v>
      </c>
      <c r="AU39" s="30">
        <f>EXP(-Parameters!$B$42*'6states,BAU'!A39)*(Parameters!$B$37*EXP(-Parameters!$B$38*Parameters!$E$25*'6states,BAU'!I39/('6states,BAU'!F39+'6states,BAU'!I39))*(1/Parameters!$B$38/Parameters!$E$25+'6states,BAU'!I39/('6states,BAU'!F39+'6states,BAU'!I39))-Parameters!$B$37/Parameters!$B$38/Parameters!$E$25*EXP(-Parameters!$B$38*Parameters!$E$25)+Parameters!$B$39)</f>
        <v>0.6417409828805708</v>
      </c>
      <c r="AV39" s="30">
        <f>J39*K39*EXP(-Parameters!$B$42*'6states,BAU'!A39)*(Parameters!$B$37*EXP(-Parameters!$B$38*Parameters!$E$25*'6states,BAU'!I39/('6states,BAU'!F39+'6states,BAU'!I39))*(1/Parameters!$B$38/Parameters!$E$25+'6states,BAU'!I39/('6states,BAU'!F39+'6states,BAU'!I39))-Parameters!$B$37/Parameters!$B$38/Parameters!$E$25*EXP(-Parameters!$B$38*Parameters!$E$25)+Parameters!$B$39)</f>
        <v>104.91698205348744</v>
      </c>
      <c r="AW39" s="8">
        <f>1000*(AR39+AS39+AT39)/(EXP(-Parameters!$B$42*A39)*((C39&lt;0)*Parameters!$B$37*EXP(-Parameters!$B$38*AF39)+(C39&gt;=0)*Parameters!$B$41))</f>
        <v>-0.20532365710435918</v>
      </c>
      <c r="AX39" s="13">
        <f>1-W39/'6states,ExoDamages'!T39</f>
        <v>3.6661786730192381E-2</v>
      </c>
      <c r="AY39" s="21">
        <f>-Y39*W39*X39^(-Parameters!B$52)*Parameters!B$46*Parameters!B$45*N39</f>
        <v>-2.6988648393861216E-5</v>
      </c>
      <c r="AZ39" s="7">
        <f>1000*EXP(-(Parameters!$B$54)*'6states,BAU'!A39)*AQ39*Parameters!B$46*Parameters!B$45*N39</f>
        <v>2.3577939552370437</v>
      </c>
      <c r="BA39" s="7">
        <f>SUM(AZ39:AZ$204)*EXP(Parameters!$B$54*A39)</f>
        <v>646.39580432089133</v>
      </c>
      <c r="BB39" s="13">
        <f t="shared" si="26"/>
        <v>0.25829743132332106</v>
      </c>
      <c r="BC39" s="30">
        <f>IF(C39&lt;0,Parameters!$B$6*AC39^2/AF39,0)</f>
        <v>0</v>
      </c>
      <c r="BD39" s="30">
        <f>Parameters!$B$5*AD39^2/AG39</f>
        <v>3.307909643488649E-2</v>
      </c>
      <c r="BE39" s="30">
        <f t="shared" si="14"/>
        <v>0</v>
      </c>
      <c r="BF39" s="30">
        <f t="shared" si="15"/>
        <v>4.901808706133233E-2</v>
      </c>
      <c r="BG39" s="30"/>
      <c r="BH39" s="5" t="e">
        <f t="shared" si="28"/>
        <v>#NUM!</v>
      </c>
      <c r="BI39" s="2" t="e">
        <f>BH39/Parameters!$B$45</f>
        <v>#NUM!</v>
      </c>
      <c r="BJ39" s="2" t="e">
        <f t="shared" si="24"/>
        <v>#NUM!</v>
      </c>
      <c r="BM39">
        <f>-EXP(-Parameters!B$42*'6states,BAU'!A39)*(-Parameters!B$37/Parameters!B$38/Parameters!E$25*(EXP(-Parameters!B$38*Parameters!E$25*'6states,BAU'!I39/('6states,BAU'!F39+'6states,BAU'!I39))-EXP(-Parameters!B$38*Parameters!E$25))+Parameters!B$37*'6states,BAU'!F39/('6states,BAU'!F39+'6states,BAU'!I39)*EXP(-Parameters!B$38*Parameters!E$25*'6states,BAU'!I39/('6states,BAU'!F39+'6states,BAU'!I39)))</f>
        <v>-4.2110230781583775</v>
      </c>
      <c r="BN39">
        <f>-J39*K39*EXP(-Parameters!B$42*'6states,BAU'!A39)*(-Parameters!B$37/Parameters!B$38/Parameters!E$25*(EXP(-Parameters!B$38*Parameters!E$25*'6states,BAU'!I39/('6states,BAU'!F39+'6states,BAU'!I39))-EXP(-Parameters!B$38*Parameters!E$25)) + Parameters!B$37*'6states,BAU'!F39/('6states,BAU'!F39+'6states,BAU'!I39)*EXP(-Parameters!B$38*Parameters!E$25*'6states,BAU'!I39/('6states,BAU'!F39+'6states,BAU'!I39)))</f>
        <v>-688.45195258502781</v>
      </c>
      <c r="BO39" s="7">
        <f t="shared" si="4"/>
        <v>0</v>
      </c>
      <c r="BU39" t="e">
        <f>EXP(-Parameters!$B$56*A39)*BH39*BN39</f>
        <v>#NUM!</v>
      </c>
      <c r="BV39" t="e">
        <f>-EXP((Parameters!$B$56)*F39)*SUM(BU39:BU47)</f>
        <v>#NUM!</v>
      </c>
      <c r="BW39">
        <f>X39^-Parameters!B$52/(1-2*Parameters!B$5*'6states,BAU'!D39/'6states,BAU'!G39)</f>
        <v>1.0303055576603815</v>
      </c>
      <c r="BX39">
        <f t="shared" si="16"/>
        <v>1.0057324597157282</v>
      </c>
      <c r="BY39">
        <f>$X39^-Parameters!$B$52/(1-2*Parameters!$B$5*'6states,BAU'!$E39/'6states,BAU'!$H39)</f>
        <v>1.0752913282660337</v>
      </c>
      <c r="BZ39">
        <f t="shared" si="17"/>
        <v>1.0053739112504334</v>
      </c>
      <c r="CA39" s="7">
        <f>($X39^-Parameters!$B$52*(1/(1+EXP(-C39)) + IF(C39&lt;0,2*Parameters!$B$6*C39/F39,0)) + BS39*(1/(1+EXP((C39-Parameters!$B$22)*Parameters!$B$21))))/(1-IF(C39&gt;0,2*Parameters!$B$5*C39/F39,0))</f>
        <v>0.55479610812301317</v>
      </c>
      <c r="CB39">
        <f t="shared" si="18"/>
        <v>1.0053313872740339</v>
      </c>
      <c r="CC39" s="7">
        <f t="shared" si="19"/>
        <v>2.942147184472943E-3</v>
      </c>
      <c r="CD39" t="e">
        <f>(1/$T39-1/Parameters!$B$13) * LN(Parameters!$B$18) / LN(P39)</f>
        <v>#DIV/0!</v>
      </c>
      <c r="CE39">
        <f>(Parameters!$B$18*'6states,BAU'!T39^+Parameters!$B$19*Parameters!$B$25^'6states,BAU'!T39)^((1-'6states,BAU'!T39)/'6states,BAU'!T39)*Parameters!$B$18*Parameters!$B$26^('6states,BAU'!T39-1)</f>
        <v>0.24381594540696025</v>
      </c>
      <c r="CF39" t="e">
        <f t="shared" si="20"/>
        <v>#DIV/0!</v>
      </c>
      <c r="CG39" t="e">
        <f t="shared" si="29"/>
        <v>#DIV/0!</v>
      </c>
      <c r="CH39">
        <f t="shared" si="29"/>
        <v>0.15549137963789617</v>
      </c>
    </row>
    <row r="40" spans="1:86" x14ac:dyDescent="0.3">
      <c r="A40">
        <f>A39+Parameters!$B$65</f>
        <v>36</v>
      </c>
      <c r="B40">
        <v>2061</v>
      </c>
      <c r="C40" s="74">
        <v>5.9052008925213798E-2</v>
      </c>
      <c r="D40" s="69">
        <v>4.0724079317723504E-3</v>
      </c>
      <c r="E40" s="75">
        <v>0.30458391785147299</v>
      </c>
      <c r="F40" s="7">
        <f>MAX((1-Parameters!$B$4)^Parameters!B$65*F39 + C39*Parameters!B$65 - IF(C39&gt;0,Parameters!$B$5,0)*C39^2/F39*Parameters!B$65, 0.0001)</f>
        <v>0.85772887154257915</v>
      </c>
      <c r="G40" s="7">
        <f>(1-Parameters!$B$4)^Parameters!B$65*G39+D39*Parameters!B$65-Parameters!$B$5*D39^2/G39*Parameters!B$65</f>
        <v>8.2836995461509189E-2</v>
      </c>
      <c r="H40" s="7">
        <f>(1-Parameters!$B$4)^Parameters!B$65*H39+E39*Parameters!B$65-Parameters!$B$5*E39^2/H39*Parameters!B$65</f>
        <v>4.4878481240047305</v>
      </c>
      <c r="I40" s="7">
        <f>I39 *(1-Parameters!$B$4)-C39*(C39&lt;0)*Parameters!B$65</f>
        <v>0</v>
      </c>
      <c r="J40" s="23">
        <f>J39*(1+Parameters!$B$51)^Parameters!B$65</f>
        <v>9.0565937267296572</v>
      </c>
      <c r="K40" s="23">
        <f>K39*(1+Parameters!$B$53)^Parameters!B$65</f>
        <v>18.466259385024696</v>
      </c>
      <c r="L40" s="23">
        <f>J40*K40*EXP(-Parameters!$B$42*'6states,BAU'!A40)*(Parameters!$B$37/Parameters!$B$38*('6states,BAU'!F40+'6states,BAU'!I40)/Parameters!$E$25*(EXP(-Parameters!$B$38*Parameters!$E$25*'6states,BAU'!I40/('6states,BAU'!F40+'6states,BAU'!I40))-EXP(-Parameters!$B$38*Parameters!$E$25))  +  Parameters!$B$39*'6states,BAU'!F40)</f>
        <v>91.140346781805505</v>
      </c>
      <c r="M40" s="8">
        <f>M39+L40*Parameters!B$65</f>
        <v>4874.0597526538904</v>
      </c>
      <c r="N40" s="7">
        <f>M40*Parameters!$B$45</f>
        <v>2.9244358515923339</v>
      </c>
      <c r="O40" s="9">
        <f>EXP(-Parameters!$B$46/2*N40^2)</f>
        <v>0.91763931671148269</v>
      </c>
      <c r="P40" s="7">
        <f>MAX((Parameters!$B$62 + Parameters!$B$31*'6states,BAU'!A40 - '6states,BAU'!M40 + Parameters!$B$47/Parameters!$B$45)/Parameters!B$62,1)</f>
        <v>1</v>
      </c>
      <c r="Q40" s="7">
        <f>Parameters!B$61*EXP(-Parameters!B$60*A40)</f>
        <v>0.18916281484403841</v>
      </c>
      <c r="R40" s="7">
        <f>(1-Parameters!B$61)*P40^-Parameters!B$63</f>
        <v>0.5</v>
      </c>
      <c r="S40" s="7">
        <f>Parameters!B$61*EXP(-Parameters!B$60*A40)+(1-Parameters!B$61)*P40^-Parameters!B$63</f>
        <v>0.68916281484403841</v>
      </c>
      <c r="T40" s="7">
        <f>1-S40/Parameters!$B$12</f>
        <v>0.65541859257798074</v>
      </c>
      <c r="U40" s="7">
        <f t="shared" si="0"/>
        <v>2.9020718427076067</v>
      </c>
      <c r="V40" s="7">
        <f>(Parameters!$B$19*(F40+Parameters!$B$20)^T40+Parameters!$B$18*G40^T40)^(1/T40)</f>
        <v>0.57239460597381497</v>
      </c>
      <c r="W40" s="7">
        <f>(Parameters!$B$10*H40^Parameters!$B$9+Parameters!$B$11*V40^Parameters!$B$9)^(Parameters!$B$7/Parameters!$B$9)*O40</f>
        <v>1.4191527388912923</v>
      </c>
      <c r="X40" s="7">
        <f>W40 - D40 - E40 - LN(1+EXP(Parameters!$B$21*C40))/Parameters!$B$21 - IF(C40&gt;0, 0,Parameters!$B$6*C40^2/F40)</f>
        <v>1.0514444041153661</v>
      </c>
      <c r="Y40" s="7">
        <f>EXP(-Parameters!$B$55*A40)</f>
        <v>0.58065413034674362</v>
      </c>
      <c r="Z40" s="7">
        <f>IF(X40&gt;0,X40^(1-Parameters!$B$52)/(1-Parameters!$B$52)*Y40*Parameters!$B$65,-10+X40*1000)</f>
        <v>-1.6301376023198877</v>
      </c>
      <c r="AB40" s="9"/>
      <c r="AC40" s="23">
        <f t="shared" si="6"/>
        <v>9.875941171180326</v>
      </c>
      <c r="AD40" s="23">
        <f t="shared" si="6"/>
        <v>0.68107524013563892</v>
      </c>
      <c r="AE40" s="23">
        <f t="shared" si="7"/>
        <v>0</v>
      </c>
      <c r="AF40" s="23">
        <f t="shared" si="8"/>
        <v>143.4477849331987</v>
      </c>
      <c r="AG40" s="23">
        <f t="shared" si="9"/>
        <v>13.853775830239199</v>
      </c>
      <c r="AH40" s="23">
        <f t="shared" si="10"/>
        <v>95.728080351296413</v>
      </c>
      <c r="AI40" s="23">
        <f t="shared" si="11"/>
        <v>235.59409385464895</v>
      </c>
      <c r="AJ40" s="23">
        <f t="shared" si="12"/>
        <v>237.34110350013117</v>
      </c>
      <c r="AK40" s="23">
        <f t="shared" si="13"/>
        <v>175.84504352698468</v>
      </c>
      <c r="AL40" s="9">
        <f t="shared" si="22"/>
        <v>1.9636347518614983E-2</v>
      </c>
      <c r="AM40" s="9">
        <f t="shared" si="22"/>
        <v>1.8548125647694036E-2</v>
      </c>
      <c r="AN40" s="9">
        <f t="shared" ref="AN40:AO55" si="30">AVERAGE(AL38:AL42)</f>
        <v>1.9633600642113079E-2</v>
      </c>
      <c r="AO40" s="9">
        <f t="shared" si="30"/>
        <v>1.8540863761330861E-2</v>
      </c>
      <c r="AP40" s="23"/>
      <c r="AQ40" s="8">
        <f t="shared" si="1"/>
        <v>237.34110350013117</v>
      </c>
      <c r="AR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-1.7083379616040395E-3</v>
      </c>
      <c r="AS40" s="32">
        <f>((C41-C39)/2-(F41-F39)/F40/2*C40)/(F40/2/Parameters!$B$5-C40)-((D41-D39)/D40-(G41-G39)/G40)/(G40/2/Parameters!$B$5/D40-1)</f>
        <v>-7.6955769396682024E-4</v>
      </c>
      <c r="AT40" s="32">
        <f>+Parameters!$B$5*C40^2/F40^2-Parameters!$B$5*D40^2/G40^2</f>
        <v>2.3230280350462823E-3</v>
      </c>
      <c r="AU40" s="30">
        <f>EXP(-Parameters!$B$42*'6states,BAU'!A40)*(Parameters!$B$37*EXP(-Parameters!$B$38*Parameters!$E$25*'6states,BAU'!I40/('6states,BAU'!F40+'6states,BAU'!I40))*(1/Parameters!$B$38/Parameters!$E$25+'6states,BAU'!I40/('6states,BAU'!F40+'6states,BAU'!I40))-Parameters!$B$37/Parameters!$B$38/Parameters!$E$25*EXP(-Parameters!$B$38*Parameters!$E$25)+Parameters!$B$39)</f>
        <v>0.63535555341093675</v>
      </c>
      <c r="AV40" s="30">
        <f>J40*K40*EXP(-Parameters!$B$42*'6states,BAU'!A40)*(Parameters!$B$37*EXP(-Parameters!$B$38*Parameters!$E$25*'6states,BAU'!I40/('6states,BAU'!F40+'6states,BAU'!I40))*(1/Parameters!$B$38/Parameters!$E$25+'6states,BAU'!I40/('6states,BAU'!F40+'6states,BAU'!I40))-Parameters!$B$37/Parameters!$B$38/Parameters!$E$25*EXP(-Parameters!$B$38*Parameters!$E$25)+Parameters!$B$39)</f>
        <v>106.25775790652179</v>
      </c>
      <c r="AW40" s="8">
        <f>1000*(AR40+AS40+AT40)/(EXP(-Parameters!$B$42*A40)*((C40&lt;0)*Parameters!$B$37*EXP(-Parameters!$B$38*AF40)+(C40&gt;=0)*Parameters!$B$41))</f>
        <v>-0.24374953471825839</v>
      </c>
      <c r="AX40" s="13">
        <f>1-W40/'6states,ExoDamages'!T40</f>
        <v>3.923013384463081E-2</v>
      </c>
      <c r="AY40" s="21">
        <f>-Y40*W40*X40^(-Parameters!B$52)*Parameters!B$46*Parameters!B$45*N40</f>
        <v>-2.7159673369025946E-5</v>
      </c>
      <c r="AZ40" s="7">
        <f>1000*EXP(-(Parameters!$B$54)*'6states,BAU'!A40)*AQ40*Parameters!B$46*Parameters!B$45*N40</f>
        <v>2.3658535473980029</v>
      </c>
      <c r="BA40" s="7">
        <f>SUM(AZ40:AZ$204)*EXP(Parameters!$B$54*A40)</f>
        <v>661.14498462743927</v>
      </c>
      <c r="BB40" s="13">
        <f t="shared" si="26"/>
        <v>0.25910412926781218</v>
      </c>
      <c r="BC40" s="30">
        <f>IF(C40&lt;0,Parameters!$B$6*AC40^2/AF40,0)</f>
        <v>0</v>
      </c>
      <c r="BD40" s="30">
        <f>Parameters!$B$5*AD40^2/AG40</f>
        <v>3.3482820020324322E-2</v>
      </c>
      <c r="BE40" s="30">
        <f t="shared" si="14"/>
        <v>0</v>
      </c>
      <c r="BF40" s="30">
        <f t="shared" si="15"/>
        <v>4.9161704973529917E-2</v>
      </c>
      <c r="BG40" s="30"/>
      <c r="BH40" s="5" t="e">
        <f t="shared" si="28"/>
        <v>#NUM!</v>
      </c>
      <c r="BI40" s="2" t="e">
        <f>BH40/Parameters!$B$45</f>
        <v>#NUM!</v>
      </c>
      <c r="BJ40" s="2" t="e">
        <f t="shared" si="24"/>
        <v>#NUM!</v>
      </c>
      <c r="BM40">
        <f>-EXP(-Parameters!B$42*'6states,BAU'!A40)*(-Parameters!B$37/Parameters!B$38/Parameters!E$25*(EXP(-Parameters!B$38*Parameters!E$25*'6states,BAU'!I40/('6states,BAU'!F40+'6states,BAU'!I40))-EXP(-Parameters!B$38*Parameters!E$25))+Parameters!B$37*'6states,BAU'!F40/('6states,BAU'!F40+'6states,BAU'!I40)*EXP(-Parameters!B$38*Parameters!E$25*'6states,BAU'!I40/('6states,BAU'!F40+'6states,BAU'!I40)))</f>
        <v>-4.1691226984446113</v>
      </c>
      <c r="BN40">
        <f>-J40*K40*EXP(-Parameters!B$42*'6states,BAU'!A40)*(-Parameters!B$37/Parameters!B$38/Parameters!E$25*(EXP(-Parameters!B$38*Parameters!E$25*'6states,BAU'!I40/('6states,BAU'!F40+'6states,BAU'!I40))-EXP(-Parameters!B$38*Parameters!E$25)) + Parameters!B$37*'6states,BAU'!F40/('6states,BAU'!F40+'6states,BAU'!I40)*EXP(-Parameters!B$38*Parameters!E$25*'6states,BAU'!I40/('6states,BAU'!F40+'6states,BAU'!I40)))</f>
        <v>-697.24995397559178</v>
      </c>
      <c r="BO40" s="7">
        <f t="shared" si="4"/>
        <v>0</v>
      </c>
      <c r="BU40" t="e">
        <f>EXP(-Parameters!$B$56*A40)*BH40*BN40</f>
        <v>#NUM!</v>
      </c>
      <c r="BV40" t="e">
        <f>-EXP((Parameters!$B$56)*F40)*SUM(BU40:BU48)</f>
        <v>#NUM!</v>
      </c>
      <c r="BW40">
        <f>X40^-Parameters!B$52/(1-2*Parameters!B$5*'6states,BAU'!D40/'6states,BAU'!G40)</f>
        <v>1.0364245263277785</v>
      </c>
      <c r="BX40">
        <f t="shared" si="16"/>
        <v>1.0059389844322417</v>
      </c>
      <c r="BY40">
        <f>$X40^-Parameters!$B$52/(1-2*Parameters!$B$5*'6states,BAU'!$E40/'6states,BAU'!$H40)</f>
        <v>1.0812911396953242</v>
      </c>
      <c r="BZ40">
        <f t="shared" si="17"/>
        <v>1.0055797078164534</v>
      </c>
      <c r="CA40" s="7">
        <f>($X40^-Parameters!$B$52*(1/(1+EXP(-C40)) + IF(C40&lt;0,2*Parameters!$B$6*C40/F40,0)) + BS40*(1/(1+EXP((C40-Parameters!$B$22)*Parameters!$B$21))))/(1-IF(C40&gt;0,2*Parameters!$B$5*C40/F40,0))</f>
        <v>0.55786705599574204</v>
      </c>
      <c r="CB40">
        <f t="shared" si="18"/>
        <v>1.0055352729187639</v>
      </c>
      <c r="CC40" s="7">
        <f t="shared" si="19"/>
        <v>3.0709478727288797E-3</v>
      </c>
      <c r="CD40" t="e">
        <f>(1/$T40-1/Parameters!$B$13) * LN(Parameters!$B$18) / LN(P40)</f>
        <v>#DIV/0!</v>
      </c>
      <c r="CE40">
        <f>(Parameters!$B$18*'6states,BAU'!T40^+Parameters!$B$19*Parameters!$B$25^'6states,BAU'!T40)^((1-'6states,BAU'!T40)/'6states,BAU'!T40)*Parameters!$B$18*Parameters!$B$26^('6states,BAU'!T40-1)</f>
        <v>0.24533016524088783</v>
      </c>
      <c r="CF40" t="e">
        <f t="shared" si="20"/>
        <v>#DIV/0!</v>
      </c>
      <c r="CG40" t="e">
        <f t="shared" si="29"/>
        <v>#DIV/0!</v>
      </c>
      <c r="CH40">
        <f t="shared" si="29"/>
        <v>0.15637729164047287</v>
      </c>
    </row>
    <row r="41" spans="1:86" x14ac:dyDescent="0.3">
      <c r="A41">
        <f>A40+Parameters!$B$65</f>
        <v>37</v>
      </c>
      <c r="B41">
        <v>2062</v>
      </c>
      <c r="C41" s="74">
        <v>5.9079558220332298E-2</v>
      </c>
      <c r="D41" s="69">
        <v>4.01918135527881E-3</v>
      </c>
      <c r="E41" s="75">
        <v>0.304642035239304</v>
      </c>
      <c r="F41" s="7">
        <f>MAX((1-Parameters!$B$4)^Parameters!B$65*F40 + C40*Parameters!B$65 - IF(C40&gt;0,Parameters!$B$5,0)*C40^2/F40*Parameters!B$65, 0.0001)</f>
        <v>0.85876418427940904</v>
      </c>
      <c r="G41" s="7">
        <f>(1-Parameters!$B$4)^Parameters!B$65*G40+D40*Parameters!B$65-Parameters!$B$5*D40^2/G40*Parameters!B$65</f>
        <v>8.1498749861478967E-2</v>
      </c>
      <c r="H41" s="7">
        <f>(1-Parameters!$B$4)^Parameters!B$65*H40+E40*Parameters!B$65-Parameters!$B$5*E40^2/H40*Parameters!B$65</f>
        <v>4.4894747142534062</v>
      </c>
      <c r="I41" s="7">
        <f>I40 *(1-Parameters!$B$4)-C40*(C40&lt;0)*Parameters!B$65</f>
        <v>0</v>
      </c>
      <c r="J41" s="23">
        <f>J40*(1+Parameters!$B$51)^Parameters!B$65</f>
        <v>9.0828578485371718</v>
      </c>
      <c r="K41" s="23">
        <f>K40*(1+Parameters!$B$53)^Parameters!B$65</f>
        <v>18.835584572725189</v>
      </c>
      <c r="L41" s="23">
        <f>J41*K41*EXP(-Parameters!$B$42*'6states,BAU'!A41)*(Parameters!$B$37/Parameters!$B$38*('6states,BAU'!F41+'6states,BAU'!I41)/Parameters!$E$25*(EXP(-Parameters!$B$38*Parameters!$E$25*'6states,BAU'!I41/('6states,BAU'!F41+'6states,BAU'!I41))-EXP(-Parameters!$B$38*Parameters!$E$25))  +  Parameters!$B$39*'6states,BAU'!F41)</f>
        <v>92.416481403744214</v>
      </c>
      <c r="M41" s="8">
        <f>M40+L41*Parameters!B$65</f>
        <v>4966.4762340576344</v>
      </c>
      <c r="N41" s="7">
        <f>M41*Parameters!$B$45</f>
        <v>2.9798857404345802</v>
      </c>
      <c r="O41" s="9">
        <f>EXP(-Parameters!$B$46/2*N41^2)</f>
        <v>0.91462496118897485</v>
      </c>
      <c r="P41" s="7">
        <f>MAX((Parameters!$B$62 + Parameters!$B$31*'6states,BAU'!A41 - '6states,BAU'!M41 + Parameters!$B$47/Parameters!$B$45)/Parameters!B$62,1)</f>
        <v>1</v>
      </c>
      <c r="Q41" s="7">
        <f>Parameters!B$61*EXP(-Parameters!B$60*A41)</f>
        <v>0.18412375230683145</v>
      </c>
      <c r="R41" s="7">
        <f>(1-Parameters!B$61)*P41^-Parameters!B$63</f>
        <v>0.5</v>
      </c>
      <c r="S41" s="7">
        <f>Parameters!B$61*EXP(-Parameters!B$60*A41)+(1-Parameters!B$61)*P41^-Parameters!B$63</f>
        <v>0.68412375230683142</v>
      </c>
      <c r="T41" s="7">
        <f>1-S41/Parameters!$B$12</f>
        <v>0.65793812384658423</v>
      </c>
      <c r="U41" s="7">
        <f t="shared" si="0"/>
        <v>2.923447685095129</v>
      </c>
      <c r="V41" s="7">
        <f>(Parameters!$B$19*(F41+Parameters!$B$20)^T41+Parameters!$B$18*G41^T41)^(1/T41)</f>
        <v>0.57270240899052816</v>
      </c>
      <c r="W41" s="7">
        <f>(Parameters!$B$10*H41^Parameters!$B$9+Parameters!$B$11*V41^Parameters!$B$9)^(Parameters!$B$7/Parameters!$B$9)*O41</f>
        <v>1.4146577345779165</v>
      </c>
      <c r="X41" s="7">
        <f>W41 - D41 - E41 - LN(1+EXP(Parameters!$B$21*C41))/Parameters!$B$21 - IF(C41&gt;0, 0,Parameters!$B$6*C41^2/F41)</f>
        <v>1.0469169596960899</v>
      </c>
      <c r="Y41" s="7">
        <f>EXP(-Parameters!$B$55*A41)</f>
        <v>0.571952118512703</v>
      </c>
      <c r="Z41" s="7">
        <f>IF(X41&gt;0,X41^(1-Parameters!$B$52)/(1-Parameters!$B$52)*Y41*Parameters!$B$65,-10+X41*1000)</f>
        <v>-1.6081344152756807</v>
      </c>
      <c r="AB41" s="9"/>
      <c r="AC41" s="23">
        <f t="shared" si="6"/>
        <v>10.107386187815477</v>
      </c>
      <c r="AD41" s="23">
        <f t="shared" si="6"/>
        <v>0.6876053129099049</v>
      </c>
      <c r="AE41" s="23">
        <f t="shared" si="7"/>
        <v>0</v>
      </c>
      <c r="AF41" s="23">
        <f t="shared" si="8"/>
        <v>146.91818145297404</v>
      </c>
      <c r="AG41" s="23">
        <f t="shared" si="9"/>
        <v>13.942882504335486</v>
      </c>
      <c r="AH41" s="23">
        <f t="shared" si="10"/>
        <v>97.978464848563931</v>
      </c>
      <c r="AI41" s="23">
        <f t="shared" si="11"/>
        <v>241.13246143198555</v>
      </c>
      <c r="AJ41" s="23">
        <f t="shared" si="12"/>
        <v>242.02097100377986</v>
      </c>
      <c r="AK41" s="23">
        <f t="shared" si="13"/>
        <v>179.10753460205063</v>
      </c>
      <c r="AL41" s="9">
        <f t="shared" si="22"/>
        <v>1.952601776780849E-2</v>
      </c>
      <c r="AM41" s="9">
        <f t="shared" si="22"/>
        <v>1.8383204706014844E-2</v>
      </c>
      <c r="AN41" s="9">
        <f t="shared" si="30"/>
        <v>1.9523338795301548E-2</v>
      </c>
      <c r="AO41" s="9">
        <f t="shared" si="30"/>
        <v>1.838752086424016E-2</v>
      </c>
      <c r="AP41" s="23"/>
      <c r="AQ41" s="8">
        <f t="shared" si="1"/>
        <v>242.02097100377986</v>
      </c>
      <c r="AR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-1.6750438421471014E-3</v>
      </c>
      <c r="AS41" s="32">
        <f>((C42-C40)/2-(F42-F40)/F41/2*C41)/(F41/2/Parameters!$B$5-C41)-((D42-D40)/D41-(G42-G40)/G41)/(G41/2/Parameters!$B$5/D41-1)</f>
        <v>-7.962831210017922E-4</v>
      </c>
      <c r="AT41" s="32">
        <f>+Parameters!$B$5*C41^2/F41^2-Parameters!$B$5*D41^2/G41^2</f>
        <v>2.3008378515033761E-3</v>
      </c>
      <c r="AU41" s="30">
        <f>EXP(-Parameters!$B$42*'6states,BAU'!A41)*(Parameters!$B$37*EXP(-Parameters!$B$38*Parameters!$E$25*'6states,BAU'!I41/('6states,BAU'!F41+'6states,BAU'!I41))*(1/Parameters!$B$38/Parameters!$E$25+'6states,BAU'!I41/('6states,BAU'!F41+'6states,BAU'!I41))-Parameters!$B$37/Parameters!$B$38/Parameters!$E$25*EXP(-Parameters!$B$38*Parameters!$E$25)+Parameters!$B$39)</f>
        <v>0.62903366002610872</v>
      </c>
      <c r="AV41" s="30">
        <f>J41*K41*EXP(-Parameters!$B$42*'6states,BAU'!A41)*(Parameters!$B$37*EXP(-Parameters!$B$38*Parameters!$E$25*'6states,BAU'!I41/('6states,BAU'!F41+'6states,BAU'!I41))*(1/Parameters!$B$38/Parameters!$E$25+'6states,BAU'!I41/('6states,BAU'!F41+'6states,BAU'!I41))-Parameters!$B$37/Parameters!$B$38/Parameters!$E$25*EXP(-Parameters!$B$38*Parameters!$E$25)+Parameters!$B$39)</f>
        <v>107.61566806758609</v>
      </c>
      <c r="AW41" s="8">
        <f>1000*(AR41+AS41+AT41)/(EXP(-Parameters!$B$42*A41)*((C41&lt;0)*Parameters!$B$37*EXP(-Parameters!$B$38*AF41)+(C41&gt;=0)*Parameters!$B$41))</f>
        <v>-0.2710333682913581</v>
      </c>
      <c r="AX41" s="13">
        <f>1-W41/'6states,ExoDamages'!T41</f>
        <v>4.1903110765378893E-2</v>
      </c>
      <c r="AY41" s="21">
        <f>-Y41*W41*X41^(-Parameters!B$52)*Parameters!B$46*Parameters!B$45*N41</f>
        <v>-2.7332317282489997E-5</v>
      </c>
      <c r="AZ41" s="7">
        <f>1000*EXP(-(Parameters!$B$54)*'6states,BAU'!A41)*AQ41*Parameters!B$46*Parameters!B$45*N41</f>
        <v>2.3734586786656657</v>
      </c>
      <c r="BA41" s="7">
        <f>SUM(AZ41:AZ$204)*EXP(Parameters!$B$54*A41)</f>
        <v>676.09350880970658</v>
      </c>
      <c r="BB41" s="13">
        <f t="shared" si="26"/>
        <v>0.25995035111771103</v>
      </c>
      <c r="BC41" s="30">
        <f>IF(C41&lt;0,Parameters!$B$6*AC41^2/AF41,0)</f>
        <v>0</v>
      </c>
      <c r="BD41" s="30">
        <f>Parameters!$B$5*AD41^2/AG41</f>
        <v>3.3909850864404296E-2</v>
      </c>
      <c r="BE41" s="30">
        <f t="shared" si="14"/>
        <v>0</v>
      </c>
      <c r="BF41" s="30">
        <f t="shared" si="15"/>
        <v>4.9315865115846499E-2</v>
      </c>
      <c r="BG41" s="30"/>
      <c r="BH41" s="5" t="e">
        <f t="shared" si="28"/>
        <v>#NUM!</v>
      </c>
      <c r="BI41" s="2" t="e">
        <f>BH41/Parameters!$B$45</f>
        <v>#NUM!</v>
      </c>
      <c r="BJ41" s="2" t="e">
        <f t="shared" si="24"/>
        <v>#NUM!</v>
      </c>
      <c r="BM41">
        <f>-EXP(-Parameters!B$42*'6states,BAU'!A41)*(-Parameters!B$37/Parameters!B$38/Parameters!E$25*(EXP(-Parameters!B$38*Parameters!E$25*'6states,BAU'!I41/('6states,BAU'!F41+'6states,BAU'!I41))-EXP(-Parameters!B$38*Parameters!E$25))+Parameters!B$37*'6states,BAU'!F41/('6states,BAU'!F41+'6states,BAU'!I41)*EXP(-Parameters!B$38*Parameters!E$25*'6states,BAU'!I41/('6states,BAU'!F41+'6states,BAU'!I41)))</f>
        <v>-4.1276392344749704</v>
      </c>
      <c r="BN41">
        <f>-J41*K41*EXP(-Parameters!B$42*'6states,BAU'!A41)*(-Parameters!B$37/Parameters!B$38/Parameters!E$25*(EXP(-Parameters!B$38*Parameters!E$25*'6states,BAU'!I41/('6states,BAU'!F41+'6states,BAU'!I41))-EXP(-Parameters!B$38*Parameters!E$25)) + Parameters!B$37*'6states,BAU'!F41/('6states,BAU'!F41+'6states,BAU'!I41)*EXP(-Parameters!B$38*Parameters!E$25*'6states,BAU'!I41/('6states,BAU'!F41+'6states,BAU'!I41)))</f>
        <v>-706.16038852605539</v>
      </c>
      <c r="BO41" s="7">
        <f t="shared" si="4"/>
        <v>0</v>
      </c>
      <c r="BU41" t="e">
        <f>EXP(-Parameters!$B$56*A41)*BH41*BN41</f>
        <v>#NUM!</v>
      </c>
      <c r="BV41" t="e">
        <f>-EXP((Parameters!$B$56)*F41)*SUM(BU41:BU49)</f>
        <v>#NUM!</v>
      </c>
      <c r="BW41">
        <f>X41^-Parameters!B$52/(1-2*Parameters!B$5*'6states,BAU'!D41/'6states,BAU'!G41)</f>
        <v>1.0428364835653661</v>
      </c>
      <c r="BX41">
        <f t="shared" si="16"/>
        <v>1.0061866127968875</v>
      </c>
      <c r="BY41">
        <f>$X41^-Parameters!$B$52/(1-2*Parameters!$B$5*'6states,BAU'!$E41/'6states,BAU'!$H41)</f>
        <v>1.0875793377436849</v>
      </c>
      <c r="BZ41">
        <f t="shared" si="17"/>
        <v>1.0058154532276409</v>
      </c>
      <c r="CA41" s="7">
        <f>($X41^-Parameters!$B$52*(1/(1+EXP(-C41)) + IF(C41&lt;0,2*Parameters!$B$6*C41/F41,0)) + BS41*(1/(1+EXP((C41-Parameters!$B$22)*Parameters!$B$21))))/(1-IF(C41&gt;0,2*Parameters!$B$5*C41/F41,0))</f>
        <v>0.56106766281859655</v>
      </c>
      <c r="CB41">
        <f t="shared" si="18"/>
        <v>1.0057372214194324</v>
      </c>
      <c r="CC41" s="7">
        <f t="shared" si="19"/>
        <v>3.2006068228545015E-3</v>
      </c>
      <c r="CD41" t="e">
        <f>(1/$T41-1/Parameters!$B$13) * LN(Parameters!$B$18) / LN(P41)</f>
        <v>#DIV/0!</v>
      </c>
      <c r="CE41">
        <f>(Parameters!$B$18*'6states,BAU'!T41^+Parameters!$B$19*Parameters!$B$25^'6states,BAU'!T41)^((1-'6states,BAU'!T41)/'6states,BAU'!T41)*Parameters!$B$18*Parameters!$B$26^('6states,BAU'!T41-1)</f>
        <v>0.24678711158356742</v>
      </c>
      <c r="CF41" t="e">
        <f t="shared" si="20"/>
        <v>#DIV/0!</v>
      </c>
      <c r="CG41" t="e">
        <f t="shared" si="29"/>
        <v>#DIV/0!</v>
      </c>
      <c r="CH41">
        <f t="shared" si="29"/>
        <v>0.15722881782330567</v>
      </c>
    </row>
    <row r="42" spans="1:86" x14ac:dyDescent="0.3">
      <c r="A42">
        <f>A41+Parameters!$B$65</f>
        <v>38</v>
      </c>
      <c r="B42">
        <v>2063</v>
      </c>
      <c r="C42" s="74">
        <v>5.9115898011664898E-2</v>
      </c>
      <c r="D42" s="69">
        <v>3.9675149994136396E-3</v>
      </c>
      <c r="E42" s="75">
        <v>0.304674447480343</v>
      </c>
      <c r="F42" s="7">
        <f>MAX((1-Parameters!$B$4)^Parameters!B$65*F41 + C41*Parameters!B$65 - IF(C41&gt;0,Parameters!$B$5,0)*C41^2/F41*Parameters!B$65, 0.0001)</f>
        <v>0.8597630368242829</v>
      </c>
      <c r="G42" s="7">
        <f>(1-Parameters!$B$4)^Parameters!B$65*G41+D41*Parameters!B$65-Parameters!$B$5*D41^2/G41*Parameters!B$65</f>
        <v>8.0193450444877704E-2</v>
      </c>
      <c r="H42" s="7">
        <f>(1-Parameters!$B$4)^Parameters!B$65*H41+E41*Parameters!B$65-Parameters!$B$5*E41^2/H41*Parameters!B$65</f>
        <v>4.4910567123754239</v>
      </c>
      <c r="I42" s="7">
        <f>I41 *(1-Parameters!$B$4)-C41*(C41&lt;0)*Parameters!B$65</f>
        <v>0</v>
      </c>
      <c r="J42" s="23">
        <f>J41*(1+Parameters!$B$51)^Parameters!B$65</f>
        <v>9.1091981362979286</v>
      </c>
      <c r="K42" s="23">
        <f>K41*(1+Parameters!$B$53)^Parameters!B$65</f>
        <v>19.212296264179692</v>
      </c>
      <c r="L42" s="23">
        <f>J42*K42*EXP(-Parameters!$B$42*'6states,BAU'!A42)*(Parameters!$B$37/Parameters!$B$38*('6states,BAU'!F42+'6states,BAU'!I42)/Parameters!$E$25*(EXP(-Parameters!$B$38*Parameters!$E$25*'6states,BAU'!I42/('6states,BAU'!F42+'6states,BAU'!I42))-EXP(-Parameters!$B$38*Parameters!$E$25))  +  Parameters!$B$39*'6states,BAU'!F42)</f>
        <v>93.706374255171269</v>
      </c>
      <c r="M42" s="8">
        <f>M41+L42*Parameters!B$65</f>
        <v>5060.1826083128053</v>
      </c>
      <c r="N42" s="7">
        <f>M42*Parameters!$B$45</f>
        <v>3.036109564987683</v>
      </c>
      <c r="O42" s="9">
        <f>EXP(-Parameters!$B$46/2*N42^2)</f>
        <v>0.91152112324803281</v>
      </c>
      <c r="P42" s="7">
        <f>MAX((Parameters!$B$62 + Parameters!$B$31*'6states,BAU'!A42 - '6states,BAU'!M42 + Parameters!$B$47/Parameters!$B$45)/Parameters!B$62,1)</f>
        <v>1</v>
      </c>
      <c r="Q42" s="7">
        <f>Parameters!B$61*EXP(-Parameters!B$60*A42)</f>
        <v>0.17921892413949694</v>
      </c>
      <c r="R42" s="7">
        <f>(1-Parameters!B$61)*P42^-Parameters!B$63</f>
        <v>0.5</v>
      </c>
      <c r="S42" s="7">
        <f>Parameters!B$61*EXP(-Parameters!B$60*A42)+(1-Parameters!B$61)*P42^-Parameters!B$63</f>
        <v>0.67921892413949692</v>
      </c>
      <c r="T42" s="7">
        <f>1-S42/Parameters!$B$12</f>
        <v>0.66039053793025149</v>
      </c>
      <c r="U42" s="7">
        <f t="shared" si="0"/>
        <v>2.9445587113665916</v>
      </c>
      <c r="V42" s="7">
        <f>(Parameters!$B$19*(F42+Parameters!$B$20)^T42+Parameters!$B$18*G42^T42)^(1/T42)</f>
        <v>0.57299835466424287</v>
      </c>
      <c r="W42" s="7">
        <f>(Parameters!$B$10*H42^Parameters!$B$9+Parameters!$B$11*V42^Parameters!$B$9)^(Parameters!$B$7/Parameters!$B$9)*O42</f>
        <v>1.4100181615929668</v>
      </c>
      <c r="X42" s="7">
        <f>W42 - D42 - E42 - LN(1+EXP(Parameters!$B$21*C42))/Parameters!$B$21 - IF(C42&gt;0, 0,Parameters!$B$6*C42^2/F42)</f>
        <v>1.042260301035359</v>
      </c>
      <c r="Y42" s="7">
        <f>EXP(-Parameters!$B$55*A42)</f>
        <v>0.56338051995913718</v>
      </c>
      <c r="Z42" s="7">
        <f>IF(X42&gt;0,X42^(1-Parameters!$B$52)/(1-Parameters!$B$52)*Y42*Parameters!$B$65,-10+X42*1000)</f>
        <v>-1.586507440768077</v>
      </c>
      <c r="AB42" s="9"/>
      <c r="AC42" s="23">
        <f t="shared" si="6"/>
        <v>10.345791336404933</v>
      </c>
      <c r="AD42" s="23">
        <f t="shared" si="6"/>
        <v>0.69434929838823978</v>
      </c>
      <c r="AE42" s="23">
        <f t="shared" si="7"/>
        <v>0</v>
      </c>
      <c r="AF42" s="23">
        <f t="shared" si="8"/>
        <v>150.46593686156459</v>
      </c>
      <c r="AG42" s="23">
        <f t="shared" si="9"/>
        <v>14.034544559998437</v>
      </c>
      <c r="AH42" s="23">
        <f t="shared" si="10"/>
        <v>100.27964748653321</v>
      </c>
      <c r="AI42" s="23">
        <f t="shared" si="11"/>
        <v>246.79584710102742</v>
      </c>
      <c r="AJ42" s="23">
        <f t="shared" si="12"/>
        <v>246.76532322157459</v>
      </c>
      <c r="AK42" s="23">
        <f t="shared" si="13"/>
        <v>182.40453000650831</v>
      </c>
      <c r="AL42" s="9">
        <f t="shared" si="22"/>
        <v>1.9413397131612165E-2</v>
      </c>
      <c r="AM42" s="9">
        <f t="shared" si="22"/>
        <v>1.8240535465536389E-2</v>
      </c>
      <c r="AN42" s="9">
        <f t="shared" si="30"/>
        <v>1.9410178285363067E-2</v>
      </c>
      <c r="AO42" s="9">
        <f t="shared" si="30"/>
        <v>1.8229408392105385E-2</v>
      </c>
      <c r="AP42" s="23"/>
      <c r="AQ42" s="8">
        <f t="shared" si="1"/>
        <v>246.76532322157459</v>
      </c>
      <c r="AR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-1.643884876852203E-3</v>
      </c>
      <c r="AS42" s="32">
        <f>((C43-C41)/2-(F43-F41)/F42/2*C42)/(F42/2/Parameters!$B$5-C42)-((D43-D41)/D42-(G43-G41)/G42)/(G42/2/Parameters!$B$5/D42-1)</f>
        <v>-8.0094645797115186E-4</v>
      </c>
      <c r="AT42" s="32">
        <f>+Parameters!$B$5*C42^2/F42^2-Parameters!$B$5*D42^2/G42^2</f>
        <v>2.2800057522970861E-3</v>
      </c>
      <c r="AU42" s="30">
        <f>EXP(-Parameters!$B$42*'6states,BAU'!A42)*(Parameters!$B$37*EXP(-Parameters!$B$38*Parameters!$E$25*'6states,BAU'!I42/('6states,BAU'!F42+'6states,BAU'!I42))*(1/Parameters!$B$38/Parameters!$E$25+'6states,BAU'!I42/('6states,BAU'!F42+'6states,BAU'!I42))-Parameters!$B$37/Parameters!$B$38/Parameters!$E$25*EXP(-Parameters!$B$38*Parameters!$E$25)+Parameters!$B$39)</f>
        <v>0.6227746705314795</v>
      </c>
      <c r="AV42" s="30">
        <f>J42*K42*EXP(-Parameters!$B$42*'6states,BAU'!A42)*(Parameters!$B$37*EXP(-Parameters!$B$38*Parameters!$E$25*'6states,BAU'!I42/('6states,BAU'!F42+'6states,BAU'!I42))*(1/Parameters!$B$38/Parameters!$E$25+'6states,BAU'!I42/('6states,BAU'!F42+'6states,BAU'!I42))-Parameters!$B$37/Parameters!$B$38/Parameters!$E$25*EXP(-Parameters!$B$38*Parameters!$E$25)+Parameters!$B$39)</f>
        <v>108.99093150281925</v>
      </c>
      <c r="AW42" s="8">
        <f>1000*(AR42+AS42+AT42)/(EXP(-Parameters!$B$42*A42)*((C42&lt;0)*Parameters!$B$37*EXP(-Parameters!$B$38*AF42)+(C42&gt;=0)*Parameters!$B$41))</f>
        <v>-0.26466327281038232</v>
      </c>
      <c r="AX42" s="13">
        <f>1-W42/'6states,ExoDamages'!T42</f>
        <v>4.468170681012662E-2</v>
      </c>
      <c r="AY42" s="21">
        <f>-Y42*W42*X42^(-Parameters!B$52)*Parameters!B$46*Parameters!B$45*N42</f>
        <v>-2.750574522279164E-5</v>
      </c>
      <c r="AZ42" s="7">
        <f>1000*EXP(-(Parameters!$B$54)*'6states,BAU'!A42)*AQ42*Parameters!B$46*Parameters!B$45*N42</f>
        <v>2.3806025701472349</v>
      </c>
      <c r="BA42" s="7">
        <f>SUM(AZ42:AZ$204)*EXP(Parameters!$B$54*A42)</f>
        <v>691.237466903018</v>
      </c>
      <c r="BB42" s="13">
        <f t="shared" si="26"/>
        <v>0.26081781817331162</v>
      </c>
      <c r="BC42" s="30">
        <f>IF(C42&lt;0,Parameters!$B$6*AC42^2/AF42,0)</f>
        <v>0</v>
      </c>
      <c r="BD42" s="30">
        <f>Parameters!$B$5*AD42^2/AG42</f>
        <v>3.4352447000410145E-2</v>
      </c>
      <c r="BE42" s="30">
        <f t="shared" si="14"/>
        <v>0</v>
      </c>
      <c r="BF42" s="30">
        <f t="shared" si="15"/>
        <v>4.9474302170609025E-2</v>
      </c>
      <c r="BG42" s="30"/>
      <c r="BH42" s="5" t="e">
        <f t="shared" si="28"/>
        <v>#NUM!</v>
      </c>
      <c r="BI42" s="2" t="e">
        <f>BH42/Parameters!$B$45</f>
        <v>#NUM!</v>
      </c>
      <c r="BJ42" s="2" t="e">
        <f t="shared" si="24"/>
        <v>#NUM!</v>
      </c>
      <c r="BM42">
        <f>-EXP(-Parameters!B$42*'6states,BAU'!A42)*(-Parameters!B$37/Parameters!B$38/Parameters!E$25*(EXP(-Parameters!B$38*Parameters!E$25*'6states,BAU'!I42/('6states,BAU'!F42+'6states,BAU'!I42))-EXP(-Parameters!B$38*Parameters!E$25))+Parameters!B$37*'6states,BAU'!F42/('6states,BAU'!F42+'6states,BAU'!I42)*EXP(-Parameters!B$38*Parameters!E$25*'6states,BAU'!I42/('6states,BAU'!F42+'6states,BAU'!I42)))</f>
        <v>-4.0865685378684882</v>
      </c>
      <c r="BN42">
        <f>-J42*K42*EXP(-Parameters!B$42*'6states,BAU'!A42)*(-Parameters!B$37/Parameters!B$38/Parameters!E$25*(EXP(-Parameters!B$38*Parameters!E$25*'6states,BAU'!I42/('6states,BAU'!F42+'6states,BAU'!I42))-EXP(-Parameters!B$38*Parameters!E$25)) + Parameters!B$37*'6states,BAU'!F42/('6states,BAU'!F42+'6states,BAU'!I42)*EXP(-Parameters!B$38*Parameters!E$25*'6states,BAU'!I42/('6states,BAU'!F42+'6states,BAU'!I42)))</f>
        <v>-715.18469306449879</v>
      </c>
      <c r="BO42" s="7">
        <f t="shared" si="4"/>
        <v>0</v>
      </c>
      <c r="BU42" t="e">
        <f>EXP(-Parameters!$B$56*A42)*BH42*BN42</f>
        <v>#NUM!</v>
      </c>
      <c r="BV42" t="e">
        <f>-EXP((Parameters!$B$56)*F42)*SUM(BU42:BU50)</f>
        <v>#NUM!</v>
      </c>
      <c r="BW42">
        <f>X42^-Parameters!B$52/(1-2*Parameters!B$5*'6states,BAU'!D42/'6states,BAU'!G42)</f>
        <v>1.0495003108727261</v>
      </c>
      <c r="BX42">
        <f t="shared" si="16"/>
        <v>1.006390097980248</v>
      </c>
      <c r="BY42">
        <f>$X42^-Parameters!$B$52/(1-2*Parameters!$B$5*'6states,BAU'!$E42/'6states,BAU'!$H42)</f>
        <v>1.0941020514448447</v>
      </c>
      <c r="BZ42">
        <f t="shared" si="17"/>
        <v>1.005997460116052</v>
      </c>
      <c r="CA42" s="7">
        <f>($X42^-Parameters!$B$52*(1/(1+EXP(-C42)) + IF(C42&lt;0,2*Parameters!$B$6*C42/F42,0)) + BS42*(1/(1+EXP((C42-Parameters!$B$22)*Parameters!$B$21))))/(1-IF(C42&gt;0,2*Parameters!$B$5*C42/F42,0))</f>
        <v>0.56441509868080864</v>
      </c>
      <c r="CB42">
        <f t="shared" si="18"/>
        <v>1.0059661892567393</v>
      </c>
      <c r="CC42" s="7">
        <f t="shared" si="19"/>
        <v>3.3474358622120892E-3</v>
      </c>
      <c r="CD42" t="e">
        <f>(1/$T42-1/Parameters!$B$13) * LN(Parameters!$B$18) / LN(P42)</f>
        <v>#DIV/0!</v>
      </c>
      <c r="CE42">
        <f>(Parameters!$B$18*'6states,BAU'!T42^+Parameters!$B$19*Parameters!$B$25^'6states,BAU'!T42)^((1-'6states,BAU'!T42)/'6states,BAU'!T42)*Parameters!$B$18*Parameters!$B$26^('6states,BAU'!T42-1)</f>
        <v>0.24818913464476394</v>
      </c>
      <c r="CF42" t="e">
        <f t="shared" si="20"/>
        <v>#DIV/0!</v>
      </c>
      <c r="CG42" t="e">
        <f t="shared" si="29"/>
        <v>#DIV/0!</v>
      </c>
      <c r="CH42">
        <f t="shared" si="29"/>
        <v>0.15804743204758342</v>
      </c>
    </row>
    <row r="43" spans="1:86" x14ac:dyDescent="0.3">
      <c r="A43">
        <f>A42+Parameters!$B$65</f>
        <v>39</v>
      </c>
      <c r="B43">
        <v>2064</v>
      </c>
      <c r="C43" s="74">
        <v>5.9144272850476999E-2</v>
      </c>
      <c r="D43" s="69">
        <v>3.9171124172384299E-3</v>
      </c>
      <c r="E43" s="75">
        <v>0.30472355411177399</v>
      </c>
      <c r="F43" s="7">
        <f>MAX((1-Parameters!$B$4)^Parameters!B$65*F42 + C42*Parameters!B$65 - IF(C42&gt;0,Parameters!$B$5,0)*C42^2/F42*Parameters!B$65, 0.0001)</f>
        <v>0.86073512751172099</v>
      </c>
      <c r="G43" s="7">
        <f>(1-Parameters!$B$4)^Parameters!B$65*G42+D42*Parameters!B$65-Parameters!$B$5*D42^2/G42*Parameters!B$65</f>
        <v>7.8920507375361132E-2</v>
      </c>
      <c r="H43" s="7">
        <f>(1-Parameters!$B$4)^Parameters!B$65*H42+E42*Parameters!B$65-Parameters!$B$5*E42^2/H42*Parameters!B$65</f>
        <v>4.4925744994279349</v>
      </c>
      <c r="I43" s="7">
        <f>I42 *(1-Parameters!$B$4)-C42*(C42&lt;0)*Parameters!B$65</f>
        <v>0</v>
      </c>
      <c r="J43" s="23">
        <f>J42*(1+Parameters!$B$51)^Parameters!B$65</f>
        <v>9.1356148108931912</v>
      </c>
      <c r="K43" s="23">
        <f>K42*(1+Parameters!$B$53)^Parameters!B$65</f>
        <v>19.596542189463285</v>
      </c>
      <c r="L43" s="23">
        <f>J43*K43*EXP(-Parameters!$B$42*'6states,BAU'!A43)*(Parameters!$B$37/Parameters!$B$38*('6states,BAU'!F43+'6states,BAU'!I43)/Parameters!$E$25*(EXP(-Parameters!$B$38*Parameters!$E$25*'6states,BAU'!I43/('6states,BAU'!F43+'6states,BAU'!I43))-EXP(-Parameters!$B$38*Parameters!$E$25))  +  Parameters!$B$39*'6states,BAU'!F43)</f>
        <v>95.011188326046721</v>
      </c>
      <c r="M43" s="8">
        <f>M42+L43*Parameters!B$65</f>
        <v>5155.1937966388523</v>
      </c>
      <c r="N43" s="7">
        <f>M43*Parameters!$B$45</f>
        <v>3.0931162779833112</v>
      </c>
      <c r="O43" s="9">
        <f>EXP(-Parameters!$B$46/2*N43^2)</f>
        <v>0.90832589324742907</v>
      </c>
      <c r="P43" s="7">
        <f>MAX((Parameters!$B$62 + Parameters!$B$31*'6states,BAU'!A43 - '6states,BAU'!M43 + Parameters!$B$47/Parameters!$B$45)/Parameters!B$62,1)</f>
        <v>1</v>
      </c>
      <c r="Q43" s="7">
        <f>Parameters!B$61*EXP(-Parameters!B$60*A43)</f>
        <v>0.17444475450507668</v>
      </c>
      <c r="R43" s="7">
        <f>(1-Parameters!B$61)*P43^-Parameters!B$63</f>
        <v>0.5</v>
      </c>
      <c r="S43" s="7">
        <f>Parameters!B$61*EXP(-Parameters!B$60*A43)+(1-Parameters!B$61)*P43^-Parameters!B$63</f>
        <v>0.67444475450507668</v>
      </c>
      <c r="T43" s="7">
        <f>1-S43/Parameters!$B$12</f>
        <v>0.66277762274746166</v>
      </c>
      <c r="U43" s="7">
        <f t="shared" si="0"/>
        <v>2.9654022611053543</v>
      </c>
      <c r="V43" s="7">
        <f>(Parameters!$B$19*(F43+Parameters!$B$20)^T43+Parameters!$B$18*G43^T43)^(1/T43)</f>
        <v>0.57328803331815614</v>
      </c>
      <c r="W43" s="7">
        <f>(Parameters!$B$10*H43^Parameters!$B$9+Parameters!$B$11*V43^Parameters!$B$9)^(Parameters!$B$7/Parameters!$B$9)*O43</f>
        <v>1.4052302727876773</v>
      </c>
      <c r="X43" s="7">
        <f>W43 - D43 - E43 - LN(1+EXP(Parameters!$B$21*C43))/Parameters!$B$21 - IF(C43&gt;0, 0,Parameters!$B$6*C43^2/F43)</f>
        <v>1.0374453333425628</v>
      </c>
      <c r="Y43" s="7">
        <f>EXP(-Parameters!$B$55*A43)</f>
        <v>0.5549373802387243</v>
      </c>
      <c r="Z43" s="7">
        <f>IF(X43&gt;0,X43^(1-Parameters!$B$52)/(1-Parameters!$B$52)*Y43*Parameters!$B$65,-10+X43*1000)</f>
        <v>-1.5652658412119924</v>
      </c>
      <c r="AB43" s="9"/>
      <c r="AC43" s="23">
        <f t="shared" si="6"/>
        <v>10.58838986088203</v>
      </c>
      <c r="AD43" s="23">
        <f t="shared" si="6"/>
        <v>0.70126677366510204</v>
      </c>
      <c r="AE43" s="23">
        <f t="shared" si="7"/>
        <v>0</v>
      </c>
      <c r="AF43" s="23">
        <f t="shared" si="8"/>
        <v>154.0943637956419</v>
      </c>
      <c r="AG43" s="23">
        <f t="shared" si="9"/>
        <v>14.128859141129841</v>
      </c>
      <c r="AH43" s="23">
        <f t="shared" si="10"/>
        <v>102.63372777778615</v>
      </c>
      <c r="AI43" s="23">
        <f t="shared" si="11"/>
        <v>252.58941792208182</v>
      </c>
      <c r="AJ43" s="23">
        <f t="shared" si="12"/>
        <v>251.57340272329569</v>
      </c>
      <c r="AK43" s="23">
        <f t="shared" si="13"/>
        <v>185.73016658019793</v>
      </c>
      <c r="AL43" s="9">
        <f t="shared" si="22"/>
        <v>1.9297030117594538E-2</v>
      </c>
      <c r="AM43" s="9">
        <f t="shared" si="22"/>
        <v>1.8067990199423178E-2</v>
      </c>
      <c r="AN43" s="9">
        <f t="shared" si="30"/>
        <v>1.9294043868128517E-2</v>
      </c>
      <c r="AO43" s="9">
        <f t="shared" si="30"/>
        <v>1.806536765477329E-2</v>
      </c>
      <c r="AP43" s="23"/>
      <c r="AQ43" s="8">
        <f t="shared" si="1"/>
        <v>251.57340272329569</v>
      </c>
      <c r="AR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-1.6123214311744428E-3</v>
      </c>
      <c r="AS43" s="32">
        <f>((C44-C42)/2-(F44-F42)/F43/2*C43)/(F43/2/Parameters!$B$5-C43)-((D44-D42)/D43-(G44-G42)/G43)/(G43/2/Parameters!$B$5/D43-1)</f>
        <v>-8.2666921301482142E-4</v>
      </c>
      <c r="AT43" s="32">
        <f>+Parameters!$B$5*C43^2/F43^2-Parameters!$B$5*D43^2/G43^2</f>
        <v>2.2580702988923046E-3</v>
      </c>
      <c r="AU43" s="30">
        <f>EXP(-Parameters!$B$42*'6states,BAU'!A43)*(Parameters!$B$37*EXP(-Parameters!$B$38*Parameters!$E$25*'6states,BAU'!I43/('6states,BAU'!F43+'6states,BAU'!I43))*(1/Parameters!$B$38/Parameters!$E$25+'6states,BAU'!I43/('6states,BAU'!F43+'6states,BAU'!I43))-Parameters!$B$37/Parameters!$B$38/Parameters!$E$25*EXP(-Parameters!$B$38*Parameters!$E$25)+Parameters!$B$39)</f>
        <v>0.61657795902288426</v>
      </c>
      <c r="AV43" s="30">
        <f>J43*K43*EXP(-Parameters!$B$42*'6states,BAU'!A43)*(Parameters!$B$37*EXP(-Parameters!$B$38*Parameters!$E$25*'6states,BAU'!I43/('6states,BAU'!F43+'6states,BAU'!I43))*(1/Parameters!$B$38/Parameters!$E$25+'6states,BAU'!I43/('6states,BAU'!F43+'6states,BAU'!I43))-Parameters!$B$37/Parameters!$B$38/Parameters!$E$25*EXP(-Parameters!$B$38*Parameters!$E$25)+Parameters!$B$39)</f>
        <v>110.3837699766156</v>
      </c>
      <c r="AW43" s="8">
        <f>1000*(AR43+AS43+AT43)/(EXP(-Parameters!$B$42*A43)*((C43&lt;0)*Parameters!$B$37*EXP(-Parameters!$B$38*AF43)+(C43&gt;=0)*Parameters!$B$41))</f>
        <v>-0.29342655320289318</v>
      </c>
      <c r="AX43" s="13">
        <f>1-W43/'6states,ExoDamages'!T43</f>
        <v>4.7589210663045112E-2</v>
      </c>
      <c r="AY43" s="21">
        <f>-Y43*W43*X43^(-Parameters!B$52)*Parameters!B$46*Parameters!B$45*N43</f>
        <v>-2.7681013181767199E-5</v>
      </c>
      <c r="AZ43" s="7">
        <f>1000*EXP(-(Parameters!$B$54)*'6states,BAU'!A43)*AQ43*Parameters!B$46*Parameters!B$45*N43</f>
        <v>2.3872756155046511</v>
      </c>
      <c r="BA43" s="7">
        <f>SUM(AZ43:AZ$204)*EXP(Parameters!$B$54*A43)</f>
        <v>706.57252738996817</v>
      </c>
      <c r="BB43" s="13">
        <f t="shared" si="26"/>
        <v>0.26172574452860492</v>
      </c>
      <c r="BC43" s="30">
        <f>IF(C43&lt;0,Parameters!$B$6*AC43^2/AF43,0)</f>
        <v>0</v>
      </c>
      <c r="BD43" s="30">
        <f>Parameters!$B$5*AD43^2/AG43</f>
        <v>3.4806425836257274E-2</v>
      </c>
      <c r="BE43" s="30">
        <f t="shared" si="14"/>
        <v>0</v>
      </c>
      <c r="BF43" s="30">
        <f t="shared" si="15"/>
        <v>4.963364463190649E-2</v>
      </c>
      <c r="BG43" s="30"/>
      <c r="BH43" s="5" t="e">
        <f t="shared" si="28"/>
        <v>#NUM!</v>
      </c>
      <c r="BI43" s="2" t="e">
        <f>BH43/Parameters!$B$45</f>
        <v>#NUM!</v>
      </c>
      <c r="BJ43" s="2" t="e">
        <f t="shared" si="24"/>
        <v>#NUM!</v>
      </c>
      <c r="BM43">
        <f>-EXP(-Parameters!B$42*'6states,BAU'!A43)*(-Parameters!B$37/Parameters!B$38/Parameters!E$25*(EXP(-Parameters!B$38*Parameters!E$25*'6states,BAU'!I43/('6states,BAU'!F43+'6states,BAU'!I43))-EXP(-Parameters!B$38*Parameters!E$25))+Parameters!B$37*'6states,BAU'!F43/('6states,BAU'!F43+'6states,BAU'!I43)*EXP(-Parameters!B$38*Parameters!E$25*'6states,BAU'!I43/('6states,BAU'!F43+'6states,BAU'!I43)))</f>
        <v>-4.0459065015212765</v>
      </c>
      <c r="BN43">
        <f>-J43*K43*EXP(-Parameters!B$42*'6states,BAU'!A43)*(-Parameters!B$37/Parameters!B$38/Parameters!E$25*(EXP(-Parameters!B$38*Parameters!E$25*'6states,BAU'!I43/('6states,BAU'!F43+'6states,BAU'!I43))-EXP(-Parameters!B$38*Parameters!E$25)) + Parameters!B$37*'6states,BAU'!F43/('6states,BAU'!F43+'6states,BAU'!I43)*EXP(-Parameters!B$38*Parameters!E$25*'6states,BAU'!I43/('6states,BAU'!F43+'6states,BAU'!I43)))</f>
        <v>-724.32432278079943</v>
      </c>
      <c r="BO43" s="7">
        <f t="shared" si="4"/>
        <v>0</v>
      </c>
      <c r="BU43" t="e">
        <f>EXP(-Parameters!$B$56*A43)*BH43*BN43</f>
        <v>#NUM!</v>
      </c>
      <c r="BV43" t="e">
        <f>-EXP((Parameters!$B$56)*F43)*SUM(BU43:BU51)</f>
        <v>#NUM!</v>
      </c>
      <c r="BW43">
        <f>X43^-Parameters!B$52/(1-2*Parameters!B$5*'6states,BAU'!D43/'6states,BAU'!G43)</f>
        <v>1.0564550325543465</v>
      </c>
      <c r="BX43">
        <f t="shared" si="16"/>
        <v>1.0066266980672327</v>
      </c>
      <c r="BY43">
        <f>$X43^-Parameters!$B$52/(1-2*Parameters!$B$5*'6states,BAU'!$E43/'6states,BAU'!$H43)</f>
        <v>1.1009322662641212</v>
      </c>
      <c r="BZ43">
        <f t="shared" si="17"/>
        <v>1.0062427584431055</v>
      </c>
      <c r="CA43" s="7">
        <f>($X43^-Parameters!$B$52*(1/(1+EXP(-C43)) + IF(C43&lt;0,2*Parameters!$B$6*C43/F43,0)) + BS43*(1/(1+EXP((C43-Parameters!$B$22)*Parameters!$B$21))))/(1-IF(C43&gt;0,2*Parameters!$B$5*C43/F43,0))</f>
        <v>0.56790333124154191</v>
      </c>
      <c r="CB43">
        <f t="shared" si="18"/>
        <v>1.0061802608911177</v>
      </c>
      <c r="CC43" s="7">
        <f t="shared" si="19"/>
        <v>3.4882325607332731E-3</v>
      </c>
      <c r="CD43" t="e">
        <f>(1/$T43-1/Parameters!$B$13) * LN(Parameters!$B$18) / LN(P43)</f>
        <v>#DIV/0!</v>
      </c>
      <c r="CE43">
        <f>(Parameters!$B$18*'6states,BAU'!T43^+Parameters!$B$19*Parameters!$B$25^'6states,BAU'!T43)^((1-'6states,BAU'!T43)/'6states,BAU'!T43)*Parameters!$B$18*Parameters!$B$26^('6states,BAU'!T43-1)</f>
        <v>0.24953848827788916</v>
      </c>
      <c r="CF43" t="e">
        <f t="shared" si="20"/>
        <v>#DIV/0!</v>
      </c>
      <c r="CG43" t="e">
        <f t="shared" si="29"/>
        <v>#DIV/0!</v>
      </c>
      <c r="CH43">
        <f t="shared" si="29"/>
        <v>0.15883454269551256</v>
      </c>
    </row>
    <row r="44" spans="1:86" ht="15" customHeight="1" x14ac:dyDescent="0.3">
      <c r="A44">
        <f>A43+Parameters!$B$65</f>
        <v>40</v>
      </c>
      <c r="B44">
        <v>2065</v>
      </c>
      <c r="C44" s="74">
        <v>5.9176352330346398E-2</v>
      </c>
      <c r="D44" s="69">
        <v>3.86870521738699E-3</v>
      </c>
      <c r="E44" s="75">
        <v>0.30476046792608802</v>
      </c>
      <c r="F44" s="7">
        <f>MAX((1-Parameters!$B$4)^Parameters!B$65*F43 + C43*Parameters!B$65 - IF(C43&gt;0,Parameters!$B$5,0)*C43^2/F43*Parameters!B$65, 0.0001)</f>
        <v>0.86167514056508498</v>
      </c>
      <c r="G44" s="7">
        <f>(1-Parameters!$B$4)^Parameters!B$65*G43+D43*Parameters!B$65-Parameters!$B$5*D43^2/G43*Parameters!B$65</f>
        <v>7.76790993129889E-2</v>
      </c>
      <c r="H44" s="7">
        <f>(1-Parameters!$B$4)^Parameters!B$65*H43+E43*Parameters!B$65-Parameters!$B$5*E43^2/H43*Parameters!B$65</f>
        <v>4.4940462461597672</v>
      </c>
      <c r="I44" s="7">
        <f>I43 *(1-Parameters!$B$4)-C43*(C43&lt;0)*Parameters!B$65</f>
        <v>0</v>
      </c>
      <c r="J44" s="23">
        <f>J43*(1+Parameters!$B$51)^Parameters!B$65</f>
        <v>9.1621080938447808</v>
      </c>
      <c r="K44" s="23">
        <f>K43*(1+Parameters!$B$53)^Parameters!B$65</f>
        <v>19.98847303325255</v>
      </c>
      <c r="L44" s="23">
        <f>J44*K44*EXP(-Parameters!$B$42*'6states,BAU'!A44)*(Parameters!$B$37/Parameters!$B$38*('6states,BAU'!F44+'6states,BAU'!I44)/Parameters!$E$25*(EXP(-Parameters!$B$38*Parameters!$E$25*'6states,BAU'!I44/('6states,BAU'!F44+'6states,BAU'!I44))-EXP(-Parameters!$B$38*Parameters!$E$25))  +  Parameters!$B$39*'6states,BAU'!F44)</f>
        <v>96.330462303087813</v>
      </c>
      <c r="M44" s="8">
        <f>M43+L44*Parameters!B$65</f>
        <v>5251.5242589419404</v>
      </c>
      <c r="N44" s="7">
        <f>M44*Parameters!$B$45</f>
        <v>3.1509145553651638</v>
      </c>
      <c r="O44" s="9">
        <f>EXP(-Parameters!$B$46/2*N44^2)</f>
        <v>0.90503737437872933</v>
      </c>
      <c r="P44" s="7">
        <f>MAX((Parameters!$B$62 + Parameters!$B$31*'6states,BAU'!A44 - '6states,BAU'!M44 + Parameters!$B$47/Parameters!$B$45)/Parameters!B$62,1)</f>
        <v>1</v>
      </c>
      <c r="Q44" s="7">
        <f>Parameters!B$61*EXP(-Parameters!B$60*A44)</f>
        <v>0.16979776282246956</v>
      </c>
      <c r="R44" s="7">
        <f>(1-Parameters!B$61)*P44^-Parameters!B$63</f>
        <v>0.5</v>
      </c>
      <c r="S44" s="7">
        <f>Parameters!B$61*EXP(-Parameters!B$60*A44)+(1-Parameters!B$61)*P44^-Parameters!B$63</f>
        <v>0.66979776282246961</v>
      </c>
      <c r="T44" s="7">
        <f>1-S44/Parameters!$B$12</f>
        <v>0.66510111858876519</v>
      </c>
      <c r="U44" s="7">
        <f t="shared" si="0"/>
        <v>2.9859759333506486</v>
      </c>
      <c r="V44" s="7">
        <f>(Parameters!$B$19*(F44+Parameters!$B$20)^T44+Parameters!$B$18*G44^T44)^(1/T44)</f>
        <v>0.57356783468141126</v>
      </c>
      <c r="W44" s="7">
        <f>(Parameters!$B$10*H44^Parameters!$B$9+Parameters!$B$11*V44^Parameters!$B$9)^(Parameters!$B$7/Parameters!$B$9)*O44</f>
        <v>1.4002920934836265</v>
      </c>
      <c r="X44" s="7">
        <f>W44 - D44 - E44 - LN(1+EXP(Parameters!$B$21*C44))/Parameters!$B$21 - IF(C44&gt;0, 0,Parameters!$B$6*C44^2/F44)</f>
        <v>1.0324865679448088</v>
      </c>
      <c r="Y44" s="7">
        <f>EXP(-Parameters!$B$55*A44)</f>
        <v>0.54662077419459754</v>
      </c>
      <c r="Z44" s="7">
        <f>IF(X44&gt;0,X44^(1-Parameters!$B$52)/(1-Parameters!$B$52)*Y44*Parameters!$B$65,-10+X44*1000)</f>
        <v>-1.5443955618808234</v>
      </c>
      <c r="AB44" s="9"/>
      <c r="AC44" s="23">
        <f t="shared" si="6"/>
        <v>10.83735304059525</v>
      </c>
      <c r="AD44" s="23">
        <f t="shared" si="6"/>
        <v>0.70850132865176862</v>
      </c>
      <c r="AE44" s="23">
        <f t="shared" si="7"/>
        <v>0</v>
      </c>
      <c r="AF44" s="23">
        <f t="shared" si="8"/>
        <v>157.80421294773814</v>
      </c>
      <c r="AG44" s="23">
        <f t="shared" si="9"/>
        <v>14.225882298909736</v>
      </c>
      <c r="AH44" s="23">
        <f t="shared" si="10"/>
        <v>105.04123475661753</v>
      </c>
      <c r="AI44" s="23">
        <f t="shared" si="11"/>
        <v>258.51447588882547</v>
      </c>
      <c r="AJ44" s="23">
        <f t="shared" si="12"/>
        <v>256.44466377921873</v>
      </c>
      <c r="AK44" s="23">
        <f t="shared" si="13"/>
        <v>189.0860285545574</v>
      </c>
      <c r="AL44" s="9">
        <f t="shared" si="22"/>
        <v>1.9178098891185158E-2</v>
      </c>
      <c r="AM44" s="9">
        <f t="shared" si="22"/>
        <v>1.7907185941858472E-2</v>
      </c>
      <c r="AN44" s="9">
        <f t="shared" si="30"/>
        <v>1.9174908579593898E-2</v>
      </c>
      <c r="AO44" s="9">
        <f t="shared" si="30"/>
        <v>1.7899959326966551E-2</v>
      </c>
      <c r="AP44" s="23"/>
      <c r="AQ44" s="8">
        <f t="shared" si="1"/>
        <v>256.44466377921873</v>
      </c>
      <c r="AR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-1.5809806163954773E-3</v>
      </c>
      <c r="AS44" s="32">
        <f>((C45-C43)/2-(F45-F43)/F44/2*C44)/(F44/2/Parameters!$B$5-C44)-((D45-D43)/D44-(G45-G43)/G44)/(G44/2/Parameters!$B$5/D44-1)</f>
        <v>-8.5245485315666141E-4</v>
      </c>
      <c r="AT44" s="32">
        <f>+Parameters!$B$5*C44^2/F44^2-Parameters!$B$5*D44^2/G44^2</f>
        <v>2.235978251975902E-3</v>
      </c>
      <c r="AU44" s="30">
        <f>EXP(-Parameters!$B$42*'6states,BAU'!A44)*(Parameters!$B$37*EXP(-Parameters!$B$38*Parameters!$E$25*'6states,BAU'!I44/('6states,BAU'!F44+'6states,BAU'!I44))*(1/Parameters!$B$38/Parameters!$E$25+'6states,BAU'!I44/('6states,BAU'!F44+'6states,BAU'!I44))-Parameters!$B$37/Parameters!$B$38/Parameters!$E$25*EXP(-Parameters!$B$38*Parameters!$E$25)+Parameters!$B$39)</f>
        <v>0.61044290582400795</v>
      </c>
      <c r="AV44" s="30">
        <f>J44*K44*EXP(-Parameters!$B$42*'6states,BAU'!A44)*(Parameters!$B$37*EXP(-Parameters!$B$38*Parameters!$E$25*'6states,BAU'!I44/('6states,BAU'!F44+'6states,BAU'!I44))*(1/Parameters!$B$38/Parameters!$E$25+'6states,BAU'!I44/('6states,BAU'!F44+'6states,BAU'!I44))-Parameters!$B$37/Parameters!$B$38/Parameters!$E$25*EXP(-Parameters!$B$38*Parameters!$E$25)+Parameters!$B$39)</f>
        <v>111.79440808738485</v>
      </c>
      <c r="AW44" s="8">
        <f>1000*(AR44+AS44+AT44)/(EXP(-Parameters!$B$42*A44)*((C44&lt;0)*Parameters!$B$37*EXP(-Parameters!$B$38*AF44)+(C44&gt;=0)*Parameters!$B$41))</f>
        <v>-0.32346549643278866</v>
      </c>
      <c r="AX44" s="13">
        <f>1-W44/'6states,ExoDamages'!T44</f>
        <v>5.0605902378644041E-2</v>
      </c>
      <c r="AY44" s="21">
        <f>-Y44*W44*X44^(-Parameters!B$52)*Parameters!B$46*Parameters!B$45*N44</f>
        <v>-2.7857667448118683E-5</v>
      </c>
      <c r="AZ44" s="7">
        <f>1000*EXP(-(Parameters!$B$54)*'6states,BAU'!A44)*AQ44*Parameters!B$46*Parameters!B$45*N44</f>
        <v>2.3934708803403439</v>
      </c>
      <c r="BA44" s="7">
        <f>SUM(AZ44:AZ$204)*EXP(Parameters!$B$54*A44)</f>
        <v>722.09393169650605</v>
      </c>
      <c r="BB44" s="13">
        <f t="shared" si="26"/>
        <v>0.26266343085520116</v>
      </c>
      <c r="BC44" s="30">
        <f>IF(C44&lt;0,Parameters!$B$6*AC44^2/AF44,0)</f>
        <v>0</v>
      </c>
      <c r="BD44" s="30">
        <f>Parameters!$B$5*AD44^2/AG44</f>
        <v>3.5285975390067191E-2</v>
      </c>
      <c r="BE44" s="30">
        <f t="shared" si="14"/>
        <v>0</v>
      </c>
      <c r="BF44" s="30">
        <f t="shared" si="15"/>
        <v>4.9803682735802456E-2</v>
      </c>
      <c r="BH44" s="5" t="e">
        <f t="shared" si="28"/>
        <v>#NUM!</v>
      </c>
      <c r="BI44" s="2" t="e">
        <f>BH44/Parameters!$B$45</f>
        <v>#NUM!</v>
      </c>
      <c r="BJ44" s="2" t="e">
        <f t="shared" si="24"/>
        <v>#NUM!</v>
      </c>
      <c r="BM44">
        <f>-EXP(-Parameters!B$42*'6states,BAU'!A44)*(-Parameters!B$37/Parameters!B$38/Parameters!E$25*(EXP(-Parameters!B$38*Parameters!E$25*'6states,BAU'!I44/('6states,BAU'!F44+'6states,BAU'!I44))-EXP(-Parameters!B$38*Parameters!E$25))+Parameters!B$37*'6states,BAU'!F44/('6states,BAU'!F44+'6states,BAU'!I44)*EXP(-Parameters!B$38*Parameters!E$25*'6states,BAU'!I44/('6states,BAU'!F44+'6states,BAU'!I44)))</f>
        <v>-4.005649059195818</v>
      </c>
      <c r="BN44">
        <f>-J44*K44*EXP(-Parameters!B$42*'6states,BAU'!A44)*(-Parameters!B$37/Parameters!B$38/Parameters!E$25*(EXP(-Parameters!B$38*Parameters!E$25*'6states,BAU'!I44/('6states,BAU'!F44+'6states,BAU'!I44))-EXP(-Parameters!B$38*Parameters!E$25)) + Parameters!B$37*'6states,BAU'!F44/('6states,BAU'!F44+'6states,BAU'!I44)*EXP(-Parameters!B$38*Parameters!E$25*'6states,BAU'!I44/('6states,BAU'!F44+'6states,BAU'!I44)))</f>
        <v>-733.58075146128556</v>
      </c>
      <c r="BO44" s="7">
        <f t="shared" si="4"/>
        <v>0</v>
      </c>
      <c r="BU44" t="e">
        <f>EXP(-Parameters!$B$56*A44)*BH44*BN44</f>
        <v>#NUM!</v>
      </c>
      <c r="BV44" t="e">
        <f>-EXP((Parameters!$B$56)*F44)*SUM(BU44:BU52)</f>
        <v>#NUM!</v>
      </c>
      <c r="BW44">
        <f>X44^-Parameters!B$52/(1-2*Parameters!B$5*'6states,BAU'!D44/'6states,BAU'!G44)</f>
        <v>1.0637121311797559</v>
      </c>
      <c r="BX44">
        <f t="shared" si="16"/>
        <v>1.0068692924940335</v>
      </c>
      <c r="BY44">
        <f>$X44^-Parameters!$B$52/(1-2*Parameters!$B$5*'6states,BAU'!$E44/'6states,BAU'!$H44)</f>
        <v>1.1080404822187389</v>
      </c>
      <c r="BZ44">
        <f t="shared" si="17"/>
        <v>1.0064565424889749</v>
      </c>
      <c r="CA44" s="7">
        <f>($X44^-Parameters!$B$52*(1/(1+EXP(-C44)) + IF(C44&lt;0,2*Parameters!$B$6*C44/F44,0)) + BS44*(1/(1+EXP((C44-Parameters!$B$22)*Parameters!$B$21))))/(1-IF(C44&gt;0,2*Parameters!$B$5*C44/F44,0))</f>
        <v>0.57154743241390815</v>
      </c>
      <c r="CB44">
        <f t="shared" si="18"/>
        <v>1.0064167631565033</v>
      </c>
      <c r="CC44" s="7">
        <f t="shared" si="19"/>
        <v>3.6441011723662431E-3</v>
      </c>
      <c r="CD44" t="e">
        <f>(1/$T44-1/Parameters!$B$13) * LN(Parameters!$B$18) / LN(P44)</f>
        <v>#DIV/0!</v>
      </c>
      <c r="CE44">
        <f>(Parameters!$B$18*'6states,BAU'!T44^+Parameters!$B$19*Parameters!$B$25^'6states,BAU'!T44)^((1-'6states,BAU'!T44)/'6states,BAU'!T44)*Parameters!$B$18*Parameters!$B$26^('6states,BAU'!T44-1)</f>
        <v>0.25083733304406469</v>
      </c>
      <c r="CF44" t="e">
        <f t="shared" si="20"/>
        <v>#DIV/0!</v>
      </c>
      <c r="CG44" t="e">
        <f t="shared" si="29"/>
        <v>#DIV/0!</v>
      </c>
      <c r="CH44">
        <f t="shared" si="29"/>
        <v>0.1595914952496309</v>
      </c>
    </row>
    <row r="45" spans="1:86" x14ac:dyDescent="0.3">
      <c r="A45">
        <f>A44+Parameters!$B$65</f>
        <v>41</v>
      </c>
      <c r="B45">
        <v>2066</v>
      </c>
      <c r="C45" s="74">
        <v>5.9202733568701101E-2</v>
      </c>
      <c r="D45" s="69">
        <v>3.8215983994307401E-3</v>
      </c>
      <c r="E45" s="75">
        <v>0.30480880197696197</v>
      </c>
      <c r="F45" s="7">
        <f>MAX((1-Parameters!$B$4)^Parameters!B$65*F44 + C44*Parameters!B$65 - IF(C44&gt;0,Parameters!$B$5,0)*C44^2/F44*Parameters!B$65, 0.0001)</f>
        <v>0.86258813478916196</v>
      </c>
      <c r="G45" s="7">
        <f>(1-Parameters!$B$4)^Parameters!B$65*G44+D44*Parameters!B$65-Parameters!$B$5*D44^2/G44*Parameters!B$65</f>
        <v>7.6469113416343798E-2</v>
      </c>
      <c r="H45" s="7">
        <f>(1-Parameters!$B$4)^Parameters!B$65*H44+E44*Parameters!B$65-Parameters!$B$5*E44^2/H44*Parameters!B$65</f>
        <v>4.4954640963826211</v>
      </c>
      <c r="I45" s="7">
        <f>I44 *(1-Parameters!$B$4)-C44*(C44&lt;0)*Parameters!B$65</f>
        <v>0</v>
      </c>
      <c r="J45" s="23">
        <f>J44*(1+Parameters!$B$51)^Parameters!B$65</f>
        <v>9.1886782073169293</v>
      </c>
      <c r="K45" s="23">
        <f>K44*(1+Parameters!$B$53)^Parameters!B$65</f>
        <v>20.388242493917602</v>
      </c>
      <c r="L45" s="23">
        <f>J45*K45*EXP(-Parameters!$B$42*'6states,BAU'!A45)*(Parameters!$B$37/Parameters!$B$38*('6states,BAU'!F45+'6states,BAU'!I45)/Parameters!$E$25*(EXP(-Parameters!$B$38*Parameters!$E$25*'6states,BAU'!I45/('6states,BAU'!F45+'6states,BAU'!I45))-EXP(-Parameters!$B$38*Parameters!$E$25))  +  Parameters!$B$39*'6states,BAU'!F45)</f>
        <v>97.664879616194781</v>
      </c>
      <c r="M45" s="8">
        <f>M44+L45*Parameters!B$65</f>
        <v>5349.1891385581348</v>
      </c>
      <c r="N45" s="7">
        <f>M45*Parameters!$B$45</f>
        <v>3.2095134831348804</v>
      </c>
      <c r="O45" s="9">
        <f>EXP(-Parameters!$B$46/2*N45^2)</f>
        <v>0.90165364628420075</v>
      </c>
      <c r="P45" s="7">
        <f>MAX((Parameters!$B$62 + Parameters!$B$31*'6states,BAU'!A45 - '6states,BAU'!M45 + Parameters!$B$47/Parameters!$B$45)/Parameters!B$62,1)</f>
        <v>1</v>
      </c>
      <c r="Q45" s="7">
        <f>Parameters!B$61*EXP(-Parameters!B$60*A45)</f>
        <v>0.16527456122893386</v>
      </c>
      <c r="R45" s="7">
        <f>(1-Parameters!B$61)*P45^-Parameters!B$63</f>
        <v>0.5</v>
      </c>
      <c r="S45" s="7">
        <f>Parameters!B$61*EXP(-Parameters!B$60*A45)+(1-Parameters!B$61)*P45^-Parameters!B$63</f>
        <v>0.66527456122893391</v>
      </c>
      <c r="T45" s="7">
        <f>1-S45/Parameters!$B$12</f>
        <v>0.66736271938553304</v>
      </c>
      <c r="U45" s="7">
        <f t="shared" si="0"/>
        <v>3.0062775830560597</v>
      </c>
      <c r="V45" s="7">
        <f>(Parameters!$B$19*(F45+Parameters!$B$20)^T45+Parameters!$B$18*G45^T45)^(1/T45)</f>
        <v>0.57384084482464814</v>
      </c>
      <c r="W45" s="7">
        <f>(Parameters!$B$10*H45^Parameters!$B$9+Parameters!$B$11*V45^Parameters!$B$9)^(Parameters!$B$7/Parameters!$B$9)*O45</f>
        <v>1.3952004519242436</v>
      </c>
      <c r="X45" s="7">
        <f>W45 - D45 - E45 - LN(1+EXP(Parameters!$B$21*C45))/Parameters!$B$21 - IF(C45&gt;0, 0,Parameters!$B$6*C45^2/F45)</f>
        <v>1.0273673179146656</v>
      </c>
      <c r="Y45" s="7">
        <f>EXP(-Parameters!$B$55*A45)</f>
        <v>0.53842880552138184</v>
      </c>
      <c r="Z45" s="7">
        <f>IF(X45&gt;0,X45^(1-Parameters!$B$52)/(1-Parameters!$B$52)*Y45*Parameters!$B$65,-10+X45*1000)</f>
        <v>-1.5238991639301822</v>
      </c>
      <c r="AB45" s="9"/>
      <c r="AC45" s="23">
        <f t="shared" si="6"/>
        <v>11.091099279262371</v>
      </c>
      <c r="AD45" s="23">
        <f t="shared" si="6"/>
        <v>0.7159420637962689</v>
      </c>
      <c r="AE45" s="23">
        <f t="shared" si="7"/>
        <v>0</v>
      </c>
      <c r="AF45" s="23">
        <f t="shared" si="8"/>
        <v>161.59812331905889</v>
      </c>
      <c r="AG45" s="23">
        <f t="shared" si="9"/>
        <v>14.325800137482588</v>
      </c>
      <c r="AH45" s="23">
        <f t="shared" si="10"/>
        <v>107.50391741726467</v>
      </c>
      <c r="AI45" s="23">
        <f t="shared" si="11"/>
        <v>264.57532540923336</v>
      </c>
      <c r="AJ45" s="23">
        <f t="shared" si="12"/>
        <v>261.37824715148565</v>
      </c>
      <c r="AK45" s="23">
        <f t="shared" si="13"/>
        <v>192.46802018083</v>
      </c>
      <c r="AL45" s="9">
        <f t="shared" si="22"/>
        <v>1.9055675432442243E-2</v>
      </c>
      <c r="AM45" s="9">
        <f t="shared" si="22"/>
        <v>1.7727921961033566E-2</v>
      </c>
      <c r="AN45" s="9">
        <f t="shared" si="30"/>
        <v>1.9052502313643062E-2</v>
      </c>
      <c r="AO45" s="9">
        <f t="shared" si="30"/>
        <v>1.7725220927539455E-2</v>
      </c>
      <c r="AP45" s="23"/>
      <c r="AQ45" s="8">
        <f t="shared" si="1"/>
        <v>261.37824715148565</v>
      </c>
      <c r="AR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-1.5493282051990587E-3</v>
      </c>
      <c r="AS45" s="32">
        <f>((C46-C44)/2-(F46-F44)/F45/2*C45)/(F45/2/Parameters!$B$5-C45)-((D46-D44)/D45-(G46-G44)/G45)/(G45/2/Parameters!$B$5/D45-1)</f>
        <v>-8.6391352767088985E-4</v>
      </c>
      <c r="AT45" s="32">
        <f>+Parameters!$B$5*C45^2/F45^2-Parameters!$B$5*D45^2/G45^2</f>
        <v>2.2130317980707677E-3</v>
      </c>
      <c r="AU45" s="30">
        <f>EXP(-Parameters!$B$42*'6states,BAU'!A45)*(Parameters!$B$37*EXP(-Parameters!$B$38*Parameters!$E$25*'6states,BAU'!I45/('6states,BAU'!F45+'6states,BAU'!I45))*(1/Parameters!$B$38/Parameters!$E$25+'6states,BAU'!I45/('6states,BAU'!F45+'6states,BAU'!I45))-Parameters!$B$37/Parameters!$B$38/Parameters!$E$25*EXP(-Parameters!$B$38*Parameters!$E$25)+Parameters!$B$39)</f>
        <v>0.60436889742441813</v>
      </c>
      <c r="AV45" s="30">
        <f>J45*K45*EXP(-Parameters!$B$42*'6states,BAU'!A45)*(Parameters!$B$37*EXP(-Parameters!$B$38*Parameters!$E$25*'6states,BAU'!I45/('6states,BAU'!F45+'6states,BAU'!I45))*(1/Parameters!$B$38/Parameters!$E$25+'6states,BAU'!I45/('6states,BAU'!F45+'6states,BAU'!I45))-Parameters!$B$37/Parameters!$B$38/Parameters!$E$25*EXP(-Parameters!$B$38*Parameters!$E$25)+Parameters!$B$39)</f>
        <v>113.22307330376914</v>
      </c>
      <c r="AW45" s="8">
        <f>1000*(AR45+AS45+AT45)/(EXP(-Parameters!$B$42*A45)*((C45&lt;0)*Parameters!$B$37*EXP(-Parameters!$B$38*AF45)+(C45&gt;=0)*Parameters!$B$41))</f>
        <v>-0.33127107574925968</v>
      </c>
      <c r="AX45" s="13">
        <f>1-W45/'6states,ExoDamages'!T45</f>
        <v>5.3698077296921776E-2</v>
      </c>
      <c r="AY45" s="21">
        <f>-Y45*W45*X45^(-Parameters!B$52)*Parameters!B$46*Parameters!B$45*N45</f>
        <v>-2.8036361403909519E-5</v>
      </c>
      <c r="AZ45" s="7">
        <f>1000*EXP(-(Parameters!$B$54)*'6states,BAU'!A45)*AQ45*Parameters!B$46*Parameters!B$45*N45</f>
        <v>2.3991796252366702</v>
      </c>
      <c r="BA45" s="7">
        <f>SUM(AZ45:AZ$204)*EXP(Parameters!$B$54*A45)</f>
        <v>737.79646775783112</v>
      </c>
      <c r="BB45" s="13">
        <f t="shared" si="26"/>
        <v>0.26364178239605845</v>
      </c>
      <c r="BC45" s="30">
        <f>IF(C45&lt;0,Parameters!$B$6*AC45^2/AF45,0)</f>
        <v>0</v>
      </c>
      <c r="BD45" s="30">
        <f>Parameters!$B$5*AD45^2/AG45</f>
        <v>3.5779714486714388E-2</v>
      </c>
      <c r="BE45" s="30">
        <f t="shared" si="14"/>
        <v>0</v>
      </c>
      <c r="BF45" s="30">
        <f t="shared" si="15"/>
        <v>4.9975712136528405E-2</v>
      </c>
      <c r="BH45" s="5" t="e">
        <f t="shared" si="28"/>
        <v>#NUM!</v>
      </c>
      <c r="BI45" s="2" t="e">
        <f>BH45/Parameters!$B$45</f>
        <v>#NUM!</v>
      </c>
      <c r="BJ45" s="2" t="e">
        <f t="shared" si="24"/>
        <v>#NUM!</v>
      </c>
      <c r="BM45">
        <f>-EXP(-Parameters!B$42*'6states,BAU'!A45)*(-Parameters!B$37/Parameters!B$38/Parameters!E$25*(EXP(-Parameters!B$38*Parameters!E$25*'6states,BAU'!I45/('6states,BAU'!F45+'6states,BAU'!I45))-EXP(-Parameters!B$38*Parameters!E$25))+Parameters!B$37*'6states,BAU'!F45/('6states,BAU'!F45+'6states,BAU'!I45)*EXP(-Parameters!B$38*Parameters!E$25*'6states,BAU'!I45/('6states,BAU'!F45+'6states,BAU'!I45)))</f>
        <v>-3.9657921851143314</v>
      </c>
      <c r="BN45">
        <f>-J45*K45*EXP(-Parameters!B$42*'6states,BAU'!A45)*(-Parameters!B$37/Parameters!B$38/Parameters!E$25*(EXP(-Parameters!B$38*Parameters!E$25*'6states,BAU'!I45/('6states,BAU'!F45+'6states,BAU'!I45))-EXP(-Parameters!B$38*Parameters!E$25)) + Parameters!B$37*'6states,BAU'!F45/('6states,BAU'!F45+'6states,BAU'!I45)*EXP(-Parameters!B$38*Parameters!E$25*'6states,BAU'!I45/('6states,BAU'!F45+'6states,BAU'!I45)))</f>
        <v>-742.95547172638658</v>
      </c>
      <c r="BO45" s="7">
        <f t="shared" si="4"/>
        <v>0</v>
      </c>
      <c r="BU45" t="e">
        <f>EXP(-Parameters!$B$56*A45)*BH45*BN45</f>
        <v>#NUM!</v>
      </c>
      <c r="BV45" t="e">
        <f>-EXP((Parameters!$B$56)*F45)*SUM(BU45:BU53)</f>
        <v>#NUM!</v>
      </c>
      <c r="BW45">
        <f>X45^-Parameters!B$52/(1-2*Parameters!B$5*'6states,BAU'!D45/'6states,BAU'!G45)</f>
        <v>1.0712831988350495</v>
      </c>
      <c r="BX45">
        <f t="shared" si="16"/>
        <v>1.0071175907779641</v>
      </c>
      <c r="BY45">
        <f>$X45^-Parameters!$B$52/(1-2*Parameters!$B$5*'6states,BAU'!$E45/'6states,BAU'!$H45)</f>
        <v>1.1154731888416216</v>
      </c>
      <c r="BZ45">
        <f t="shared" si="17"/>
        <v>1.0067079738891846</v>
      </c>
      <c r="CA45" s="7">
        <f>($X45^-Parameters!$B$52*(1/(1+EXP(-C45)) + IF(C45&lt;0,2*Parameters!$B$6*C45/F45,0)) + BS45*(1/(1+EXP((C45-Parameters!$B$22)*Parameters!$B$21))))/(1-IF(C45&gt;0,2*Parameters!$B$5*C45/F45,0))</f>
        <v>0.5753467192313434</v>
      </c>
      <c r="CB45">
        <f t="shared" si="18"/>
        <v>1.006647369233012</v>
      </c>
      <c r="CC45" s="7">
        <f t="shared" si="19"/>
        <v>3.7992868174352434E-3</v>
      </c>
      <c r="CD45" t="e">
        <f>(1/$T45-1/Parameters!$B$13) * LN(Parameters!$B$18) / LN(P45)</f>
        <v>#DIV/0!</v>
      </c>
      <c r="CE45">
        <f>(Parameters!$B$18*'6states,BAU'!T45^+Parameters!$B$19*Parameters!$B$25^'6states,BAU'!T45)^((1-'6states,BAU'!T45)/'6states,BAU'!T45)*Parameters!$B$18*Parameters!$B$26^('6states,BAU'!T45-1)</f>
        <v>0.25208773933143164</v>
      </c>
      <c r="CF45" t="e">
        <f t="shared" si="20"/>
        <v>#DIV/0!</v>
      </c>
      <c r="CG45" t="e">
        <f t="shared" si="29"/>
        <v>#DIV/0!</v>
      </c>
      <c r="CH45">
        <f t="shared" si="29"/>
        <v>0.16031957484034332</v>
      </c>
    </row>
    <row r="46" spans="1:86" x14ac:dyDescent="0.3">
      <c r="A46">
        <f>A45+Parameters!$B$65</f>
        <v>42</v>
      </c>
      <c r="B46">
        <v>2067</v>
      </c>
      <c r="C46" s="74">
        <v>5.9231547790399297E-2</v>
      </c>
      <c r="D46" s="69">
        <v>3.77588239448918E-3</v>
      </c>
      <c r="E46" s="75">
        <v>0.30484779398053502</v>
      </c>
      <c r="F46" s="7">
        <f>MAX((1-Parameters!$B$4)^Parameters!B$65*F45 + C45*Parameters!B$65 - IF(C45&gt;0,Parameters!$B$5,0)*C45^2/F45*Parameters!B$65, 0.0001)</f>
        <v>0.86347076390516897</v>
      </c>
      <c r="G46" s="7">
        <f>(1-Parameters!$B$4)^Parameters!B$65*G45+D45*Parameters!B$65-Parameters!$B$5*D45^2/G45*Parameters!B$65</f>
        <v>7.5289817480375137E-2</v>
      </c>
      <c r="H46" s="7">
        <f>(1-Parameters!$B$4)^Parameters!B$65*H45+E45*Parameters!B$65-Parameters!$B$5*E45^2/H45*Parameters!B$65</f>
        <v>4.4968410622664905</v>
      </c>
      <c r="I46" s="7">
        <f>I45 *(1-Parameters!$B$4)-C45*(C45&lt;0)*Parameters!B$65</f>
        <v>0</v>
      </c>
      <c r="J46" s="23">
        <f>J45*(1+Parameters!$B$51)^Parameters!B$65</f>
        <v>9.215325374118148</v>
      </c>
      <c r="K46" s="23">
        <f>K45*(1+Parameters!$B$53)^Parameters!B$65</f>
        <v>20.796007343795953</v>
      </c>
      <c r="L46" s="23">
        <f>J46*K46*EXP(-Parameters!$B$42*'6states,BAU'!A46)*(Parameters!$B$37/Parameters!$B$38*('6states,BAU'!F46+'6states,BAU'!I46)/Parameters!$E$25*(EXP(-Parameters!$B$38*Parameters!$E$25*'6states,BAU'!I46/('6states,BAU'!F46+'6states,BAU'!I46))-EXP(-Parameters!$B$38*Parameters!$E$25))  +  Parameters!$B$39*'6states,BAU'!F46)</f>
        <v>99.01418904426491</v>
      </c>
      <c r="M46" s="8">
        <f>M45+L46*Parameters!B$65</f>
        <v>5448.2033276023994</v>
      </c>
      <c r="N46" s="7">
        <f>M46*Parameters!$B$45</f>
        <v>3.2689219965614393</v>
      </c>
      <c r="O46" s="9">
        <f>EXP(-Parameters!$B$46/2*N46^2)</f>
        <v>0.89817279894717772</v>
      </c>
      <c r="P46" s="7">
        <f>MAX((Parameters!$B$62 + Parameters!$B$31*'6states,BAU'!A46 - '6states,BAU'!M46 + Parameters!$B$47/Parameters!$B$45)/Parameters!B$62,1)</f>
        <v>1</v>
      </c>
      <c r="Q46" s="7">
        <f>Parameters!B$61*EXP(-Parameters!B$60*A46)</f>
        <v>0.16087185211018509</v>
      </c>
      <c r="R46" s="7">
        <f>(1-Parameters!B$61)*P46^-Parameters!B$63</f>
        <v>0.5</v>
      </c>
      <c r="S46" s="7">
        <f>Parameters!B$61*EXP(-Parameters!B$60*A46)+(1-Parameters!B$61)*P46^-Parameters!B$63</f>
        <v>0.66087185211018507</v>
      </c>
      <c r="T46" s="7">
        <f>1-S46/Parameters!$B$12</f>
        <v>0.66956407394490747</v>
      </c>
      <c r="U46" s="7">
        <f t="shared" si="0"/>
        <v>3.0263053171563228</v>
      </c>
      <c r="V46" s="7">
        <f>(Parameters!$B$19*(F46+Parameters!$B$20)^T46+Parameters!$B$18*G46^T46)^(1/T46)</f>
        <v>0.57410470112264944</v>
      </c>
      <c r="W46" s="7">
        <f>(Parameters!$B$10*H46^Parameters!$B$9+Parameters!$B$11*V46^Parameters!$B$9)^(Parameters!$B$7/Parameters!$B$9)*O46</f>
        <v>1.389953104777105</v>
      </c>
      <c r="X46" s="7">
        <f>W46 - D46 - E46 - LN(1+EXP(Parameters!$B$21*C46))/Parameters!$B$21 - IF(C46&gt;0, 0,Parameters!$B$6*C46^2/F46)</f>
        <v>1.0220978805477525</v>
      </c>
      <c r="Y46" s="7">
        <f>EXP(-Parameters!$B$55*A46)</f>
        <v>0.53035960633280899</v>
      </c>
      <c r="Z46" s="7">
        <f>IF(X46&gt;0,X46^(1-Parameters!$B$52)/(1-Parameters!$B$52)*Y46*Parameters!$B$65,-10+X46*1000)</f>
        <v>-1.503765180339582</v>
      </c>
      <c r="AB46" s="9"/>
      <c r="AC46" s="23">
        <f t="shared" si="6"/>
        <v>11.351250750845676</v>
      </c>
      <c r="AD46" s="23">
        <f t="shared" si="6"/>
        <v>0.7236175562593945</v>
      </c>
      <c r="AE46" s="23">
        <f t="shared" si="7"/>
        <v>0</v>
      </c>
      <c r="AF46" s="23">
        <f t="shared" si="8"/>
        <v>165.47724182045664</v>
      </c>
      <c r="AG46" s="23">
        <f t="shared" si="9"/>
        <v>14.428689255756167</v>
      </c>
      <c r="AH46" s="23">
        <f t="shared" si="10"/>
        <v>110.02255829517259</v>
      </c>
      <c r="AI46" s="23">
        <f t="shared" si="11"/>
        <v>270.77389236261268</v>
      </c>
      <c r="AJ46" s="23">
        <f t="shared" si="12"/>
        <v>266.37335698323193</v>
      </c>
      <c r="AK46" s="23">
        <f t="shared" si="13"/>
        <v>195.87685560845679</v>
      </c>
      <c r="AL46" s="9">
        <f t="shared" si="22"/>
        <v>1.893034132513538E-2</v>
      </c>
      <c r="AM46" s="9">
        <f t="shared" si="22"/>
        <v>1.7556163066981156E-2</v>
      </c>
      <c r="AN46" s="9">
        <f t="shared" si="30"/>
        <v>1.8926947816242112E-2</v>
      </c>
      <c r="AO46" s="9">
        <f t="shared" si="30"/>
        <v>1.7549230051156606E-2</v>
      </c>
      <c r="AP46" s="23"/>
      <c r="AQ46" s="8">
        <f t="shared" si="1"/>
        <v>266.37335698323193</v>
      </c>
      <c r="AR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-1.5185666268007572E-3</v>
      </c>
      <c r="AS46" s="32">
        <f>((C47-C45)/2-(F47-F45)/F46/2*C46)/(F46/2/Parameters!$B$5-C46)-((D47-D45)/D46-(G47-G45)/G46)/(G46/2/Parameters!$B$5/D46-1)</f>
        <v>-8.7689563370122196E-4</v>
      </c>
      <c r="AT46" s="32">
        <f>+Parameters!$B$5*C46^2/F46^2-Parameters!$B$5*D46^2/G46^2</f>
        <v>2.1904022484340565E-3</v>
      </c>
      <c r="AU46" s="30">
        <f>EXP(-Parameters!$B$42*'6states,BAU'!A46)*(Parameters!$B$37*EXP(-Parameters!$B$38*Parameters!$E$25*'6states,BAU'!I46/('6states,BAU'!F46+'6states,BAU'!I46))*(1/Parameters!$B$38/Parameters!$E$25+'6states,BAU'!I46/('6states,BAU'!F46+'6states,BAU'!I46))-Parameters!$B$37/Parameters!$B$38/Parameters!$E$25*EXP(-Parameters!$B$38*Parameters!$E$25)+Parameters!$B$39)</f>
        <v>0.5983553264182131</v>
      </c>
      <c r="AV46" s="30">
        <f>J46*K46*EXP(-Parameters!$B$42*'6states,BAU'!A46)*(Parameters!$B$37*EXP(-Parameters!$B$38*Parameters!$E$25*'6states,BAU'!I46/('6states,BAU'!F46+'6states,BAU'!I46))*(1/Parameters!$B$38/Parameters!$E$25+'6states,BAU'!I46/('6states,BAU'!F46+'6states,BAU'!I46))-Parameters!$B$37/Parameters!$B$38/Parameters!$E$25*EXP(-Parameters!$B$38*Parameters!$E$25)+Parameters!$B$39)</f>
        <v>114.66999600132286</v>
      </c>
      <c r="AW46" s="8">
        <f>1000*(AR46+AS46+AT46)/(EXP(-Parameters!$B$42*A46)*((C46&lt;0)*Parameters!$B$37*EXP(-Parameters!$B$38*AF46)+(C46&gt;=0)*Parameters!$B$41))</f>
        <v>-0.34270608619032894</v>
      </c>
      <c r="AX46" s="13">
        <f>1-W46/'6states,ExoDamages'!T46</f>
        <v>5.6905869961671907E-2</v>
      </c>
      <c r="AY46" s="21">
        <f>-Y46*W46*X46^(-Parameters!B$52)*Parameters!B$46*Parameters!B$45*N46</f>
        <v>-2.8216789248857213E-5</v>
      </c>
      <c r="AZ46" s="7">
        <f>1000*EXP(-(Parameters!$B$54)*'6states,BAU'!A46)*AQ46*Parameters!B$46*Parameters!B$45*N46</f>
        <v>2.4043944900166907</v>
      </c>
      <c r="BA46" s="7">
        <f>SUM(AZ46:AZ$204)*EXP(Parameters!$B$54*A46)</f>
        <v>753.67446076704221</v>
      </c>
      <c r="BB46" s="13">
        <f t="shared" si="26"/>
        <v>0.26465297491055523</v>
      </c>
      <c r="BC46" s="30">
        <f>IF(C46&lt;0,Parameters!$B$6*AC46^2/AF46,0)</f>
        <v>0</v>
      </c>
      <c r="BD46" s="30">
        <f>Parameters!$B$5*AD46^2/AG46</f>
        <v>3.6290362793552057E-2</v>
      </c>
      <c r="BE46" s="30">
        <f t="shared" si="14"/>
        <v>0</v>
      </c>
      <c r="BF46" s="30">
        <f t="shared" si="15"/>
        <v>5.0151302272360962E-2</v>
      </c>
      <c r="BH46" s="5" t="e">
        <f t="shared" si="28"/>
        <v>#NUM!</v>
      </c>
      <c r="BI46" s="2" t="e">
        <f>BH46/Parameters!$B$45</f>
        <v>#NUM!</v>
      </c>
      <c r="BJ46" s="2" t="e">
        <f t="shared" si="24"/>
        <v>#NUM!</v>
      </c>
      <c r="BM46">
        <f>-EXP(-Parameters!B$42*'6states,BAU'!A46)*(-Parameters!B$37/Parameters!B$38/Parameters!E$25*(EXP(-Parameters!B$38*Parameters!E$25*'6states,BAU'!I46/('6states,BAU'!F46+'6states,BAU'!I46))-EXP(-Parameters!B$38*Parameters!E$25))+Parameters!B$37*'6states,BAU'!F46/('6states,BAU'!F46+'6states,BAU'!I46)*EXP(-Parameters!B$38*Parameters!E$25*'6states,BAU'!I46/('6states,BAU'!F46+'6states,BAU'!I46)))</f>
        <v>-3.9263318935561933</v>
      </c>
      <c r="BN46">
        <f>-J46*K46*EXP(-Parameters!B$42*'6states,BAU'!A46)*(-Parameters!B$37/Parameters!B$38/Parameters!E$25*(EXP(-Parameters!B$38*Parameters!E$25*'6states,BAU'!I46/('6states,BAU'!F46+'6states,BAU'!I46))-EXP(-Parameters!B$38*Parameters!E$25)) + Parameters!B$37*'6states,BAU'!F46/('6states,BAU'!F46+'6states,BAU'!I46)*EXP(-Parameters!B$38*Parameters!E$25*'6states,BAU'!I46/('6states,BAU'!F46+'6states,BAU'!I46)))</f>
        <v>-752.44999527132245</v>
      </c>
      <c r="BO46" s="7">
        <f t="shared" si="4"/>
        <v>0</v>
      </c>
      <c r="BU46" t="e">
        <f>EXP(-Parameters!$B$56*A46)*BH46*BN46</f>
        <v>#NUM!</v>
      </c>
      <c r="BV46" t="e">
        <f>-EXP((Parameters!$B$56)*F46)*SUM(BU46:BU54)</f>
        <v>#NUM!</v>
      </c>
      <c r="BW46">
        <f>X46^-Parameters!B$52/(1-2*Parameters!B$5*'6states,BAU'!D46/'6states,BAU'!G46)</f>
        <v>1.079167054227516</v>
      </c>
      <c r="BX46">
        <f t="shared" si="16"/>
        <v>1.0073592635458484</v>
      </c>
      <c r="BY46">
        <f>$X46^-Parameters!$B$52/(1-2*Parameters!$B$5*'6states,BAU'!$E46/'6states,BAU'!$H46)</f>
        <v>1.123212389874199</v>
      </c>
      <c r="BZ46">
        <f t="shared" si="17"/>
        <v>1.0069380430744501</v>
      </c>
      <c r="CA46" s="7">
        <f>($X46^-Parameters!$B$52*(1/(1+EXP(-C46)) + IF(C46&lt;0,2*Parameters!$B$6*C46/F46,0)) + BS46*(1/(1+EXP((C46-Parameters!$B$22)*Parameters!$B$21))))/(1-IF(C46&gt;0,2*Parameters!$B$5*C46/F46,0))</f>
        <v>0.57931340357221917</v>
      </c>
      <c r="CB46">
        <f t="shared" si="18"/>
        <v>1.0068944241937718</v>
      </c>
      <c r="CC46" s="7">
        <f t="shared" si="19"/>
        <v>3.9666843408757702E-3</v>
      </c>
      <c r="CD46" t="e">
        <f>(1/$T46-1/Parameters!$B$13) * LN(Parameters!$B$18) / LN(P46)</f>
        <v>#DIV/0!</v>
      </c>
      <c r="CE46">
        <f>(Parameters!$B$18*'6states,BAU'!T46^+Parameters!$B$19*Parameters!$B$25^'6states,BAU'!T46)^((1-'6states,BAU'!T46)/'6states,BAU'!T46)*Parameters!$B$18*Parameters!$B$26^('6states,BAU'!T46-1)</f>
        <v>0.25329169050065703</v>
      </c>
      <c r="CF46" t="e">
        <f t="shared" si="20"/>
        <v>#DIV/0!</v>
      </c>
      <c r="CG46" t="e">
        <f t="shared" si="29"/>
        <v>#DIV/0!</v>
      </c>
      <c r="CH46">
        <f t="shared" si="29"/>
        <v>0.16102000874927769</v>
      </c>
    </row>
    <row r="47" spans="1:86" x14ac:dyDescent="0.3">
      <c r="A47">
        <f>A46+Parameters!$B$65</f>
        <v>43</v>
      </c>
      <c r="B47">
        <v>2068</v>
      </c>
      <c r="C47" s="74">
        <v>5.92553516011394E-2</v>
      </c>
      <c r="D47" s="69">
        <v>3.7314900204042998E-3</v>
      </c>
      <c r="E47" s="75">
        <v>0.30489708899414603</v>
      </c>
      <c r="F47" s="7">
        <f>MAX((1-Parameters!$B$4)^Parameters!B$65*F46 + C46*Parameters!B$65 - IF(C46&gt;0,Parameters!$B$5,0)*C46^2/F46*Parameters!B$65, 0.0001)</f>
        <v>0.86432689115768691</v>
      </c>
      <c r="G47" s="7">
        <f>(1-Parameters!$B$4)^Parameters!B$65*G46+D46*Parameters!B$65-Parameters!$B$5*D46^2/G46*Parameters!B$65</f>
        <v>7.4140604936037816E-2</v>
      </c>
      <c r="H47" s="7">
        <f>(1-Parameters!$B$4)^Parameters!B$65*H46+E46*Parameters!B$65-Parameters!$B$5*E46^2/H46*Parameters!B$65</f>
        <v>4.4981714511137501</v>
      </c>
      <c r="I47" s="7">
        <f>I46 *(1-Parameters!$B$4)-C46*(C46&lt;0)*Parameters!B$65</f>
        <v>0</v>
      </c>
      <c r="J47" s="23">
        <f>J46*(1+Parameters!$B$51)^Parameters!B$65</f>
        <v>9.242049817703089</v>
      </c>
      <c r="K47" s="23">
        <f>K46*(1+Parameters!$B$53)^Parameters!B$65</f>
        <v>21.211927490671872</v>
      </c>
      <c r="L47" s="23">
        <f>J47*K47*EXP(-Parameters!$B$42*'6states,BAU'!A47)*(Parameters!$B$37/Parameters!$B$38*('6states,BAU'!F47+'6states,BAU'!I47)/Parameters!$E$25*(EXP(-Parameters!$B$38*Parameters!$E$25*'6states,BAU'!I47/('6states,BAU'!F47+'6states,BAU'!I47))-EXP(-Parameters!$B$38*Parameters!$E$25))  +  Parameters!$B$39*'6states,BAU'!F47)</f>
        <v>100.37895744616719</v>
      </c>
      <c r="M47" s="8">
        <f>M46+L47*Parameters!B$65</f>
        <v>5548.5822850485665</v>
      </c>
      <c r="N47" s="7">
        <f>M47*Parameters!$B$45</f>
        <v>3.3291493710291395</v>
      </c>
      <c r="O47" s="9">
        <f>EXP(-Parameters!$B$46/2*N47^2)</f>
        <v>0.8945929066198548</v>
      </c>
      <c r="P47" s="7">
        <f>MAX((Parameters!$B$62 + Parameters!$B$31*'6states,BAU'!A47 - '6states,BAU'!M47 + Parameters!$B$47/Parameters!$B$45)/Parameters!B$62,1)</f>
        <v>1</v>
      </c>
      <c r="Q47" s="7">
        <f>Parameters!B$61*EXP(-Parameters!B$60*A47)</f>
        <v>0.15658642569628925</v>
      </c>
      <c r="R47" s="7">
        <f>(1-Parameters!B$61)*P47^-Parameters!B$63</f>
        <v>0.5</v>
      </c>
      <c r="S47" s="7">
        <f>Parameters!B$61*EXP(-Parameters!B$60*A47)+(1-Parameters!B$61)*P47^-Parameters!B$63</f>
        <v>0.65658642569628922</v>
      </c>
      <c r="T47" s="7">
        <f>1-S47/Parameters!$B$12</f>
        <v>0.67170678715185539</v>
      </c>
      <c r="U47" s="7">
        <f t="shared" si="0"/>
        <v>3.0460574902672759</v>
      </c>
      <c r="V47" s="7">
        <f>(Parameters!$B$19*(F47+Parameters!$B$20)^T47+Parameters!$B$18*G47^T47)^(1/T47)</f>
        <v>0.57436148445301849</v>
      </c>
      <c r="W47" s="7">
        <f>(Parameters!$B$10*H47^Parameters!$B$9+Parameters!$B$11*V47^Parameters!$B$9)^(Parameters!$B$7/Parameters!$B$9)*O47</f>
        <v>1.3845469087176951</v>
      </c>
      <c r="X47" s="7">
        <f>W47 - D47 - E47 - LN(1+EXP(Parameters!$B$21*C47))/Parameters!$B$21 - IF(C47&gt;0, 0,Parameters!$B$6*C47^2/F47)</f>
        <v>1.0166629780385312</v>
      </c>
      <c r="Y47" s="7">
        <f>EXP(-Parameters!$B$55*A47)</f>
        <v>0.52241133673581286</v>
      </c>
      <c r="Z47" s="7">
        <f>IF(X47&gt;0,X47^(1-Parameters!$B$52)/(1-Parameters!$B$52)*Y47*Parameters!$B$65,-10+X47*1000)</f>
        <v>-1.483995538996534</v>
      </c>
      <c r="AB47" s="9"/>
      <c r="AC47" s="23">
        <f t="shared" si="6"/>
        <v>11.616519304883761</v>
      </c>
      <c r="AD47" s="23">
        <f t="shared" si="6"/>
        <v>0.7315276120507257</v>
      </c>
      <c r="AE47" s="23">
        <f t="shared" si="7"/>
        <v>0</v>
      </c>
      <c r="AF47" s="23">
        <f t="shared" si="8"/>
        <v>169.44410497212155</v>
      </c>
      <c r="AG47" s="23">
        <f t="shared" si="9"/>
        <v>14.534649533641158</v>
      </c>
      <c r="AH47" s="23">
        <f t="shared" si="10"/>
        <v>112.59879642671615</v>
      </c>
      <c r="AI47" s="23">
        <f t="shared" si="11"/>
        <v>277.1142105422677</v>
      </c>
      <c r="AJ47" s="23">
        <f t="shared" si="12"/>
        <v>271.42891669766038</v>
      </c>
      <c r="AK47" s="23">
        <f t="shared" si="13"/>
        <v>199.30832898337107</v>
      </c>
      <c r="AL47" s="9">
        <f t="shared" si="22"/>
        <v>1.8801365801857983E-2</v>
      </c>
      <c r="AM47" s="9">
        <f t="shared" si="22"/>
        <v>1.7366843468400894E-2</v>
      </c>
      <c r="AN47" s="9">
        <f t="shared" si="30"/>
        <v>1.8797951306042116E-2</v>
      </c>
      <c r="AO47" s="9">
        <f t="shared" si="30"/>
        <v>1.7365818681885869E-2</v>
      </c>
      <c r="AP47" s="23"/>
      <c r="AQ47" s="8">
        <f t="shared" si="1"/>
        <v>271.42891669766033</v>
      </c>
      <c r="AR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-1.4874258234749767E-3</v>
      </c>
      <c r="AS47" s="32">
        <f>((C48-C46)/2-(F48-F46)/F47/2*C47)/(F47/2/Parameters!$B$5-C47)-((D48-D46)/D47-(G48-G46)/G47)/(G47/2/Parameters!$B$5/D47-1)</f>
        <v>-8.9230344613663675E-4</v>
      </c>
      <c r="AT47" s="32">
        <f>+Parameters!$B$5*C47^2/F47^2-Parameters!$B$5*D47^2/G47^2</f>
        <v>2.1669136316830699E-3</v>
      </c>
      <c r="AU47" s="30">
        <f>EXP(-Parameters!$B$42*'6states,BAU'!A47)*(Parameters!$B$37*EXP(-Parameters!$B$38*Parameters!$E$25*'6states,BAU'!I47/('6states,BAU'!F47+'6states,BAU'!I47))*(1/Parameters!$B$38/Parameters!$E$25+'6states,BAU'!I47/('6states,BAU'!F47+'6states,BAU'!I47))-Parameters!$B$37/Parameters!$B$38/Parameters!$E$25*EXP(-Parameters!$B$38*Parameters!$E$25)+Parameters!$B$39)</f>
        <v>0.59240159144328108</v>
      </c>
      <c r="AV47" s="30">
        <f>J47*K47*EXP(-Parameters!$B$42*'6states,BAU'!A47)*(Parameters!$B$37*EXP(-Parameters!$B$38*Parameters!$E$25*'6states,BAU'!I47/('6states,BAU'!F47+'6states,BAU'!I47))*(1/Parameters!$B$38/Parameters!$E$25+'6states,BAU'!I47/('6states,BAU'!F47+'6states,BAU'!I47))-Parameters!$B$37/Parameters!$B$38/Parameters!$E$25*EXP(-Parameters!$B$38*Parameters!$E$25)+Parameters!$B$39)</f>
        <v>116.13540949966134</v>
      </c>
      <c r="AW47" s="8">
        <f>1000*(AR47+AS47+AT47)/(EXP(-Parameters!$B$42*A47)*((C47&lt;0)*Parameters!$B$37*EXP(-Parameters!$B$38*AF47)+(C47&gt;=0)*Parameters!$B$41))</f>
        <v>-0.3592421779456334</v>
      </c>
      <c r="AX47" s="13">
        <f>1-W47/'6states,ExoDamages'!T47</f>
        <v>6.0231264706210097E-2</v>
      </c>
      <c r="AY47" s="21">
        <f>-Y47*W47*X47^(-Parameters!B$52)*Parameters!B$46*Parameters!B$45*N47</f>
        <v>-2.8399578494397364E-5</v>
      </c>
      <c r="AZ47" s="7">
        <f>1000*EXP(-(Parameters!$B$54)*'6states,BAU'!A47)*AQ47*Parameters!B$46*Parameters!B$45*N47</f>
        <v>2.4091067308258856</v>
      </c>
      <c r="BA47" s="7">
        <f>SUM(AZ47:AZ$204)*EXP(Parameters!$B$54*A47)</f>
        <v>769.72175109156535</v>
      </c>
      <c r="BB47" s="13">
        <f t="shared" si="26"/>
        <v>0.26570709038410784</v>
      </c>
      <c r="BC47" s="30">
        <f>IF(C47&lt;0,Parameters!$B$6*AC47^2/AF47,0)</f>
        <v>0</v>
      </c>
      <c r="BD47" s="30">
        <f>Parameters!$B$5*AD47^2/AG47</f>
        <v>3.6817719337094879E-2</v>
      </c>
      <c r="BE47" s="30">
        <f t="shared" si="14"/>
        <v>0</v>
      </c>
      <c r="BF47" s="30">
        <f t="shared" si="15"/>
        <v>5.0329910628912608E-2</v>
      </c>
      <c r="BH47" s="5" t="e">
        <f t="shared" si="28"/>
        <v>#NUM!</v>
      </c>
      <c r="BI47" s="2" t="e">
        <f>BH47/Parameters!$B$45</f>
        <v>#NUM!</v>
      </c>
      <c r="BJ47" s="2" t="e">
        <f t="shared" si="24"/>
        <v>#NUM!</v>
      </c>
      <c r="BM47">
        <f>-EXP(-Parameters!B$42*'6states,BAU'!A47)*(-Parameters!B$37/Parameters!B$38/Parameters!E$25*(EXP(-Parameters!B$38*Parameters!E$25*'6states,BAU'!I47/('6states,BAU'!F47+'6states,BAU'!I47))-EXP(-Parameters!B$38*Parameters!E$25))+Parameters!B$37*'6states,BAU'!F47/('6states,BAU'!F47+'6states,BAU'!I47)*EXP(-Parameters!B$38*Parameters!E$25*'6states,BAU'!I47/('6states,BAU'!F47+'6states,BAU'!I47)))</f>
        <v>-3.8872642384593656</v>
      </c>
      <c r="BN47">
        <f>-J47*K47*EXP(-Parameters!B$42*'6states,BAU'!A47)*(-Parameters!B$37/Parameters!B$38/Parameters!E$25*(EXP(-Parameters!B$38*Parameters!E$25*'6states,BAU'!I47/('6states,BAU'!F47+'6states,BAU'!I47))-EXP(-Parameters!B$38*Parameters!E$25)) + Parameters!B$37*'6states,BAU'!F47/('6states,BAU'!F47+'6states,BAU'!I47)*EXP(-Parameters!B$38*Parameters!E$25*'6states,BAU'!I47/('6states,BAU'!F47+'6states,BAU'!I47)))</f>
        <v>-762.06585310986816</v>
      </c>
      <c r="BO47" s="7">
        <f t="shared" si="4"/>
        <v>0</v>
      </c>
      <c r="BU47" t="e">
        <f>EXP(-Parameters!$B$56*A47)*BH47*BN47</f>
        <v>#NUM!</v>
      </c>
      <c r="BV47" t="e">
        <f>-EXP((Parameters!$B$56)*F47)*SUM(BU47:BU55)</f>
        <v>#NUM!</v>
      </c>
      <c r="BW47">
        <f>X47^-Parameters!B$52/(1-2*Parameters!B$5*'6states,BAU'!D47/'6states,BAU'!G47)</f>
        <v>1.0873942736828497</v>
      </c>
      <c r="BX47">
        <f t="shared" si="16"/>
        <v>1.0076236755218799</v>
      </c>
      <c r="BY47">
        <f>$X47^-Parameters!$B$52/(1-2*Parameters!$B$5*'6states,BAU'!$E47/'6states,BAU'!$H47)</f>
        <v>1.1313022391600538</v>
      </c>
      <c r="BZ47">
        <f t="shared" si="17"/>
        <v>1.0072024216958297</v>
      </c>
      <c r="CA47" s="7">
        <f>($X47^-Parameters!$B$52*(1/(1+EXP(-C47)) + IF(C47&lt;0,2*Parameters!$B$6*C47/F47,0)) + BS47*(1/(1+EXP((C47-Parameters!$B$22)*Parameters!$B$21))))/(1-IF(C47&gt;0,2*Parameters!$B$5*C47/F47,0))</f>
        <v>0.58345022840034921</v>
      </c>
      <c r="CB47">
        <f t="shared" si="18"/>
        <v>1.0071409099161543</v>
      </c>
      <c r="CC47" s="7">
        <f t="shared" si="19"/>
        <v>4.1368248281300479E-3</v>
      </c>
      <c r="CD47" t="e">
        <f>(1/$T47-1/Parameters!$B$13) * LN(Parameters!$B$18) / LN(P47)</f>
        <v>#DIV/0!</v>
      </c>
      <c r="CE47">
        <f>(Parameters!$B$18*'6states,BAU'!T47^+Parameters!$B$19*Parameters!$B$25^'6states,BAU'!T47)^((1-'6states,BAU'!T47)/'6states,BAU'!T47)*Parameters!$B$18*Parameters!$B$26^('6states,BAU'!T47-1)</f>
        <v>0.25445108603233313</v>
      </c>
      <c r="CF47" t="e">
        <f t="shared" si="20"/>
        <v>#DIV/0!</v>
      </c>
      <c r="CG47" t="e">
        <f t="shared" si="29"/>
        <v>#DIV/0!</v>
      </c>
      <c r="CH47">
        <f t="shared" si="29"/>
        <v>0.16169396885863252</v>
      </c>
    </row>
    <row r="48" spans="1:86" x14ac:dyDescent="0.3">
      <c r="A48">
        <f>A47+Parameters!$B$65</f>
        <v>44</v>
      </c>
      <c r="B48">
        <v>2069</v>
      </c>
      <c r="C48" s="74">
        <v>5.9283573719613597E-2</v>
      </c>
      <c r="D48" s="69">
        <v>3.6886016264544201E-3</v>
      </c>
      <c r="E48" s="75">
        <v>0.30493120728791401</v>
      </c>
      <c r="F48" s="7">
        <f>MAX((1-Parameters!$B$4)^Parameters!B$65*F47 + C47*Parameters!B$65 - IF(C47&gt;0,Parameters!$B$5,0)*C47^2/F47*Parameters!B$65, 0.0001)</f>
        <v>0.86515373321738587</v>
      </c>
      <c r="G48" s="7">
        <f>(1-Parameters!$B$4)^Parameters!B$65*G47+D47*Parameters!B$65-Parameters!$B$5*D47^2/G47*Parameters!B$65</f>
        <v>7.3020845346725705E-2</v>
      </c>
      <c r="H48" s="7">
        <f>(1-Parameters!$B$4)^Parameters!B$65*H47+E47*Parameters!B$65-Parameters!$B$5*E47^2/H47*Parameters!B$65</f>
        <v>4.4994668836333886</v>
      </c>
      <c r="I48" s="7">
        <f>I47 *(1-Parameters!$B$4)-C47*(C47&lt;0)*Parameters!B$65</f>
        <v>0</v>
      </c>
      <c r="J48" s="23">
        <f>J47*(1+Parameters!$B$51)^Parameters!B$65</f>
        <v>9.2688517621744264</v>
      </c>
      <c r="K48" s="23">
        <f>K47*(1+Parameters!$B$53)^Parameters!B$65</f>
        <v>21.63616604048531</v>
      </c>
      <c r="L48" s="23">
        <f>J48*K48*EXP(-Parameters!$B$42*'6states,BAU'!A48)*(Parameters!$B$37/Parameters!$B$38*('6states,BAU'!F48+'6states,BAU'!I48)/Parameters!$E$25*(EXP(-Parameters!$B$38*Parameters!$E$25*'6states,BAU'!I48/('6states,BAU'!F48+'6states,BAU'!I48))-EXP(-Parameters!$B$38*Parameters!$E$25))  +  Parameters!$B$39*'6states,BAU'!F48)</f>
        <v>101.75899286843706</v>
      </c>
      <c r="M48" s="8">
        <f>M47+L48*Parameters!B$65</f>
        <v>5650.3412779170039</v>
      </c>
      <c r="N48" s="7">
        <f>M48*Parameters!$B$45</f>
        <v>3.3902047667502022</v>
      </c>
      <c r="O48" s="9">
        <f>EXP(-Parameters!$B$46/2*N48^2)</f>
        <v>0.89091205683846819</v>
      </c>
      <c r="P48" s="7">
        <f>MAX((Parameters!$B$62 + Parameters!$B$31*'6states,BAU'!A48 - '6states,BAU'!M48 + Parameters!$B$47/Parameters!$B$45)/Parameters!B$62,1)</f>
        <v>1</v>
      </c>
      <c r="Q48" s="7">
        <f>Parameters!B$61*EXP(-Parameters!B$60*A48)</f>
        <v>0.15241515772159842</v>
      </c>
      <c r="R48" s="7">
        <f>(1-Parameters!B$61)*P48^-Parameters!B$63</f>
        <v>0.5</v>
      </c>
      <c r="S48" s="7">
        <f>Parameters!B$61*EXP(-Parameters!B$60*A48)+(1-Parameters!B$61)*P48^-Parameters!B$63</f>
        <v>0.65241515772159842</v>
      </c>
      <c r="T48" s="7">
        <f>1-S48/Parameters!$B$12</f>
        <v>0.67379242113920079</v>
      </c>
      <c r="U48" s="7">
        <f t="shared" si="0"/>
        <v>3.065532700044117</v>
      </c>
      <c r="V48" s="7">
        <f>(Parameters!$B$19*(F48+Parameters!$B$20)^T48+Parameters!$B$18*G48^T48)^(1/T48)</f>
        <v>0.57460923688017806</v>
      </c>
      <c r="W48" s="7">
        <f>(Parameters!$B$10*H48^Parameters!$B$9+Parameters!$B$11*V48^Parameters!$B$9)^(Parameters!$B$7/Parameters!$B$9)*O48</f>
        <v>1.3789795534537059</v>
      </c>
      <c r="X48" s="7">
        <f>W48 - D48 - E48 - LN(1+EXP(Parameters!$B$21*C48))/Parameters!$B$21 - IF(C48&gt;0, 0,Parameters!$B$6*C48^2/F48)</f>
        <v>1.011076170756785</v>
      </c>
      <c r="Y48" s="7">
        <f>EXP(-Parameters!$B$55*A48)</f>
        <v>0.51458218441100756</v>
      </c>
      <c r="Z48" s="7">
        <f>IF(X48&gt;0,X48^(1-Parameters!$B$52)/(1-Parameters!$B$52)*Y48*Parameters!$B$65,-10+X48*1000)</f>
        <v>-1.4645774587134013</v>
      </c>
      <c r="AB48" s="9"/>
      <c r="AC48" s="23">
        <f t="shared" si="6"/>
        <v>11.888871086901144</v>
      </c>
      <c r="AD48" s="23">
        <f t="shared" si="6"/>
        <v>0.73972108083865229</v>
      </c>
      <c r="AE48" s="23">
        <f t="shared" si="7"/>
        <v>0</v>
      </c>
      <c r="AF48" s="23">
        <f t="shared" si="8"/>
        <v>173.50001963815154</v>
      </c>
      <c r="AG48" s="23">
        <f t="shared" si="9"/>
        <v>14.643776724555829</v>
      </c>
      <c r="AH48" s="23">
        <f t="shared" si="10"/>
        <v>115.2335244653265</v>
      </c>
      <c r="AI48" s="23">
        <f t="shared" si="11"/>
        <v>283.59847683625316</v>
      </c>
      <c r="AJ48" s="23">
        <f t="shared" si="12"/>
        <v>276.54389089333182</v>
      </c>
      <c r="AK48" s="23">
        <f t="shared" si="13"/>
        <v>202.76365777166603</v>
      </c>
      <c r="AL48" s="9">
        <f t="shared" si="22"/>
        <v>1.8669257630589797E-2</v>
      </c>
      <c r="AM48" s="9">
        <f t="shared" si="22"/>
        <v>1.718803581750894E-2</v>
      </c>
      <c r="AN48" s="9">
        <f t="shared" si="30"/>
        <v>1.8665514052468347E-2</v>
      </c>
      <c r="AO48" s="9">
        <f t="shared" si="30"/>
        <v>1.7179083359962277E-2</v>
      </c>
      <c r="AP48" s="23"/>
      <c r="AQ48" s="8">
        <f t="shared" si="1"/>
        <v>276.54389089333182</v>
      </c>
      <c r="AR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-1.4571097762199675E-3</v>
      </c>
      <c r="AS48" s="32">
        <f>((C49-C47)/2-(F49-F47)/F48/2*C48)/(F48/2/Parameters!$B$5-C48)-((D49-D47)/D48-(G49-G47)/G48)/(G48/2/Parameters!$B$5/D48-1)</f>
        <v>-9.096866977447018E-4</v>
      </c>
      <c r="AT48" s="32">
        <f>+Parameters!$B$5*C48^2/F48^2-Parameters!$B$5*D48^2/G48^2</f>
        <v>2.1438025556799836E-3</v>
      </c>
      <c r="AU48" s="30">
        <f>EXP(-Parameters!$B$42*'6states,BAU'!A48)*(Parameters!$B$37*EXP(-Parameters!$B$38*Parameters!$E$25*'6states,BAU'!I48/('6states,BAU'!F48+'6states,BAU'!I48))*(1/Parameters!$B$38/Parameters!$E$25+'6states,BAU'!I48/('6states,BAU'!F48+'6states,BAU'!I48))-Parameters!$B$37/Parameters!$B$38/Parameters!$E$25*EXP(-Parameters!$B$38*Parameters!$E$25)+Parameters!$B$39)</f>
        <v>0.58650709712116311</v>
      </c>
      <c r="AV48" s="30">
        <f>J48*K48*EXP(-Parameters!$B$42*'6states,BAU'!A48)*(Parameters!$B$37*EXP(-Parameters!$B$38*Parameters!$E$25*'6states,BAU'!I48/('6states,BAU'!F48+'6states,BAU'!I48))*(1/Parameters!$B$38/Parameters!$E$25+'6states,BAU'!I48/('6states,BAU'!F48+'6states,BAU'!I48))-Parameters!$B$37/Parameters!$B$38/Parameters!$E$25*EXP(-Parameters!$B$38*Parameters!$E$25)+Parameters!$B$39)</f>
        <v>117.61955010008403</v>
      </c>
      <c r="AW48" s="8">
        <f>1000*(AR48+AS48+AT48)/(EXP(-Parameters!$B$42*A48)*((C48&lt;0)*Parameters!$B$37*EXP(-Parameters!$B$38*AF48)+(C48&gt;=0)*Parameters!$B$41))</f>
        <v>-0.38020668356655635</v>
      </c>
      <c r="AX48" s="13">
        <f>1-W48/'6states,ExoDamages'!T48</f>
        <v>6.3692947452675064E-2</v>
      </c>
      <c r="AY48" s="21">
        <f>-Y48*W48*X48^(-Parameters!B$52)*Parameters!B$46*Parameters!B$45*N48</f>
        <v>-2.8584301220434534E-5</v>
      </c>
      <c r="AZ48" s="7">
        <f>1000*EXP(-(Parameters!$B$54)*'6states,BAU'!A48)*AQ48*Parameters!B$46*Parameters!B$45*N48</f>
        <v>2.4133088697379605</v>
      </c>
      <c r="BA48" s="7">
        <f>SUM(AZ48:AZ$204)*EXP(Parameters!$B$54*A48)</f>
        <v>785.93168387092203</v>
      </c>
      <c r="BB48" s="13">
        <f t="shared" si="26"/>
        <v>0.26679393593077882</v>
      </c>
      <c r="BC48" s="30">
        <f>IF(C48&lt;0,Parameters!$B$6*AC48^2/AF48,0)</f>
        <v>0</v>
      </c>
      <c r="BD48" s="30">
        <f>Parameters!$B$5*AD48^2/AG48</f>
        <v>3.7366540594649847E-2</v>
      </c>
      <c r="BE48" s="30">
        <f t="shared" si="14"/>
        <v>0</v>
      </c>
      <c r="BF48" s="30">
        <f t="shared" si="15"/>
        <v>5.0514364890460954E-2</v>
      </c>
      <c r="BH48" s="5" t="e">
        <f t="shared" si="28"/>
        <v>#NUM!</v>
      </c>
      <c r="BI48" s="2" t="e">
        <f>BH48/Parameters!$B$45</f>
        <v>#NUM!</v>
      </c>
      <c r="BJ48" s="2" t="e">
        <f t="shared" si="24"/>
        <v>#NUM!</v>
      </c>
      <c r="BM48">
        <f>-EXP(-Parameters!B$42*'6states,BAU'!A48)*(-Parameters!B$37/Parameters!B$38/Parameters!E$25*(EXP(-Parameters!B$38*Parameters!E$25*'6states,BAU'!I48/('6states,BAU'!F48+'6states,BAU'!I48))-EXP(-Parameters!B$38*Parameters!E$25))+Parameters!B$37*'6states,BAU'!F48/('6states,BAU'!F48+'6states,BAU'!I48)*EXP(-Parameters!B$38*Parameters!E$25*'6states,BAU'!I48/('6states,BAU'!F48+'6states,BAU'!I48)))</f>
        <v>-3.8485853130257817</v>
      </c>
      <c r="BN48">
        <f>-J48*K48*EXP(-Parameters!B$42*'6states,BAU'!A48)*(-Parameters!B$37/Parameters!B$38/Parameters!E$25*(EXP(-Parameters!B$38*Parameters!E$25*'6states,BAU'!I48/('6states,BAU'!F48+'6states,BAU'!I48))-EXP(-Parameters!B$38*Parameters!E$25)) + Parameters!B$37*'6states,BAU'!F48/('6states,BAU'!F48+'6states,BAU'!I48)*EXP(-Parameters!B$38*Parameters!E$25*'6states,BAU'!I48/('6states,BAU'!F48+'6states,BAU'!I48)))</f>
        <v>-771.80459582123228</v>
      </c>
      <c r="BO48" s="7">
        <f t="shared" si="4"/>
        <v>0</v>
      </c>
      <c r="BU48" t="e">
        <f>EXP(-Parameters!$B$56*A48)*BH48*BN48</f>
        <v>#NUM!</v>
      </c>
      <c r="BV48" t="e">
        <f>-EXP((Parameters!$B$56)*F48)*SUM(BU48:BU56)</f>
        <v>#NUM!</v>
      </c>
      <c r="BW48">
        <f>X48^-Parameters!B$52/(1-2*Parameters!B$5*'6states,BAU'!D48/'6states,BAU'!G48)</f>
        <v>1.0959631608468361</v>
      </c>
      <c r="BX48">
        <f t="shared" si="16"/>
        <v>1.0078802025827898</v>
      </c>
      <c r="BY48">
        <f>$X48^-Parameters!$B$52/(1-2*Parameters!$B$5*'6states,BAU'!$E48/'6states,BAU'!$H48)</f>
        <v>1.1397179493977669</v>
      </c>
      <c r="BZ48">
        <f t="shared" si="17"/>
        <v>1.0074389583494163</v>
      </c>
      <c r="CA48" s="7">
        <f>($X48^-Parameters!$B$52*(1/(1+EXP(-C48)) + IF(C48&lt;0,2*Parameters!$B$6*C48/F48,0)) + BS48*(1/(1+EXP((C48-Parameters!$B$22)*Parameters!$B$21))))/(1-IF(C48&gt;0,2*Parameters!$B$5*C48/F48,0))</f>
        <v>0.58776994602655241</v>
      </c>
      <c r="CB48">
        <f t="shared" si="18"/>
        <v>1.0074037465681462</v>
      </c>
      <c r="CC48" s="7">
        <f t="shared" si="19"/>
        <v>4.3197176262032011E-3</v>
      </c>
      <c r="CD48" t="e">
        <f>(1/$T48-1/Parameters!$B$13) * LN(Parameters!$B$18) / LN(P48)</f>
        <v>#DIV/0!</v>
      </c>
      <c r="CE48">
        <f>(Parameters!$B$18*'6states,BAU'!T48^+Parameters!$B$19*Parameters!$B$25^'6states,BAU'!T48)^((1-'6states,BAU'!T48)/'6states,BAU'!T48)*Parameters!$B$18*Parameters!$B$26^('6states,BAU'!T48-1)</f>
        <v>0.25556774465605819</v>
      </c>
      <c r="CF48" t="e">
        <f t="shared" si="20"/>
        <v>#DIV/0!</v>
      </c>
      <c r="CG48" t="e">
        <f t="shared" si="29"/>
        <v>#DIV/0!</v>
      </c>
      <c r="CH48">
        <f t="shared" si="29"/>
        <v>0.16234257403885011</v>
      </c>
    </row>
    <row r="49" spans="1:86" x14ac:dyDescent="0.3">
      <c r="A49">
        <f>A48+Parameters!$B$65</f>
        <v>45</v>
      </c>
      <c r="B49">
        <v>2070</v>
      </c>
      <c r="C49" s="74">
        <v>5.9308535929101402E-2</v>
      </c>
      <c r="D49" s="69">
        <v>3.6471138089782902E-3</v>
      </c>
      <c r="E49" s="75">
        <v>0.30497088183229099</v>
      </c>
      <c r="F49" s="7">
        <f>MAX((1-Parameters!$B$4)^Parameters!B$65*F48 + C48*Parameters!B$65 - IF(C48&gt;0,Parameters!$B$5,0)*C48^2/F48*Parameters!B$65, 0.0001)</f>
        <v>0.86595680463493663</v>
      </c>
      <c r="G49" s="7">
        <f>(1-Parameters!$B$4)^Parameters!B$65*G48+D48*Parameters!B$65-Parameters!$B$5*D48^2/G48*Parameters!B$65</f>
        <v>7.1930108432376808E-2</v>
      </c>
      <c r="H49" s="7">
        <f>(1-Parameters!$B$4)^Parameters!B$65*H48+E48*Parameters!B$65-Parameters!$B$5*E48^2/H48*Parameters!B$65</f>
        <v>4.5007162776713443</v>
      </c>
      <c r="I49" s="7">
        <f>I48 *(1-Parameters!$B$4)-C48*(C48&lt;0)*Parameters!B$65</f>
        <v>0</v>
      </c>
      <c r="J49" s="23">
        <f>J48*(1+Parameters!$B$51)^Parameters!B$65</f>
        <v>9.2957314322847306</v>
      </c>
      <c r="K49" s="23">
        <f>K48*(1+Parameters!$B$53)^Parameters!B$65</f>
        <v>22.068889361295017</v>
      </c>
      <c r="L49" s="23">
        <f>J49*K49*EXP(-Parameters!$B$42*'6states,BAU'!A49)*(Parameters!$B$37/Parameters!$B$38*('6states,BAU'!F49+'6states,BAU'!I49)/Parameters!$E$25*(EXP(-Parameters!$B$38*Parameters!$E$25*'6states,BAU'!I49/('6states,BAU'!F49+'6states,BAU'!I49))-EXP(-Parameters!$B$38*Parameters!$E$25))  +  Parameters!$B$39*'6states,BAU'!F49)</f>
        <v>103.15507552244399</v>
      </c>
      <c r="M49" s="8">
        <f>M48+L49*Parameters!B$65</f>
        <v>5753.4963534394483</v>
      </c>
      <c r="N49" s="7">
        <f>M49*Parameters!$B$45</f>
        <v>3.4520978120636685</v>
      </c>
      <c r="O49" s="9">
        <f>EXP(-Parameters!$B$46/2*N49^2)</f>
        <v>0.88712831797013081</v>
      </c>
      <c r="P49" s="7">
        <f>MAX((Parameters!$B$62 + Parameters!$B$31*'6states,BAU'!A49 - '6states,BAU'!M49 + Parameters!$B$47/Parameters!$B$45)/Parameters!B$62,1)</f>
        <v>1</v>
      </c>
      <c r="Q49" s="7">
        <f>Parameters!B$61*EXP(-Parameters!B$60*A49)</f>
        <v>0.14835500714702263</v>
      </c>
      <c r="R49" s="7">
        <f>(1-Parameters!B$61)*P49^-Parameters!B$63</f>
        <v>0.5</v>
      </c>
      <c r="S49" s="7">
        <f>Parameters!B$61*EXP(-Parameters!B$60*A49)+(1-Parameters!B$61)*P49^-Parameters!B$63</f>
        <v>0.64835500714702266</v>
      </c>
      <c r="T49" s="7">
        <f>1-S49/Parameters!$B$12</f>
        <v>0.67582249642648873</v>
      </c>
      <c r="U49" s="7">
        <f t="shared" si="0"/>
        <v>3.0847297822232678</v>
      </c>
      <c r="V49" s="7">
        <f>(Parameters!$B$19*(F49+Parameters!$B$20)^T49+Parameters!$B$18*G49^T49)^(1/T49)</f>
        <v>0.57485115650167606</v>
      </c>
      <c r="W49" s="7">
        <f>(Parameters!$B$10*H49^Parameters!$B$9+Parameters!$B$11*V49^Parameters!$B$9)^(Parameters!$B$7/Parameters!$B$9)*O49</f>
        <v>1.3732476164664249</v>
      </c>
      <c r="X49" s="7">
        <f>W49 - D49 - E49 - LN(1+EXP(Parameters!$B$21*C49))/Parameters!$B$21 - IF(C49&gt;0, 0,Parameters!$B$6*C49^2/F49)</f>
        <v>1.005321084833585</v>
      </c>
      <c r="Y49" s="7">
        <f>EXP(-Parameters!$B$55*A49)</f>
        <v>0.50687036419945219</v>
      </c>
      <c r="Z49" s="7">
        <f>IF(X49&gt;0,X49^(1-Parameters!$B$52)/(1-Parameters!$B$52)*Y49*Parameters!$B$65,-10+X49*1000)</f>
        <v>-1.4455135874249903</v>
      </c>
      <c r="AB49" s="9"/>
      <c r="AC49" s="23">
        <f t="shared" si="6"/>
        <v>12.166936698436885</v>
      </c>
      <c r="AD49" s="23">
        <f t="shared" si="6"/>
        <v>0.74819251817107224</v>
      </c>
      <c r="AE49" s="23">
        <f t="shared" si="7"/>
        <v>0</v>
      </c>
      <c r="AF49" s="23">
        <f t="shared" si="8"/>
        <v>177.64798035427719</v>
      </c>
      <c r="AG49" s="23">
        <f t="shared" si="9"/>
        <v>14.756207724544478</v>
      </c>
      <c r="AH49" s="23">
        <f t="shared" si="10"/>
        <v>117.92868467601538</v>
      </c>
      <c r="AI49" s="23">
        <f t="shared" si="11"/>
        <v>290.23147130663432</v>
      </c>
      <c r="AJ49" s="23">
        <f t="shared" si="12"/>
        <v>281.7168989097903</v>
      </c>
      <c r="AK49" s="23">
        <f t="shared" si="13"/>
        <v>206.23807027366374</v>
      </c>
      <c r="AL49" s="9">
        <f t="shared" si="22"/>
        <v>1.8533116340185174E-2</v>
      </c>
      <c r="AM49" s="9">
        <f t="shared" si="22"/>
        <v>1.6990129095504791E-2</v>
      </c>
      <c r="AN49" s="9">
        <f t="shared" si="30"/>
        <v>1.8529421040624071E-2</v>
      </c>
      <c r="AO49" s="9">
        <f t="shared" si="30"/>
        <v>1.6984651607103808E-2</v>
      </c>
      <c r="AP49" s="23"/>
      <c r="AQ49" s="8">
        <f t="shared" si="1"/>
        <v>281.7168989097903</v>
      </c>
      <c r="AR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-1.4263528055434688E-3</v>
      </c>
      <c r="AS49" s="32">
        <f>((C50-C48)/2-(F50-F48)/F49/2*C49)/(F49/2/Parameters!$B$5-C49)-((D50-D48)/D49-(G50-G48)/G49)/(G49/2/Parameters!$B$5/D49-1)</f>
        <v>-9.2185146648830741E-4</v>
      </c>
      <c r="AT49" s="32">
        <f>+Parameters!$B$5*C49^2/F49^2-Parameters!$B$5*D49^2/G49^2</f>
        <v>2.1198935926355039E-3</v>
      </c>
      <c r="AU49" s="30">
        <f>EXP(-Parameters!$B$42*'6states,BAU'!A49)*(Parameters!$B$37*EXP(-Parameters!$B$38*Parameters!$E$25*'6states,BAU'!I49/('6states,BAU'!F49+'6states,BAU'!I49))*(1/Parameters!$B$38/Parameters!$E$25+'6states,BAU'!I49/('6states,BAU'!F49+'6states,BAU'!I49))-Parameters!$B$37/Parameters!$B$38/Parameters!$E$25*EXP(-Parameters!$B$38*Parameters!$E$25)+Parameters!$B$39)</f>
        <v>0.58067125399751462</v>
      </c>
      <c r="AV49" s="30">
        <f>J49*K49*EXP(-Parameters!$B$42*'6states,BAU'!A49)*(Parameters!$B$37*EXP(-Parameters!$B$38*Parameters!$E$25*'6states,BAU'!I49/('6states,BAU'!F49+'6states,BAU'!I49))*(1/Parameters!$B$38/Parameters!$E$25+'6states,BAU'!I49/('6states,BAU'!F49+'6states,BAU'!I49))-Parameters!$B$37/Parameters!$B$38/Parameters!$E$25*EXP(-Parameters!$B$38*Parameters!$E$25)+Parameters!$B$39)</f>
        <v>119.12265712367871</v>
      </c>
      <c r="AW49" s="8">
        <f>1000*(AR49+AS49+AT49)/(EXP(-Parameters!$B$42*A49)*((C49&lt;0)*Parameters!$B$37*EXP(-Parameters!$B$38*AF49)+(C49&gt;=0)*Parameters!$B$41))</f>
        <v>-0.39318405694188074</v>
      </c>
      <c r="AX49" s="13">
        <f>1-W49/'6states,ExoDamages'!T49</f>
        <v>6.727550052927822E-2</v>
      </c>
      <c r="AY49" s="21">
        <f>-Y49*W49*X49^(-Parameters!B$52)*Parameters!B$46*Parameters!B$45*N49</f>
        <v>-2.877164450745622E-5</v>
      </c>
      <c r="AZ49" s="7">
        <f>1000*EXP(-(Parameters!$B$54)*'6states,BAU'!A49)*AQ49*Parameters!B$46*Parameters!B$45*N49</f>
        <v>2.4169917349020427</v>
      </c>
      <c r="BA49" s="7">
        <f>SUM(AZ49:AZ$204)*EXP(Parameters!$B$54*A49)</f>
        <v>802.29708715892423</v>
      </c>
      <c r="BB49" s="13">
        <f t="shared" si="26"/>
        <v>0.26792439117214828</v>
      </c>
      <c r="BC49" s="30">
        <f>IF(C49&lt;0,Parameters!$B$6*AC49^2/AF49,0)</f>
        <v>0</v>
      </c>
      <c r="BD49" s="30">
        <f>Parameters!$B$5*AD49^2/AG49</f>
        <v>3.7936037137512639E-2</v>
      </c>
      <c r="BE49" s="30">
        <f t="shared" si="14"/>
        <v>0</v>
      </c>
      <c r="BF49" s="30">
        <f t="shared" si="15"/>
        <v>5.0703577242720656E-2</v>
      </c>
      <c r="BH49" s="5" t="e">
        <f t="shared" si="28"/>
        <v>#NUM!</v>
      </c>
      <c r="BI49" s="2" t="e">
        <f>BH49/Parameters!$B$45</f>
        <v>#NUM!</v>
      </c>
      <c r="BJ49" s="2" t="e">
        <f t="shared" si="24"/>
        <v>#NUM!</v>
      </c>
      <c r="BM49">
        <f>-EXP(-Parameters!B$42*'6states,BAU'!A49)*(-Parameters!B$37/Parameters!B$38/Parameters!E$25*(EXP(-Parameters!B$38*Parameters!E$25*'6states,BAU'!I49/('6states,BAU'!F49+'6states,BAU'!I49))-EXP(-Parameters!B$38*Parameters!E$25))+Parameters!B$37*'6states,BAU'!F49/('6states,BAU'!F49+'6states,BAU'!I49)*EXP(-Parameters!B$38*Parameters!E$25*'6states,BAU'!I49/('6states,BAU'!F49+'6states,BAU'!I49)))</f>
        <v>-3.8102912493306649</v>
      </c>
      <c r="BN49">
        <f>-J49*K49*EXP(-Parameters!B$42*'6states,BAU'!A49)*(-Parameters!B$37/Parameters!B$38/Parameters!E$25*(EXP(-Parameters!B$38*Parameters!E$25*'6states,BAU'!I49/('6states,BAU'!F49+'6states,BAU'!I49))-EXP(-Parameters!B$38*Parameters!E$25)) + Parameters!B$37*'6states,BAU'!F49/('6states,BAU'!F49+'6states,BAU'!I49)*EXP(-Parameters!B$38*Parameters!E$25*'6states,BAU'!I49/('6states,BAU'!F49+'6states,BAU'!I49)))</f>
        <v>-781.66779380009211</v>
      </c>
      <c r="BO49" s="7">
        <f t="shared" si="4"/>
        <v>0</v>
      </c>
      <c r="BU49" t="e">
        <f>EXP(-Parameters!$B$56*A49)*BH49*BN49</f>
        <v>#NUM!</v>
      </c>
      <c r="BV49" t="e">
        <f>-EXP((Parameters!$B$56)*F49)*SUM(BU49:BU57)</f>
        <v>#NUM!</v>
      </c>
      <c r="BW49">
        <f>X49^-Parameters!B$52/(1-2*Parameters!B$5*'6states,BAU'!D49/'6states,BAU'!G49)</f>
        <v>1.1049066193794224</v>
      </c>
      <c r="BX49">
        <f t="shared" si="16"/>
        <v>1.008160364191143</v>
      </c>
      <c r="BY49">
        <f>$X49^-Parameters!$B$52/(1-2*Parameters!$B$5*'6states,BAU'!$E49/'6states,BAU'!$H49)</f>
        <v>1.1485082140641825</v>
      </c>
      <c r="BZ49">
        <f t="shared" si="17"/>
        <v>1.0077126666918428</v>
      </c>
      <c r="CA49" s="7">
        <f>($X49^-Parameters!$B$52*(1/(1+EXP(-C49)) + IF(C49&lt;0,2*Parameters!$B$6*C49/F49,0)) + BS49*(1/(1+EXP((C49-Parameters!$B$22)*Parameters!$B$21))))/(1-IF(C49&gt;0,2*Parameters!$B$5*C49/F49,0))</f>
        <v>0.59227643271214958</v>
      </c>
      <c r="CB49">
        <f t="shared" si="18"/>
        <v>1.0076670927393649</v>
      </c>
      <c r="CC49" s="7">
        <f t="shared" si="19"/>
        <v>4.5064866855971664E-3</v>
      </c>
      <c r="CD49" t="e">
        <f>(1/$T49-1/Parameters!$B$13) * LN(Parameters!$B$18) / LN(P49)</f>
        <v>#DIV/0!</v>
      </c>
      <c r="CE49">
        <f>(Parameters!$B$18*'6states,BAU'!T49^+Parameters!$B$19*Parameters!$B$25^'6states,BAU'!T49)^((1-'6states,BAU'!T49)/'6states,BAU'!T49)*Parameters!$B$18*Parameters!$B$26^('6states,BAU'!T49-1)</f>
        <v>0.25664340744452963</v>
      </c>
      <c r="CF49" t="e">
        <f t="shared" si="20"/>
        <v>#DIV/0!</v>
      </c>
      <c r="CG49" t="e">
        <f t="shared" si="29"/>
        <v>#DIV/0!</v>
      </c>
      <c r="CH49">
        <f t="shared" si="29"/>
        <v>0.16296689246879414</v>
      </c>
    </row>
    <row r="50" spans="1:86" x14ac:dyDescent="0.3">
      <c r="A50">
        <f>A49+Parameters!$B$65</f>
        <v>46</v>
      </c>
      <c r="B50">
        <v>2071</v>
      </c>
      <c r="C50" s="74">
        <v>5.9334861511559901E-2</v>
      </c>
      <c r="D50" s="69">
        <v>3.6067673261119199E-3</v>
      </c>
      <c r="E50" s="75">
        <v>0.30500397277514502</v>
      </c>
      <c r="F50" s="7">
        <f>MAX((1-Parameters!$B$4)^Parameters!B$65*F49 + C49*Parameters!B$65 - IF(C49&gt;0,Parameters!$B$5,0)*C49^2/F49*Parameters!B$65, 0.0001)</f>
        <v>0.86673467384242808</v>
      </c>
      <c r="G50" s="7">
        <f>(1-Parameters!$B$4)^Parameters!B$65*G49+D49*Parameters!B$65-Parameters!$B$5*D49^2/G49*Parameters!B$65</f>
        <v>7.0867896704232075E-2</v>
      </c>
      <c r="H50" s="7">
        <f>(1-Parameters!$B$4)^Parameters!B$65*H49+E49*Parameters!B$65-Parameters!$B$5*E49^2/H49*Parameters!B$65</f>
        <v>4.5019271196608788</v>
      </c>
      <c r="I50" s="7">
        <f>I49 *(1-Parameters!$B$4)-C49*(C49&lt;0)*Parameters!B$65</f>
        <v>0</v>
      </c>
      <c r="J50" s="23">
        <f>J49*(1+Parameters!$B$51)^Parameters!B$65</f>
        <v>9.3226890534383546</v>
      </c>
      <c r="K50" s="23">
        <f>K49*(1+Parameters!$B$53)^Parameters!B$65</f>
        <v>22.510267148520917</v>
      </c>
      <c r="L50" s="23">
        <f>J50*K50*EXP(-Parameters!$B$42*'6states,BAU'!A50)*(Parameters!$B$37/Parameters!$B$38*('6states,BAU'!F50+'6states,BAU'!I50)/Parameters!$E$25*(EXP(-Parameters!$B$38*Parameters!$E$25*'6states,BAU'!I50/('6states,BAU'!F50+'6states,BAU'!I50))-EXP(-Parameters!$B$38*Parameters!$E$25))  +  Parameters!$B$39*'6states,BAU'!F50)</f>
        <v>104.567181280471</v>
      </c>
      <c r="M50" s="8">
        <f>M49+L50*Parameters!B$65</f>
        <v>5858.0635347199195</v>
      </c>
      <c r="N50" s="7">
        <f>M50*Parameters!$B$45</f>
        <v>3.5148381208319512</v>
      </c>
      <c r="O50" s="9">
        <f>EXP(-Parameters!$B$46/2*N50^2)</f>
        <v>0.88323977046580093</v>
      </c>
      <c r="P50" s="7">
        <f>MAX((Parameters!$B$62 + Parameters!$B$31*'6states,BAU'!A50 - '6states,BAU'!M50 + Parameters!$B$47/Parameters!$B$45)/Parameters!B$62,1)</f>
        <v>1</v>
      </c>
      <c r="Q50" s="7">
        <f>Parameters!B$61*EXP(-Parameters!B$60*A50)</f>
        <v>0.14440301394297783</v>
      </c>
      <c r="R50" s="7">
        <f>(1-Parameters!B$61)*P50^-Parameters!B$63</f>
        <v>0.5</v>
      </c>
      <c r="S50" s="7">
        <f>Parameters!B$61*EXP(-Parameters!B$60*A50)+(1-Parameters!B$61)*P50^-Parameters!B$63</f>
        <v>0.64440301394297783</v>
      </c>
      <c r="T50" s="7">
        <f>1-S50/Parameters!$B$12</f>
        <v>0.67779849302851103</v>
      </c>
      <c r="U50" s="7">
        <f t="shared" si="0"/>
        <v>3.1036478053732015</v>
      </c>
      <c r="V50" s="7">
        <f>(Parameters!$B$19*(F50+Parameters!$B$20)^T50+Parameters!$B$18*G50^T50)^(1/T50)</f>
        <v>0.57508619139792616</v>
      </c>
      <c r="W50" s="7">
        <f>(Parameters!$B$10*H50^Parameters!$B$9+Parameters!$B$11*V50^Parameters!$B$9)^(Parameters!$B$7/Parameters!$B$9)*O50</f>
        <v>1.367348572793126</v>
      </c>
      <c r="X50" s="7">
        <f>W50 - D50 - E50 - LN(1+EXP(Parameters!$B$21*C50))/Parameters!$B$21 - IF(C50&gt;0, 0,Parameters!$B$6*C50^2/F50)</f>
        <v>0.9994029711183311</v>
      </c>
      <c r="Y50" s="7">
        <f>EXP(-Parameters!$B$55*A50)</f>
        <v>0.49927411769560981</v>
      </c>
      <c r="Z50" s="7">
        <f>IF(X50&gt;0,X50^(1-Parameters!$B$52)/(1-Parameters!$B$52)*Y50*Parameters!$B$65,-10+X50*1000)</f>
        <v>-1.4267956803796842</v>
      </c>
      <c r="AB50" s="9"/>
      <c r="AC50" s="23">
        <f t="shared" si="6"/>
        <v>12.451789818413527</v>
      </c>
      <c r="AD50" s="23">
        <f t="shared" si="6"/>
        <v>0.75690256157279923</v>
      </c>
      <c r="AE50" s="23">
        <f t="shared" si="7"/>
        <v>0</v>
      </c>
      <c r="AF50" s="23">
        <f t="shared" si="8"/>
        <v>181.88966337967247</v>
      </c>
      <c r="AG50" s="23">
        <f t="shared" si="9"/>
        <v>14.872069002170315</v>
      </c>
      <c r="AH50" s="23">
        <f t="shared" si="10"/>
        <v>120.68541495396931</v>
      </c>
      <c r="AI50" s="23">
        <f t="shared" si="11"/>
        <v>297.0159944000971</v>
      </c>
      <c r="AJ50" s="23">
        <f t="shared" si="12"/>
        <v>286.94660446136947</v>
      </c>
      <c r="AK50" s="23">
        <f t="shared" si="13"/>
        <v>209.73093091047318</v>
      </c>
      <c r="AL50" s="9">
        <f t="shared" si="22"/>
        <v>1.8393489164573396E-2</v>
      </c>
      <c r="AM50" s="9">
        <f t="shared" si="22"/>
        <v>1.6794245351415604E-2</v>
      </c>
      <c r="AN50" s="9">
        <f t="shared" si="30"/>
        <v>1.8389661066684937E-2</v>
      </c>
      <c r="AO50" s="9">
        <f t="shared" si="30"/>
        <v>1.6786078134932582E-2</v>
      </c>
      <c r="AP50" s="23"/>
      <c r="AQ50" s="8">
        <f t="shared" si="1"/>
        <v>286.94660446136947</v>
      </c>
      <c r="AR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-1.3963824839184895E-3</v>
      </c>
      <c r="AS50" s="32">
        <f>((C51-C49)/2-(F51-F49)/F50/2*C50)/(F50/2/Parameters!$B$5-C50)-((D51-D49)/D50-(G51-G49)/G50)/(G50/2/Parameters!$B$5/D50-1)</f>
        <v>-9.3674489453013572E-4</v>
      </c>
      <c r="AT50" s="32">
        <f>+Parameters!$B$5*C50^2/F50^2-Parameters!$B$5*D50^2/G50^2</f>
        <v>2.096265094934254E-3</v>
      </c>
      <c r="AU50" s="30">
        <f>EXP(-Parameters!$B$42*'6states,BAU'!A50)*(Parameters!$B$37*EXP(-Parameters!$B$38*Parameters!$E$25*'6states,BAU'!I50/('6states,BAU'!F50+'6states,BAU'!I50))*(1/Parameters!$B$38/Parameters!$E$25+'6states,BAU'!I50/('6states,BAU'!F50+'6states,BAU'!I50))-Parameters!$B$37/Parameters!$B$38/Parameters!$E$25*EXP(-Parameters!$B$38*Parameters!$E$25)+Parameters!$B$39)</f>
        <v>0.5748934784831603</v>
      </c>
      <c r="AV50" s="30">
        <f>J50*K50*EXP(-Parameters!$B$42*'6states,BAU'!A50)*(Parameters!$B$37*EXP(-Parameters!$B$38*Parameters!$E$25*'6states,BAU'!I50/('6states,BAU'!F50+'6states,BAU'!I50))*(1/Parameters!$B$38/Parameters!$E$25+'6states,BAU'!I50/('6states,BAU'!F50+'6states,BAU'!I50))-Parameters!$B$37/Parameters!$B$38/Parameters!$E$25*EXP(-Parameters!$B$38*Parameters!$E$25)+Parameters!$B$39)</f>
        <v>120.64497294991254</v>
      </c>
      <c r="AW50" s="8">
        <f>1000*(AR50+AS50+AT50)/(EXP(-Parameters!$B$42*A50)*((C50&lt;0)*Parameters!$B$37*EXP(-Parameters!$B$38*AF50)+(C50&gt;=0)*Parameters!$B$41))</f>
        <v>-0.41201073308280606</v>
      </c>
      <c r="AX50" s="13">
        <f>1-W50/'6states,ExoDamages'!T50</f>
        <v>7.0980748992716003E-2</v>
      </c>
      <c r="AY50" s="21">
        <f>-Y50*W50*X50^(-Parameters!B$52)*Parameters!B$46*Parameters!B$45*N50</f>
        <v>-2.8961501329922369E-5</v>
      </c>
      <c r="AZ50" s="7">
        <f>1000*EXP(-(Parameters!$B$54)*'6states,BAU'!A50)*AQ50*Parameters!B$46*Parameters!B$45*N50</f>
        <v>2.4201476095237906</v>
      </c>
      <c r="BA50" s="7">
        <f>SUM(AZ50:AZ$204)*EXP(Parameters!$B$54*A50)</f>
        <v>818.81026381472498</v>
      </c>
      <c r="BB50" s="13">
        <f t="shared" si="26"/>
        <v>0.26909422288802537</v>
      </c>
      <c r="BC50" s="30">
        <f>IF(C50&lt;0,Parameters!$B$6*AC50^2/AF50,0)</f>
        <v>0</v>
      </c>
      <c r="BD50" s="30">
        <f>Parameters!$B$5*AD50^2/AG50</f>
        <v>3.8521976171026394E-2</v>
      </c>
      <c r="BE50" s="30">
        <f t="shared" si="14"/>
        <v>0</v>
      </c>
      <c r="BF50" s="30">
        <f t="shared" si="15"/>
        <v>5.0894234115128348E-2</v>
      </c>
      <c r="BH50" s="5" t="e">
        <f t="shared" si="28"/>
        <v>#NUM!</v>
      </c>
      <c r="BI50" s="2" t="e">
        <f>BH50/Parameters!$B$45</f>
        <v>#NUM!</v>
      </c>
      <c r="BJ50" s="2" t="e">
        <f t="shared" si="24"/>
        <v>#NUM!</v>
      </c>
      <c r="BM50">
        <f>-EXP(-Parameters!B$42*'6states,BAU'!A50)*(-Parameters!B$37/Parameters!B$38/Parameters!E$25*(EXP(-Parameters!B$38*Parameters!E$25*'6states,BAU'!I50/('6states,BAU'!F50+'6states,BAU'!I50))-EXP(-Parameters!B$38*Parameters!E$25))+Parameters!B$37*'6states,BAU'!F50/('6states,BAU'!F50+'6states,BAU'!I50)*EXP(-Parameters!B$38*Parameters!E$25*'6states,BAU'!I50/('6states,BAU'!F50+'6states,BAU'!I50)))</f>
        <v>-3.7723782179357341</v>
      </c>
      <c r="BN50">
        <f>-J50*K50*EXP(-Parameters!B$42*'6states,BAU'!A50)*(-Parameters!B$37/Parameters!B$38/Parameters!E$25*(EXP(-Parameters!B$38*Parameters!E$25*'6states,BAU'!I50/('6states,BAU'!F50+'6states,BAU'!I50))-EXP(-Parameters!B$38*Parameters!E$25)) + Parameters!B$37*'6states,BAU'!F50/('6states,BAU'!F50+'6states,BAU'!I50)*EXP(-Parameters!B$38*Parameters!E$25*'6states,BAU'!I50/('6states,BAU'!F50+'6states,BAU'!I50)))</f>
        <v>-791.65703750982323</v>
      </c>
      <c r="BO50" s="7">
        <f t="shared" si="4"/>
        <v>0</v>
      </c>
      <c r="BU50" t="e">
        <f>EXP(-Parameters!$B$56*A50)*BH50*BN50</f>
        <v>#NUM!</v>
      </c>
      <c r="BV50" t="e">
        <f>-EXP((Parameters!$B$56)*F50)*SUM(BU50:BU58)</f>
        <v>#NUM!</v>
      </c>
      <c r="BW50">
        <f>X50^-Parameters!B$52/(1-2*Parameters!B$5*'6states,BAU'!D50/'6states,BAU'!G50)</f>
        <v>1.1142214493773406</v>
      </c>
      <c r="BX50">
        <f t="shared" si="16"/>
        <v>1.0084304228380403</v>
      </c>
      <c r="BY50">
        <f>$X50^-Parameters!$B$52/(1-2*Parameters!$B$5*'6states,BAU'!$E50/'6states,BAU'!$H50)</f>
        <v>1.1576700257424413</v>
      </c>
      <c r="BZ50">
        <f t="shared" si="17"/>
        <v>1.0079771407518612</v>
      </c>
      <c r="CA50" s="7">
        <f>($X50^-Parameters!$B$52*(1/(1+EXP(-C50)) + IF(C50&lt;0,2*Parameters!$B$6*C50/F50,0)) + BS50*(1/(1+EXP((C50-Parameters!$B$22)*Parameters!$B$21))))/(1-IF(C50&gt;0,2*Parameters!$B$5*C50/F50,0))</f>
        <v>0.59698073334080504</v>
      </c>
      <c r="CB50">
        <f t="shared" si="18"/>
        <v>1.0079427449225247</v>
      </c>
      <c r="CC50" s="7">
        <f t="shared" si="19"/>
        <v>4.7043006286554556E-3</v>
      </c>
      <c r="CD50" t="e">
        <f>(1/$T50-1/Parameters!$B$13) * LN(Parameters!$B$18) / LN(P50)</f>
        <v>#DIV/0!</v>
      </c>
      <c r="CE50">
        <f>(Parameters!$B$18*'6states,BAU'!T50^+Parameters!$B$19*Parameters!$B$25^'6states,BAU'!T50)^((1-'6states,BAU'!T50)/'6states,BAU'!T50)*Parameters!$B$18*Parameters!$B$26^('6states,BAU'!T50-1)</f>
        <v>0.25767974085902462</v>
      </c>
      <c r="CF50" t="e">
        <f t="shared" si="20"/>
        <v>#DIV/0!</v>
      </c>
      <c r="CG50" t="e">
        <f t="shared" si="29"/>
        <v>#DIV/0!</v>
      </c>
      <c r="CH50">
        <f t="shared" si="29"/>
        <v>0.16356794388415041</v>
      </c>
    </row>
    <row r="51" spans="1:86" x14ac:dyDescent="0.3">
      <c r="A51">
        <f>A50+Parameters!$B$65</f>
        <v>47</v>
      </c>
      <c r="B51">
        <v>2072</v>
      </c>
      <c r="C51" s="74">
        <v>5.93581442102269E-2</v>
      </c>
      <c r="D51" s="69">
        <v>3.5678680520342299E-3</v>
      </c>
      <c r="E51" s="75">
        <v>0.30504250650909698</v>
      </c>
      <c r="F51" s="7">
        <f>MAX((1-Parameters!$B$4)^Parameters!B$65*F50 + C50*Parameters!B$65 - IF(C50&gt;0,Parameters!$B$5,0)*C50^2/F50*Parameters!B$65, 0.0001)</f>
        <v>0.8674899825815221</v>
      </c>
      <c r="G51" s="7">
        <f>(1-Parameters!$B$4)^Parameters!B$65*G50+D50*Parameters!B$65-Parameters!$B$5*D50^2/G50*Parameters!B$65</f>
        <v>6.9833509666953869E-2</v>
      </c>
      <c r="H51" s="7">
        <f>(1-Parameters!$B$4)^Parameters!B$65*H50+E50*Parameters!B$65-Parameters!$B$5*E50^2/H50*Parameters!B$65</f>
        <v>4.50309596514745</v>
      </c>
      <c r="I51" s="7">
        <f>I50 *(1-Parameters!$B$4)-C50*(C50&lt;0)*Parameters!B$65</f>
        <v>0</v>
      </c>
      <c r="J51" s="23">
        <f>J50*(1+Parameters!$B$51)^Parameters!B$65</f>
        <v>9.3497248516933258</v>
      </c>
      <c r="K51" s="23">
        <f>K50*(1+Parameters!$B$53)^Parameters!B$65</f>
        <v>22.960472491491338</v>
      </c>
      <c r="L51" s="23">
        <f>J51*K51*EXP(-Parameters!$B$42*'6states,BAU'!A51)*(Parameters!$B$37/Parameters!$B$38*('6states,BAU'!F51+'6states,BAU'!I51)/Parameters!$E$25*(EXP(-Parameters!$B$38*Parameters!$E$25*'6states,BAU'!I51/('6states,BAU'!F51+'6states,BAU'!I51))-EXP(-Parameters!$B$38*Parameters!$E$25))  +  Parameters!$B$39*'6states,BAU'!F51)</f>
        <v>105.99577560509633</v>
      </c>
      <c r="M51" s="8">
        <f>M50+L51*Parameters!B$65</f>
        <v>5964.0593103250158</v>
      </c>
      <c r="N51" s="7">
        <f>M51*Parameters!$B$45</f>
        <v>3.5784355861950092</v>
      </c>
      <c r="O51" s="9">
        <f>EXP(-Parameters!$B$46/2*N51^2)</f>
        <v>0.87924449162182217</v>
      </c>
      <c r="P51" s="7">
        <f>MAX((Parameters!$B$62 + Parameters!$B$31*'6states,BAU'!A51 - '6states,BAU'!M51 + Parameters!$B$47/Parameters!$B$45)/Parameters!B$62,1)</f>
        <v>1</v>
      </c>
      <c r="Q51" s="7">
        <f>Parameters!B$61*EXP(-Parameters!B$60*A51)</f>
        <v>0.14055629693139302</v>
      </c>
      <c r="R51" s="7">
        <f>(1-Parameters!B$61)*P51^-Parameters!B$63</f>
        <v>0.5</v>
      </c>
      <c r="S51" s="7">
        <f>Parameters!B$61*EXP(-Parameters!B$60*A51)+(1-Parameters!B$61)*P51^-Parameters!B$63</f>
        <v>0.64055629693139304</v>
      </c>
      <c r="T51" s="7">
        <f>1-S51/Parameters!$B$12</f>
        <v>0.67972185153430353</v>
      </c>
      <c r="U51" s="7">
        <f t="shared" si="0"/>
        <v>3.1222860653795288</v>
      </c>
      <c r="V51" s="7">
        <f>(Parameters!$B$19*(F51+Parameters!$B$20)^T51+Parameters!$B$18*G51^T51)^(1/T51)</f>
        <v>0.57531564490578058</v>
      </c>
      <c r="W51" s="7">
        <f>(Parameters!$B$10*H51^Parameters!$B$9+Parameters!$B$11*V51^Parameters!$B$9)^(Parameters!$B$7/Parameters!$B$9)*O51</f>
        <v>1.3612793582593563</v>
      </c>
      <c r="X51" s="7">
        <f>W51 - D51 - E51 - LN(1+EXP(Parameters!$B$21*C51))/Parameters!$B$21 - IF(C51&gt;0, 0,Parameters!$B$6*C51^2/F51)</f>
        <v>0.99331083942645171</v>
      </c>
      <c r="Y51" s="7">
        <f>EXP(-Parameters!$B$55*A51)</f>
        <v>0.49179171284640477</v>
      </c>
      <c r="Z51" s="7">
        <f>IF(X51&gt;0,X51^(1-Parameters!$B$52)/(1-Parameters!$B$52)*Y51*Parameters!$B$65,-10+X51*1000)</f>
        <v>-1.408423785045793</v>
      </c>
      <c r="AB51" s="9"/>
      <c r="AC51" s="23">
        <f t="shared" si="6"/>
        <v>12.742656201452636</v>
      </c>
      <c r="AD51" s="23">
        <f t="shared" si="6"/>
        <v>0.7659288639179801</v>
      </c>
      <c r="AE51" s="23">
        <f t="shared" si="7"/>
        <v>0</v>
      </c>
      <c r="AF51" s="23">
        <f t="shared" si="8"/>
        <v>186.22763149552679</v>
      </c>
      <c r="AG51" s="23">
        <f t="shared" si="9"/>
        <v>14.991445855773508</v>
      </c>
      <c r="AH51" s="23">
        <f t="shared" si="10"/>
        <v>123.50536843583279</v>
      </c>
      <c r="AI51" s="23">
        <f t="shared" si="11"/>
        <v>303.9561146117826</v>
      </c>
      <c r="AJ51" s="23">
        <f t="shared" si="12"/>
        <v>292.23142143726977</v>
      </c>
      <c r="AK51" s="23">
        <f t="shared" si="13"/>
        <v>213.23811073269428</v>
      </c>
      <c r="AL51" s="9">
        <f t="shared" si="22"/>
        <v>1.8249876265914011E-2</v>
      </c>
      <c r="AM51" s="9">
        <f t="shared" si="22"/>
        <v>1.6584004302688804E-2</v>
      </c>
      <c r="AN51" s="9">
        <f t="shared" si="30"/>
        <v>1.8246034478497108E-2</v>
      </c>
      <c r="AO51" s="9">
        <f t="shared" si="30"/>
        <v>1.6578997843295439E-2</v>
      </c>
      <c r="AP51" s="23"/>
      <c r="AQ51" s="8">
        <f t="shared" si="1"/>
        <v>292.23142143726977</v>
      </c>
      <c r="AR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-1.365732638014411E-3</v>
      </c>
      <c r="AS51" s="32">
        <f>((C52-C50)/2-(F52-F50)/F51/2*C51)/(F51/2/Parameters!$B$5-C51)-((D52-D50)/D51-(G52-G50)/G51)/(G51/2/Parameters!$B$5/D51-1)</f>
        <v>-9.5162546852880071E-4</v>
      </c>
      <c r="AT51" s="32">
        <f>+Parameters!$B$5*C51^2/F51^2-Parameters!$B$5*D51^2/G51^2</f>
        <v>2.0717066094389637E-3</v>
      </c>
      <c r="AU51" s="30">
        <f>EXP(-Parameters!$B$42*'6states,BAU'!A51)*(Parameters!$B$37*EXP(-Parameters!$B$38*Parameters!$E$25*'6states,BAU'!I51/('6states,BAU'!F51+'6states,BAU'!I51))*(1/Parameters!$B$38/Parameters!$E$25+'6states,BAU'!I51/('6states,BAU'!F51+'6states,BAU'!I51))-Parameters!$B$37/Parameters!$B$38/Parameters!$E$25*EXP(-Parameters!$B$38*Parameters!$E$25)+Parameters!$B$39)</f>
        <v>0.56917319279573375</v>
      </c>
      <c r="AV51" s="30">
        <f>J51*K51*EXP(-Parameters!$B$42*'6states,BAU'!A51)*(Parameters!$B$37*EXP(-Parameters!$B$38*Parameters!$E$25*'6states,BAU'!I51/('6states,BAU'!F51+'6states,BAU'!I51))*(1/Parameters!$B$38/Parameters!$E$25+'6states,BAU'!I51/('6states,BAU'!F51+'6states,BAU'!I51))-Parameters!$B$37/Parameters!$B$38/Parameters!$E$25*EXP(-Parameters!$B$38*Parameters!$E$25)+Parameters!$B$39)</f>
        <v>122.18674305571639</v>
      </c>
      <c r="AW51" s="8">
        <f>1000*(AR51+AS51+AT51)/(EXP(-Parameters!$B$42*A51)*((C51&lt;0)*Parameters!$B$37*EXP(-Parameters!$B$38*AF51)+(C51&gt;=0)*Parameters!$B$41))</f>
        <v>-0.43159358208285792</v>
      </c>
      <c r="AX51" s="13">
        <f>1-W51/'6states,ExoDamages'!T51</f>
        <v>7.4810786387954797E-2</v>
      </c>
      <c r="AY51" s="21">
        <f>-Y51*W51*X51^(-Parameters!B$52)*Parameters!B$46*Parameters!B$45*N51</f>
        <v>-2.9154392169119823E-5</v>
      </c>
      <c r="AZ51" s="7">
        <f>1000*EXP(-(Parameters!$B$54)*'6states,BAU'!A51)*AQ51*Parameters!B$46*Parameters!B$45*N51</f>
        <v>2.4227679260847141</v>
      </c>
      <c r="BA51" s="7">
        <f>SUM(AZ51:AZ$204)*EXP(Parameters!$B$54*A51)</f>
        <v>835.46296896799595</v>
      </c>
      <c r="BB51" s="13">
        <f t="shared" si="26"/>
        <v>0.27031080471378993</v>
      </c>
      <c r="BC51" s="30">
        <f>IF(C51&lt;0,Parameters!$B$6*AC51^2/AF51,0)</f>
        <v>0</v>
      </c>
      <c r="BD51" s="30">
        <f>Parameters!$B$5*AD51^2/AG51</f>
        <v>3.9132117757458201E-2</v>
      </c>
      <c r="BE51" s="30">
        <f t="shared" si="14"/>
        <v>0</v>
      </c>
      <c r="BF51" s="30">
        <f t="shared" si="15"/>
        <v>5.1091060281087258E-2</v>
      </c>
      <c r="BH51" s="5" t="e">
        <f t="shared" si="28"/>
        <v>#NUM!</v>
      </c>
      <c r="BI51" s="2" t="e">
        <f>BH51/Parameters!$B$45</f>
        <v>#NUM!</v>
      </c>
      <c r="BJ51" s="2" t="e">
        <f t="shared" si="24"/>
        <v>#NUM!</v>
      </c>
      <c r="BM51">
        <f>-EXP(-Parameters!B$42*'6states,BAU'!A51)*(-Parameters!B$37/Parameters!B$38/Parameters!E$25*(EXP(-Parameters!B$38*Parameters!E$25*'6states,BAU'!I51/('6states,BAU'!F51+'6states,BAU'!I51))-EXP(-Parameters!B$38*Parameters!E$25))+Parameters!B$37*'6states,BAU'!F51/('6states,BAU'!F51+'6states,BAU'!I51)*EXP(-Parameters!B$38*Parameters!E$25*'6states,BAU'!I51/('6states,BAU'!F51+'6states,BAU'!I51)))</f>
        <v>-3.7348424275062566</v>
      </c>
      <c r="BN51">
        <f>-J51*K51*EXP(-Parameters!B$42*'6states,BAU'!A51)*(-Parameters!B$37/Parameters!B$38/Parameters!E$25*(EXP(-Parameters!B$38*Parameters!E$25*'6states,BAU'!I51/('6states,BAU'!F51+'6states,BAU'!I51))-EXP(-Parameters!B$38*Parameters!E$25)) + Parameters!B$37*'6states,BAU'!F51/('6states,BAU'!F51+'6states,BAU'!I51)*EXP(-Parameters!B$38*Parameters!E$25*'6states,BAU'!I51/('6states,BAU'!F51+'6states,BAU'!I51)))</f>
        <v>-801.77393773896586</v>
      </c>
      <c r="BO51" s="7">
        <f t="shared" si="4"/>
        <v>0</v>
      </c>
      <c r="BU51" t="e">
        <f>EXP(-Parameters!$B$56*A51)*BH51*BN51</f>
        <v>#NUM!</v>
      </c>
      <c r="BV51" t="e">
        <f>-EXP((Parameters!$B$56)*F51)*SUM(BU51:BU59)</f>
        <v>#NUM!</v>
      </c>
      <c r="BW51">
        <f>X51^-Parameters!B$52/(1-2*Parameters!B$5*'6states,BAU'!D51/'6states,BAU'!G51)</f>
        <v>1.1239494116592041</v>
      </c>
      <c r="BX51">
        <f t="shared" si="16"/>
        <v>1.0087307260933631</v>
      </c>
      <c r="BY51">
        <f>$X51^-Parameters!$B$52/(1-2*Parameters!$B$5*'6states,BAU'!$E51/'6states,BAU'!$H51)</f>
        <v>1.1672411530021189</v>
      </c>
      <c r="BZ51">
        <f t="shared" si="17"/>
        <v>1.0082675780203771</v>
      </c>
      <c r="CA51" s="7">
        <f>($X51^-Parameters!$B$52*(1/(1+EXP(-C51)) + IF(C51&lt;0,2*Parameters!$B$6*C51/F51,0)) + BS51*(1/(1+EXP((C51-Parameters!$B$22)*Parameters!$B$21))))/(1-IF(C51&gt;0,2*Parameters!$B$5*C51/F51,0))</f>
        <v>0.60188998946059391</v>
      </c>
      <c r="CB51">
        <f t="shared" si="18"/>
        <v>1.0082234749726608</v>
      </c>
      <c r="CC51" s="7">
        <f t="shared" si="19"/>
        <v>4.909256119788874E-3</v>
      </c>
      <c r="CD51" t="e">
        <f>(1/$T51-1/Parameters!$B$13) * LN(Parameters!$B$18) / LN(P51)</f>
        <v>#DIV/0!</v>
      </c>
      <c r="CE51">
        <f>(Parameters!$B$18*'6states,BAU'!T51^+Parameters!$B$19*Parameters!$B$25^'6states,BAU'!T51)^((1-'6states,BAU'!T51)/'6states,BAU'!T51)*Parameters!$B$18*Parameters!$B$26^('6states,BAU'!T51-1)</f>
        <v>0.25867833973526705</v>
      </c>
      <c r="CF51" t="e">
        <f t="shared" si="20"/>
        <v>#DIV/0!</v>
      </c>
      <c r="CG51" t="e">
        <f t="shared" si="29"/>
        <v>#DIV/0!</v>
      </c>
      <c r="CH51">
        <f t="shared" si="29"/>
        <v>0.16414670175106683</v>
      </c>
    </row>
    <row r="52" spans="1:86" x14ac:dyDescent="0.3">
      <c r="A52">
        <f>A51+Parameters!$B$65</f>
        <v>48</v>
      </c>
      <c r="B52">
        <v>2073</v>
      </c>
      <c r="C52" s="74">
        <v>5.9382059387395401E-2</v>
      </c>
      <c r="D52" s="69">
        <v>3.5300227432856299E-3</v>
      </c>
      <c r="E52" s="75">
        <v>0.30507686089046898</v>
      </c>
      <c r="F52" s="7">
        <f>MAX((1-Parameters!$B$4)^Parameters!B$65*F51 + C51*Parameters!B$65 - IF(C51&gt;0,Parameters!$B$5,0)*C51^2/F51*Parameters!B$65, 0.0001)</f>
        <v>0.86822141614300674</v>
      </c>
      <c r="G52" s="7">
        <f>(1-Parameters!$B$4)^Parameters!B$65*G51+D51*Parameters!B$65-Parameters!$B$5*D51^2/G51*Parameters!B$65</f>
        <v>6.8826563799215257E-2</v>
      </c>
      <c r="H52" s="7">
        <f>(1-Parameters!$B$4)^Parameters!B$65*H51+E51*Parameters!B$65-Parameters!$B$5*E51^2/H51*Parameters!B$65</f>
        <v>4.5042299673439983</v>
      </c>
      <c r="I52" s="7">
        <f>I51 *(1-Parameters!$B$4)-C51*(C51&lt;0)*Parameters!B$65</f>
        <v>0</v>
      </c>
      <c r="J52" s="23">
        <f>J51*(1+Parameters!$B$51)^Parameters!B$65</f>
        <v>9.376839053763236</v>
      </c>
      <c r="K52" s="23">
        <f>K51*(1+Parameters!$B$53)^Parameters!B$65</f>
        <v>23.419681941321166</v>
      </c>
      <c r="L52" s="23">
        <f>J52*K52*EXP(-Parameters!$B$42*'6states,BAU'!A52)*(Parameters!$B$37/Parameters!$B$38*('6states,BAU'!F52+'6states,BAU'!I52)/Parameters!$E$25*(EXP(-Parameters!$B$38*Parameters!$E$25*'6states,BAU'!I52/('6states,BAU'!F52+'6states,BAU'!I52))-EXP(-Parameters!$B$38*Parameters!$E$25))  +  Parameters!$B$39*'6states,BAU'!F52)</f>
        <v>107.44085138850222</v>
      </c>
      <c r="M52" s="8">
        <f>M51+L52*Parameters!B$65</f>
        <v>6071.5001617135176</v>
      </c>
      <c r="N52" s="7">
        <f>M52*Parameters!$B$45</f>
        <v>3.6429000970281105</v>
      </c>
      <c r="O52" s="9">
        <f>EXP(-Parameters!$B$46/2*N52^2)</f>
        <v>0.87514057601561956</v>
      </c>
      <c r="P52" s="7">
        <f>MAX((Parameters!$B$62 + Parameters!$B$31*'6states,BAU'!A52 - '6states,BAU'!M52 + Parameters!$B$47/Parameters!$B$45)/Parameters!B$62,1)</f>
        <v>1</v>
      </c>
      <c r="Q52" s="7">
        <f>Parameters!B$61*EXP(-Parameters!B$60*A52)</f>
        <v>0.13681205168520402</v>
      </c>
      <c r="R52" s="7">
        <f>(1-Parameters!B$61)*P52^-Parameters!B$63</f>
        <v>0.5</v>
      </c>
      <c r="S52" s="7">
        <f>Parameters!B$61*EXP(-Parameters!B$60*A52)+(1-Parameters!B$61)*P52^-Parameters!B$63</f>
        <v>0.63681205168520405</v>
      </c>
      <c r="T52" s="7">
        <f>1-S52/Parameters!$B$12</f>
        <v>0.68159397415739797</v>
      </c>
      <c r="U52" s="7">
        <f t="shared" si="0"/>
        <v>3.1406440796894057</v>
      </c>
      <c r="V52" s="7">
        <f>(Parameters!$B$19*(F52+Parameters!$B$20)^T52+Parameters!$B$18*G52^T52)^(1/T52)</f>
        <v>0.57553860744375618</v>
      </c>
      <c r="W52" s="7">
        <f>(Parameters!$B$10*H52^Parameters!$B$9+Parameters!$B$11*V52^Parameters!$B$9)^(Parameters!$B$7/Parameters!$B$9)*O52</f>
        <v>1.3550374572670449</v>
      </c>
      <c r="X52" s="7">
        <f>W52 - D52 - E52 - LN(1+EXP(Parameters!$B$21*C52))/Parameters!$B$21 - IF(C52&gt;0, 0,Parameters!$B$6*C52^2/F52)</f>
        <v>0.98704851418478812</v>
      </c>
      <c r="Y52" s="7">
        <f>EXP(-Parameters!$B$55*A52)</f>
        <v>0.48442144355629069</v>
      </c>
      <c r="Z52" s="7">
        <f>IF(X52&gt;0,X52^(1-Parameters!$B$52)/(1-Parameters!$B$52)*Y52*Parameters!$B$65,-10+X52*1000)</f>
        <v>-1.390390656019052</v>
      </c>
      <c r="AB52" s="9"/>
      <c r="AC52" s="23">
        <f t="shared" si="6"/>
        <v>13.040453937330344</v>
      </c>
      <c r="AD52" s="23">
        <f t="shared" si="6"/>
        <v>0.77520213102134128</v>
      </c>
      <c r="AE52" s="23">
        <f t="shared" si="7"/>
        <v>0</v>
      </c>
      <c r="AF52" s="23">
        <f t="shared" si="8"/>
        <v>190.66367016263902</v>
      </c>
      <c r="AG52" s="23">
        <f t="shared" si="9"/>
        <v>15.114491550943194</v>
      </c>
      <c r="AH52" s="23">
        <f t="shared" si="10"/>
        <v>126.38976783480578</v>
      </c>
      <c r="AI52" s="23">
        <f t="shared" si="11"/>
        <v>311.05484113196542</v>
      </c>
      <c r="AJ52" s="23">
        <f t="shared" si="12"/>
        <v>297.56973279708922</v>
      </c>
      <c r="AK52" s="23">
        <f t="shared" si="13"/>
        <v>216.75840844733719</v>
      </c>
      <c r="AL52" s="9">
        <f t="shared" si="22"/>
        <v>1.8102565932162307E-2</v>
      </c>
      <c r="AM52" s="9">
        <f t="shared" si="22"/>
        <v>1.6373976107544763E-2</v>
      </c>
      <c r="AN52" s="9">
        <f t="shared" si="30"/>
        <v>1.8098543549676372E-2</v>
      </c>
      <c r="AO52" s="9">
        <f t="shared" si="30"/>
        <v>1.6366665659430523E-2</v>
      </c>
      <c r="AP52" s="23"/>
      <c r="AQ52" s="8">
        <f t="shared" si="1"/>
        <v>297.56973279708922</v>
      </c>
      <c r="AR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-1.3357310578762554E-3</v>
      </c>
      <c r="AS52" s="32">
        <f>((C53-C51)/2-(F53-F51)/F52/2*C52)/(F52/2/Parameters!$B$5-C52)-((D53-D51)/D52-(G53-G51)/G52)/(G52/2/Parameters!$B$5/D52-1)</f>
        <v>-9.6007291406998785E-4</v>
      </c>
      <c r="AT52" s="32">
        <f>+Parameters!$B$5*C52^2/F52^2-Parameters!$B$5*D52^2/G52^2</f>
        <v>2.0473573795863386E-3</v>
      </c>
      <c r="AU52" s="30">
        <f>EXP(-Parameters!$B$42*'6states,BAU'!A52)*(Parameters!$B$37*EXP(-Parameters!$B$38*Parameters!$E$25*'6states,BAU'!I52/('6states,BAU'!F52+'6states,BAU'!I52))*(1/Parameters!$B$38/Parameters!$E$25+'6states,BAU'!I52/('6states,BAU'!F52+'6states,BAU'!I52))-Parameters!$B$37/Parameters!$B$38/Parameters!$E$25*EXP(-Parameters!$B$38*Parameters!$E$25)+Parameters!$B$39)</f>
        <v>0.56350982490189938</v>
      </c>
      <c r="AV52" s="30">
        <f>J52*K52*EXP(-Parameters!$B$42*'6states,BAU'!A52)*(Parameters!$B$37*EXP(-Parameters!$B$38*Parameters!$E$25*'6states,BAU'!I52/('6states,BAU'!F52+'6states,BAU'!I52))*(1/Parameters!$B$38/Parameters!$E$25+'6states,BAU'!I52/('6states,BAU'!F52+'6states,BAU'!I52))-Parameters!$B$37/Parameters!$B$38/Parameters!$E$25*EXP(-Parameters!$B$38*Parameters!$E$25)+Parameters!$B$39)</f>
        <v>123.74821605506835</v>
      </c>
      <c r="AW52" s="8">
        <f>1000*(AR52+AS52+AT52)/(EXP(-Parameters!$B$42*A52)*((C52&lt;0)*Parameters!$B$37*EXP(-Parameters!$B$38*AF52)+(C52&gt;=0)*Parameters!$B$41))</f>
        <v>-0.44089132324029334</v>
      </c>
      <c r="AX52" s="13">
        <f>1-W52/'6states,ExoDamages'!T52</f>
        <v>7.8767286260840952E-2</v>
      </c>
      <c r="AY52" s="21">
        <f>-Y52*W52*X52^(-Parameters!B$52)*Parameters!B$46*Parameters!B$45*N52</f>
        <v>-2.9350280450227957E-5</v>
      </c>
      <c r="AZ52" s="7">
        <f>1000*EXP(-(Parameters!$B$54)*'6states,BAU'!A52)*AQ52*Parameters!B$46*Parameters!B$45*N52</f>
        <v>2.4248449887305012</v>
      </c>
      <c r="BA52" s="7">
        <f>SUM(AZ52:AZ$204)*EXP(Parameters!$B$54*A52)</f>
        <v>852.24639866169662</v>
      </c>
      <c r="BB52" s="13">
        <f t="shared" si="26"/>
        <v>0.27157104849584124</v>
      </c>
      <c r="BC52" s="30">
        <f>IF(C52&lt;0,Parameters!$B$6*AC52^2/AF52,0)</f>
        <v>0</v>
      </c>
      <c r="BD52" s="30">
        <f>Parameters!$B$5*AD52^2/AG52</f>
        <v>3.9759084314187745E-2</v>
      </c>
      <c r="BE52" s="30">
        <f t="shared" si="14"/>
        <v>0</v>
      </c>
      <c r="BF52" s="30">
        <f t="shared" si="15"/>
        <v>5.1288667462516535E-2</v>
      </c>
      <c r="BH52" s="5" t="e">
        <f t="shared" si="28"/>
        <v>#NUM!</v>
      </c>
      <c r="BI52" s="2" t="e">
        <f>BH52/Parameters!$B$45</f>
        <v>#NUM!</v>
      </c>
      <c r="BJ52" s="2" t="e">
        <f t="shared" si="24"/>
        <v>#NUM!</v>
      </c>
      <c r="BM52">
        <f>-EXP(-Parameters!B$42*'6states,BAU'!A52)*(-Parameters!B$37/Parameters!B$38/Parameters!E$25*(EXP(-Parameters!B$38*Parameters!E$25*'6states,BAU'!I52/('6states,BAU'!F52+'6states,BAU'!I52))-EXP(-Parameters!B$38*Parameters!E$25))+Parameters!B$37*'6states,BAU'!F52/('6states,BAU'!F52+'6states,BAU'!I52)*EXP(-Parameters!B$38*Parameters!E$25*'6states,BAU'!I52/('6states,BAU'!F52+'6states,BAU'!I52)))</f>
        <v>-3.6976801244319084</v>
      </c>
      <c r="BN52">
        <f>-J52*K52*EXP(-Parameters!B$42*'6states,BAU'!A52)*(-Parameters!B$37/Parameters!B$38/Parameters!E$25*(EXP(-Parameters!B$38*Parameters!E$25*'6states,BAU'!I52/('6states,BAU'!F52+'6states,BAU'!I52))-EXP(-Parameters!B$38*Parameters!E$25)) + Parameters!B$37*'6states,BAU'!F52/('6states,BAU'!F52+'6states,BAU'!I52)*EXP(-Parameters!B$38*Parameters!E$25*'6states,BAU'!I52/('6states,BAU'!F52+'6states,BAU'!I52)))</f>
        <v>-812.02012586096714</v>
      </c>
      <c r="BO52" s="7">
        <f t="shared" si="4"/>
        <v>0</v>
      </c>
      <c r="BU52" t="e">
        <f>EXP(-Parameters!$B$56*A52)*BH52*BN52</f>
        <v>#NUM!</v>
      </c>
      <c r="BV52" t="e">
        <f>-EXP((Parameters!$B$56)*F52)*SUM(BU52:BU60)</f>
        <v>#NUM!</v>
      </c>
      <c r="BW52">
        <f>X52^-Parameters!B$52/(1-2*Parameters!B$5*'6states,BAU'!D52/'6states,BAU'!G52)</f>
        <v>1.1340860084386308</v>
      </c>
      <c r="BX52">
        <f t="shared" si="16"/>
        <v>1.0090187304466514</v>
      </c>
      <c r="BY52">
        <f>$X52^-Parameters!$B$52/(1-2*Parameters!$B$5*'6states,BAU'!$E52/'6states,BAU'!$H52)</f>
        <v>1.1772240643720677</v>
      </c>
      <c r="BZ52">
        <f t="shared" si="17"/>
        <v>1.0085525697447122</v>
      </c>
      <c r="CA52" s="7">
        <f>($X52^-Parameters!$B$52*(1/(1+EXP(-C52)) + IF(C52&lt;0,2*Parameters!$B$6*C52/F52,0)) + BS52*(1/(1+EXP((C52-Parameters!$B$22)*Parameters!$B$21))))/(1-IF(C52&gt;0,2*Parameters!$B$5*C52/F52,0))</f>
        <v>0.60701564269726815</v>
      </c>
      <c r="CB52">
        <f t="shared" si="18"/>
        <v>1.0085159303634004</v>
      </c>
      <c r="CC52" s="7">
        <f t="shared" si="19"/>
        <v>5.1256532366742436E-3</v>
      </c>
      <c r="CD52" t="e">
        <f>(1/$T52-1/Parameters!$B$13) * LN(Parameters!$B$18) / LN(P52)</f>
        <v>#DIV/0!</v>
      </c>
      <c r="CE52">
        <f>(Parameters!$B$18*'6states,BAU'!T52^+Parameters!$B$19*Parameters!$B$25^'6states,BAU'!T52)^((1-'6states,BAU'!T52)/'6states,BAU'!T52)*Parameters!$B$18*Parameters!$B$26^('6states,BAU'!T52-1)</f>
        <v>0.25964073020092437</v>
      </c>
      <c r="CF52" t="e">
        <f t="shared" si="20"/>
        <v>#DIV/0!</v>
      </c>
      <c r="CG52" t="e">
        <f t="shared" si="29"/>
        <v>#DIV/0!</v>
      </c>
      <c r="CH52">
        <f t="shared" si="29"/>
        <v>0.16470409536313502</v>
      </c>
    </row>
    <row r="53" spans="1:86" x14ac:dyDescent="0.3">
      <c r="A53">
        <f>A52+Parameters!$B$65</f>
        <v>49</v>
      </c>
      <c r="B53">
        <v>2074</v>
      </c>
      <c r="C53" s="74">
        <v>5.9404042907259001E-2</v>
      </c>
      <c r="D53" s="69">
        <v>3.49342951090579E-3</v>
      </c>
      <c r="E53" s="75">
        <v>0.30511385665406798</v>
      </c>
      <c r="F53" s="7">
        <f>MAX((1-Parameters!$B$4)^Parameters!B$65*F52 + C52*Parameters!B$65 - IF(C52&gt;0,Parameters!$B$5,0)*C52^2/F52*Parameters!B$65, 0.0001)</f>
        <v>0.86893090869836864</v>
      </c>
      <c r="G53" s="7">
        <f>(1-Parameters!$B$4)^Parameters!B$65*G52+D52*Parameters!B$65-Parameters!$B$5*D52^2/G52*Parameters!B$65</f>
        <v>6.7846345516914763E-2</v>
      </c>
      <c r="H53" s="7">
        <f>(1-Parameters!$B$4)^Parameters!B$65*H52+E52*Parameters!B$65-Parameters!$B$5*E52^2/H52*Parameters!B$65</f>
        <v>4.5053275441088783</v>
      </c>
      <c r="I53" s="7">
        <f>I52 *(1-Parameters!$B$4)-C52*(C52&lt;0)*Parameters!B$65</f>
        <v>0</v>
      </c>
      <c r="J53" s="23">
        <f>J52*(1+Parameters!$B$51)^Parameters!B$65</f>
        <v>9.4040318870191477</v>
      </c>
      <c r="K53" s="23">
        <f>K52*(1+Parameters!$B$53)^Parameters!B$65</f>
        <v>23.888075580147589</v>
      </c>
      <c r="L53" s="23">
        <f>J53*K53*EXP(-Parameters!$B$42*'6states,BAU'!A53)*(Parameters!$B$37/Parameters!$B$38*('6states,BAU'!F53+'6states,BAU'!I53)/Parameters!$E$25*(EXP(-Parameters!$B$38*Parameters!$E$25*'6states,BAU'!I53/('6states,BAU'!F53+'6states,BAU'!I53))-EXP(-Parameters!$B$38*Parameters!$E$25))  +  Parameters!$B$39*'6states,BAU'!F53)</f>
        <v>108.9028012210447</v>
      </c>
      <c r="M53" s="8">
        <f>M52+L53*Parameters!B$65</f>
        <v>6180.4029629345623</v>
      </c>
      <c r="N53" s="7">
        <f>M53*Parameters!$B$45</f>
        <v>3.7082417777607373</v>
      </c>
      <c r="O53" s="9">
        <f>EXP(-Parameters!$B$46/2*N53^2)</f>
        <v>0.8709261235650817</v>
      </c>
      <c r="P53" s="7">
        <f>MAX((Parameters!$B$62 + Parameters!$B$31*'6states,BAU'!A53 - '6states,BAU'!M53 + Parameters!$B$47/Parameters!$B$45)/Parameters!B$62,1)</f>
        <v>1</v>
      </c>
      <c r="Q53" s="7">
        <f>Parameters!B$61*EXP(-Parameters!B$60*A53)</f>
        <v>0.13316754848380194</v>
      </c>
      <c r="R53" s="7">
        <f>(1-Parameters!B$61)*P53^-Parameters!B$63</f>
        <v>0.5</v>
      </c>
      <c r="S53" s="7">
        <f>Parameters!B$61*EXP(-Parameters!B$60*A53)+(1-Parameters!B$61)*P53^-Parameters!B$63</f>
        <v>0.63316754848380197</v>
      </c>
      <c r="T53" s="7">
        <f>1-S53/Parameters!$B$12</f>
        <v>0.68341622575809902</v>
      </c>
      <c r="U53" s="7">
        <f t="shared" si="0"/>
        <v>3.1587215813401168</v>
      </c>
      <c r="V53" s="7">
        <f>(Parameters!$B$19*(F53+Parameters!$B$20)^T53+Parameters!$B$18*G53^T53)^(1/T53)</f>
        <v>0.57575594970585831</v>
      </c>
      <c r="W53" s="7">
        <f>(Parameters!$B$10*H53^Parameters!$B$9+Parameters!$B$11*V53^Parameters!$B$9)^(Parameters!$B$7/Parameters!$B$9)*O53</f>
        <v>1.3486199252431514</v>
      </c>
      <c r="X53" s="7">
        <f>W53 - D53 - E53 - LN(1+EXP(Parameters!$B$21*C53))/Parameters!$B$21 - IF(C53&gt;0, 0,Parameters!$B$6*C53^2/F53)</f>
        <v>0.98060859611021389</v>
      </c>
      <c r="Y53" s="7">
        <f>EXP(-Parameters!$B$55*A53)</f>
        <v>0.47716162929823552</v>
      </c>
      <c r="Z53" s="7">
        <f>IF(X53&gt;0,X53^(1-Parameters!$B$52)/(1-Parameters!$B$52)*Y53*Parameters!$B$65,-10+X53*1000)</f>
        <v>-1.3726947569734451</v>
      </c>
      <c r="AB53" s="9"/>
      <c r="AC53" s="23">
        <f t="shared" si="6"/>
        <v>13.344775149594566</v>
      </c>
      <c r="AD53" s="23">
        <f t="shared" si="6"/>
        <v>0.78477876323631801</v>
      </c>
      <c r="AE53" s="23">
        <f t="shared" si="7"/>
        <v>0</v>
      </c>
      <c r="AF53" s="23">
        <f t="shared" si="8"/>
        <v>195.20031010710309</v>
      </c>
      <c r="AG53" s="23">
        <f t="shared" si="9"/>
        <v>15.241289672125905</v>
      </c>
      <c r="AH53" s="23">
        <f t="shared" si="10"/>
        <v>129.34024880867284</v>
      </c>
      <c r="AI53" s="23">
        <f t="shared" si="11"/>
        <v>318.31619943898153</v>
      </c>
      <c r="AJ53" s="23">
        <f t="shared" si="12"/>
        <v>302.95967721809222</v>
      </c>
      <c r="AK53" s="23">
        <f t="shared" si="13"/>
        <v>220.2880575869244</v>
      </c>
      <c r="AL53" s="9">
        <f t="shared" si="22"/>
        <v>1.7951124689650655E-2</v>
      </c>
      <c r="AM53" s="9">
        <f t="shared" si="22"/>
        <v>1.6152634359323237E-2</v>
      </c>
      <c r="AN53" s="9">
        <f t="shared" si="30"/>
        <v>1.7947018171082085E-2</v>
      </c>
      <c r="AO53" s="9">
        <f t="shared" si="30"/>
        <v>1.6146216467307718E-2</v>
      </c>
      <c r="AP53" s="23"/>
      <c r="AQ53" s="8">
        <f t="shared" si="1"/>
        <v>302.95967721809228</v>
      </c>
      <c r="AR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-1.305463501228525E-3</v>
      </c>
      <c r="AS53" s="32">
        <f>((C54-C52)/2-(F54-F52)/F53/2*C53)/(F53/2/Parameters!$B$5-C53)-((D54-D52)/D53-(G54-G52)/G53)/(G53/2/Parameters!$B$5/D53-1)</f>
        <v>-9.6343949161452629E-4</v>
      </c>
      <c r="AT53" s="32">
        <f>+Parameters!$B$5*C53^2/F53^2-Parameters!$B$5*D53^2/G53^2</f>
        <v>2.0224550980140724E-3</v>
      </c>
      <c r="AU53" s="30">
        <f>EXP(-Parameters!$B$42*'6states,BAU'!A53)*(Parameters!$B$37*EXP(-Parameters!$B$38*Parameters!$E$25*'6states,BAU'!I53/('6states,BAU'!F53+'6states,BAU'!I53))*(1/Parameters!$B$38/Parameters!$E$25+'6states,BAU'!I53/('6states,BAU'!F53+'6states,BAU'!I53))-Parameters!$B$37/Parameters!$B$38/Parameters!$E$25*EXP(-Parameters!$B$38*Parameters!$E$25)+Parameters!$B$39)</f>
        <v>0.55790280846014828</v>
      </c>
      <c r="AV53" s="30">
        <f>J53*K53*EXP(-Parameters!$B$42*'6states,BAU'!A53)*(Parameters!$B$37*EXP(-Parameters!$B$38*Parameters!$E$25*'6states,BAU'!I53/('6states,BAU'!F53+'6states,BAU'!I53))*(1/Parameters!$B$38/Parameters!$E$25+'6states,BAU'!I53/('6states,BAU'!F53+'6states,BAU'!I53))-Parameters!$B$37/Parameters!$B$38/Parameters!$E$25*EXP(-Parameters!$B$38*Parameters!$E$25)+Parameters!$B$39)</f>
        <v>125.32964373908356</v>
      </c>
      <c r="AW53" s="8">
        <f>1000*(AR53+AS53+AT53)/(EXP(-Parameters!$B$42*A53)*((C53&lt;0)*Parameters!$B$37*EXP(-Parameters!$B$38*AF53)+(C53&gt;=0)*Parameters!$B$41))</f>
        <v>-0.44173983549068851</v>
      </c>
      <c r="AX53" s="13">
        <f>1-W53/'6states,ExoDamages'!T53</f>
        <v>8.2852072598703308E-2</v>
      </c>
      <c r="AY53" s="21">
        <f>-Y53*W53*X53^(-Parameters!B$52)*Parameters!B$46*Parameters!B$45*N53</f>
        <v>-2.9549575436139701E-5</v>
      </c>
      <c r="AZ53" s="7">
        <f>1000*EXP(-(Parameters!$B$54)*'6states,BAU'!A53)*AQ53*Parameters!B$46*Parameters!B$45*N53</f>
        <v>2.4263704054437523</v>
      </c>
      <c r="BA53" s="7">
        <f>SUM(AZ53:AZ$204)*EXP(Parameters!$B$54*A53)</f>
        <v>869.15117017029502</v>
      </c>
      <c r="BB53" s="13">
        <f t="shared" si="26"/>
        <v>0.27287994355109474</v>
      </c>
      <c r="BC53" s="30">
        <f>IF(C53&lt;0,Parameters!$B$6*AC53^2/AF53,0)</f>
        <v>0</v>
      </c>
      <c r="BD53" s="30">
        <f>Parameters!$B$5*AD53^2/AG53</f>
        <v>4.0408503510898773E-2</v>
      </c>
      <c r="BE53" s="30">
        <f t="shared" si="14"/>
        <v>0</v>
      </c>
      <c r="BF53" s="30">
        <f t="shared" si="15"/>
        <v>5.149031217952401E-2</v>
      </c>
      <c r="BH53" s="5" t="e">
        <f t="shared" si="28"/>
        <v>#NUM!</v>
      </c>
      <c r="BI53" s="2" t="e">
        <f>BH53/Parameters!$B$45</f>
        <v>#NUM!</v>
      </c>
      <c r="BJ53" s="2" t="e">
        <f t="shared" si="24"/>
        <v>#NUM!</v>
      </c>
      <c r="BM53">
        <f>-EXP(-Parameters!B$42*'6states,BAU'!A53)*(-Parameters!B$37/Parameters!B$38/Parameters!E$25*(EXP(-Parameters!B$38*Parameters!E$25*'6states,BAU'!I53/('6states,BAU'!F53+'6states,BAU'!I53))-EXP(-Parameters!B$38*Parameters!E$25))+Parameters!B$37*'6states,BAU'!F53/('6states,BAU'!F53+'6states,BAU'!I53)*EXP(-Parameters!B$38*Parameters!E$25*'6states,BAU'!I53/('6states,BAU'!F53+'6states,BAU'!I53)))</f>
        <v>-3.6608875924514144</v>
      </c>
      <c r="BN53">
        <f>-J53*K53*EXP(-Parameters!B$42*'6states,BAU'!A53)*(-Parameters!B$37/Parameters!B$38/Parameters!E$25*(EXP(-Parameters!B$38*Parameters!E$25*'6states,BAU'!I53/('6states,BAU'!F53+'6states,BAU'!I53))-EXP(-Parameters!B$38*Parameters!E$25)) + Parameters!B$37*'6states,BAU'!F53/('6states,BAU'!F53+'6states,BAU'!I53)*EXP(-Parameters!B$38*Parameters!E$25*'6states,BAU'!I53/('6states,BAU'!F53+'6states,BAU'!I53)))</f>
        <v>-822.39725409724485</v>
      </c>
      <c r="BO53" s="7">
        <f t="shared" si="4"/>
        <v>0</v>
      </c>
      <c r="BU53" t="e">
        <f>EXP(-Parameters!$B$56*A53)*BH53*BN53</f>
        <v>#NUM!</v>
      </c>
      <c r="BV53" t="e">
        <f>-EXP((Parameters!$B$56)*F53)*SUM(BU53:BU61)</f>
        <v>#NUM!</v>
      </c>
      <c r="BW53">
        <f>X53^-Parameters!B$52/(1-2*Parameters!B$5*'6states,BAU'!D53/'6states,BAU'!G53)</f>
        <v>1.1446665358972177</v>
      </c>
      <c r="BX53">
        <f t="shared" si="16"/>
        <v>1.0093295635250397</v>
      </c>
      <c r="BY53">
        <f>$X53^-Parameters!$B$52/(1-2*Parameters!$B$5*'6states,BAU'!$E53/'6states,BAU'!$H53)</f>
        <v>1.1876503133940366</v>
      </c>
      <c r="BZ53">
        <f t="shared" si="17"/>
        <v>1.0088566393922047</v>
      </c>
      <c r="CA53" s="7">
        <f>($X53^-Parameters!$B$52*(1/(1+EXP(-C53)) + IF(C53&lt;0,2*Parameters!$B$6*C53/F53,0)) + BS53*(1/(1+EXP((C53-Parameters!$B$22)*Parameters!$B$21))))/(1-IF(C53&gt;0,2*Parameters!$B$5*C53/F53,0))</f>
        <v>0.61236669691322854</v>
      </c>
      <c r="CB53">
        <f t="shared" si="18"/>
        <v>1.0088153481386131</v>
      </c>
      <c r="CC53" s="7">
        <f t="shared" si="19"/>
        <v>5.3510542159603824E-3</v>
      </c>
      <c r="CD53" t="e">
        <f>(1/$T53-1/Parameters!$B$13) * LN(Parameters!$B$18) / LN(P53)</f>
        <v>#DIV/0!</v>
      </c>
      <c r="CE53">
        <f>(Parameters!$B$18*'6states,BAU'!T53^+Parameters!$B$19*Parameters!$B$25^'6states,BAU'!T53)^((1-'6states,BAU'!T53)/'6states,BAU'!T53)*Parameters!$B$18*Parameters!$B$26^('6states,BAU'!T53-1)</f>
        <v>0.26056837251790632</v>
      </c>
      <c r="CF53" t="e">
        <f t="shared" si="20"/>
        <v>#DIV/0!</v>
      </c>
      <c r="CG53" t="e">
        <f t="shared" si="29"/>
        <v>#DIV/0!</v>
      </c>
      <c r="CH53">
        <f t="shared" si="29"/>
        <v>0.16524101186071016</v>
      </c>
    </row>
    <row r="54" spans="1:86" s="4" customFormat="1" x14ac:dyDescent="0.3">
      <c r="A54">
        <f>A53+Parameters!$B$65</f>
        <v>50</v>
      </c>
      <c r="B54">
        <v>2075</v>
      </c>
      <c r="C54" s="74">
        <v>5.9426432712086898E-2</v>
      </c>
      <c r="D54" s="69">
        <v>3.4576740402035302E-3</v>
      </c>
      <c r="E54" s="75">
        <v>0.30514769474195902</v>
      </c>
      <c r="F54" s="7">
        <f>MAX((1-Parameters!$B$4)^Parameters!B$65*F53 + C53*Parameters!B$65 - IF(C53&gt;0,Parameters!$B$5,0)*C53^2/F53*Parameters!B$65, 0.0001)</f>
        <v>0.86961806867703839</v>
      </c>
      <c r="G54" s="7">
        <f>(1-Parameters!$B$4)^Parameters!B$65*G53+D53*Parameters!B$65-Parameters!$B$5*D53^2/G53*Parameters!B$65</f>
        <v>6.6892362118712925E-2</v>
      </c>
      <c r="H54" s="7">
        <f>(1-Parameters!$B$4)^Parameters!B$65*H53+E53*Parameters!B$65-Parameters!$B$5*E53^2/H53*Parameters!B$65</f>
        <v>4.5063931023640826</v>
      </c>
      <c r="I54" s="7">
        <f>I53 *(1-Parameters!$B$4)-C53*(C53&lt;0)*Parameters!B$65</f>
        <v>0</v>
      </c>
      <c r="J54" s="23">
        <f>J53*(1+Parameters!$B$51)^Parameters!B$65</f>
        <v>9.4313035794915017</v>
      </c>
      <c r="K54" s="23">
        <f>K53*(1+Parameters!$B$53)^Parameters!B$65</f>
        <v>24.365837091750542</v>
      </c>
      <c r="L54" s="23">
        <f>J54*K54*EXP(-Parameters!$B$42*'6states,BAU'!A54)*(Parameters!$B$37/Parameters!$B$38*('6states,BAU'!F54+'6states,BAU'!I54)/Parameters!$E$25*(EXP(-Parameters!$B$38*Parameters!$E$25*'6states,BAU'!I54/('6states,BAU'!F54+'6states,BAU'!I54))-EXP(-Parameters!$B$38*Parameters!$E$25))  +  Parameters!$B$39*'6states,BAU'!F54)</f>
        <v>110.38173553933376</v>
      </c>
      <c r="M54" s="8">
        <f>M53+L54*Parameters!B$65</f>
        <v>6290.7846984738962</v>
      </c>
      <c r="N54" s="7">
        <f>M54*Parameters!$B$45</f>
        <v>3.7744708190843372</v>
      </c>
      <c r="O54" s="9">
        <f>EXP(-Parameters!$B$46/2*N54^2)</f>
        <v>0.86659925345642519</v>
      </c>
      <c r="P54" s="7">
        <f>MAX((Parameters!$B$62 + Parameters!$B$31*'6states,BAU'!A54 - '6states,BAU'!M54 + Parameters!$B$47/Parameters!$B$45)/Parameters!B$62,1)</f>
        <v>1</v>
      </c>
      <c r="Q54" s="7">
        <f>Parameters!B$61*EXP(-Parameters!B$60*A54)</f>
        <v>0.12962013032294575</v>
      </c>
      <c r="R54" s="7">
        <f>(1-Parameters!B$61)*P54^-Parameters!B$63</f>
        <v>0.5</v>
      </c>
      <c r="S54" s="7">
        <f>Parameters!B$61*EXP(-Parameters!B$60*A54)+(1-Parameters!B$61)*P54^-Parameters!B$63</f>
        <v>0.62962013032294573</v>
      </c>
      <c r="T54" s="7">
        <f>1-S54/Parameters!$B$12</f>
        <v>0.68518993483852708</v>
      </c>
      <c r="U54" s="7">
        <f t="shared" si="0"/>
        <v>3.1765185127962101</v>
      </c>
      <c r="V54" s="7">
        <f>(Parameters!$B$19*(F54+Parameters!$B$20)^T54+Parameters!$B$18*G54^T54)^(1/T54)</f>
        <v>0.57596726106688312</v>
      </c>
      <c r="W54" s="7">
        <f>(Parameters!$B$10*H54^Parameters!$B$9+Parameters!$B$11*V54^Parameters!$B$9)^(Parameters!$B$7/Parameters!$B$9)*O54</f>
        <v>1.3420241356964226</v>
      </c>
      <c r="X54" s="7">
        <f>W54 - D54 - E54 - LN(1+EXP(Parameters!$B$21*C54))/Parameters!$B$21 - IF(C54&gt;0, 0,Parameters!$B$6*C54^2/F54)</f>
        <v>0.9739923341418748</v>
      </c>
      <c r="Y54" s="16">
        <f>EXP(-Parameters!$B$55*A54)</f>
        <v>0.4700106147305379</v>
      </c>
      <c r="Z54" s="7">
        <f>IF(X54&gt;0,X54^(1-Parameters!$B$52)/(1-Parameters!$B$52)*Y54*Parameters!$B$65,-10+X54*1000)</f>
        <v>-1.3553304112542757</v>
      </c>
      <c r="AA54"/>
      <c r="AB54" s="9"/>
      <c r="AC54" s="23">
        <f t="shared" si="6"/>
        <v>13.656289710599438</v>
      </c>
      <c r="AD54" s="23">
        <f t="shared" si="6"/>
        <v>0.79457904947126756</v>
      </c>
      <c r="AE54" s="23">
        <f t="shared" si="7"/>
        <v>0</v>
      </c>
      <c r="AF54" s="23">
        <f t="shared" si="8"/>
        <v>199.83962929361823</v>
      </c>
      <c r="AG54" s="23">
        <f t="shared" si="9"/>
        <v>15.37197228286044</v>
      </c>
      <c r="AH54" s="23">
        <f t="shared" si="10"/>
        <v>132.3582019310746</v>
      </c>
      <c r="AI54" s="23">
        <f t="shared" si="11"/>
        <v>325.74361184042971</v>
      </c>
      <c r="AJ54" s="23">
        <f t="shared" si="12"/>
        <v>308.39930245315844</v>
      </c>
      <c r="AK54" s="23">
        <f t="shared" si="13"/>
        <v>223.82500318312159</v>
      </c>
      <c r="AL54" s="9">
        <f t="shared" si="22"/>
        <v>1.7795661696081488E-2</v>
      </c>
      <c r="AM54" s="9">
        <f t="shared" si="22"/>
        <v>1.592846817618021E-2</v>
      </c>
      <c r="AN54" s="9">
        <f t="shared" si="30"/>
        <v>1.7791413649802478E-2</v>
      </c>
      <c r="AO54" s="9">
        <f t="shared" si="30"/>
        <v>1.5920093724091266E-2</v>
      </c>
      <c r="AP54" s="23"/>
      <c r="AQ54" s="8">
        <f t="shared" si="1"/>
        <v>308.3993024531585</v>
      </c>
      <c r="AR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-1.2761213725235182E-3</v>
      </c>
      <c r="AS54" s="32">
        <f>((C55-C53)/2-(F55-F53)/F54/2*C54)/(F54/2/Parameters!$B$5-C54)-((D55-D53)/D54-(G55-G53)/G54)/(G54/2/Parameters!$B$5/D54-1)</f>
        <v>-9.7128638337220586E-4</v>
      </c>
      <c r="AT54" s="32">
        <f>+Parameters!$B$5*C54^2/F54^2-Parameters!$B$5*D54^2/G54^2</f>
        <v>1.9979740529543068E-3</v>
      </c>
      <c r="AU54" s="30">
        <f>EXP(-Parameters!$B$42*'6states,BAU'!A54)*(Parameters!$B$37*EXP(-Parameters!$B$38*Parameters!$E$25*'6states,BAU'!I54/('6states,BAU'!F54+'6states,BAU'!I54))*(1/Parameters!$B$38/Parameters!$E$25+'6states,BAU'!I54/('6states,BAU'!F54+'6states,BAU'!I54))-Parameters!$B$37/Parameters!$B$38/Parameters!$E$25*EXP(-Parameters!$B$38*Parameters!$E$25)+Parameters!$B$39)</f>
        <v>0.55235158276416374</v>
      </c>
      <c r="AV54" s="30">
        <f>J54*K54*EXP(-Parameters!$B$42*'6states,BAU'!A54)*(Parameters!$B$37*EXP(-Parameters!$B$38*Parameters!$E$25*'6states,BAU'!I54/('6states,BAU'!F54+'6states,BAU'!I54))*(1/Parameters!$B$38/Parameters!$E$25+'6states,BAU'!I54/('6states,BAU'!F54+'6states,BAU'!I54))-Parameters!$B$37/Parameters!$B$38/Parameters!$E$25*EXP(-Parameters!$B$38*Parameters!$E$25)+Parameters!$B$39)</f>
        <v>126.93128111661591</v>
      </c>
      <c r="AW54" s="8">
        <f>1000*(AR54+AS54+AT54)/(EXP(-Parameters!$B$42*A54)*((C54&lt;0)*Parameters!$B$37*EXP(-Parameters!$B$38*AF54)+(C54&gt;=0)*Parameters!$B$41))</f>
        <v>-0.45158502433026837</v>
      </c>
      <c r="AX54" s="13">
        <f>1-W54/'6states,ExoDamages'!T54</f>
        <v>8.7066718097150497E-2</v>
      </c>
      <c r="AY54" s="21">
        <f>-Y54*W54*X54^(-Parameters!B$52)*Parameters!B$46*Parameters!B$45*N54</f>
        <v>-2.9752358286078858E-5</v>
      </c>
      <c r="AZ54" s="7">
        <f>1000*EXP(-(Parameters!$B$54)*'6states,BAU'!A54)*AQ54*Parameters!B$46*Parameters!B$45*N54</f>
        <v>2.4273363034035658</v>
      </c>
      <c r="BA54" s="7">
        <f>SUM(AZ54:AZ$204)*EXP(Parameters!$B$54*A54)</f>
        <v>886.16731082097442</v>
      </c>
      <c r="BB54" s="13">
        <f t="shared" si="26"/>
        <v>0.27423635067730362</v>
      </c>
      <c r="BC54" s="30">
        <f>IF(C54&lt;0,Parameters!$B$6*AC54^2/AF54,0)</f>
        <v>0</v>
      </c>
      <c r="BD54" s="30">
        <f>Parameters!$B$5*AD54^2/AG54</f>
        <v>4.1071884221559329E-2</v>
      </c>
      <c r="BE54" s="30">
        <f t="shared" si="14"/>
        <v>0</v>
      </c>
      <c r="BF54" s="30">
        <f t="shared" si="15"/>
        <v>5.1690117237409634E-2</v>
      </c>
      <c r="BG54" s="16"/>
      <c r="BH54" s="5" t="e">
        <f t="shared" si="28"/>
        <v>#NUM!</v>
      </c>
      <c r="BI54" s="2" t="e">
        <f>BH54/Parameters!$B$45</f>
        <v>#NUM!</v>
      </c>
      <c r="BJ54" s="2" t="e">
        <f t="shared" si="24"/>
        <v>#NUM!</v>
      </c>
      <c r="BK54"/>
      <c r="BL54"/>
      <c r="BM54">
        <f>-EXP(-Parameters!B$42*'6states,BAU'!A54)*(-Parameters!B$37/Parameters!B$38/Parameters!E$25*(EXP(-Parameters!B$38*Parameters!E$25*'6states,BAU'!I54/('6states,BAU'!F54+'6states,BAU'!I54))-EXP(-Parameters!B$38*Parameters!E$25))+Parameters!B$37*'6states,BAU'!F54/('6states,BAU'!F54+'6states,BAU'!I54)*EXP(-Parameters!B$38*Parameters!E$25*'6states,BAU'!I54/('6states,BAU'!F54+'6states,BAU'!I54)))</f>
        <v>-3.6244611522809143</v>
      </c>
      <c r="BN54">
        <f>-J54*K54*EXP(-Parameters!B$42*'6states,BAU'!A54)*(-Parameters!B$37/Parameters!B$38/Parameters!E$25*(EXP(-Parameters!B$38*Parameters!E$25*'6states,BAU'!I54/('6states,BAU'!F54+'6states,BAU'!I54))-EXP(-Parameters!B$38*Parameters!E$25)) + Parameters!B$37*'6states,BAU'!F54/('6states,BAU'!F54+'6states,BAU'!I54)*EXP(-Parameters!B$38*Parameters!E$25*'6states,BAU'!I54/('6states,BAU'!F54+'6states,BAU'!I54)))</f>
        <v>-832.90699578361125</v>
      </c>
      <c r="BO54" s="7">
        <f t="shared" si="4"/>
        <v>0</v>
      </c>
      <c r="BP54"/>
      <c r="BQ54"/>
      <c r="BR54"/>
      <c r="BS54"/>
      <c r="BU54" t="e">
        <f>EXP(-Parameters!$B$56*A54)*BH54*BN54</f>
        <v>#NUM!</v>
      </c>
      <c r="BV54" t="e">
        <f>-EXP((Parameters!$B$56)*F54)*SUM(BU54:BU62)</f>
        <v>#NUM!</v>
      </c>
      <c r="BW54">
        <f>X54^-Parameters!B$52/(1-2*Parameters!B$5*'6states,BAU'!D54/'6states,BAU'!G54)</f>
        <v>1.1556909548821266</v>
      </c>
      <c r="BX54">
        <f t="shared" si="16"/>
        <v>1.0096311184429514</v>
      </c>
      <c r="BY54">
        <f>$X54^-Parameters!$B$52/(1-2*Parameters!$B$5*'6states,BAU'!$E54/'6states,BAU'!$H54)</f>
        <v>1.1985309567115137</v>
      </c>
      <c r="BZ54">
        <f t="shared" si="17"/>
        <v>1.0091614873458692</v>
      </c>
      <c r="CA54" s="7">
        <f>($X54^-Parameters!$B$52*(1/(1+EXP(-C54)) + IF(C54&lt;0,2*Parameters!$B$6*C54/F54,0)) + BS54*(1/(1+EXP((C54-Parameters!$B$22)*Parameters!$B$21))))/(1-IF(C54&gt;0,2*Parameters!$B$5*C54/F54,0))</f>
        <v>0.61795527874296829</v>
      </c>
      <c r="CB54">
        <f t="shared" si="18"/>
        <v>1.0091262014376521</v>
      </c>
      <c r="CC54" s="7">
        <f t="shared" si="19"/>
        <v>5.5885818297397583E-3</v>
      </c>
      <c r="CD54" t="e">
        <f>(1/$T54-1/Parameters!$B$13) * LN(Parameters!$B$18) / LN(P54)</f>
        <v>#DIV/0!</v>
      </c>
      <c r="CE54">
        <f>(Parameters!$B$18*'6states,BAU'!T54^+Parameters!$B$19*Parameters!$B$25^'6states,BAU'!T54)^((1-'6states,BAU'!T54)/'6states,BAU'!T54)*Parameters!$B$18*Parameters!$B$26^('6states,BAU'!T54-1)</f>
        <v>0.26146266384427491</v>
      </c>
      <c r="CF54" t="e">
        <f t="shared" si="20"/>
        <v>#DIV/0!</v>
      </c>
      <c r="CG54" t="e">
        <f t="shared" si="29"/>
        <v>#DIV/0!</v>
      </c>
      <c r="CH54">
        <f t="shared" si="29"/>
        <v>0.16575829817231635</v>
      </c>
    </row>
    <row r="55" spans="1:86" x14ac:dyDescent="0.3">
      <c r="A55">
        <f>A54+Parameters!$B$65</f>
        <v>51</v>
      </c>
      <c r="B55">
        <v>2076</v>
      </c>
      <c r="C55" s="74">
        <v>5.9446153455652101E-2</v>
      </c>
      <c r="D55" s="69">
        <v>3.4232340049094598E-3</v>
      </c>
      <c r="E55" s="75">
        <v>0.30518585334730802</v>
      </c>
      <c r="F55" s="7">
        <f>MAX((1-Parameters!$B$4)^Parameters!B$65*F54 + C54*Parameters!B$65 - IF(C54&gt;0,Parameters!$B$5,0)*C54^2/F54*Parameters!B$65, 0.0001)</f>
        <v>0.87028454565089175</v>
      </c>
      <c r="G55" s="7">
        <f>(1-Parameters!$B$4)^Parameters!B$65*G54+D54*Parameters!B$65-Parameters!$B$5*D54^2/G54*Parameters!B$65</f>
        <v>6.5963779005142539E-2</v>
      </c>
      <c r="H55" s="7">
        <f>(1-Parameters!$B$4)^Parameters!B$65*H54+E54*Parameters!B$65-Parameters!$B$5*E54^2/H54*Parameters!B$65</f>
        <v>4.5074257786072662</v>
      </c>
      <c r="I55" s="7">
        <f>I54 *(1-Parameters!$B$4)-C54*(C54&lt;0)*Parameters!B$65</f>
        <v>0</v>
      </c>
      <c r="J55" s="23">
        <f>J54*(1+Parameters!$B$51)^Parameters!B$65</f>
        <v>9.4586543598720265</v>
      </c>
      <c r="K55" s="23">
        <f>K54*(1+Parameters!$B$53)^Parameters!B$65</f>
        <v>24.853153833585555</v>
      </c>
      <c r="L55" s="23">
        <f>J55*K55*EXP(-Parameters!$B$42*'6states,BAU'!A55)*(Parameters!$B$37/Parameters!$B$38*('6states,BAU'!F55+'6states,BAU'!I55)/Parameters!$E$25*(EXP(-Parameters!$B$38*Parameters!$E$25*'6states,BAU'!I55/('6states,BAU'!F55+'6states,BAU'!I55))-EXP(-Parameters!$B$38*Parameters!$E$25))  +  Parameters!$B$39*'6states,BAU'!F55)</f>
        <v>111.87802552320299</v>
      </c>
      <c r="M55" s="8">
        <f>M54+L55*Parameters!B$65</f>
        <v>6402.6627239970994</v>
      </c>
      <c r="N55" s="7">
        <f>M55*Parameters!$B$45</f>
        <v>3.8415976343982594</v>
      </c>
      <c r="O55" s="9">
        <f>EXP(-Parameters!$B$46/2*N55^2)</f>
        <v>0.86215809741171301</v>
      </c>
      <c r="P55" s="7">
        <f>MAX((Parameters!$B$62 + Parameters!$B$31*'6states,BAU'!A55 - '6states,BAU'!M55 + Parameters!$B$47/Parameters!$B$45)/Parameters!B$62,1)</f>
        <v>1</v>
      </c>
      <c r="Q55" s="7">
        <f>Parameters!B$61*EXP(-Parameters!B$60*A55)</f>
        <v>0.12616721097768882</v>
      </c>
      <c r="R55" s="7">
        <f>(1-Parameters!B$61)*P55^-Parameters!B$63</f>
        <v>0.5</v>
      </c>
      <c r="S55" s="7">
        <f>Parameters!B$61*EXP(-Parameters!B$60*A55)+(1-Parameters!B$61)*P55^-Parameters!B$63</f>
        <v>0.62616721097768879</v>
      </c>
      <c r="T55" s="7">
        <f>1-S55/Parameters!$B$12</f>
        <v>0.6869163945111556</v>
      </c>
      <c r="U55" s="7">
        <f t="shared" si="0"/>
        <v>3.1940350196191649</v>
      </c>
      <c r="V55" s="7">
        <f>(Parameters!$B$19*(F55+Parameters!$B$20)^T55+Parameters!$B$18*G55^T55)^(1/T55)</f>
        <v>0.57617317072335861</v>
      </c>
      <c r="W55" s="7">
        <f>(Parameters!$B$10*H55^Parameters!$B$9+Parameters!$B$11*V55^Parameters!$B$9)^(Parameters!$B$7/Parameters!$B$9)*O55</f>
        <v>1.3352472158518647</v>
      </c>
      <c r="X55" s="7">
        <f>W55 - D55 - E55 - LN(1+EXP(Parameters!$B$21*C55))/Parameters!$B$21 - IF(C55&gt;0, 0,Parameters!$B$6*C55^2/F55)</f>
        <v>0.96719197498405229</v>
      </c>
      <c r="Y55" s="7">
        <f>EXP(-Parameters!$B$55*A55)</f>
        <v>0.46296676931938507</v>
      </c>
      <c r="Z55" s="7">
        <f>IF(X55&gt;0,X55^(1-Parameters!$B$52)/(1-Parameters!$B$52)*Y55*Parameters!$B$65,-10+X55*1000)</f>
        <v>-1.3382964797216925</v>
      </c>
      <c r="AB55" s="9"/>
      <c r="AC55" s="23">
        <f t="shared" si="6"/>
        <v>13.974446710738317</v>
      </c>
      <c r="AD55" s="23">
        <f t="shared" si="6"/>
        <v>0.80472492161637366</v>
      </c>
      <c r="AE55" s="23">
        <f t="shared" si="7"/>
        <v>0</v>
      </c>
      <c r="AF55" s="23">
        <f t="shared" si="8"/>
        <v>204.58422117169241</v>
      </c>
      <c r="AG55" s="23">
        <f t="shared" si="9"/>
        <v>15.5065931260627</v>
      </c>
      <c r="AH55" s="23">
        <f t="shared" si="10"/>
        <v>135.44528623601221</v>
      </c>
      <c r="AI55" s="23">
        <f t="shared" si="11"/>
        <v>333.34116134529489</v>
      </c>
      <c r="AJ55" s="23">
        <f t="shared" si="12"/>
        <v>313.88643299694388</v>
      </c>
      <c r="AK55" s="23">
        <f t="shared" si="13"/>
        <v>227.3649669116362</v>
      </c>
      <c r="AL55" s="9">
        <f t="shared" si="22"/>
        <v>1.7635862271601965E-2</v>
      </c>
      <c r="AM55" s="9">
        <f t="shared" si="22"/>
        <v>1.569199939080157E-2</v>
      </c>
      <c r="AN55" s="9">
        <f t="shared" si="30"/>
        <v>1.7631552962422248E-2</v>
      </c>
      <c r="AO55" s="9">
        <f t="shared" si="30"/>
        <v>1.5686947981839162E-2</v>
      </c>
      <c r="AP55" s="23"/>
      <c r="AQ55" s="8">
        <f t="shared" si="1"/>
        <v>313.88643299694388</v>
      </c>
      <c r="AR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-1.2461276914444985E-3</v>
      </c>
      <c r="AS55" s="32">
        <f>((C56-C54)/2-(F56-F54)/F55/2*C55)/(F55/2/Parameters!$B$5-C55)-((D56-D54)/D55-(G56-G54)/G55)/(G55/2/Parameters!$B$5/D55-1)</f>
        <v>-9.7840998406144319E-4</v>
      </c>
      <c r="AT55" s="32">
        <f>+Parameters!$B$5*C55^2/F55^2-Parameters!$B$5*D55^2/G55^2</f>
        <v>1.9726279219879597E-3</v>
      </c>
      <c r="AU55" s="30">
        <f>EXP(-Parameters!$B$42*'6states,BAU'!A55)*(Parameters!$B$37*EXP(-Parameters!$B$38*Parameters!$E$25*'6states,BAU'!I55/('6states,BAU'!F55+'6states,BAU'!I55))*(1/Parameters!$B$38/Parameters!$E$25+'6states,BAU'!I55/('6states,BAU'!F55+'6states,BAU'!I55))-Parameters!$B$37/Parameters!$B$38/Parameters!$E$25*EXP(-Parameters!$B$38*Parameters!$E$25)+Parameters!$B$39)</f>
        <v>0.5468555926867501</v>
      </c>
      <c r="AV55" s="30">
        <f>J55*K55*EXP(-Parameters!$B$42*'6states,BAU'!A55)*(Parameters!$B$37*EXP(-Parameters!$B$38*Parameters!$E$25*'6states,BAU'!I55/('6states,BAU'!F55+'6states,BAU'!I55))*(1/Parameters!$B$38/Parameters!$E$25+'6states,BAU'!I55/('6states,BAU'!F55+'6states,BAU'!I55))-Parameters!$B$37/Parameters!$B$38/Parameters!$E$25*EXP(-Parameters!$B$38*Parameters!$E$25)+Parameters!$B$39)</f>
        <v>128.55338645537898</v>
      </c>
      <c r="AW55" s="8">
        <f>1000*(AR55+AS55+AT55)/(EXP(-Parameters!$B$42*A55)*((C55&lt;0)*Parameters!$B$37*EXP(-Parameters!$B$38*AF55)+(C55&gt;=0)*Parameters!$B$41))</f>
        <v>-0.46065132529837854</v>
      </c>
      <c r="AX55" s="13">
        <f>1-W55/'6states,ExoDamages'!T55</f>
        <v>9.138893337821441E-2</v>
      </c>
      <c r="AY55" s="21">
        <f>-Y55*W55*X55^(-Parameters!B$52)*Parameters!B$46*Parameters!B$45*N55</f>
        <v>-2.9959086001974611E-5</v>
      </c>
      <c r="AZ55" s="7">
        <f>1000*EXP(-(Parameters!$B$54)*'6states,BAU'!A55)*AQ55*Parameters!B$46*Parameters!B$45*N55</f>
        <v>2.4277344203452209</v>
      </c>
      <c r="BA55" s="7">
        <f>SUM(AZ55:AZ$204)*EXP(Parameters!$B$54*A55)</f>
        <v>903.28424087881808</v>
      </c>
      <c r="BB55" s="13">
        <f t="shared" si="26"/>
        <v>0.2756457653971266</v>
      </c>
      <c r="BC55" s="30">
        <f>IF(C55&lt;0,Parameters!$B$6*AC55^2/AF55,0)</f>
        <v>0</v>
      </c>
      <c r="BD55" s="30">
        <f>Parameters!$B$5*AD55^2/AG55</f>
        <v>4.1761732845240852E-2</v>
      </c>
      <c r="BE55" s="30">
        <f t="shared" si="14"/>
        <v>0</v>
      </c>
      <c r="BF55" s="30">
        <f t="shared" si="15"/>
        <v>5.1895662385300648E-2</v>
      </c>
      <c r="BH55" s="5" t="e">
        <f t="shared" si="28"/>
        <v>#NUM!</v>
      </c>
      <c r="BI55" s="2" t="e">
        <f>BH55/Parameters!$B$45</f>
        <v>#NUM!</v>
      </c>
      <c r="BJ55" s="2" t="e">
        <f t="shared" si="24"/>
        <v>#NUM!</v>
      </c>
      <c r="BM55">
        <f>-EXP(-Parameters!B$42*'6states,BAU'!A55)*(-Parameters!B$37/Parameters!B$38/Parameters!E$25*(EXP(-Parameters!B$38*Parameters!E$25*'6states,BAU'!I55/('6states,BAU'!F55+'6states,BAU'!I55))-EXP(-Parameters!B$38*Parameters!E$25))+Parameters!B$37*'6states,BAU'!F55/('6states,BAU'!F55+'6states,BAU'!I55)*EXP(-Parameters!B$38*Parameters!E$25*'6states,BAU'!I55/('6states,BAU'!F55+'6states,BAU'!I55)))</f>
        <v>-3.5883971612460379</v>
      </c>
      <c r="BN55">
        <f>-J55*K55*EXP(-Parameters!B$42*'6states,BAU'!A55)*(-Parameters!B$37/Parameters!B$38/Parameters!E$25*(EXP(-Parameters!B$38*Parameters!E$25*'6states,BAU'!I55/('6states,BAU'!F55+'6states,BAU'!I55))-EXP(-Parameters!B$38*Parameters!E$25)) + Parameters!B$37*'6states,BAU'!F55/('6states,BAU'!F55+'6states,BAU'!I55)*EXP(-Parameters!B$38*Parameters!E$25*'6states,BAU'!I55/('6states,BAU'!F55+'6states,BAU'!I55)))</f>
        <v>-843.55104564010389</v>
      </c>
      <c r="BO55" s="7">
        <f t="shared" si="4"/>
        <v>0</v>
      </c>
      <c r="BU55" t="e">
        <f>EXP(-Parameters!$B$56*A55)*BH55*BN55</f>
        <v>#NUM!</v>
      </c>
      <c r="BV55" t="e">
        <f>-EXP((Parameters!$B$56)*F55)*SUM(BU55:BU63)</f>
        <v>#NUM!</v>
      </c>
      <c r="BW55">
        <f>X55^-Parameters!B$52/(1-2*Parameters!B$5*'6states,BAU'!D55/'6states,BAU'!G55)</f>
        <v>1.167209281870454</v>
      </c>
      <c r="BX55">
        <f t="shared" si="16"/>
        <v>1.0099666151575117</v>
      </c>
      <c r="BY55">
        <f>$X55^-Parameters!$B$52/(1-2*Parameters!$B$5*'6states,BAU'!$E55/'6states,BAU'!$H55)</f>
        <v>1.2099015371247173</v>
      </c>
      <c r="BZ55">
        <f t="shared" si="17"/>
        <v>1.0094870978088057</v>
      </c>
      <c r="CA55" s="7">
        <f>($X55^-Parameters!$B$52*(1/(1+EXP(-C55)) + IF(C55&lt;0,2*Parameters!$B$6*C55/F55,0)) + BS55*(1/(1+EXP((C55-Parameters!$B$22)*Parameters!$B$21))))/(1-IF(C55&gt;0,2*Parameters!$B$5*C55/F55,0))</f>
        <v>0.62379114039716554</v>
      </c>
      <c r="CB55">
        <f t="shared" si="18"/>
        <v>1.009443825232901</v>
      </c>
      <c r="CC55" s="7">
        <f t="shared" si="19"/>
        <v>5.8358616541972497E-3</v>
      </c>
      <c r="CD55" t="e">
        <f>(1/$T55-1/Parameters!$B$13) * LN(Parameters!$B$18) / LN(P55)</f>
        <v>#DIV/0!</v>
      </c>
      <c r="CE55">
        <f>(Parameters!$B$18*'6states,BAU'!T55^+Parameters!$B$19*Parameters!$B$25^'6states,BAU'!T55)^((1-'6states,BAU'!T55)/'6states,BAU'!T55)*Parameters!$B$18*Parameters!$B$26^('6states,BAU'!T55-1)</f>
        <v>0.26232494091197739</v>
      </c>
      <c r="CF55" t="e">
        <f t="shared" si="20"/>
        <v>#DIV/0!</v>
      </c>
      <c r="CG55" t="e">
        <f t="shared" si="29"/>
        <v>#DIV/0!</v>
      </c>
      <c r="CH55">
        <f t="shared" si="29"/>
        <v>0.16625676287849112</v>
      </c>
    </row>
    <row r="56" spans="1:86" x14ac:dyDescent="0.3">
      <c r="A56">
        <f>A55+Parameters!$B$65</f>
        <v>52</v>
      </c>
      <c r="B56">
        <v>2077</v>
      </c>
      <c r="C56" s="74">
        <v>5.9466159309901997E-2</v>
      </c>
      <c r="D56" s="69">
        <v>3.3895549182157E-3</v>
      </c>
      <c r="E56" s="75">
        <v>0.305220981661809</v>
      </c>
      <c r="F56" s="7">
        <f>MAX((1-Parameters!$B$4)^Parameters!B$65*F55 + C55*Parameters!B$65 - IF(C55&gt;0,Parameters!$B$5,0)*C55^2/F55*Parameters!B$65, 0.0001)</f>
        <v>0.8709292382596403</v>
      </c>
      <c r="G56" s="7">
        <f>(1-Parameters!$B$4)^Parameters!B$65*G55+D55*Parameters!B$65-Parameters!$B$5*D55^2/G55*Parameters!B$65</f>
        <v>6.5060240314443879E-2</v>
      </c>
      <c r="H56" s="7">
        <f>(1-Parameters!$B$4)^Parameters!B$65*H55+E55*Parameters!B$65-Parameters!$B$5*E55^2/H55*Parameters!B$65</f>
        <v>4.5084312251903036</v>
      </c>
      <c r="I56" s="7">
        <f>I55 *(1-Parameters!$B$4)-C55*(C55&lt;0)*Parameters!B$65</f>
        <v>0</v>
      </c>
      <c r="J56" s="23">
        <f>J55*(1+Parameters!$B$51)^Parameters!B$65</f>
        <v>9.4860844575156538</v>
      </c>
      <c r="K56" s="23">
        <f>K55*(1+Parameters!$B$53)^Parameters!B$65</f>
        <v>25.350216910257267</v>
      </c>
      <c r="L56" s="23">
        <f>J56*K56*EXP(-Parameters!$B$42*'6states,BAU'!A56)*(Parameters!$B$37/Parameters!$B$38*('6states,BAU'!F56+'6states,BAU'!I56)/Parameters!$E$25*(EXP(-Parameters!$B$38*Parameters!$E$25*'6states,BAU'!I56/('6states,BAU'!F56+'6states,BAU'!I56))-EXP(-Parameters!$B$38*Parameters!$E$25))  +  Parameters!$B$39*'6states,BAU'!F56)</f>
        <v>113.39169586163966</v>
      </c>
      <c r="M56" s="8">
        <f>M55+L56*Parameters!B$65</f>
        <v>6516.0544198587395</v>
      </c>
      <c r="N56" s="7">
        <f>M56*Parameters!$B$45</f>
        <v>3.9096326519152433</v>
      </c>
      <c r="O56" s="9">
        <f>EXP(-Parameters!$B$46/2*N56^2)</f>
        <v>0.85760081691819079</v>
      </c>
      <c r="P56" s="7">
        <f>MAX((Parameters!$B$62 + Parameters!$B$31*'6states,BAU'!A56 - '6states,BAU'!M56 + Parameters!$B$47/Parameters!$B$45)/Parameters!B$62,1)</f>
        <v>1</v>
      </c>
      <c r="Q56" s="7">
        <f>Parameters!B$61*EXP(-Parameters!B$60*A56)</f>
        <v>0.12280627311690613</v>
      </c>
      <c r="R56" s="7">
        <f>(1-Parameters!B$61)*P56^-Parameters!B$63</f>
        <v>0.5</v>
      </c>
      <c r="S56" s="7">
        <f>Parameters!B$61*EXP(-Parameters!B$60*A56)+(1-Parameters!B$61)*P56^-Parameters!B$63</f>
        <v>0.62280627311690617</v>
      </c>
      <c r="T56" s="7">
        <f>1-S56/Parameters!$B$12</f>
        <v>0.68859686344154691</v>
      </c>
      <c r="U56" s="7">
        <f t="shared" si="0"/>
        <v>3.2112714439929584</v>
      </c>
      <c r="V56" s="7">
        <f>(Parameters!$B$19*(F56+Parameters!$B$20)^T56+Parameters!$B$18*G56^T56)^(1/T56)</f>
        <v>0.57637291901774867</v>
      </c>
      <c r="W56" s="7">
        <f>(Parameters!$B$10*H56^Parameters!$B$9+Parameters!$B$11*V56^Parameters!$B$9)^(Parameters!$B$7/Parameters!$B$9)*O56</f>
        <v>1.3282866496117773</v>
      </c>
      <c r="X56" s="7">
        <f>W56 - D56 - E56 - LN(1+EXP(Parameters!$B$21*C56))/Parameters!$B$21 - IF(C56&gt;0, 0,Parameters!$B$6*C56^2/F56)</f>
        <v>0.96020995366226647</v>
      </c>
      <c r="Y56" s="7">
        <f>EXP(-Parameters!$B$55*A56)</f>
        <v>0.45602848696706794</v>
      </c>
      <c r="Z56" s="7">
        <f>IF(X56&gt;0,X56^(1-Parameters!$B$52)/(1-Parameters!$B$52)*Y56*Parameters!$B$65,-10+X56*1000)</f>
        <v>-1.3215869975806844</v>
      </c>
      <c r="AB56" s="9"/>
      <c r="AC56" s="23">
        <f t="shared" si="6"/>
        <v>14.300082952092625</v>
      </c>
      <c r="AD56" s="23">
        <f t="shared" si="6"/>
        <v>0.81510084161576091</v>
      </c>
      <c r="AE56" s="23">
        <f t="shared" si="7"/>
        <v>0</v>
      </c>
      <c r="AF56" s="23">
        <f t="shared" si="8"/>
        <v>209.43609772427092</v>
      </c>
      <c r="AG56" s="23">
        <f t="shared" si="9"/>
        <v>15.645315658122692</v>
      </c>
      <c r="AH56" s="23">
        <f t="shared" si="10"/>
        <v>138.60287344841396</v>
      </c>
      <c r="AI56" s="23">
        <f t="shared" si="11"/>
        <v>341.11222387305969</v>
      </c>
      <c r="AJ56" s="23">
        <f t="shared" si="12"/>
        <v>319.41880044105557</v>
      </c>
      <c r="AK56" s="23">
        <f t="shared" si="13"/>
        <v>230.90581514163799</v>
      </c>
      <c r="AL56" s="9">
        <f t="shared" si="22"/>
        <v>1.7471853659515979E-2</v>
      </c>
      <c r="AM56" s="9">
        <f t="shared" si="22"/>
        <v>1.5453390586606552E-2</v>
      </c>
      <c r="AN56" s="9">
        <f t="shared" ref="AN56:AO71" si="31">AVERAGE(AL54:AL58)</f>
        <v>1.7467307777461017E-2</v>
      </c>
      <c r="AO56" s="9">
        <f t="shared" si="31"/>
        <v>1.5446037055222028E-2</v>
      </c>
      <c r="AP56" s="23"/>
      <c r="AQ56" s="8">
        <f t="shared" si="1"/>
        <v>319.41880044105562</v>
      </c>
      <c r="AR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-1.2170700148066572E-3</v>
      </c>
      <c r="AS56" s="32">
        <f>((C57-C55)/2-(F57-F55)/F56/2*C56)/(F56/2/Parameters!$B$5-C56)-((D57-D55)/D56-(G57-G55)/G56)/(G56/2/Parameters!$B$5/D56-1)</f>
        <v>-9.74767767335859E-4</v>
      </c>
      <c r="AT56" s="32">
        <f>+Parameters!$B$5*C56^2/F56^2-Parameters!$B$5*D56^2/G56^2</f>
        <v>1.947742890239921E-3</v>
      </c>
      <c r="AU56" s="30">
        <f>EXP(-Parameters!$B$42*'6states,BAU'!A56)*(Parameters!$B$37*EXP(-Parameters!$B$38*Parameters!$E$25*'6states,BAU'!I56/('6states,BAU'!F56+'6states,BAU'!I56))*(1/Parameters!$B$38/Parameters!$E$25+'6states,BAU'!I56/('6states,BAU'!F56+'6states,BAU'!I56))-Parameters!$B$37/Parameters!$B$38/Parameters!$E$25*EXP(-Parameters!$B$38*Parameters!$E$25)+Parameters!$B$39)</f>
        <v>0.54141428862431984</v>
      </c>
      <c r="AV56" s="30">
        <f>J56*K56*EXP(-Parameters!$B$42*'6states,BAU'!A56)*(Parameters!$B$37*EXP(-Parameters!$B$38*Parameters!$E$25*'6states,BAU'!I56/('6states,BAU'!F56+'6states,BAU'!I56))*(1/Parameters!$B$38/Parameters!$E$25+'6states,BAU'!I56/('6states,BAU'!F56+'6states,BAU'!I56))-Parameters!$B$37/Parameters!$B$38/Parameters!$E$25*EXP(-Parameters!$B$38*Parameters!$E$25)+Parameters!$B$39)</f>
        <v>130.19622132359217</v>
      </c>
      <c r="AW56" s="8">
        <f>1000*(AR56+AS56+AT56)/(EXP(-Parameters!$B$42*A56)*((C56&lt;0)*Parameters!$B$37*EXP(-Parameters!$B$38*AF56)+(C56&gt;=0)*Parameters!$B$41))</f>
        <v>-0.45084678596646571</v>
      </c>
      <c r="AX56" s="13">
        <f>1-W56/'6states,ExoDamages'!T56</f>
        <v>9.5845672411565053E-2</v>
      </c>
      <c r="AY56" s="21">
        <f>-Y56*W56*X56^(-Parameters!B$52)*Parameters!B$46*Parameters!B$45*N56</f>
        <v>-3.0169816347128855E-5</v>
      </c>
      <c r="AZ56" s="7">
        <f>1000*EXP(-(Parameters!$B$54)*'6states,BAU'!A56)*AQ56*Parameters!B$46*Parameters!B$45*N56</f>
        <v>2.4275570604977426</v>
      </c>
      <c r="BA56" s="7">
        <f>SUM(AZ56:AZ$204)*EXP(Parameters!$B$54*A56)</f>
        <v>920.49076205669576</v>
      </c>
      <c r="BB56" s="13">
        <f t="shared" si="26"/>
        <v>0.27710637308408215</v>
      </c>
      <c r="BC56" s="30">
        <f>IF(C56&lt;0,Parameters!$B$6*AC56^2/AF56,0)</f>
        <v>0</v>
      </c>
      <c r="BD56" s="30">
        <f>Parameters!$B$5*AD56^2/AG56</f>
        <v>4.2465706446631259E-2</v>
      </c>
      <c r="BE56" s="30">
        <f t="shared" si="14"/>
        <v>0</v>
      </c>
      <c r="BF56" s="30">
        <f t="shared" si="15"/>
        <v>5.2098715003719286E-2</v>
      </c>
      <c r="BH56" s="5"/>
      <c r="BI56" s="5"/>
      <c r="BJ56" s="5"/>
      <c r="BM56">
        <f>-EXP(-Parameters!B$42*'6states,BAU'!A56)*(-Parameters!B$37/Parameters!B$38/Parameters!E$25*(EXP(-Parameters!B$38*Parameters!E$25*'6states,BAU'!I56/('6states,BAU'!F56+'6states,BAU'!I56))-EXP(-Parameters!B$38*Parameters!E$25))+Parameters!B$37*'6states,BAU'!F56/('6states,BAU'!F56+'6states,BAU'!I56)*EXP(-Parameters!B$38*Parameters!E$25*'6states,BAU'!I56/('6states,BAU'!F56+'6states,BAU'!I56)))</f>
        <v>-3.5526920129176265</v>
      </c>
      <c r="BN56">
        <f>-J56*K56*EXP(-Parameters!B$42*'6states,BAU'!A56)*(-Parameters!B$37/Parameters!B$38/Parameters!E$25*(EXP(-Parameters!B$38*Parameters!E$25*'6states,BAU'!I56/('6states,BAU'!F56+'6states,BAU'!I56))-EXP(-Parameters!B$38*Parameters!E$25)) + Parameters!B$37*'6states,BAU'!F56/('6states,BAU'!F56+'6states,BAU'!I56)*EXP(-Parameters!B$38*Parameters!E$25*'6states,BAU'!I56/('6states,BAU'!F56+'6states,BAU'!I56)))</f>
        <v>-854.33112004426005</v>
      </c>
      <c r="BO56" s="7">
        <f t="shared" si="4"/>
        <v>0</v>
      </c>
      <c r="BU56">
        <f>EXP(-Parameters!$B$56*A56)*BH56*BN56</f>
        <v>0</v>
      </c>
      <c r="BV56">
        <f>-EXP((Parameters!$B$56)*F56)*SUM(BU56:BU64)</f>
        <v>0</v>
      </c>
      <c r="BW56">
        <f>X56^-Parameters!B$52/(1-2*Parameters!B$5*'6states,BAU'!D56/'6states,BAU'!G56)</f>
        <v>1.1792158855466082</v>
      </c>
      <c r="BX56">
        <f t="shared" si="16"/>
        <v>1.0102865902993108</v>
      </c>
      <c r="BY56">
        <f>$X56^-Parameters!$B$52/(1-2*Parameters!$B$5*'6states,BAU'!$E56/'6states,BAU'!$H56)</f>
        <v>1.2217727534004164</v>
      </c>
      <c r="BZ56">
        <f t="shared" si="17"/>
        <v>1.0098117209636006</v>
      </c>
      <c r="CA56" s="7">
        <f>($X56^-Parameters!$B$52*(1/(1+EXP(-C56)) + IF(C56&lt;0,2*Parameters!$B$6*C56/F56,0)) + BS56*(1/(1+EXP((C56-Parameters!$B$22)*Parameters!$B$21))))/(1-IF(C56&gt;0,2*Parameters!$B$5*C56/F56,0))</f>
        <v>0.62988810758666991</v>
      </c>
      <c r="CB56">
        <f t="shared" si="18"/>
        <v>1.0097740522342502</v>
      </c>
      <c r="CC56" s="7">
        <f t="shared" si="19"/>
        <v>6.0969671895043653E-3</v>
      </c>
      <c r="CD56" t="e">
        <f>(1/$T56-1/Parameters!$B$13) * LN(Parameters!$B$18) / LN(P56)</f>
        <v>#DIV/0!</v>
      </c>
      <c r="CE56">
        <f>(Parameters!$B$18*'6states,BAU'!T56^+Parameters!$B$19*Parameters!$B$25^'6states,BAU'!T56)^((1-'6states,BAU'!T56)/'6states,BAU'!T56)*Parameters!$B$18*Parameters!$B$26^('6states,BAU'!T56-1)</f>
        <v>0.26315648261779556</v>
      </c>
      <c r="CF56" t="e">
        <f t="shared" si="20"/>
        <v>#DIV/0!</v>
      </c>
      <c r="CG56" t="e">
        <f t="shared" si="29"/>
        <v>#DIV/0!</v>
      </c>
      <c r="CH56">
        <f t="shared" si="29"/>
        <v>0.16673717799892518</v>
      </c>
    </row>
    <row r="57" spans="1:86" x14ac:dyDescent="0.3">
      <c r="A57">
        <f>A56+Parameters!$B$65</f>
        <v>53</v>
      </c>
      <c r="B57">
        <v>2078</v>
      </c>
      <c r="C57" s="74">
        <v>5.9487535458115998E-2</v>
      </c>
      <c r="D57" s="69">
        <v>3.3570000231126899E-3</v>
      </c>
      <c r="E57" s="75">
        <v>0.30525040810780801</v>
      </c>
      <c r="F57" s="7">
        <f>MAX((1-Parameters!$B$4)^Parameters!B$65*F56 + C56*Parameters!B$65 - IF(C56&gt;0,Parameters!$B$5,0)*C56^2/F56*Parameters!B$65, 0.0001)</f>
        <v>0.87155365983070088</v>
      </c>
      <c r="G57" s="7">
        <f>(1-Parameters!$B$4)^Parameters!B$65*G56+D56*Parameters!B$65-Parameters!$B$5*D56^2/G56*Parameters!B$65</f>
        <v>6.4180914661207483E-2</v>
      </c>
      <c r="H57" s="7">
        <f>(1-Parameters!$B$4)^Parameters!B$65*H56+E56*Parameters!B$65-Parameters!$B$5*E56^2/H56*Parameters!B$65</f>
        <v>4.5094084096207281</v>
      </c>
      <c r="I57" s="7">
        <f>I56 *(1-Parameters!$B$4)-C56*(C56&lt;0)*Parameters!B$65</f>
        <v>0</v>
      </c>
      <c r="J57" s="23">
        <f>J56*(1+Parameters!$B$51)^Parameters!B$65</f>
        <v>9.5135941024424486</v>
      </c>
      <c r="K57" s="23">
        <f>K56*(1+Parameters!$B$53)^Parameters!B$65</f>
        <v>25.857221248462412</v>
      </c>
      <c r="L57" s="23">
        <f>J57*K57*EXP(-Parameters!$B$42*'6states,BAU'!A57)*(Parameters!$B$37/Parameters!$B$38*('6states,BAU'!F57+'6states,BAU'!I57)/Parameters!$E$25*(EXP(-Parameters!$B$38*Parameters!$E$25*'6states,BAU'!I57/('6states,BAU'!F57+'6states,BAU'!I57))-EXP(-Parameters!$B$38*Parameters!$E$25))  +  Parameters!$B$39*'6states,BAU'!F57)</f>
        <v>114.92310971391981</v>
      </c>
      <c r="M57" s="8">
        <f>M56+L57*Parameters!B$65</f>
        <v>6630.9775295726595</v>
      </c>
      <c r="N57" s="7">
        <f>M57*Parameters!$B$45</f>
        <v>3.9785865177435955</v>
      </c>
      <c r="O57" s="9">
        <f>EXP(-Parameters!$B$46/2*N57^2)</f>
        <v>0.85292559363695064</v>
      </c>
      <c r="P57" s="7">
        <f>MAX((Parameters!$B$62 + Parameters!$B$31*'6states,BAU'!A57 - '6states,BAU'!M57 + Parameters!$B$47/Parameters!$B$45)/Parameters!B$62,1)</f>
        <v>1</v>
      </c>
      <c r="Q57" s="7">
        <f>Parameters!B$61*EXP(-Parameters!B$60*A57)</f>
        <v>0.11953486646804852</v>
      </c>
      <c r="R57" s="7">
        <f>(1-Parameters!B$61)*P57^-Parameters!B$63</f>
        <v>0.5</v>
      </c>
      <c r="S57" s="7">
        <f>Parameters!B$61*EXP(-Parameters!B$60*A57)+(1-Parameters!B$61)*P57^-Parameters!B$63</f>
        <v>0.61953486646804856</v>
      </c>
      <c r="T57" s="7">
        <f>1-S57/Parameters!$B$12</f>
        <v>0.69023256676597566</v>
      </c>
      <c r="U57" s="7">
        <f t="shared" si="0"/>
        <v>3.2282283181283167</v>
      </c>
      <c r="V57" s="7">
        <f>(Parameters!$B$19*(F57+Parameters!$B$20)^T57+Parameters!$B$18*G57^T57)^(1/T57)</f>
        <v>0.57656705604868541</v>
      </c>
      <c r="W57" s="7">
        <f>(Parameters!$B$10*H57^Parameters!$B$9+Parameters!$B$11*V57^Parameters!$B$9)^(Parameters!$B$7/Parameters!$B$9)*O57</f>
        <v>1.3211396171568992</v>
      </c>
      <c r="X57" s="7">
        <f>W57 - D57 - E57 - LN(1+EXP(Parameters!$B$21*C57))/Parameters!$B$21 - IF(C57&gt;0, 0,Parameters!$B$6*C57^2/F57)</f>
        <v>0.95304467350865918</v>
      </c>
      <c r="Y57" s="7">
        <f>EXP(-Parameters!$B$55*A57)</f>
        <v>0.44919418564576791</v>
      </c>
      <c r="Z57" s="7">
        <f>IF(X57&gt;0,X57^(1-Parameters!$B$52)/(1-Parameters!$B$52)*Y57*Parameters!$B$65,-10+X57*1000)</f>
        <v>-1.3051981252916625</v>
      </c>
      <c r="AB57" s="9"/>
      <c r="AC57" s="23">
        <f t="shared" si="6"/>
        <v>14.633642684386206</v>
      </c>
      <c r="AD57" s="23">
        <f t="shared" si="6"/>
        <v>0.82580558181462049</v>
      </c>
      <c r="AE57" s="23">
        <f t="shared" si="7"/>
        <v>0</v>
      </c>
      <c r="AF57" s="23">
        <f t="shared" si="8"/>
        <v>214.39793630736989</v>
      </c>
      <c r="AG57" s="23">
        <f t="shared" si="9"/>
        <v>15.788191006340595</v>
      </c>
      <c r="AH57" s="23">
        <f t="shared" si="10"/>
        <v>141.83267497685222</v>
      </c>
      <c r="AI57" s="23">
        <f t="shared" si="11"/>
        <v>349.06101133051618</v>
      </c>
      <c r="AJ57" s="23">
        <f t="shared" si="12"/>
        <v>324.99388224400212</v>
      </c>
      <c r="AK57" s="23">
        <f t="shared" si="13"/>
        <v>234.44432698346861</v>
      </c>
      <c r="AL57" s="9">
        <f t="shared" si="22"/>
        <v>1.7303262495261151E-2</v>
      </c>
      <c r="AM57" s="9">
        <f t="shared" si="22"/>
        <v>1.5208247396284236E-2</v>
      </c>
      <c r="AN57" s="9">
        <f t="shared" si="31"/>
        <v>1.7298568368313384E-2</v>
      </c>
      <c r="AO57" s="9">
        <f t="shared" si="31"/>
        <v>1.5197812018473478E-2</v>
      </c>
      <c r="AP57" s="23"/>
      <c r="AQ57" s="8">
        <f t="shared" si="1"/>
        <v>324.99388224400212</v>
      </c>
      <c r="AR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-1.1883144807969034E-3</v>
      </c>
      <c r="AS57" s="32">
        <f>((C58-C56)/2-(F58-F56)/F57/2*C57)/(F57/2/Parameters!$B$5-C57)-((D58-D56)/D57-(G58-G56)/G57)/(G57/2/Parameters!$B$5/D57-1)</f>
        <v>-9.7859076728025484E-4</v>
      </c>
      <c r="AT57" s="32">
        <f>+Parameters!$B$5*C57^2/F57^2-Parameters!$B$5*D57^2/G57^2</f>
        <v>1.9228475095968761E-3</v>
      </c>
      <c r="AU57" s="30">
        <f>EXP(-Parameters!$B$42*'6states,BAU'!A57)*(Parameters!$B$37*EXP(-Parameters!$B$38*Parameters!$E$25*'6states,BAU'!I57/('6states,BAU'!F57+'6states,BAU'!I57))*(1/Parameters!$B$38/Parameters!$E$25+'6states,BAU'!I57/('6states,BAU'!F57+'6states,BAU'!I57))-Parameters!$B$37/Parameters!$B$38/Parameters!$E$25*EXP(-Parameters!$B$38*Parameters!$E$25)+Parameters!$B$39)</f>
        <v>0.53602712644193184</v>
      </c>
      <c r="AV57" s="30">
        <f>J57*K57*EXP(-Parameters!$B$42*'6states,BAU'!A57)*(Parameters!$B$37*EXP(-Parameters!$B$38*Parameters!$E$25*'6states,BAU'!I57/('6states,BAU'!F57+'6states,BAU'!I57))*(1/Parameters!$B$38/Parameters!$E$25+'6states,BAU'!I57/('6states,BAU'!F57+'6states,BAU'!I57))-Parameters!$B$37/Parameters!$B$38/Parameters!$E$25*EXP(-Parameters!$B$38*Parameters!$E$25)+Parameters!$B$39)</f>
        <v>131.86005063215913</v>
      </c>
      <c r="AW57" s="8">
        <f>1000*(AR57+AS57+AT57)/(EXP(-Parameters!$B$42*A57)*((C57&lt;0)*Parameters!$B$37*EXP(-Parameters!$B$38*AF57)+(C57&gt;=0)*Parameters!$B$41))</f>
        <v>-0.4553085589162264</v>
      </c>
      <c r="AX57" s="13">
        <f>1-W57/'6states,ExoDamages'!T57</f>
        <v>0.10044847168551641</v>
      </c>
      <c r="AY57" s="21">
        <f>-Y57*W57*X57^(-Parameters!B$52)*Parameters!B$46*Parameters!B$45*N57</f>
        <v>-3.0384777300187919E-5</v>
      </c>
      <c r="AZ57" s="7">
        <f>1000*EXP(-(Parameters!$B$54)*'6states,BAU'!A57)*AQ57*Parameters!B$46*Parameters!B$45*N57</f>
        <v>2.4267960284000241</v>
      </c>
      <c r="BA57" s="7">
        <f>SUM(AZ57:AZ$204)*EXP(Parameters!$B$54*A57)</f>
        <v>937.77504110561699</v>
      </c>
      <c r="BB57" s="13">
        <f t="shared" si="26"/>
        <v>0.27861926083268879</v>
      </c>
      <c r="BC57" s="30">
        <f>IF(C57&lt;0,Parameters!$B$6*AC57^2/AF57,0)</f>
        <v>0</v>
      </c>
      <c r="BD57" s="30">
        <f>Parameters!$B$5*AD57^2/AG57</f>
        <v>4.3193983318437705E-2</v>
      </c>
      <c r="BE57" s="30">
        <f t="shared" si="14"/>
        <v>0</v>
      </c>
      <c r="BF57" s="30">
        <f t="shared" si="15"/>
        <v>5.2305269266312647E-2</v>
      </c>
      <c r="BH57" s="5"/>
      <c r="BI57" s="5"/>
      <c r="BJ57" s="5"/>
      <c r="BM57">
        <f>-EXP(-Parameters!B$42*'6states,BAU'!A57)*(-Parameters!B$37/Parameters!B$38/Parameters!E$25*(EXP(-Parameters!B$38*Parameters!E$25*'6states,BAU'!I57/('6states,BAU'!F57+'6states,BAU'!I57))-EXP(-Parameters!B$38*Parameters!E$25))+Parameters!B$37*'6states,BAU'!F57/('6states,BAU'!F57+'6states,BAU'!I57)*EXP(-Parameters!B$38*Parameters!E$25*'6states,BAU'!I57/('6states,BAU'!F57+'6states,BAU'!I57)))</f>
        <v>-3.5173421367510929</v>
      </c>
      <c r="BN57">
        <f>-J57*K57*EXP(-Parameters!B$42*'6states,BAU'!A57)*(-Parameters!B$37/Parameters!B$38/Parameters!E$25*(EXP(-Parameters!B$38*Parameters!E$25*'6states,BAU'!I57/('6states,BAU'!F57+'6states,BAU'!I57))-EXP(-Parameters!B$38*Parameters!E$25)) + Parameters!B$37*'6states,BAU'!F57/('6states,BAU'!F57+'6states,BAU'!I57)*EXP(-Parameters!B$38*Parameters!E$25*'6states,BAU'!I57/('6states,BAU'!F57+'6states,BAU'!I57)))</f>
        <v>-865.24895730788967</v>
      </c>
      <c r="BO57" s="7">
        <f t="shared" si="4"/>
        <v>0</v>
      </c>
      <c r="BU57">
        <f>EXP(-Parameters!$B$56*A57)*BH57*BN57</f>
        <v>0</v>
      </c>
      <c r="BV57">
        <f>-EXP((Parameters!$B$56)*F57)*SUM(BU57:BU65)</f>
        <v>0</v>
      </c>
      <c r="BW57">
        <f>X57^-Parameters!B$52/(1-2*Parameters!B$5*'6states,BAU'!D57/'6states,BAU'!G57)</f>
        <v>1.1917498955908739</v>
      </c>
      <c r="BX57">
        <f t="shared" si="16"/>
        <v>1.0106291054911083</v>
      </c>
      <c r="BY57">
        <f>$X57^-Parameters!$B$52/(1-2*Parameters!$B$5*'6states,BAU'!$E57/'6states,BAU'!$H57)</f>
        <v>1.2341664301430793</v>
      </c>
      <c r="BZ57">
        <f t="shared" si="17"/>
        <v>1.0101440114032409</v>
      </c>
      <c r="CA57" s="7">
        <f>($X57^-Parameters!$B$52*(1/(1+EXP(-C57)) + IF(C57&lt;0,2*Parameters!$B$6*C57/F57,0)) + BS57*(1/(1+EXP((C57-Parameters!$B$22)*Parameters!$B$21))))/(1-IF(C57&gt;0,2*Parameters!$B$5*C57/F57,0))</f>
        <v>0.63626033841730489</v>
      </c>
      <c r="CB57">
        <f t="shared" si="18"/>
        <v>1.010116448864306</v>
      </c>
      <c r="CC57" s="7">
        <f t="shared" si="19"/>
        <v>6.372230830634984E-3</v>
      </c>
      <c r="CD57" t="e">
        <f>(1/$T57-1/Parameters!$B$13) * LN(Parameters!$B$18) / LN(P57)</f>
        <v>#DIV/0!</v>
      </c>
      <c r="CE57">
        <f>(Parameters!$B$18*'6states,BAU'!T57^+Parameters!$B$19*Parameters!$B$25^'6states,BAU'!T57)^((1-'6states,BAU'!T57)/'6states,BAU'!T57)*Parameters!$B$18*Parameters!$B$26^('6states,BAU'!T57-1)</f>
        <v>0.26395851252590652</v>
      </c>
      <c r="CF57" t="e">
        <f t="shared" si="20"/>
        <v>#DIV/0!</v>
      </c>
      <c r="CG57" t="e">
        <f t="shared" si="29"/>
        <v>#DIV/0!</v>
      </c>
      <c r="CH57">
        <f t="shared" si="29"/>
        <v>0.16720028070414616</v>
      </c>
    </row>
    <row r="58" spans="1:86" x14ac:dyDescent="0.3">
      <c r="A58">
        <f>A57+Parameters!$B$65</f>
        <v>54</v>
      </c>
      <c r="B58">
        <v>2079</v>
      </c>
      <c r="C58" s="74">
        <v>5.9505569814555299E-2</v>
      </c>
      <c r="D58" s="69">
        <v>3.32522604497499E-3</v>
      </c>
      <c r="E58" s="75">
        <v>0.305285665834096</v>
      </c>
      <c r="F58" s="7">
        <f>MAX((1-Parameters!$B$4)^Parameters!B$65*F57 + C57*Parameters!B$65 - IF(C57&gt;0,Parameters!$B$5,0)*C57^2/F57*Parameters!B$65, 0.0001)</f>
        <v>0.8721601728966869</v>
      </c>
      <c r="G58" s="7">
        <f>(1-Parameters!$B$4)^Parameters!B$65*G57+D57*Parameters!B$65-Parameters!$B$5*D57^2/G57*Parameters!B$65</f>
        <v>6.3325346361994286E-2</v>
      </c>
      <c r="H58" s="7">
        <f>(1-Parameters!$B$4)^Parameters!B$65*H57+E57*Parameters!B$65-Parameters!$B$5*E57^2/H57*Parameters!B$65</f>
        <v>4.5103540496792203</v>
      </c>
      <c r="I58" s="7">
        <f>I57 *(1-Parameters!$B$4)-C57*(C57&lt;0)*Parameters!B$65</f>
        <v>0</v>
      </c>
      <c r="J58" s="23">
        <f>J57*(1+Parameters!$B$51)^Parameters!B$65</f>
        <v>9.5411835253395303</v>
      </c>
      <c r="K58" s="23">
        <f>K57*(1+Parameters!$B$53)^Parameters!B$65</f>
        <v>26.374365673431662</v>
      </c>
      <c r="L58" s="23">
        <f>J58*K58*EXP(-Parameters!$B$42*'6states,BAU'!A58)*(Parameters!$B$37/Parameters!$B$38*('6states,BAU'!F58+'6states,BAU'!I58)/Parameters!$E$25*(EXP(-Parameters!$B$38*Parameters!$E$25*'6states,BAU'!I58/('6states,BAU'!F58+'6states,BAU'!I58))-EXP(-Parameters!$B$38*Parameters!$E$25))  +  Parameters!$B$39*'6states,BAU'!F58)</f>
        <v>116.4727547270212</v>
      </c>
      <c r="M58" s="8">
        <f>M57+L58*Parameters!B$65</f>
        <v>6747.4502842996808</v>
      </c>
      <c r="N58" s="7">
        <f>M58*Parameters!$B$45</f>
        <v>4.0484701705798081</v>
      </c>
      <c r="O58" s="9">
        <f>EXP(-Parameters!$B$46/2*N58^2)</f>
        <v>0.84813062786758597</v>
      </c>
      <c r="P58" s="7">
        <f>MAX((Parameters!$B$62 + Parameters!$B$31*'6states,BAU'!A58 - '6states,BAU'!M58 + Parameters!$B$47/Parameters!$B$45)/Parameters!B$62,1)</f>
        <v>1</v>
      </c>
      <c r="Q58" s="7">
        <f>Parameters!B$61*EXP(-Parameters!B$60*A58)</f>
        <v>0.11635060603078554</v>
      </c>
      <c r="R58" s="7">
        <f>(1-Parameters!B$61)*P58^-Parameters!B$63</f>
        <v>0.5</v>
      </c>
      <c r="S58" s="7">
        <f>Parameters!B$61*EXP(-Parameters!B$60*A58)+(1-Parameters!B$61)*P58^-Parameters!B$63</f>
        <v>0.61635060603078551</v>
      </c>
      <c r="T58" s="7">
        <f>1-S58/Parameters!$B$12</f>
        <v>0.69182469698460725</v>
      </c>
      <c r="U58" s="7">
        <f t="shared" si="0"/>
        <v>3.2449063575676989</v>
      </c>
      <c r="V58" s="7">
        <f>(Parameters!$B$19*(F58+Parameters!$B$20)^T58+Parameters!$B$18*G58^T58)^(1/T58)</f>
        <v>0.5767568777438401</v>
      </c>
      <c r="W58" s="7">
        <f>(Parameters!$B$10*H58^Parameters!$B$9+Parameters!$B$11*V58^Parameters!$B$9)^(Parameters!$B$7/Parameters!$B$9)*O58</f>
        <v>1.3138032547340972</v>
      </c>
      <c r="X58" s="7">
        <f>W58 - D58 - E58 - LN(1+EXP(Parameters!$B$21*C58))/Parameters!$B$21 - IF(C58&gt;0, 0,Parameters!$B$6*C58^2/F58)</f>
        <v>0.94568679298158687</v>
      </c>
      <c r="Y58" s="7">
        <f>EXP(-Parameters!$B$55*A58)</f>
        <v>0.4424623070368317</v>
      </c>
      <c r="Z58" s="7">
        <f>IF(X58&gt;0,X58^(1-Parameters!$B$52)/(1-Parameters!$B$52)*Y58*Parameters!$B$65,-10+X58*1000)</f>
        <v>-1.2891298709455909</v>
      </c>
      <c r="AB58" s="9"/>
      <c r="AC58" s="23">
        <f t="shared" si="6"/>
        <v>14.974140066618812</v>
      </c>
      <c r="AD58" s="23">
        <f t="shared" si="6"/>
        <v>0.83676873788115524</v>
      </c>
      <c r="AE58" s="23">
        <f t="shared" si="7"/>
        <v>0</v>
      </c>
      <c r="AF58" s="23">
        <f t="shared" si="8"/>
        <v>219.4727086923379</v>
      </c>
      <c r="AG58" s="23">
        <f t="shared" si="9"/>
        <v>15.93535881005392</v>
      </c>
      <c r="AH58" s="23">
        <f t="shared" si="10"/>
        <v>145.136636765883</v>
      </c>
      <c r="AI58" s="23">
        <f t="shared" si="11"/>
        <v>357.19231283536817</v>
      </c>
      <c r="AJ58" s="23">
        <f t="shared" si="12"/>
        <v>330.60895001388479</v>
      </c>
      <c r="AK58" s="23">
        <f t="shared" si="13"/>
        <v>237.97514319061327</v>
      </c>
      <c r="AL58" s="9">
        <f t="shared" si="22"/>
        <v>1.7129898764844498E-2</v>
      </c>
      <c r="AM58" s="9">
        <f t="shared" si="22"/>
        <v>1.4948079726237573E-2</v>
      </c>
      <c r="AN58" s="9">
        <f t="shared" si="31"/>
        <v>1.7125188653978364E-2</v>
      </c>
      <c r="AO58" s="9">
        <f t="shared" si="31"/>
        <v>1.4942001678044648E-2</v>
      </c>
      <c r="AP58" s="23"/>
      <c r="AQ58" s="8">
        <f t="shared" si="1"/>
        <v>330.60895001388479</v>
      </c>
      <c r="AR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-1.1597505736088897E-3</v>
      </c>
      <c r="AS58" s="32">
        <f>((C59-C57)/2-(F59-F57)/F58/2*C58)/(F58/2/Parameters!$B$5-C58)-((D59-D57)/D58-(G59-G57)/G58)/(G58/2/Parameters!$B$5/D58-1)</f>
        <v>-9.8289169519413669E-4</v>
      </c>
      <c r="AT58" s="32">
        <f>+Parameters!$B$5*C58^2/F58^2-Parameters!$B$5*D58^2/G58^2</f>
        <v>1.8977125088129859E-3</v>
      </c>
      <c r="AU58" s="30">
        <f>EXP(-Parameters!$B$42*'6states,BAU'!A58)*(Parameters!$B$37*EXP(-Parameters!$B$38*Parameters!$E$25*'6states,BAU'!I58/('6states,BAU'!F58+'6states,BAU'!I58))*(1/Parameters!$B$38/Parameters!$E$25+'6states,BAU'!I58/('6states,BAU'!F58+'6states,BAU'!I58))-Parameters!$B$37/Parameters!$B$38/Parameters!$E$25*EXP(-Parameters!$B$38*Parameters!$E$25)+Parameters!$B$39)</f>
        <v>0.53069356741887885</v>
      </c>
      <c r="AV58" s="30">
        <f>J58*K58*EXP(-Parameters!$B$42*'6states,BAU'!A58)*(Parameters!$B$37*EXP(-Parameters!$B$38*Parameters!$E$25*'6states,BAU'!I58/('6states,BAU'!F58+'6states,BAU'!I58))*(1/Parameters!$B$38/Parameters!$E$25+'6states,BAU'!I58/('6states,BAU'!F58+'6states,BAU'!I58))-Parameters!$B$37/Parameters!$B$38/Parameters!$E$25*EXP(-Parameters!$B$38*Parameters!$E$25)+Parameters!$B$39)</f>
        <v>133.54514267738543</v>
      </c>
      <c r="AW58" s="8">
        <f>1000*(AR58+AS58+AT58)/(EXP(-Parameters!$B$42*A58)*((C58&lt;0)*Parameters!$B$37*EXP(-Parameters!$B$38*AF58)+(C58&gt;=0)*Parameters!$B$41))</f>
        <v>-0.46152765932569961</v>
      </c>
      <c r="AX58" s="13">
        <f>1-W58/'6states,ExoDamages'!T58</f>
        <v>0.10519709426250601</v>
      </c>
      <c r="AY58" s="21">
        <f>-Y58*W58*X58^(-Parameters!B$52)*Parameters!B$46*Parameters!B$45*N58</f>
        <v>-3.0604548516664368E-5</v>
      </c>
      <c r="AZ58" s="7">
        <f>1000*EXP(-(Parameters!$B$54)*'6states,BAU'!A58)*AQ58*Parameters!B$46*Parameters!B$45*N58</f>
        <v>2.425443134250644</v>
      </c>
      <c r="BA58" s="7">
        <f>SUM(AZ58:AZ$204)*EXP(Parameters!$B$54*A58)</f>
        <v>955.12460058686338</v>
      </c>
      <c r="BB58" s="13">
        <f t="shared" si="26"/>
        <v>0.28019146730469163</v>
      </c>
      <c r="BC58" s="30">
        <f>IF(C58&lt;0,Parameters!$B$6*AC58^2/AF58,0)</f>
        <v>0</v>
      </c>
      <c r="BD58" s="30">
        <f>Parameters!$B$5*AD58^2/AG58</f>
        <v>4.3938886412363896E-2</v>
      </c>
      <c r="BE58" s="30">
        <f t="shared" si="14"/>
        <v>0</v>
      </c>
      <c r="BF58" s="30">
        <f t="shared" si="15"/>
        <v>5.2510191195269604E-2</v>
      </c>
      <c r="BH58" s="5"/>
      <c r="BI58" s="5"/>
      <c r="BJ58" s="5"/>
      <c r="BM58">
        <f>-EXP(-Parameters!B$42*'6states,BAU'!A58)*(-Parameters!B$37/Parameters!B$38/Parameters!E$25*(EXP(-Parameters!B$38*Parameters!E$25*'6states,BAU'!I58/('6states,BAU'!F58+'6states,BAU'!I58))-EXP(-Parameters!B$38*Parameters!E$25))+Parameters!B$37*'6states,BAU'!F58/('6states,BAU'!F58+'6states,BAU'!I58)*EXP(-Parameters!B$38*Parameters!E$25*'6states,BAU'!I58/('6states,BAU'!F58+'6states,BAU'!I58)))</f>
        <v>-3.4823439977293629</v>
      </c>
      <c r="BN58">
        <f>-J58*K58*EXP(-Parameters!B$42*'6states,BAU'!A58)*(-Parameters!B$37/Parameters!B$38/Parameters!E$25*(EXP(-Parameters!B$38*Parameters!E$25*'6states,BAU'!I58/('6states,BAU'!F58+'6states,BAU'!I58))-EXP(-Parameters!B$38*Parameters!E$25)) + Parameters!B$37*'6states,BAU'!F58/('6states,BAU'!F58+'6states,BAU'!I58)*EXP(-Parameters!B$38*Parameters!E$25*'6states,BAU'!I58/('6states,BAU'!F58+'6states,BAU'!I58)))</f>
        <v>-876.30631795738032</v>
      </c>
      <c r="BO58" s="7">
        <f t="shared" si="4"/>
        <v>0</v>
      </c>
      <c r="BU58">
        <f>EXP(-Parameters!$B$56*A58)*BH58*BN58</f>
        <v>0</v>
      </c>
      <c r="BV58">
        <f>-EXP((Parameters!$B$56)*F58)*SUM(BU58:BU66)</f>
        <v>0</v>
      </c>
      <c r="BW58">
        <f>X58^-Parameters!B$52/(1-2*Parameters!B$5*'6states,BAU'!D58/'6states,BAU'!G58)</f>
        <v>1.2048360897898389</v>
      </c>
      <c r="BX58">
        <f t="shared" si="16"/>
        <v>1.0109806547895495</v>
      </c>
      <c r="BY58">
        <f>$X58^-Parameters!$B$52/(1-2*Parameters!$B$5*'6states,BAU'!$E58/'6states,BAU'!$H58)</f>
        <v>1.2471288800812614</v>
      </c>
      <c r="BZ58">
        <f t="shared" si="17"/>
        <v>1.0105029999371149</v>
      </c>
      <c r="CA58" s="7">
        <f>($X58^-Parameters!$B$52*(1/(1+EXP(-C58)) + IF(C58&lt;0,2*Parameters!$B$6*C58/F58,0)) + BS58*(1/(1+EXP((C58-Parameters!$B$22)*Parameters!$B$21))))/(1-IF(C58&gt;0,2*Parameters!$B$5*C58/F58,0))</f>
        <v>0.64291819779241755</v>
      </c>
      <c r="CB58">
        <f t="shared" si="18"/>
        <v>1.0104640490269661</v>
      </c>
      <c r="CC58" s="7">
        <f t="shared" si="19"/>
        <v>6.6578593751126514E-3</v>
      </c>
      <c r="CD58" t="e">
        <f>(1/$T58-1/Parameters!$B$13) * LN(Parameters!$B$18) / LN(P58)</f>
        <v>#DIV/0!</v>
      </c>
      <c r="CE58">
        <f>(Parameters!$B$18*'6states,BAU'!T58^+Parameters!$B$19*Parameters!$B$25^'6states,BAU'!T58)^((1-'6states,BAU'!T58)/'6states,BAU'!T58)*Parameters!$B$18*Parameters!$B$26^('6states,BAU'!T58-1)</f>
        <v>0.26473220128129143</v>
      </c>
      <c r="CF58" t="e">
        <f t="shared" si="20"/>
        <v>#DIV/0!</v>
      </c>
      <c r="CG58" t="e">
        <f t="shared" si="29"/>
        <v>#DIV/0!</v>
      </c>
      <c r="CH58">
        <f t="shared" si="29"/>
        <v>0.16764677495332725</v>
      </c>
    </row>
    <row r="59" spans="1:86" x14ac:dyDescent="0.3">
      <c r="A59">
        <f>A58+Parameters!$B$65</f>
        <v>55</v>
      </c>
      <c r="B59">
        <v>2080</v>
      </c>
      <c r="C59" s="74">
        <v>5.9525447815722103E-2</v>
      </c>
      <c r="D59" s="69">
        <v>3.29457265515947E-3</v>
      </c>
      <c r="E59" s="75">
        <v>0.30531408095689999</v>
      </c>
      <c r="F59" s="7">
        <f>MAX((1-Parameters!$B$4)^Parameters!B$65*F58 + C58*Parameters!B$65 - IF(C58&gt;0,Parameters!$B$5,0)*C58^2/F58*Parameters!B$65, 0.0001)</f>
        <v>0.87274693372188072</v>
      </c>
      <c r="G59" s="7">
        <f>(1-Parameters!$B$4)^Parameters!B$65*G58+D58*Parameters!B$65-Parameters!$B$5*D58^2/G58*Parameters!B$65</f>
        <v>6.249279986541071E-2</v>
      </c>
      <c r="H59" s="7">
        <f>(1-Parameters!$B$4)^Parameters!B$65*H58+E58*Parameters!B$65-Parameters!$B$5*E58^2/H58*Parameters!B$65</f>
        <v>4.5112750263014147</v>
      </c>
      <c r="I59" s="7">
        <f>I58 *(1-Parameters!$B$4)-C58*(C58&lt;0)*Parameters!B$65</f>
        <v>0</v>
      </c>
      <c r="J59" s="23">
        <f>J58*(1+Parameters!$B$51)^Parameters!B$65</f>
        <v>9.5688529575630135</v>
      </c>
      <c r="K59" s="23">
        <f>K58*(1+Parameters!$B$53)^Parameters!B$65</f>
        <v>26.901852986900295</v>
      </c>
      <c r="L59" s="23">
        <f>J59*K59*EXP(-Parameters!$B$42*'6states,BAU'!A59)*(Parameters!$B$37/Parameters!$B$38*('6states,BAU'!F59+'6states,BAU'!I59)/Parameters!$E$25*(EXP(-Parameters!$B$38*Parameters!$E$25*'6states,BAU'!I59/('6states,BAU'!F59+'6states,BAU'!I59))-EXP(-Parameters!$B$38*Parameters!$E$25))  +  Parameters!$B$39*'6states,BAU'!F59)</f>
        <v>118.04056683600665</v>
      </c>
      <c r="M59" s="8">
        <f>M58+L59*Parameters!B$65</f>
        <v>6865.4908511356871</v>
      </c>
      <c r="N59" s="7">
        <f>M59*Parameters!$B$45</f>
        <v>4.1192945106814118</v>
      </c>
      <c r="O59" s="9">
        <f>EXP(-Parameters!$B$46/2*N59^2)</f>
        <v>0.84321416518287973</v>
      </c>
      <c r="P59" s="7">
        <f>MAX((Parameters!$B$62 + Parameters!$B$31*'6states,BAU'!A59 - '6states,BAU'!M59 + Parameters!$B$47/Parameters!$B$45)/Parameters!B$62,1)</f>
        <v>1</v>
      </c>
      <c r="Q59" s="7">
        <f>Parameters!B$61*EXP(-Parameters!B$60*A59)</f>
        <v>0.1132511703382344</v>
      </c>
      <c r="R59" s="7">
        <f>(1-Parameters!B$61)*P59^-Parameters!B$63</f>
        <v>0.5</v>
      </c>
      <c r="S59" s="7">
        <f>Parameters!B$61*EXP(-Parameters!B$60*A59)+(1-Parameters!B$61)*P59^-Parameters!B$63</f>
        <v>0.6132511703382344</v>
      </c>
      <c r="T59" s="7">
        <f>1-S59/Parameters!$B$12</f>
        <v>0.6933744148308828</v>
      </c>
      <c r="U59" s="7">
        <f t="shared" si="0"/>
        <v>3.2613064544123316</v>
      </c>
      <c r="V59" s="7">
        <f>(Parameters!$B$19*(F59+Parameters!$B$20)^T59+Parameters!$B$18*G59^T59)^(1/T59)</f>
        <v>0.57694094493181214</v>
      </c>
      <c r="W59" s="7">
        <f>(Parameters!$B$10*H59^Parameters!$B$9+Parameters!$B$11*V59^Parameters!$B$9)^(Parameters!$B$7/Parameters!$B$9)*O59</f>
        <v>1.3062751799461092</v>
      </c>
      <c r="X59" s="7">
        <f>W59 - D59 - E59 - LN(1+EXP(Parameters!$B$21*C59))/Parameters!$B$21 - IF(C59&gt;0, 0,Parameters!$B$6*C59^2/F59)</f>
        <v>0.93814107845979389</v>
      </c>
      <c r="Y59" s="7">
        <f>EXP(-Parameters!$B$55*A59)</f>
        <v>0.43583131617545234</v>
      </c>
      <c r="Z59" s="7">
        <f>IF(X59&gt;0,X59^(1-Parameters!$B$52)/(1-Parameters!$B$52)*Y59*Parameters!$B$65,-10+X59*1000)</f>
        <v>-1.2733756326181116</v>
      </c>
      <c r="AB59" s="9"/>
      <c r="AC59" s="23">
        <f t="shared" si="6"/>
        <v>15.323033366854144</v>
      </c>
      <c r="AD59" s="23">
        <f t="shared" si="6"/>
        <v>0.84808848277492632</v>
      </c>
      <c r="AE59" s="23">
        <f t="shared" si="7"/>
        <v>0</v>
      </c>
      <c r="AF59" s="23">
        <f t="shared" si="8"/>
        <v>224.66240703707655</v>
      </c>
      <c r="AG59" s="23">
        <f t="shared" si="9"/>
        <v>16.086888762101957</v>
      </c>
      <c r="AH59" s="23">
        <f t="shared" si="10"/>
        <v>148.51606622536875</v>
      </c>
      <c r="AI59" s="23">
        <f t="shared" si="11"/>
        <v>365.5093460228249</v>
      </c>
      <c r="AJ59" s="23">
        <f t="shared" si="12"/>
        <v>336.26119421349227</v>
      </c>
      <c r="AK59" s="23">
        <f t="shared" si="13"/>
        <v>241.4961596350918</v>
      </c>
      <c r="AL59" s="9">
        <f t="shared" si="22"/>
        <v>1.6951964650343321E-2</v>
      </c>
      <c r="AM59" s="9">
        <f t="shared" si="22"/>
        <v>1.4687342992437458E-2</v>
      </c>
      <c r="AN59" s="9">
        <f t="shared" si="31"/>
        <v>1.6947015369779807E-2</v>
      </c>
      <c r="AO59" s="9">
        <f t="shared" si="31"/>
        <v>1.4677446004887606E-2</v>
      </c>
      <c r="AP59" s="23"/>
      <c r="AQ59" s="8">
        <f t="shared" si="1"/>
        <v>336.26119421349233</v>
      </c>
      <c r="AR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-1.1314406409413148E-3</v>
      </c>
      <c r="AS59" s="32">
        <f>((C60-C58)/2-(F60-F58)/F59/2*C59)/(F59/2/Parameters!$B$5-C59)-((D60-D58)/D59-(G60-G58)/G59)/(G59/2/Parameters!$B$5/D59-1)</f>
        <v>-9.8764681558747452E-4</v>
      </c>
      <c r="AT59" s="32">
        <f>+Parameters!$B$5*C59^2/F59^2-Parameters!$B$5*D59^2/G59^2</f>
        <v>1.8725640587152407E-3</v>
      </c>
      <c r="AU59" s="30">
        <f>EXP(-Parameters!$B$42*'6states,BAU'!A59)*(Parameters!$B$37*EXP(-Parameters!$B$38*Parameters!$E$25*'6states,BAU'!I59/('6states,BAU'!F59+'6states,BAU'!I59))*(1/Parameters!$B$38/Parameters!$E$25+'6states,BAU'!I59/('6states,BAU'!F59+'6states,BAU'!I59))-Parameters!$B$37/Parameters!$B$38/Parameters!$E$25*EXP(-Parameters!$B$38*Parameters!$E$25)+Parameters!$B$39)</f>
        <v>0.52541307819481398</v>
      </c>
      <c r="AV59" s="30">
        <f>J59*K59*EXP(-Parameters!$B$42*'6states,BAU'!A59)*(Parameters!$B$37*EXP(-Parameters!$B$38*Parameters!$E$25*'6states,BAU'!I59/('6states,BAU'!F59+'6states,BAU'!I59))*(1/Parameters!$B$38/Parameters!$E$25+'6states,BAU'!I59/('6states,BAU'!F59+'6states,BAU'!I59))-Parameters!$B$37/Parameters!$B$38/Parameters!$E$25*EXP(-Parameters!$B$38*Parameters!$E$25)+Parameters!$B$39)</f>
        <v>135.25176918424185</v>
      </c>
      <c r="AW59" s="8">
        <f>1000*(AR59+AS59+AT59)/(EXP(-Parameters!$B$42*A59)*((C59&lt;0)*Parameters!$B$37*EXP(-Parameters!$B$38*AF59)+(C59&gt;=0)*Parameters!$B$41))</f>
        <v>-0.46919920353056349</v>
      </c>
      <c r="AX59" s="13">
        <f>1-W59/'6states,ExoDamages'!T59</f>
        <v>0.11008399824449377</v>
      </c>
      <c r="AY59" s="21">
        <f>-Y59*W59*X59^(-Parameters!B$52)*Parameters!B$46*Parameters!B$45*N59</f>
        <v>-3.0829128816045042E-5</v>
      </c>
      <c r="AZ59" s="7">
        <f>1000*EXP(-(Parameters!$B$54)*'6states,BAU'!A59)*AQ59*Parameters!B$46*Parameters!B$45*N59</f>
        <v>2.4234909631349479</v>
      </c>
      <c r="BA59" s="7">
        <f>SUM(AZ59:AZ$204)*EXP(Parameters!$B$54*A59)</f>
        <v>972.52630779852814</v>
      </c>
      <c r="BB59" s="13">
        <f t="shared" si="26"/>
        <v>0.28181971691674418</v>
      </c>
      <c r="BC59" s="30">
        <f>IF(C59&lt;0,Parameters!$B$6*AC59^2/AF59,0)</f>
        <v>0</v>
      </c>
      <c r="BD59" s="30">
        <f>Parameters!$B$5*AD59^2/AG59</f>
        <v>4.4710576746817561E-2</v>
      </c>
      <c r="BE59" s="30">
        <f t="shared" si="14"/>
        <v>0</v>
      </c>
      <c r="BF59" s="30">
        <f t="shared" si="15"/>
        <v>5.2719235852048796E-2</v>
      </c>
      <c r="BH59" s="5"/>
      <c r="BI59" s="5"/>
      <c r="BJ59" s="5"/>
      <c r="BM59">
        <f>-EXP(-Parameters!B$42*'6states,BAU'!A59)*(-Parameters!B$37/Parameters!B$38/Parameters!E$25*(EXP(-Parameters!B$38*Parameters!E$25*'6states,BAU'!I59/('6states,BAU'!F59+'6states,BAU'!I59))-EXP(-Parameters!B$38*Parameters!E$25))+Parameters!B$37*'6states,BAU'!F59/('6states,BAU'!F59+'6states,BAU'!I59)*EXP(-Parameters!B$38*Parameters!E$25*'6states,BAU'!I59/('6states,BAU'!F59+'6states,BAU'!I59)))</f>
        <v>-3.4476940960093692</v>
      </c>
      <c r="BN59">
        <f>-J59*K59*EXP(-Parameters!B$42*'6states,BAU'!A59)*(-Parameters!B$37/Parameters!B$38/Parameters!E$25*(EXP(-Parameters!B$38*Parameters!E$25*'6states,BAU'!I59/('6states,BAU'!F59+'6states,BAU'!I59))-EXP(-Parameters!B$38*Parameters!E$25)) + Parameters!B$37*'6states,BAU'!F59/('6states,BAU'!F59+'6states,BAU'!I59)*EXP(-Parameters!B$38*Parameters!E$25*'6states,BAU'!I59/('6states,BAU'!F59+'6states,BAU'!I59)))</f>
        <v>-887.50498501758682</v>
      </c>
      <c r="BO59" s="7">
        <f t="shared" si="4"/>
        <v>0</v>
      </c>
      <c r="BU59">
        <f>EXP(-Parameters!$B$56*A59)*BH59*BN59</f>
        <v>0</v>
      </c>
      <c r="BV59">
        <f>-EXP((Parameters!$B$56)*F59)*SUM(BU59:BU67)</f>
        <v>0</v>
      </c>
      <c r="BW59">
        <f>X59^-Parameters!B$52/(1-2*Parameters!B$5*'6states,BAU'!D59/'6states,BAU'!G59)</f>
        <v>1.2185062938523161</v>
      </c>
      <c r="BX59">
        <f t="shared" si="16"/>
        <v>1.0113461110422595</v>
      </c>
      <c r="BY59">
        <f>$X59^-Parameters!$B$52/(1-2*Parameters!$B$5*'6states,BAU'!$E59/'6states,BAU'!$H59)</f>
        <v>1.2606678099923421</v>
      </c>
      <c r="BZ59">
        <f t="shared" si="17"/>
        <v>1.010856079213079</v>
      </c>
      <c r="CA59" s="7">
        <f>($X59^-Parameters!$B$52*(1/(1+EXP(-C59)) + IF(C59&lt;0,2*Parameters!$B$6*C59/F59,0)) + BS59*(1/(1+EXP((C59-Parameters!$B$22)*Parameters!$B$21))))/(1-IF(C59&gt;0,2*Parameters!$B$5*C59/F59,0))</f>
        <v>0.64988057957875656</v>
      </c>
      <c r="CB59">
        <f t="shared" si="18"/>
        <v>1.0108293431578788</v>
      </c>
      <c r="CC59" s="7">
        <f t="shared" si="19"/>
        <v>6.9623817863390114E-3</v>
      </c>
      <c r="CD59" t="e">
        <f>(1/$T59-1/Parameters!$B$13) * LN(Parameters!$B$18) / LN(P59)</f>
        <v>#DIV/0!</v>
      </c>
      <c r="CE59">
        <f>(Parameters!$B$18*'6states,BAU'!T59^+Parameters!$B$19*Parameters!$B$25^'6states,BAU'!T59)^((1-'6states,BAU'!T59)/'6states,BAU'!T59)*Parameters!$B$18*Parameters!$B$26^('6states,BAU'!T59-1)</f>
        <v>0.26547866893393191</v>
      </c>
      <c r="CF59" t="e">
        <f t="shared" si="20"/>
        <v>#DIV/0!</v>
      </c>
      <c r="CG59" t="e">
        <f t="shared" si="29"/>
        <v>#DIV/0!</v>
      </c>
      <c r="CH59">
        <f t="shared" si="29"/>
        <v>0.16807733306003436</v>
      </c>
    </row>
    <row r="60" spans="1:86" x14ac:dyDescent="0.3">
      <c r="A60">
        <f>A59+Parameters!$B$65</f>
        <v>56</v>
      </c>
      <c r="B60">
        <v>2081</v>
      </c>
      <c r="C60" s="74">
        <v>5.9544072222837599E-2</v>
      </c>
      <c r="D60" s="69">
        <v>3.2647459934794002E-3</v>
      </c>
      <c r="E60" s="75">
        <v>0.30534352520421398</v>
      </c>
      <c r="F60" s="7">
        <f>MAX((1-Parameters!$B$4)^Parameters!B$65*F59 + C59*Parameters!B$65 - IF(C59&gt;0,Parameters!$B$5,0)*C59^2/F59*Parameters!B$65, 0.0001)</f>
        <v>0.87331668375311045</v>
      </c>
      <c r="G60" s="7">
        <f>(1-Parameters!$B$4)^Parameters!B$65*G59+D59*Parameters!B$65-Parameters!$B$5*D59^2/G59*Parameters!B$65</f>
        <v>6.1682888056196788E-2</v>
      </c>
      <c r="H60" s="7">
        <f>(1-Parameters!$B$4)^Parameters!B$65*H59+E59*Parameters!B$65-Parameters!$B$5*E59^2/H59*Parameters!B$65</f>
        <v>4.5121668610746593</v>
      </c>
      <c r="I60" s="7">
        <f>I59 *(1-Parameters!$B$4)-C59*(C59&lt;0)*Parameters!B$65</f>
        <v>0</v>
      </c>
      <c r="J60" s="23">
        <f>J59*(1+Parameters!$B$51)^Parameters!B$65</f>
        <v>9.5966026311399446</v>
      </c>
      <c r="K60" s="23">
        <f>K59*(1+Parameters!$B$53)^Parameters!B$65</f>
        <v>27.4398900466383</v>
      </c>
      <c r="L60" s="23">
        <f>J60*K60*EXP(-Parameters!$B$42*'6states,BAU'!A60)*(Parameters!$B$37/Parameters!$B$38*('6states,BAU'!F60+'6states,BAU'!I60)/Parameters!$E$25*(EXP(-Parameters!$B$38*Parameters!$E$25*'6states,BAU'!I60/('6states,BAU'!F60+'6states,BAU'!I60))-EXP(-Parameters!$B$38*Parameters!$E$25))  +  Parameters!$B$39*'6states,BAU'!F60)</f>
        <v>119.6270986762399</v>
      </c>
      <c r="M60" s="8">
        <f>M59+L60*Parameters!B$65</f>
        <v>6985.1179498119272</v>
      </c>
      <c r="N60" s="7">
        <f>M60*Parameters!$B$45</f>
        <v>4.1910707698871557</v>
      </c>
      <c r="O60" s="9">
        <f>EXP(-Parameters!$B$46/2*N60^2)</f>
        <v>0.83817447535395795</v>
      </c>
      <c r="P60" s="7">
        <f>MAX((Parameters!$B$62 + Parameters!$B$31*'6states,BAU'!A60 - '6states,BAU'!M60 + Parameters!$B$47/Parameters!$B$45)/Parameters!B$62,1)</f>
        <v>1</v>
      </c>
      <c r="Q60" s="7">
        <f>Parameters!B$61*EXP(-Parameters!B$60*A60)</f>
        <v>0.11023429976450796</v>
      </c>
      <c r="R60" s="7">
        <f>(1-Parameters!B$61)*P60^-Parameters!B$63</f>
        <v>0.5</v>
      </c>
      <c r="S60" s="7">
        <f>Parameters!B$61*EXP(-Parameters!B$60*A60)+(1-Parameters!B$61)*P60^-Parameters!B$63</f>
        <v>0.61023429976450794</v>
      </c>
      <c r="T60" s="7">
        <f>1-S60/Parameters!$B$12</f>
        <v>0.69488285011774598</v>
      </c>
      <c r="U60" s="7">
        <f t="shared" si="0"/>
        <v>3.2774296704918231</v>
      </c>
      <c r="V60" s="7">
        <f>(Parameters!$B$19*(F60+Parameters!$B$20)^T60+Parameters!$B$18*G60^T60)^(1/T60)</f>
        <v>0.57712082806398535</v>
      </c>
      <c r="W60" s="7">
        <f>(Parameters!$B$10*H60^Parameters!$B$9+Parameters!$B$11*V60^Parameters!$B$9)^(Parameters!$B$7/Parameters!$B$9)*O60</f>
        <v>1.2985525828223214</v>
      </c>
      <c r="X60" s="7">
        <f>W60 - D60 - E60 - LN(1+EXP(Parameters!$B$21*C60))/Parameters!$B$21 - IF(C60&gt;0, 0,Parameters!$B$6*C60^2/F60)</f>
        <v>0.93040023934358274</v>
      </c>
      <c r="Y60" s="7">
        <f>EXP(-Parameters!$B$55*A60)</f>
        <v>0.42929970110067539</v>
      </c>
      <c r="Z60" s="7">
        <f>IF(X60&gt;0,X60^(1-Parameters!$B$52)/(1-Parameters!$B$52)*Y60*Parameters!$B$65,-10+X60*1000)</f>
        <v>-1.2579347283578883</v>
      </c>
      <c r="AB60" s="9"/>
      <c r="AC60" s="23">
        <f t="shared" si="6"/>
        <v>15.679723926820259</v>
      </c>
      <c r="AD60" s="23">
        <f t="shared" si="6"/>
        <v>0.85970465166330923</v>
      </c>
      <c r="AE60" s="23">
        <f t="shared" si="7"/>
        <v>0</v>
      </c>
      <c r="AF60" s="23">
        <f t="shared" si="8"/>
        <v>229.97023869460844</v>
      </c>
      <c r="AG60" s="23">
        <f t="shared" si="9"/>
        <v>16.242937703531382</v>
      </c>
      <c r="AH60" s="23">
        <f t="shared" si="10"/>
        <v>151.97306664878209</v>
      </c>
      <c r="AI60" s="23">
        <f t="shared" si="11"/>
        <v>374.01728725825336</v>
      </c>
      <c r="AJ60" s="23">
        <f t="shared" si="12"/>
        <v>341.94748936409053</v>
      </c>
      <c r="AK60" s="23">
        <f t="shared" si="13"/>
        <v>245.00203546306346</v>
      </c>
      <c r="AL60" s="9">
        <f t="shared" si="22"/>
        <v>1.6768963699926864E-2</v>
      </c>
      <c r="AM60" s="9">
        <f t="shared" si="22"/>
        <v>1.4412947688657418E-2</v>
      </c>
      <c r="AN60" s="9">
        <f t="shared" si="31"/>
        <v>1.6763932342597165E-2</v>
      </c>
      <c r="AO60" s="9">
        <f t="shared" si="31"/>
        <v>1.440331151533698E-2</v>
      </c>
      <c r="AP60" s="23"/>
      <c r="AQ60" s="8">
        <f t="shared" si="1"/>
        <v>341.94748936409053</v>
      </c>
      <c r="AR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-1.1034387374043956E-3</v>
      </c>
      <c r="AS60" s="32">
        <f>((C61-C59)/2-(F61-F59)/F60/2*C60)/(F60/2/Parameters!$B$5-C60)-((D61-D59)/D60-(G61-G59)/G60)/(G60/2/Parameters!$B$5/D60-1)</f>
        <v>-9.9793926291399742E-4</v>
      </c>
      <c r="AT60" s="32">
        <f>+Parameters!$B$5*C60^2/F60^2-Parameters!$B$5*D60^2/G60^2</f>
        <v>1.8473586943110972E-3</v>
      </c>
      <c r="AU60" s="30">
        <f>EXP(-Parameters!$B$42*'6states,BAU'!A60)*(Parameters!$B$37*EXP(-Parameters!$B$38*Parameters!$E$25*'6states,BAU'!I60/('6states,BAU'!F60+'6states,BAU'!I60))*(1/Parameters!$B$38/Parameters!$E$25+'6states,BAU'!I60/('6states,BAU'!F60+'6states,BAU'!I60))-Parameters!$B$37/Parameters!$B$38/Parameters!$E$25*EXP(-Parameters!$B$38*Parameters!$E$25)+Parameters!$B$39)</f>
        <v>0.52018513071641426</v>
      </c>
      <c r="AV60" s="30">
        <f>J60*K60*EXP(-Parameters!$B$42*'6states,BAU'!A60)*(Parameters!$B$37*EXP(-Parameters!$B$38*Parameters!$E$25*'6states,BAU'!I60/('6states,BAU'!F60+'6states,BAU'!I60))*(1/Parameters!$B$38/Parameters!$E$25+'6states,BAU'!I60/('6states,BAU'!F60+'6states,BAU'!I60))-Parameters!$B$37/Parameters!$B$38/Parameters!$E$25*EXP(-Parameters!$B$38*Parameters!$E$25)+Parameters!$B$39)</f>
        <v>136.98020535018071</v>
      </c>
      <c r="AW60" s="8">
        <f>1000*(AR60+AS60+AT60)/(EXP(-Parameters!$B$42*A60)*((C60&lt;0)*Parameters!$B$37*EXP(-Parameters!$B$38*AF60)+(C60&gt;=0)*Parameters!$B$41))</f>
        <v>-0.48832481170204328</v>
      </c>
      <c r="AX60" s="13">
        <f>1-W60/'6states,ExoDamages'!T60</f>
        <v>0.11511850964715331</v>
      </c>
      <c r="AY60" s="21">
        <f>-Y60*W60*X60^(-Parameters!B$52)*Parameters!B$46*Parameters!B$45*N60</f>
        <v>-3.1059050901730227E-5</v>
      </c>
      <c r="AZ60" s="7">
        <f>1000*EXP(-(Parameters!$B$54)*'6states,BAU'!A60)*AQ60*Parameters!B$46*Parameters!B$45*N60</f>
        <v>2.4209314254735834</v>
      </c>
      <c r="BA60" s="7">
        <f>SUM(AZ60:AZ$204)*EXP(Parameters!$B$54*A60)</f>
        <v>989.96635932366564</v>
      </c>
      <c r="BB60" s="13">
        <f t="shared" si="26"/>
        <v>0.28350976948532597</v>
      </c>
      <c r="BC60" s="30">
        <f>IF(C60&lt;0,Parameters!$B$6*AC60^2/AF60,0)</f>
        <v>0</v>
      </c>
      <c r="BD60" s="30">
        <f>Parameters!$B$5*AD60^2/AG60</f>
        <v>4.5502365494564788E-2</v>
      </c>
      <c r="BE60" s="30">
        <f t="shared" si="14"/>
        <v>0</v>
      </c>
      <c r="BF60" s="30">
        <f t="shared" si="15"/>
        <v>5.2927904259363161E-2</v>
      </c>
      <c r="BH60" s="5"/>
      <c r="BI60" s="5"/>
      <c r="BJ60" s="5"/>
      <c r="BM60">
        <f>-EXP(-Parameters!B$42*'6states,BAU'!A60)*(-Parameters!B$37/Parameters!B$38/Parameters!E$25*(EXP(-Parameters!B$38*Parameters!E$25*'6states,BAU'!I60/('6states,BAU'!F60+'6states,BAU'!I60))-EXP(-Parameters!B$38*Parameters!E$25))+Parameters!B$37*'6states,BAU'!F60/('6states,BAU'!F60+'6states,BAU'!I60)*EXP(-Parameters!B$38*Parameters!E$25*'6states,BAU'!I60/('6states,BAU'!F60+'6states,BAU'!I60)))</f>
        <v>-3.413388966572064</v>
      </c>
      <c r="BN60">
        <f>-J60*K60*EXP(-Parameters!B$42*'6states,BAU'!A60)*(-Parameters!B$37/Parameters!B$38/Parameters!E$25*(EXP(-Parameters!B$38*Parameters!E$25*'6states,BAU'!I60/('6states,BAU'!F60+'6states,BAU'!I60))-EXP(-Parameters!B$38*Parameters!E$25)) + Parameters!B$37*'6states,BAU'!F60/('6states,BAU'!F60+'6states,BAU'!I60)*EXP(-Parameters!B$38*Parameters!E$25*'6states,BAU'!I60/('6states,BAU'!F60+'6states,BAU'!I60)))</f>
        <v>-898.84676429934837</v>
      </c>
      <c r="BO60" s="7">
        <f t="shared" si="4"/>
        <v>0</v>
      </c>
      <c r="BU60">
        <f>EXP(-Parameters!$B$56*A60)*BH60*BN60</f>
        <v>0</v>
      </c>
      <c r="BV60">
        <f>-EXP((Parameters!$B$56)*F60)*SUM(BU60:BU68)</f>
        <v>0</v>
      </c>
      <c r="BW60">
        <f>X60^-Parameters!B$52/(1-2*Parameters!B$5*'6states,BAU'!D60/'6states,BAU'!G60)</f>
        <v>1.2327874150193301</v>
      </c>
      <c r="BX60">
        <f t="shared" si="16"/>
        <v>1.0117201866244483</v>
      </c>
      <c r="BY60">
        <f>$X60^-Parameters!$B$52/(1-2*Parameters!$B$5*'6states,BAU'!$E60/'6states,BAU'!$H60)</f>
        <v>1.2748278412830472</v>
      </c>
      <c r="BZ60">
        <f t="shared" si="17"/>
        <v>1.0112321669344371</v>
      </c>
      <c r="CA60" s="7">
        <f>($X60^-Parameters!$B$52*(1/(1+EXP(-C60)) + IF(C60&lt;0,2*Parameters!$B$6*C60/F60,0)) + BS60*(1/(1+EXP((C60-Parameters!$B$22)*Parameters!$B$21))))/(1-IF(C60&gt;0,2*Parameters!$B$5*C60/F60,0))</f>
        <v>0.65716123512588165</v>
      </c>
      <c r="CB60">
        <f t="shared" si="18"/>
        <v>1.011203066803203</v>
      </c>
      <c r="CC60" s="7">
        <f t="shared" si="19"/>
        <v>7.2806555471250922E-3</v>
      </c>
      <c r="CD60" t="e">
        <f>(1/$T60-1/Parameters!$B$13) * LN(Parameters!$B$18) / LN(P60)</f>
        <v>#DIV/0!</v>
      </c>
      <c r="CE60">
        <f>(Parameters!$B$18*'6states,BAU'!T60^+Parameters!$B$19*Parameters!$B$25^'6states,BAU'!T60)^((1-'6states,BAU'!T60)/'6states,BAU'!T60)*Parameters!$B$18*Parameters!$B$26^('6states,BAU'!T60-1)</f>
        <v>0.26619898717431834</v>
      </c>
      <c r="CF60" t="e">
        <f t="shared" si="20"/>
        <v>#DIV/0!</v>
      </c>
      <c r="CG60" t="e">
        <f t="shared" si="29"/>
        <v>#DIV/0!</v>
      </c>
      <c r="CH60">
        <f t="shared" si="29"/>
        <v>0.16849259718793352</v>
      </c>
    </row>
    <row r="61" spans="1:86" x14ac:dyDescent="0.3">
      <c r="A61">
        <f>A60+Parameters!$B$65</f>
        <v>57</v>
      </c>
      <c r="B61">
        <v>2082</v>
      </c>
      <c r="C61" s="74">
        <v>5.9562187084960597E-2</v>
      </c>
      <c r="D61" s="69">
        <v>3.2360687515528099E-3</v>
      </c>
      <c r="E61" s="75">
        <v>0.30537196265326</v>
      </c>
      <c r="F61" s="7">
        <f>MAX((1-Parameters!$B$4)^Parameters!B$65*F60 + C60*Parameters!B$65 - IF(C60&gt;0,Parameters!$B$5,0)*C60^2/F60*Parameters!B$65, 0.0001)</f>
        <v>0.87386933031106628</v>
      </c>
      <c r="G61" s="7">
        <f>(1-Parameters!$B$4)^Parameters!B$65*G60+D60*Parameters!B$65-Parameters!$B$5*D60^2/G60*Parameters!B$65</f>
        <v>6.0894984227567395E-2</v>
      </c>
      <c r="H61" s="7">
        <f>(1-Parameters!$B$4)^Parameters!B$65*H60+E60*Parameters!B$65-Parameters!$B$5*E60^2/H60*Parameters!B$65</f>
        <v>4.5130321429020155</v>
      </c>
      <c r="I61" s="7">
        <f>I60 *(1-Parameters!$B$4)-C60*(C60&lt;0)*Parameters!B$65</f>
        <v>0</v>
      </c>
      <c r="J61" s="23">
        <f>J60*(1+Parameters!$B$51)^Parameters!B$65</f>
        <v>9.6244327787702488</v>
      </c>
      <c r="K61" s="23">
        <f>K60*(1+Parameters!$B$53)^Parameters!B$65</f>
        <v>27.988687847571068</v>
      </c>
      <c r="L61" s="23">
        <f>J61*K61*EXP(-Parameters!$B$42*'6states,BAU'!A61)*(Parameters!$B$37/Parameters!$B$38*('6states,BAU'!F61+'6states,BAU'!I61)/Parameters!$E$25*(EXP(-Parameters!$B$38*Parameters!$E$25*'6states,BAU'!I61/('6states,BAU'!F61+'6states,BAU'!I61))-EXP(-Parameters!$B$38*Parameters!$E$25))  +  Parameters!$B$39*'6states,BAU'!F61)</f>
        <v>121.23253002211322</v>
      </c>
      <c r="M61" s="8">
        <f>M60+L61*Parameters!B$65</f>
        <v>7106.35047983404</v>
      </c>
      <c r="N61" s="7">
        <f>M61*Parameters!$B$45</f>
        <v>4.2638102879004238</v>
      </c>
      <c r="O61" s="9">
        <f>EXP(-Parameters!$B$46/2*N61^2)</f>
        <v>0.83300987210366573</v>
      </c>
      <c r="P61" s="7">
        <f>MAX((Parameters!$B$62 + Parameters!$B$31*'6states,BAU'!A61 - '6states,BAU'!M61 + Parameters!$B$47/Parameters!$B$45)/Parameters!B$62,1)</f>
        <v>1</v>
      </c>
      <c r="Q61" s="7">
        <f>Parameters!B$61*EXP(-Parameters!B$60*A61)</f>
        <v>0.10729779487734739</v>
      </c>
      <c r="R61" s="7">
        <f>(1-Parameters!B$61)*P61^-Parameters!B$63</f>
        <v>0.5</v>
      </c>
      <c r="S61" s="7">
        <f>Parameters!B$61*EXP(-Parameters!B$60*A61)+(1-Parameters!B$61)*P61^-Parameters!B$63</f>
        <v>0.60729779487734736</v>
      </c>
      <c r="T61" s="7">
        <f>1-S61/Parameters!$B$12</f>
        <v>0.69635110256132626</v>
      </c>
      <c r="U61" s="7">
        <f t="shared" si="0"/>
        <v>3.2932772304960021</v>
      </c>
      <c r="V61" s="7">
        <f>(Parameters!$B$19*(F61+Parameters!$B$20)^T61+Parameters!$B$18*G61^T61)^(1/T61)</f>
        <v>0.57729622323155039</v>
      </c>
      <c r="W61" s="7">
        <f>(Parameters!$B$10*H61^Parameters!$B$9+Parameters!$B$11*V61^Parameters!$B$9)^(Parameters!$B$7/Parameters!$B$9)*O61</f>
        <v>1.2906330096613392</v>
      </c>
      <c r="X61" s="7">
        <f>W61 - D61 - E61 - LN(1+EXP(Parameters!$B$21*C61))/Parameters!$B$21 - IF(C61&gt;0, 0,Parameters!$B$6*C61^2/F61)</f>
        <v>0.92246279111367346</v>
      </c>
      <c r="Y61" s="7">
        <f>EXP(-Parameters!$B$55*A61)</f>
        <v>0.42286597251064995</v>
      </c>
      <c r="Z61" s="7">
        <f>IF(X61&gt;0,X61^(1-Parameters!$B$52)/(1-Parameters!$B$52)*Y61*Parameters!$B$65,-10+X61*1000)</f>
        <v>-1.2428038645086283</v>
      </c>
      <c r="AB61" s="9"/>
      <c r="AC61" s="23">
        <f t="shared" si="6"/>
        <v>16.044578724150281</v>
      </c>
      <c r="AD61" s="23">
        <f t="shared" si="6"/>
        <v>0.87171681199332385</v>
      </c>
      <c r="AE61" s="23">
        <f t="shared" si="7"/>
        <v>0</v>
      </c>
      <c r="AF61" s="23">
        <f t="shared" si="8"/>
        <v>235.39876473637159</v>
      </c>
      <c r="AG61" s="23">
        <f t="shared" si="9"/>
        <v>16.403601280648662</v>
      </c>
      <c r="AH61" s="23">
        <f t="shared" si="10"/>
        <v>155.50931142909644</v>
      </c>
      <c r="AI61" s="23">
        <f t="shared" si="11"/>
        <v>382.72025488916239</v>
      </c>
      <c r="AJ61" s="23">
        <f t="shared" si="12"/>
        <v>347.66458286631712</v>
      </c>
      <c r="AK61" s="23">
        <f t="shared" si="13"/>
        <v>248.48864013356305</v>
      </c>
      <c r="AL61" s="9">
        <f t="shared" si="22"/>
        <v>1.6580987238523193E-2</v>
      </c>
      <c r="AM61" s="9">
        <f t="shared" si="22"/>
        <v>1.4130612220821348E-2</v>
      </c>
      <c r="AN61" s="9">
        <f t="shared" si="31"/>
        <v>1.6575845261550804E-2</v>
      </c>
      <c r="AO61" s="9">
        <f t="shared" si="31"/>
        <v>1.4120289376459105E-2</v>
      </c>
      <c r="AP61" s="23"/>
      <c r="AQ61" s="8">
        <f t="shared" si="1"/>
        <v>347.66458286631712</v>
      </c>
      <c r="AR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-1.0750819143914851E-3</v>
      </c>
      <c r="AS61" s="32">
        <f>((C62-C60)/2-(F62-F60)/F61/2*C61)/(F61/2/Parameters!$B$5-C61)-((D62-D60)/D61-(G62-G60)/G61)/(G61/2/Parameters!$B$5/D61-1)</f>
        <v>-9.5467753037947723E-4</v>
      </c>
      <c r="AT61" s="32">
        <f>+Parameters!$B$5*C61^2/F61^2-Parameters!$B$5*D61^2/G61^2</f>
        <v>1.8216188081420334E-3</v>
      </c>
      <c r="AU61" s="30">
        <f>EXP(-Parameters!$B$42*'6states,BAU'!A61)*(Parameters!$B$37*EXP(-Parameters!$B$38*Parameters!$E$25*'6states,BAU'!I61/('6states,BAU'!F61+'6states,BAU'!I61))*(1/Parameters!$B$38/Parameters!$E$25+'6states,BAU'!I61/('6states,BAU'!F61+'6states,BAU'!I61))-Parameters!$B$37/Parameters!$B$38/Parameters!$E$25*EXP(-Parameters!$B$38*Parameters!$E$25)+Parameters!$B$39)</f>
        <v>0.51500920218457513</v>
      </c>
      <c r="AV61" s="30">
        <f>J61*K61*EXP(-Parameters!$B$42*'6states,BAU'!A61)*(Parameters!$B$37*EXP(-Parameters!$B$38*Parameters!$E$25*'6states,BAU'!I61/('6states,BAU'!F61+'6states,BAU'!I61))*(1/Parameters!$B$38/Parameters!$E$25+'6states,BAU'!I61/('6states,BAU'!F61+'6states,BAU'!I61))-Parameters!$B$37/Parameters!$B$38/Parameters!$E$25*EXP(-Parameters!$B$38*Parameters!$E$25)+Parameters!$B$39)</f>
        <v>138.73072988951193</v>
      </c>
      <c r="AW61" s="8">
        <f>1000*(AR61+AS61+AT61)/(EXP(-Parameters!$B$42*A61)*((C61&lt;0)*Parameters!$B$37*EXP(-Parameters!$B$38*AF61)+(C61&gt;=0)*Parameters!$B$41))</f>
        <v>-0.40414935450868456</v>
      </c>
      <c r="AX61" s="13">
        <f>1-W61/'6states,ExoDamages'!T61</f>
        <v>0.12030156041025697</v>
      </c>
      <c r="AY61" s="21">
        <f>-Y61*W61*X61^(-Parameters!B$52)*Parameters!B$46*Parameters!B$45*N61</f>
        <v>-3.1294623544212441E-5</v>
      </c>
      <c r="AZ61" s="7">
        <f>1000*EXP(-(Parameters!$B$54)*'6states,BAU'!A61)*AQ61*Parameters!B$46*Parameters!B$45*N61</f>
        <v>2.4177570686330849</v>
      </c>
      <c r="BA61" s="7">
        <f>SUM(AZ61:AZ$204)*EXP(Parameters!$B$54*A61)</f>
        <v>1007.4302763809396</v>
      </c>
      <c r="BB61" s="13">
        <f t="shared" si="26"/>
        <v>0.28526328997766831</v>
      </c>
      <c r="BC61" s="30">
        <f>IF(C61&lt;0,Parameters!$B$6*AC61^2/AF61,0)</f>
        <v>0</v>
      </c>
      <c r="BD61" s="30">
        <f>Parameters!$B$5*AD61^2/AG61</f>
        <v>4.6324595880555007E-2</v>
      </c>
      <c r="BE61" s="30">
        <f t="shared" si="14"/>
        <v>0</v>
      </c>
      <c r="BF61" s="30">
        <f t="shared" si="15"/>
        <v>5.3141794724167586E-2</v>
      </c>
      <c r="BH61" s="5"/>
      <c r="BI61" s="5"/>
      <c r="BJ61" s="5"/>
      <c r="BM61">
        <f>-EXP(-Parameters!B$42*'6states,BAU'!A61)*(-Parameters!B$37/Parameters!B$38/Parameters!E$25*(EXP(-Parameters!B$38*Parameters!E$25*'6states,BAU'!I61/('6states,BAU'!F61+'6states,BAU'!I61))-EXP(-Parameters!B$38*Parameters!E$25))+Parameters!B$37*'6states,BAU'!F61/('6states,BAU'!F61+'6states,BAU'!I61)*EXP(-Parameters!B$38*Parameters!E$25*'6states,BAU'!I61/('6states,BAU'!F61+'6states,BAU'!I61)))</f>
        <v>-3.3794251788759166</v>
      </c>
      <c r="BN61">
        <f>-J61*K61*EXP(-Parameters!B$42*'6states,BAU'!A61)*(-Parameters!B$37/Parameters!B$38/Parameters!E$25*(EXP(-Parameters!B$38*Parameters!E$25*'6states,BAU'!I61/('6states,BAU'!F61+'6states,BAU'!I61))-EXP(-Parameters!B$38*Parameters!E$25)) + Parameters!B$37*'6states,BAU'!F61/('6states,BAU'!F61+'6states,BAU'!I61)*EXP(-Parameters!B$38*Parameters!E$25*'6states,BAU'!I61/('6states,BAU'!F61+'6states,BAU'!I61)))</f>
        <v>-910.33348469067823</v>
      </c>
      <c r="BO61" s="7">
        <f t="shared" si="4"/>
        <v>0</v>
      </c>
      <c r="BU61">
        <f>EXP(-Parameters!$B$56*A61)*BH61*BN61</f>
        <v>0</v>
      </c>
      <c r="BV61">
        <f>-EXP((Parameters!$B$56)*F61)*SUM(BU61:BU69)</f>
        <v>0</v>
      </c>
      <c r="BW61">
        <f>X61^-Parameters!B$52/(1-2*Parameters!B$5*'6states,BAU'!D61/'6states,BAU'!G61)</f>
        <v>1.2477262445386563</v>
      </c>
      <c r="BX61">
        <f t="shared" si="16"/>
        <v>1.0121179283121511</v>
      </c>
      <c r="BY61">
        <f>$X61^-Parameters!$B$52/(1-2*Parameters!$B$5*'6states,BAU'!$E61/'6states,BAU'!$H61)</f>
        <v>1.2896389066160023</v>
      </c>
      <c r="BZ61">
        <f t="shared" si="17"/>
        <v>1.0116180905792336</v>
      </c>
      <c r="CA61" s="7">
        <f>($X61^-Parameters!$B$52*(1/(1+EXP(-C61)) + IF(C61&lt;0,2*Parameters!$B$6*C61/F61,0)) + BS61*(1/(1+EXP((C61-Parameters!$B$22)*Parameters!$B$21))))/(1-IF(C61&gt;0,2*Parameters!$B$5*C61/F61,0))</f>
        <v>0.66477782964991816</v>
      </c>
      <c r="CB61">
        <f t="shared" si="18"/>
        <v>1.0115901457921168</v>
      </c>
      <c r="CC61" s="7">
        <f t="shared" si="19"/>
        <v>7.6165945240365129E-3</v>
      </c>
      <c r="CD61" t="e">
        <f>(1/$T61-1/Parameters!$B$13) * LN(Parameters!$B$18) / LN(P61)</f>
        <v>#DIV/0!</v>
      </c>
      <c r="CE61">
        <f>(Parameters!$B$18*'6states,BAU'!T61^+Parameters!$B$19*Parameters!$B$25^'6states,BAU'!T61)^((1-'6states,BAU'!T61)/'6states,BAU'!T61)*Parameters!$B$18*Parameters!$B$26^('6states,BAU'!T61-1)</f>
        <v>0.26689418148127436</v>
      </c>
      <c r="CF61" t="e">
        <f t="shared" si="20"/>
        <v>#DIV/0!</v>
      </c>
      <c r="CG61" t="e">
        <f t="shared" si="29"/>
        <v>#DIV/0!</v>
      </c>
      <c r="CH61">
        <f t="shared" si="29"/>
        <v>0.16889318077860838</v>
      </c>
    </row>
    <row r="62" spans="1:86" x14ac:dyDescent="0.3">
      <c r="A62">
        <f>A61+Parameters!$B$65</f>
        <v>58</v>
      </c>
      <c r="B62">
        <v>2083</v>
      </c>
      <c r="C62" s="74">
        <v>5.9578770780225797E-2</v>
      </c>
      <c r="D62" s="69">
        <v>3.20671199726049E-3</v>
      </c>
      <c r="E62" s="75">
        <v>0.30540343639284201</v>
      </c>
      <c r="F62" s="7">
        <f>MAX((1-Parameters!$B$4)^Parameters!B$65*F61 + C61*Parameters!B$65 - IF(C61&gt;0,Parameters!$B$5,0)*C61^2/F61*Parameters!B$65, 0.0001)</f>
        <v>0.87440542872644222</v>
      </c>
      <c r="G62" s="7">
        <f>(1-Parameters!$B$4)^Parameters!B$65*G61+D61*Parameters!B$65-Parameters!$B$5*D61^2/G61*Parameters!B$65</f>
        <v>6.0128787969897901E-2</v>
      </c>
      <c r="H62" s="7">
        <f>(1-Parameters!$B$4)^Parameters!B$65*H61+E61*Parameters!B$65-Parameters!$B$5*E61^2/H61*Parameters!B$65</f>
        <v>4.5138715494190231</v>
      </c>
      <c r="I62" s="7">
        <f>I61 *(1-Parameters!$B$4)-C61*(C61&lt;0)*Parameters!B$65</f>
        <v>0</v>
      </c>
      <c r="J62" s="23">
        <f>J61*(1+Parameters!$B$51)^Parameters!B$65</f>
        <v>9.6523436338286821</v>
      </c>
      <c r="K62" s="23">
        <f>K61*(1+Parameters!$B$53)^Parameters!B$65</f>
        <v>28.54846160452249</v>
      </c>
      <c r="L62" s="23">
        <f>J62*K62*EXP(-Parameters!$B$42*'6states,BAU'!A62)*(Parameters!$B$37/Parameters!$B$38*('6states,BAU'!F62+'6states,BAU'!I62)/Parameters!$E$25*(EXP(-Parameters!$B$38*Parameters!$E$25*'6states,BAU'!I62/('6states,BAU'!F62+'6states,BAU'!I62))-EXP(-Parameters!$B$38*Parameters!$E$25))  +  Parameters!$B$39*'6states,BAU'!F62)</f>
        <v>122.85713252425101</v>
      </c>
      <c r="M62" s="8">
        <f>M61+L62*Parameters!B$65</f>
        <v>7229.207612358291</v>
      </c>
      <c r="N62" s="7">
        <f>M62*Parameters!$B$45</f>
        <v>4.3375245674149738</v>
      </c>
      <c r="O62" s="9">
        <f>EXP(-Parameters!$B$46/2*N62^2)</f>
        <v>0.82771871400602226</v>
      </c>
      <c r="P62" s="7">
        <f>MAX((Parameters!$B$62 + Parameters!$B$31*'6states,BAU'!A62 - '6states,BAU'!M62 + Parameters!$B$47/Parameters!$B$45)/Parameters!B$62,1)</f>
        <v>1</v>
      </c>
      <c r="Q62" s="7">
        <f>Parameters!B$61*EXP(-Parameters!B$60*A62)</f>
        <v>0.10443951483463847</v>
      </c>
      <c r="R62" s="7">
        <f>(1-Parameters!B$61)*P62^-Parameters!B$63</f>
        <v>0.5</v>
      </c>
      <c r="S62" s="7">
        <f>Parameters!B$61*EXP(-Parameters!B$60*A62)+(1-Parameters!B$61)*P62^-Parameters!B$63</f>
        <v>0.60443951483463843</v>
      </c>
      <c r="T62" s="7">
        <f>1-S62/Parameters!$B$12</f>
        <v>0.69778024258268079</v>
      </c>
      <c r="U62" s="7">
        <f t="shared" si="0"/>
        <v>3.3088505150877778</v>
      </c>
      <c r="V62" s="7">
        <f>(Parameters!$B$19*(F62+Parameters!$B$20)^T62+Parameters!$B$18*G62^T62)^(1/T62)</f>
        <v>0.57746741861556805</v>
      </c>
      <c r="W62" s="7">
        <f>(Parameters!$B$10*H62^Parameters!$B$9+Parameters!$B$11*V62^Parameters!$B$9)^(Parameters!$B$7/Parameters!$B$9)*O62</f>
        <v>1.2825140076304471</v>
      </c>
      <c r="X62" s="7">
        <f>W62 - D62 - E62 - LN(1+EXP(Parameters!$B$21*C62))/Parameters!$B$21 - IF(C62&gt;0, 0,Parameters!$B$6*C62^2/F62)</f>
        <v>0.91432508840251392</v>
      </c>
      <c r="Y62" s="7">
        <f>EXP(-Parameters!$B$55*A62)</f>
        <v>0.41652866342304673</v>
      </c>
      <c r="Z62" s="7">
        <f>IF(X62&gt;0,X62^(1-Parameters!$B$52)/(1-Parameters!$B$52)*Y62*Parameters!$B$65,-10+X62*1000)</f>
        <v>-1.2279809388072302</v>
      </c>
      <c r="AB62" s="9"/>
      <c r="AC62" s="23">
        <f t="shared" si="6"/>
        <v>16.417499958296709</v>
      </c>
      <c r="AD62" s="23">
        <f t="shared" si="6"/>
        <v>0.88364015221957093</v>
      </c>
      <c r="AE62" s="23">
        <f t="shared" si="7"/>
        <v>0</v>
      </c>
      <c r="AF62" s="23">
        <f t="shared" si="8"/>
        <v>240.95077662151752</v>
      </c>
      <c r="AG62" s="23">
        <f t="shared" si="9"/>
        <v>16.569062453968424</v>
      </c>
      <c r="AH62" s="23">
        <f t="shared" si="10"/>
        <v>159.1266687258576</v>
      </c>
      <c r="AI62" s="23">
        <f t="shared" si="11"/>
        <v>391.62284659842362</v>
      </c>
      <c r="AJ62" s="23">
        <f t="shared" si="12"/>
        <v>353.40899771930492</v>
      </c>
      <c r="AK62" s="23">
        <f t="shared" si="13"/>
        <v>251.95102054203568</v>
      </c>
      <c r="AL62" s="9">
        <f t="shared" si="22"/>
        <v>1.6387847359347951E-2</v>
      </c>
      <c r="AM62" s="9">
        <f t="shared" si="22"/>
        <v>1.3837574948531106E-2</v>
      </c>
      <c r="AN62" s="9">
        <f t="shared" si="31"/>
        <v>1.6382607879576662E-2</v>
      </c>
      <c r="AO62" s="9">
        <f t="shared" si="31"/>
        <v>1.3831060276696051E-2</v>
      </c>
      <c r="AP62" s="23"/>
      <c r="AQ62" s="8">
        <f t="shared" si="1"/>
        <v>353.40899771930492</v>
      </c>
      <c r="AR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-1.0503066332799653E-3</v>
      </c>
      <c r="AS62" s="32">
        <f>((C63-C61)/2-(F63-F61)/F62/2*C62)/(F62/2/Parameters!$B$5-C62)-((D63-D61)/D62-(G63-G61)/G62)/(G62/2/Parameters!$B$5/D62-1)</f>
        <v>-9.4476828797439749E-4</v>
      </c>
      <c r="AT62" s="32">
        <f>+Parameters!$B$5*C62^2/F62^2-Parameters!$B$5*D62^2/G62^2</f>
        <v>1.7983920406707977E-3</v>
      </c>
      <c r="AU62" s="30">
        <f>EXP(-Parameters!$B$42*'6states,BAU'!A62)*(Parameters!$B$37*EXP(-Parameters!$B$38*Parameters!$E$25*'6states,BAU'!I62/('6states,BAU'!F62+'6states,BAU'!I62))*(1/Parameters!$B$38/Parameters!$E$25+'6states,BAU'!I62/('6states,BAU'!F62+'6states,BAU'!I62))-Parameters!$B$37/Parameters!$B$38/Parameters!$E$25*EXP(-Parameters!$B$38*Parameters!$E$25)+Parameters!$B$39)</f>
        <v>0.50988477500213036</v>
      </c>
      <c r="AV62" s="30">
        <f>J62*K62*EXP(-Parameters!$B$42*'6states,BAU'!A62)*(Parameters!$B$37*EXP(-Parameters!$B$38*Parameters!$E$25*'6states,BAU'!I62/('6states,BAU'!F62+'6states,BAU'!I62))*(1/Parameters!$B$38/Parameters!$E$25+'6states,BAU'!I62/('6states,BAU'!F62+'6states,BAU'!I62))-Parameters!$B$37/Parameters!$B$38/Parameters!$E$25*EXP(-Parameters!$B$38*Parameters!$E$25)+Parameters!$B$39)</f>
        <v>140.50362507834666</v>
      </c>
      <c r="AW62" s="8">
        <f>1000*(AR62+AS62+AT62)/(EXP(-Parameters!$B$42*A62)*((C62&lt;0)*Parameters!$B$37*EXP(-Parameters!$B$38*AF62)+(C62&gt;=0)*Parameters!$B$41))</f>
        <v>-0.38573985776049813</v>
      </c>
      <c r="AX62" s="13">
        <f>1-W62/'6states,ExoDamages'!T62</f>
        <v>0.1256276253728551</v>
      </c>
      <c r="AY62" s="21">
        <f>-Y62*W62*X62^(-Parameters!B$52)*Parameters!B$46*Parameters!B$45*N62</f>
        <v>-3.1536275858382935E-5</v>
      </c>
      <c r="AZ62" s="7">
        <f>1000*EXP(-(Parameters!$B$54)*'6states,BAU'!A62)*AQ62*Parameters!B$46*Parameters!B$45*N62</f>
        <v>2.4139604562441681</v>
      </c>
      <c r="BA62" s="7">
        <f>SUM(AZ62:AZ$204)*EXP(Parameters!$B$54*A62)</f>
        <v>1024.9028925245834</v>
      </c>
      <c r="BB62" s="13">
        <f t="shared" si="26"/>
        <v>0.28708374098041112</v>
      </c>
      <c r="BC62" s="30">
        <f>IF(C62&lt;0,Parameters!$B$6*AC62^2/AF62,0)</f>
        <v>0</v>
      </c>
      <c r="BD62" s="30">
        <f>Parameters!$B$5*AD62^2/AG62</f>
        <v>4.7125172035766806E-2</v>
      </c>
      <c r="BE62" s="30">
        <f t="shared" si="14"/>
        <v>0</v>
      </c>
      <c r="BF62" s="30">
        <f t="shared" si="15"/>
        <v>5.3330727352526336E-2</v>
      </c>
      <c r="BH62" s="5"/>
      <c r="BI62" s="5"/>
      <c r="BJ62" s="5"/>
      <c r="BM62">
        <f>-EXP(-Parameters!B$42*'6states,BAU'!A62)*(-Parameters!B$37/Parameters!B$38/Parameters!E$25*(EXP(-Parameters!B$38*Parameters!E$25*'6states,BAU'!I62/('6states,BAU'!F62+'6states,BAU'!I62))-EXP(-Parameters!B$38*Parameters!E$25))+Parameters!B$37*'6states,BAU'!F62/('6states,BAU'!F62+'6states,BAU'!I62)*EXP(-Parameters!B$38*Parameters!E$25*'6states,BAU'!I62/('6states,BAU'!F62+'6states,BAU'!I62)))</f>
        <v>-3.3457993365138536</v>
      </c>
      <c r="BN62">
        <f>-J62*K62*EXP(-Parameters!B$42*'6states,BAU'!A62)*(-Parameters!B$37/Parameters!B$38/Parameters!E$25*(EXP(-Parameters!B$38*Parameters!E$25*'6states,BAU'!I62/('6states,BAU'!F62+'6states,BAU'!I62))-EXP(-Parameters!B$38*Parameters!E$25)) + Parameters!B$37*'6states,BAU'!F62/('6states,BAU'!F62+'6states,BAU'!I62)*EXP(-Parameters!B$38*Parameters!E$25*'6states,BAU'!I62/('6states,BAU'!F62+'6states,BAU'!I62)))</f>
        <v>-921.96699845167848</v>
      </c>
      <c r="BO62" s="7">
        <f t="shared" si="4"/>
        <v>0</v>
      </c>
      <c r="BU62">
        <f>EXP(-Parameters!$B$56*A62)*BH62*BN62</f>
        <v>0</v>
      </c>
      <c r="BV62">
        <f>-EXP((Parameters!$B$56)*F62)*SUM(BU62:BU70)</f>
        <v>0</v>
      </c>
      <c r="BW62">
        <f>X62^-Parameters!B$52/(1-2*Parameters!B$5*'6states,BAU'!D62/'6states,BAU'!G62)</f>
        <v>1.2632754823157959</v>
      </c>
      <c r="BX62">
        <f t="shared" si="16"/>
        <v>1.0124620587610456</v>
      </c>
      <c r="BY62">
        <f>$X62^-Parameters!$B$52/(1-2*Parameters!$B$5*'6states,BAU'!$E62/'6states,BAU'!$H62)</f>
        <v>1.3051414686812994</v>
      </c>
      <c r="BZ62">
        <f t="shared" si="17"/>
        <v>1.0120208548189475</v>
      </c>
      <c r="CA62" s="7">
        <f>($X62^-Parameters!$B$52*(1/(1+EXP(-C62)) + IF(C62&lt;0,2*Parameters!$B$6*C62/F62,0)) + BS62*(1/(1+EXP((C62-Parameters!$B$22)*Parameters!$B$21))))/(1-IF(C62&gt;0,2*Parameters!$B$5*C62/F62,0))</f>
        <v>0.67274761566875285</v>
      </c>
      <c r="CB62">
        <f t="shared" si="18"/>
        <v>1.0119886459255594</v>
      </c>
      <c r="CC62" s="7">
        <f t="shared" si="19"/>
        <v>7.9697860188346903E-3</v>
      </c>
      <c r="CD62" t="e">
        <f>(1/$T62-1/Parameters!$B$13) * LN(Parameters!$B$18) / LN(P62)</f>
        <v>#DIV/0!</v>
      </c>
      <c r="CE62">
        <f>(Parameters!$B$18*'6states,BAU'!T62^+Parameters!$B$19*Parameters!$B$25^'6states,BAU'!T62)^((1-'6states,BAU'!T62)/'6states,BAU'!T62)*Parameters!$B$18*Parameters!$B$26^('6states,BAU'!T62-1)</f>
        <v>0.26756523318349801</v>
      </c>
      <c r="CF62" t="e">
        <f t="shared" si="20"/>
        <v>#DIV/0!</v>
      </c>
      <c r="CG62" t="e">
        <f t="shared" si="29"/>
        <v>#DIV/0!</v>
      </c>
      <c r="CH62">
        <f t="shared" si="29"/>
        <v>0.1692796699137451</v>
      </c>
    </row>
    <row r="63" spans="1:86" s="4" customFormat="1" x14ac:dyDescent="0.3">
      <c r="A63">
        <f>A62+Parameters!$B$65</f>
        <v>59</v>
      </c>
      <c r="B63">
        <v>2084</v>
      </c>
      <c r="C63" s="74">
        <v>5.95933688760397E-2</v>
      </c>
      <c r="D63" s="69">
        <v>3.1793267870879401E-3</v>
      </c>
      <c r="E63" s="75">
        <v>0.30543741524985901</v>
      </c>
      <c r="F63" s="7">
        <f>MAX((1-Parameters!$B$4)^Parameters!B$65*F62 + C62*Parameters!B$65 - IF(C62&gt;0,Parameters!$B$5,0)*C62^2/F62*Parameters!B$65, 0.0001)</f>
        <v>0.8749246196661643</v>
      </c>
      <c r="G63" s="7">
        <f>(1-Parameters!$B$4)^Parameters!B$65*G62+D62*Parameters!B$65-Parameters!$B$5*D62^2/G62*Parameters!B$65</f>
        <v>5.9382382920627842E-2</v>
      </c>
      <c r="H63" s="7">
        <f>(1-Parameters!$B$4)^Parameters!B$65*H62+E62*Parameters!B$65-Parameters!$B$5*E62^2/H62*Parameters!B$65</f>
        <v>4.5146892147625577</v>
      </c>
      <c r="I63" s="7">
        <f>I62 *(1-Parameters!$B$4)-C62*(C62&lt;0)*Parameters!B$65</f>
        <v>0</v>
      </c>
      <c r="J63" s="23">
        <f>J62*(1+Parameters!$B$51)^Parameters!B$65</f>
        <v>9.6803354303667835</v>
      </c>
      <c r="K63" s="23">
        <f>K62*(1+Parameters!$B$53)^Parameters!B$65</f>
        <v>29.119430836612942</v>
      </c>
      <c r="L63" s="23">
        <f>J63*K63*EXP(-Parameters!$B$42*'6states,BAU'!A63)*(Parameters!$B$37/Parameters!$B$38*('6states,BAU'!F63+'6states,BAU'!I63)/Parameters!$E$25*(EXP(-Parameters!$B$38*Parameters!$E$25*'6states,BAU'!I63/('6states,BAU'!F63+'6states,BAU'!I63))-EXP(-Parameters!$B$38*Parameters!$E$25))  +  Parameters!$B$39*'6states,BAU'!F63)</f>
        <v>124.50105314064858</v>
      </c>
      <c r="M63" s="8">
        <f>M62+L63*Parameters!B$65</f>
        <v>7353.7086654989398</v>
      </c>
      <c r="N63" s="7">
        <f>M63*Parameters!$B$45</f>
        <v>4.4122251992993631</v>
      </c>
      <c r="O63" s="9">
        <f>EXP(-Parameters!$B$46/2*N63^2)</f>
        <v>0.8222994148116447</v>
      </c>
      <c r="P63" s="7">
        <f>MAX((Parameters!$B$62 + Parameters!$B$31*'6states,BAU'!A63 - '6states,BAU'!M63 + Parameters!$B$47/Parameters!$B$45)/Parameters!B$62,1)</f>
        <v>1</v>
      </c>
      <c r="Q63" s="7">
        <f>Parameters!B$61*EXP(-Parameters!B$60*A63)</f>
        <v>0.10165737582364309</v>
      </c>
      <c r="R63" s="7">
        <f>(1-Parameters!B$61)*P63^-Parameters!B$63</f>
        <v>0.5</v>
      </c>
      <c r="S63" s="7">
        <f>Parameters!B$61*EXP(-Parameters!B$60*A63)+(1-Parameters!B$61)*P63^-Parameters!B$63</f>
        <v>0.60165737582364309</v>
      </c>
      <c r="T63" s="7">
        <f>1-S63/Parameters!$B$12</f>
        <v>0.6991713120881784</v>
      </c>
      <c r="U63" s="7">
        <f t="shared" si="0"/>
        <v>3.3241510540148962</v>
      </c>
      <c r="V63" s="7">
        <f>(Parameters!$B$19*(F63+Parameters!$B$20)^T63+Parameters!$B$18*G63^T63)^(1/T63)</f>
        <v>0.577633169269403</v>
      </c>
      <c r="W63" s="7">
        <f>(Parameters!$B$10*H63^Parameters!$B$9+Parameters!$B$11*V63^Parameters!$B$9)^(Parameters!$B$7/Parameters!$B$9)*O63</f>
        <v>1.2741932752785488</v>
      </c>
      <c r="X63" s="7">
        <f>W63 - D63 - E63 - LN(1+EXP(Parameters!$B$21*C63))/Parameters!$B$21 - IF(C63&gt;0, 0,Parameters!$B$6*C63^2/F63)</f>
        <v>0.90598316430820902</v>
      </c>
      <c r="Y63" s="16">
        <f>EXP(-Parameters!$B$55*A63)</f>
        <v>0.41028632884056476</v>
      </c>
      <c r="Z63" s="7">
        <f>IF(X63&gt;0,X63^(1-Parameters!$B$52)/(1-Parameters!$B$52)*Y63*Parameters!$B$65,-10+X63*1000)</f>
        <v>-1.2134641692205095</v>
      </c>
      <c r="AA63"/>
      <c r="AB63" s="9"/>
      <c r="AC63" s="23">
        <f t="shared" si="6"/>
        <v>16.798527919103531</v>
      </c>
      <c r="AD63" s="23">
        <f t="shared" si="6"/>
        <v>0.89620725936713874</v>
      </c>
      <c r="AE63" s="23">
        <f t="shared" si="7"/>
        <v>0</v>
      </c>
      <c r="AF63" s="23">
        <f t="shared" si="8"/>
        <v>246.62887713472432</v>
      </c>
      <c r="AG63" s="23">
        <f t="shared" si="9"/>
        <v>16.739053962027917</v>
      </c>
      <c r="AH63" s="23">
        <f t="shared" si="10"/>
        <v>162.82662155174276</v>
      </c>
      <c r="AI63" s="23">
        <f t="shared" si="11"/>
        <v>400.72871219314254</v>
      </c>
      <c r="AJ63" s="23">
        <f t="shared" si="12"/>
        <v>359.17706471041043</v>
      </c>
      <c r="AK63" s="23">
        <f t="shared" si="13"/>
        <v>255.38384164061389</v>
      </c>
      <c r="AL63" s="9">
        <f t="shared" si="22"/>
        <v>1.6189463359612688E-2</v>
      </c>
      <c r="AM63" s="9">
        <f t="shared" si="22"/>
        <v>1.3532969031848197E-2</v>
      </c>
      <c r="AN63" s="9">
        <f t="shared" si="31"/>
        <v>1.6183933585321775E-2</v>
      </c>
      <c r="AO63" s="9">
        <f t="shared" si="31"/>
        <v>1.352646124681094E-2</v>
      </c>
      <c r="AP63" s="23"/>
      <c r="AQ63" s="25">
        <f t="shared" si="1"/>
        <v>359.17706471041049</v>
      </c>
      <c r="AR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-1.0231579749197123E-3</v>
      </c>
      <c r="AS63" s="32">
        <f>((C64-C62)/2-(F64-F62)/F63/2*C63)/(F63/2/Parameters!$B$5-C63)-((D64-D62)/D63-(G64-G62)/G63)/(G63/2/Parameters!$B$5/D63-1)</f>
        <v>-1.0055500934559774E-3</v>
      </c>
      <c r="AT63" s="32">
        <f>+Parameters!$B$5*C63^2/F63^2-Parameters!$B$5*D63^2/G63^2</f>
        <v>1.7728020980618989E-3</v>
      </c>
      <c r="AU63" s="30">
        <f>EXP(-Parameters!$B$42*'6states,BAU'!A63)*(Parameters!$B$37*EXP(-Parameters!$B$38*Parameters!$E$25*'6states,BAU'!I63/('6states,BAU'!F63+'6states,BAU'!I63))*(1/Parameters!$B$38/Parameters!$E$25+'6states,BAU'!I63/('6states,BAU'!F63+'6states,BAU'!I63))-Parameters!$B$37/Parameters!$B$38/Parameters!$E$25*EXP(-Parameters!$B$38*Parameters!$E$25)+Parameters!$B$39)</f>
        <v>0.50481133672209111</v>
      </c>
      <c r="AV63" s="30">
        <f>J63*K63*EXP(-Parameters!$B$42*'6states,BAU'!A63)*(Parameters!$B$37*EXP(-Parameters!$B$38*Parameters!$E$25*'6states,BAU'!I63/('6states,BAU'!F63+'6states,BAU'!I63))*(1/Parameters!$B$38/Parameters!$E$25+'6states,BAU'!I63/('6states,BAU'!F63+'6states,BAU'!I63))-Parameters!$B$37/Parameters!$B$38/Parameters!$E$25*EXP(-Parameters!$B$38*Parameters!$E$25)+Parameters!$B$39)</f>
        <v>142.29917680011465</v>
      </c>
      <c r="AW63" s="8">
        <f>1000*(AR63+AS63+AT63)/(EXP(-Parameters!$B$42*A63)*((C63&lt;0)*Parameters!$B$37*EXP(-Parameters!$B$38*AF63)+(C63&gt;=0)*Parameters!$B$41))</f>
        <v>-0.5069338814287998</v>
      </c>
      <c r="AX63" s="13">
        <f>1-W63/'6states,ExoDamages'!T63</f>
        <v>0.1310982897878733</v>
      </c>
      <c r="AY63" s="21">
        <f>-Y63*W63*X63^(-Parameters!B$52)*Parameters!B$46*Parameters!B$45*N63</f>
        <v>-3.1784483705555704E-5</v>
      </c>
      <c r="AZ63" s="7">
        <f>1000*EXP(-(Parameters!$B$54)*'6states,BAU'!A63)*AQ63*Parameters!B$46*Parameters!B$45*N63</f>
        <v>2.4095344106045933</v>
      </c>
      <c r="BA63" s="7">
        <f>SUM(AZ63:AZ$204)*EXP(Parameters!$B$54*A63)</f>
        <v>1042.3683468069917</v>
      </c>
      <c r="BB63" s="13">
        <f t="shared" si="26"/>
        <v>0.28897508569294011</v>
      </c>
      <c r="BC63" s="30">
        <f>IF(C63&lt;0,Parameters!$B$6*AC63^2/AF63,0)</f>
        <v>0</v>
      </c>
      <c r="BD63" s="30">
        <f>Parameters!$B$5*AD63^2/AG63</f>
        <v>4.7982846196945567E-2</v>
      </c>
      <c r="BE63" s="30">
        <f t="shared" si="14"/>
        <v>0</v>
      </c>
      <c r="BF63" s="30">
        <f t="shared" si="15"/>
        <v>5.3539899052847326E-2</v>
      </c>
      <c r="BG63" s="16"/>
      <c r="BH63" s="5"/>
      <c r="BI63" s="5"/>
      <c r="BJ63" s="5"/>
      <c r="BK63"/>
      <c r="BL63"/>
      <c r="BM63">
        <f>-EXP(-Parameters!B$42*'6states,BAU'!A63)*(-Parameters!B$37/Parameters!B$38/Parameters!E$25*(EXP(-Parameters!B$38*Parameters!E$25*'6states,BAU'!I63/('6states,BAU'!F63+'6states,BAU'!I63))-EXP(-Parameters!B$38*Parameters!E$25))+Parameters!B$37*'6states,BAU'!F63/('6states,BAU'!F63+'6states,BAU'!I63)*EXP(-Parameters!B$38*Parameters!E$25*'6states,BAU'!I63/('6states,BAU'!F63+'6states,BAU'!I63)))</f>
        <v>-3.3125080768736179</v>
      </c>
      <c r="BN63">
        <f>-J63*K63*EXP(-Parameters!B$42*'6states,BAU'!A63)*(-Parameters!B$37/Parameters!B$38/Parameters!E$25*(EXP(-Parameters!B$38*Parameters!E$25*'6states,BAU'!I63/('6states,BAU'!F63+'6states,BAU'!I63))-EXP(-Parameters!B$38*Parameters!E$25)) + Parameters!B$37*'6states,BAU'!F63/('6states,BAU'!F63+'6states,BAU'!I63)*EXP(-Parameters!B$38*Parameters!E$25*'6states,BAU'!I63/('6states,BAU'!F63+'6states,BAU'!I63)))</f>
        <v>-933.74918151321924</v>
      </c>
      <c r="BO63" s="7">
        <f t="shared" si="4"/>
        <v>0</v>
      </c>
      <c r="BP63"/>
      <c r="BQ63"/>
      <c r="BR63"/>
      <c r="BS63"/>
      <c r="BU63">
        <f>EXP(-Parameters!$B$56*A63)*BH63*BN63</f>
        <v>0</v>
      </c>
      <c r="BV63">
        <f>-EXP((Parameters!$B$56)*F63)*SUM(BU63:BU71)</f>
        <v>0</v>
      </c>
      <c r="BW63">
        <f>X63^-Parameters!B$52/(1-2*Parameters!B$5*'6states,BAU'!D63/'6states,BAU'!G63)</f>
        <v>1.2796027928359035</v>
      </c>
      <c r="BX63">
        <f t="shared" si="16"/>
        <v>1.0129245843433745</v>
      </c>
      <c r="BY63">
        <f>$X63^-Parameters!$B$52/(1-2*Parameters!$B$5*'6states,BAU'!$E63/'6states,BAU'!$H63)</f>
        <v>1.3213763438974897</v>
      </c>
      <c r="BZ63">
        <f t="shared" si="17"/>
        <v>1.0124391689374439</v>
      </c>
      <c r="CA63" s="7">
        <f>($X63^-Parameters!$B$52*(1/(1+EXP(-C63)) + IF(C63&lt;0,2*Parameters!$B$6*C63/F63,0)) + BS63*(1/(1+EXP((C63-Parameters!$B$22)*Parameters!$B$21))))/(1-IF(C63&gt;0,2*Parameters!$B$5*C63/F63,0))</f>
        <v>0.68109085544945192</v>
      </c>
      <c r="CB63">
        <f t="shared" si="18"/>
        <v>1.0124017381650701</v>
      </c>
      <c r="CC63" s="7">
        <f t="shared" si="19"/>
        <v>8.3432397806990632E-3</v>
      </c>
      <c r="CD63" t="e">
        <f>(1/$T63-1/Parameters!$B$13) * LN(Parameters!$B$18) / LN(P63)</f>
        <v>#DIV/0!</v>
      </c>
      <c r="CE63">
        <f>(Parameters!$B$18*'6states,BAU'!T63^+Parameters!$B$19*Parameters!$B$25^'6states,BAU'!T63)^((1-'6states,BAU'!T63)/'6states,BAU'!T63)*Parameters!$B$18*Parameters!$B$26^('6states,BAU'!T63-1)</f>
        <v>0.26821308143653178</v>
      </c>
      <c r="CF63" t="e">
        <f t="shared" si="20"/>
        <v>#DIV/0!</v>
      </c>
      <c r="CG63" t="e">
        <f t="shared" si="29"/>
        <v>#DIV/0!</v>
      </c>
      <c r="CH63">
        <f t="shared" si="29"/>
        <v>0.16965262461400343</v>
      </c>
    </row>
    <row r="64" spans="1:86" s="38" customFormat="1" x14ac:dyDescent="0.3">
      <c r="A64" s="38">
        <f>A63+Parameters!$B$65</f>
        <v>60</v>
      </c>
      <c r="B64">
        <v>2085</v>
      </c>
      <c r="C64" s="74">
        <v>5.9616777918006097E-2</v>
      </c>
      <c r="D64" s="69">
        <v>3.1534304412279999E-3</v>
      </c>
      <c r="E64" s="75">
        <v>0.30544303491759101</v>
      </c>
      <c r="F64" s="7">
        <f>MAX((1-Parameters!$B$4)^Parameters!B$65*F63 + C63*Parameters!B$65 - IF(C63&gt;0,Parameters!$B$5,0)*C63^2/F63*Parameters!B$65, 0.0001)</f>
        <v>0.87542617215134078</v>
      </c>
      <c r="G64" s="39">
        <f>(1-Parameters!$B$4)^Parameters!B$65*G63+D63*Parameters!B$65-Parameters!$B$5*D63^2/G63*Parameters!B$65</f>
        <v>5.8656336986771591E-2</v>
      </c>
      <c r="H64" s="39">
        <f>(1-Parameters!$B$4)^Parameters!B$65*H63+E63*Parameters!B$65-Parameters!$B$5*E63^2/H63*Parameters!B$65</f>
        <v>4.515488572815042</v>
      </c>
      <c r="I64" s="7">
        <f>I63 *(1-Parameters!$B$4)-C63*(C63&lt;0)*Parameters!B$65</f>
        <v>0</v>
      </c>
      <c r="J64" s="41">
        <f>J63*(1+Parameters!$B$51)^Parameters!B$65</f>
        <v>9.7084084031148468</v>
      </c>
      <c r="K64" s="41">
        <f>K63*(1+Parameters!$B$53)^Parameters!B$65</f>
        <v>29.701819453345202</v>
      </c>
      <c r="L64" s="23">
        <f>J64*K64*EXP(-Parameters!$B$42*'6states,BAU'!A64)*(Parameters!$B$37/Parameters!$B$38*('6states,BAU'!F64+'6states,BAU'!I64)/Parameters!$E$25*(EXP(-Parameters!$B$38*Parameters!$E$25*'6states,BAU'!I64/('6states,BAU'!F64+'6states,BAU'!I64))-EXP(-Parameters!$B$38*Parameters!$E$25))  +  Parameters!$B$39*'6states,BAU'!F64)</f>
        <v>126.16438420713264</v>
      </c>
      <c r="M64" s="37">
        <f>M63+L64*Parameters!B$65</f>
        <v>7479.8730497060724</v>
      </c>
      <c r="N64" s="39">
        <f>M64*Parameters!$B$45</f>
        <v>4.487923829823643</v>
      </c>
      <c r="O64" s="9">
        <f>EXP(-Parameters!$B$46/2*N64^2)</f>
        <v>0.81675045122416012</v>
      </c>
      <c r="P64" s="7">
        <f>MAX((Parameters!$B$62 + Parameters!$B$31*'6states,BAU'!A64 - '6states,BAU'!M64 + Parameters!$B$47/Parameters!$B$45)/Parameters!B$62,1)</f>
        <v>1</v>
      </c>
      <c r="Q64" s="7">
        <f>Parameters!B$61*EXP(-Parameters!B$60*A64)</f>
        <v>9.8949349541807355E-2</v>
      </c>
      <c r="R64" s="7">
        <f>(1-Parameters!B$61)*P64^-Parameters!B$63</f>
        <v>0.5</v>
      </c>
      <c r="S64" s="7">
        <f>Parameters!B$61*EXP(-Parameters!B$60*A64)+(1-Parameters!B$61)*P64^-Parameters!B$63</f>
        <v>0.59894934954180734</v>
      </c>
      <c r="T64" s="39">
        <f>1-S64/Parameters!$B$12</f>
        <v>0.70052532522909639</v>
      </c>
      <c r="U64" s="39">
        <f t="shared" si="0"/>
        <v>3.3391805192375421</v>
      </c>
      <c r="V64" s="7">
        <f>(Parameters!$B$19*(F64+Parameters!$B$20)^T64+Parameters!$B$18*G64^T64)^(1/T64)</f>
        <v>0.57779349637980759</v>
      </c>
      <c r="W64" s="39">
        <f>(Parameters!$B$10*H64^Parameters!$B$9+Parameters!$B$11*V64^Parameters!$B$9)^(Parameters!$B$7/Parameters!$B$9)*O64</f>
        <v>1.2656687016505364</v>
      </c>
      <c r="X64" s="7">
        <f>W64 - D64 - E64 - LN(1+EXP(Parameters!$B$21*C64))/Parameters!$B$21 - IF(C64&gt;0, 0,Parameters!$B$6*C64^2/F64)</f>
        <v>0.89745545831675955</v>
      </c>
      <c r="Y64" s="39">
        <f>EXP(-Parameters!$B$55*A64)</f>
        <v>0.40413754542145147</v>
      </c>
      <c r="Z64" s="39">
        <f>IF(X64&gt;0,X64^(1-Parameters!$B$52)/(1-Parameters!$B$52)*Y64*Parameters!$B$65,-10+X64*1000)</f>
        <v>-1.1992414722383131</v>
      </c>
      <c r="AB64" s="40"/>
      <c r="AC64" s="23">
        <f t="shared" si="6"/>
        <v>17.19093869339768</v>
      </c>
      <c r="AD64" s="23">
        <f t="shared" si="6"/>
        <v>0.90931498283256473</v>
      </c>
      <c r="AE64" s="23">
        <f t="shared" si="7"/>
        <v>0</v>
      </c>
      <c r="AF64" s="23">
        <f t="shared" si="8"/>
        <v>252.43560926334669</v>
      </c>
      <c r="AG64" s="23">
        <f t="shared" si="9"/>
        <v>16.913988449790242</v>
      </c>
      <c r="AH64" s="23">
        <f t="shared" si="10"/>
        <v>166.61102663700231</v>
      </c>
      <c r="AI64" s="23">
        <f t="shared" si="11"/>
        <v>410.04242122782478</v>
      </c>
      <c r="AJ64" s="23">
        <f t="shared" si="12"/>
        <v>364.96492792937431</v>
      </c>
      <c r="AK64" s="23">
        <f t="shared" si="13"/>
        <v>258.78791680418493</v>
      </c>
      <c r="AL64" s="9">
        <f t="shared" si="22"/>
        <v>1.5985777740472606E-2</v>
      </c>
      <c r="AM64" s="9">
        <f t="shared" si="22"/>
        <v>1.3241197493622181E-2</v>
      </c>
      <c r="AN64" s="9">
        <f t="shared" si="31"/>
        <v>1.5979919853242919E-2</v>
      </c>
      <c r="AO64" s="9">
        <f t="shared" si="31"/>
        <v>1.3213315493518073E-2</v>
      </c>
      <c r="AP64" s="23"/>
      <c r="AQ64" s="37">
        <f t="shared" si="1"/>
        <v>364.96492792937431</v>
      </c>
      <c r="AR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-9.9616327750065591E-4</v>
      </c>
      <c r="AS64" s="42">
        <f>((C65-C63)/2-(F65-F63)/F64/2*C64)/(F64/2/Parameters!$B$5-C64)-((D65-D63)/D64-(G65-G63)/G64)/(G64/2/Parameters!$B$5/D64-1)</f>
        <v>-1.0283442539003307E-3</v>
      </c>
      <c r="AT64" s="42">
        <f>+Parameters!$B$5*C64^2/F64^2-Parameters!$B$5*D64^2/G64^2</f>
        <v>1.7473916143662623E-3</v>
      </c>
      <c r="AU64" s="30">
        <f>EXP(-Parameters!$B$42*'6states,BAU'!A64)*(Parameters!$B$37*EXP(-Parameters!$B$38*Parameters!$E$25*'6states,BAU'!I64/('6states,BAU'!F64+'6states,BAU'!I64))*(1/Parameters!$B$38/Parameters!$E$25+'6states,BAU'!I64/('6states,BAU'!F64+'6states,BAU'!I64))-Parameters!$B$37/Parameters!$B$38/Parameters!$E$25*EXP(-Parameters!$B$38*Parameters!$E$25)+Parameters!$B$39)</f>
        <v>0.49978837999640152</v>
      </c>
      <c r="AV64" s="30">
        <f>J64*K64*EXP(-Parameters!$B$42*'6states,BAU'!A64)*(Parameters!$B$37*EXP(-Parameters!$B$38*Parameters!$E$25*'6states,BAU'!I64/('6states,BAU'!F64+'6states,BAU'!I64))*(1/Parameters!$B$38/Parameters!$E$25+'6states,BAU'!I64/('6states,BAU'!F64+'6states,BAU'!I64))-Parameters!$B$37/Parameters!$B$38/Parameters!$E$25*EXP(-Parameters!$B$38*Parameters!$E$25)+Parameters!$B$39)</f>
        <v>144.11767459166362</v>
      </c>
      <c r="AW64" s="37">
        <f>1000*(AR64+AS64+AT64)/(EXP(-Parameters!$B$42*A64)*((C64&lt;0)*Parameters!$B$37*EXP(-Parameters!$B$38*AF64)+(C64&gt;=0)*Parameters!$B$41))</f>
        <v>-0.55446650647764051</v>
      </c>
      <c r="AX64" s="43">
        <f>1-W64/'6states,ExoDamages'!T64</f>
        <v>0.1367150089461775</v>
      </c>
      <c r="AY64" s="21">
        <f>-Y64*W64*X64^(-Parameters!B$52)*Parameters!B$46*Parameters!B$45*N64</f>
        <v>-3.2038679340277026E-5</v>
      </c>
      <c r="AZ64" s="39">
        <f>1000*EXP(-(Parameters!$B$54)*'6states,BAU'!A64)*AQ64*Parameters!B$46*Parameters!B$45*N64</f>
        <v>2.4044720786134888</v>
      </c>
      <c r="BA64" s="39">
        <f>SUM(AZ64:AZ$204)*EXP(Parameters!$B$54*A64)</f>
        <v>1059.8100765991896</v>
      </c>
      <c r="BB64" s="43">
        <f t="shared" si="26"/>
        <v>0.29092387509989354</v>
      </c>
      <c r="BC64" s="30">
        <f>IF(C64&lt;0,Parameters!$B$6*AC64^2/AF64,0)</f>
        <v>0</v>
      </c>
      <c r="BD64" s="30">
        <f>Parameters!$B$5*AD64^2/AG64</f>
        <v>4.8885792990714834E-2</v>
      </c>
      <c r="BE64" s="30">
        <f t="shared" si="14"/>
        <v>0</v>
      </c>
      <c r="BF64" s="30">
        <f t="shared" si="15"/>
        <v>5.376112118864794E-2</v>
      </c>
      <c r="BG64" s="39"/>
      <c r="BH64" s="5"/>
      <c r="BI64" s="5"/>
      <c r="BJ64" s="5"/>
      <c r="BK64"/>
      <c r="BL64"/>
      <c r="BM64">
        <f>-EXP(-Parameters!B$42*'6states,BAU'!A64)*(-Parameters!B$37/Parameters!B$38/Parameters!E$25*(EXP(-Parameters!B$38*Parameters!E$25*'6states,BAU'!I64/('6states,BAU'!F64+'6states,BAU'!I64))-EXP(-Parameters!B$38*Parameters!E$25))+Parameters!B$37*'6states,BAU'!F64/('6states,BAU'!F64+'6states,BAU'!I64)*EXP(-Parameters!B$38*Parameters!E$25*'6states,BAU'!I64/('6states,BAU'!F64+'6states,BAU'!I64)))</f>
        <v>-3.2795480708015021</v>
      </c>
      <c r="BN64">
        <f>-J64*K64*EXP(-Parameters!B$42*'6states,BAU'!A64)*(-Parameters!B$37/Parameters!B$38/Parameters!E$25*(EXP(-Parameters!B$38*Parameters!E$25*'6states,BAU'!I64/('6states,BAU'!F64+'6states,BAU'!I64))-EXP(-Parameters!B$38*Parameters!E$25)) + Parameters!B$37*'6states,BAU'!F64/('6states,BAU'!F64+'6states,BAU'!I64)*EXP(-Parameters!B$38*Parameters!E$25*'6states,BAU'!I64/('6states,BAU'!F64+'6states,BAU'!I64)))</f>
        <v>-945.68193377943703</v>
      </c>
      <c r="BO64" s="7">
        <f t="shared" si="4"/>
        <v>0</v>
      </c>
      <c r="BP64"/>
      <c r="BQ64"/>
      <c r="BR64"/>
      <c r="BS64"/>
      <c r="BU64">
        <f>EXP(-Parameters!$B$56*A64)*BH64*BN64</f>
        <v>0</v>
      </c>
      <c r="BV64">
        <f>-EXP((Parameters!$B$56)*F64)*SUM(BU64:BU72)</f>
        <v>0</v>
      </c>
      <c r="BW64">
        <f>X64^-Parameters!B$52/(1-2*Parameters!B$5*'6states,BAU'!D64/'6states,BAU'!G64)</f>
        <v>1.2966870666862191</v>
      </c>
      <c r="BX64">
        <f t="shared" si="16"/>
        <v>1.0133512320744884</v>
      </c>
      <c r="BY64">
        <f>$X64^-Parameters!$B$52/(1-2*Parameters!$B$5*'6states,BAU'!$E64/'6states,BAU'!$H64)</f>
        <v>1.3383216382897403</v>
      </c>
      <c r="BZ64">
        <f t="shared" si="17"/>
        <v>1.0128239728753348</v>
      </c>
      <c r="CA64" s="7">
        <f>($X64^-Parameters!$B$52*(1/(1+EXP(-C64)) + IF(C64&lt;0,2*Parameters!$B$6*C64/F64,0)) + BS64*(1/(1+EXP((C64-Parameters!$B$22)*Parameters!$B$21))))/(1-IF(C64&gt;0,2*Parameters!$B$5*C64/F64,0))</f>
        <v>0.68983048398337199</v>
      </c>
      <c r="CB64">
        <f t="shared" si="18"/>
        <v>1.0128318101234126</v>
      </c>
      <c r="CC64" s="7">
        <f t="shared" si="19"/>
        <v>8.7396285339200741E-3</v>
      </c>
      <c r="CD64" t="e">
        <f>(1/$T64-1/Parameters!$B$13) * LN(Parameters!$B$18) / LN(P64)</f>
        <v>#DIV/0!</v>
      </c>
      <c r="CE64">
        <f>(Parameters!$B$18*'6states,BAU'!T64^+Parameters!$B$19*Parameters!$B$25^'6states,BAU'!T64)^((1-'6states,BAU'!T64)/'6states,BAU'!T64)*Parameters!$B$18*Parameters!$B$26^('6states,BAU'!T64-1)</f>
        <v>0.26883862511713391</v>
      </c>
      <c r="CF64" t="e">
        <f t="shared" si="20"/>
        <v>#DIV/0!</v>
      </c>
      <c r="CG64" t="e">
        <f t="shared" si="29"/>
        <v>#DIV/0!</v>
      </c>
      <c r="CH64">
        <f t="shared" si="29"/>
        <v>0.17001258007693254</v>
      </c>
    </row>
    <row r="65" spans="1:86" x14ac:dyDescent="0.3">
      <c r="A65">
        <f>A64+Parameters!$B$65</f>
        <v>61</v>
      </c>
      <c r="B65">
        <v>2086</v>
      </c>
      <c r="C65" s="74">
        <v>5.9627974000709502E-2</v>
      </c>
      <c r="D65" s="69">
        <v>3.1281318394101301E-3</v>
      </c>
      <c r="E65" s="75">
        <v>0.30548501937614497</v>
      </c>
      <c r="F65" s="7">
        <f>MAX((1-Parameters!$B$4)^Parameters!B$65*F64 + C64*Parameters!B$65 - IF(C64&gt;0,Parameters!$B$5,0)*C64^2/F64*Parameters!B$65, 0.0001)</f>
        <v>0.87591872385875136</v>
      </c>
      <c r="G65" s="7">
        <f>(1-Parameters!$B$4)^Parameters!B$65*G64+D64*Parameters!B$65-Parameters!$B$5*D64^2/G64*Parameters!B$65</f>
        <v>5.7950751875420828E-2</v>
      </c>
      <c r="H65" s="7">
        <f>(1-Parameters!$B$4)^Parameters!B$65*H64+E64*Parameters!B$65-Parameters!$B$5*E64^2/H64*Parameters!B$65</f>
        <v>4.5162461687339679</v>
      </c>
      <c r="I65" s="7">
        <f>I64 *(1-Parameters!$B$4)-C64*(C64&lt;0)*Parameters!B$65</f>
        <v>0</v>
      </c>
      <c r="J65" s="23">
        <f>J64*(1+Parameters!$B$51)^Parameters!B$65</f>
        <v>9.7365627874838783</v>
      </c>
      <c r="K65" s="23">
        <f>K64*(1+Parameters!$B$53)^Parameters!B$65</f>
        <v>30.295855842412106</v>
      </c>
      <c r="L65" s="23">
        <f>J65*K65*EXP(-Parameters!$B$42*'6states,BAU'!A65)*(Parameters!$B$37/Parameters!$B$38*('6states,BAU'!F65+'6states,BAU'!I65)/Parameters!$E$25*(EXP(-Parameters!$B$38*Parameters!$E$25*'6states,BAU'!I65/('6states,BAU'!F65+'6states,BAU'!I65))-EXP(-Parameters!$B$38*Parameters!$E$25))  +  Parameters!$B$39*'6states,BAU'!F65)</f>
        <v>127.84858162263355</v>
      </c>
      <c r="M65" s="8">
        <f>M64+L65*Parameters!B$65</f>
        <v>7607.7216313287063</v>
      </c>
      <c r="N65" s="7">
        <f>M65*Parameters!$B$45</f>
        <v>4.5646329787972233</v>
      </c>
      <c r="O65" s="9">
        <f>EXP(-Parameters!$B$46/2*N65^2)</f>
        <v>0.81107030769983457</v>
      </c>
      <c r="P65" s="7">
        <f>MAX((Parameters!$B$62 + Parameters!$B$31*'6states,BAU'!A65 - '6states,BAU'!M65 + Parameters!$B$47/Parameters!$B$45)/Parameters!B$62,1)</f>
        <v>1</v>
      </c>
      <c r="Q65" s="7">
        <f>Parameters!B$61*EXP(-Parameters!B$60*A65)</f>
        <v>9.6313461718039159E-2</v>
      </c>
      <c r="R65" s="7">
        <f>(1-Parameters!B$61)*P65^-Parameters!B$63</f>
        <v>0.5</v>
      </c>
      <c r="S65" s="7">
        <f>Parameters!B$61*EXP(-Parameters!B$60*A65)+(1-Parameters!B$61)*P65^-Parameters!B$63</f>
        <v>0.59631346171803912</v>
      </c>
      <c r="T65" s="7">
        <f>1-S65/Parameters!$B$12</f>
        <v>0.70184326914098039</v>
      </c>
      <c r="U65" s="7">
        <f t="shared" si="0"/>
        <v>3.3539407180877627</v>
      </c>
      <c r="V65" s="7">
        <f>(Parameters!$B$19*(F65+Parameters!$B$20)^T65+Parameters!$B$18*G65^T65)^(1/T65)</f>
        <v>0.57795388218488031</v>
      </c>
      <c r="W65" s="7">
        <f>(Parameters!$B$10*H65^Parameters!$B$9+Parameters!$B$11*V65^Parameters!$B$9)^(Parameters!$B$7/Parameters!$B$9)*O65</f>
        <v>1.2569369411953533</v>
      </c>
      <c r="X65" s="7">
        <f>W65 - D65 - E65 - LN(1+EXP(Parameters!$B$21*C65))/Parameters!$B$21 - IF(C65&gt;0, 0,Parameters!$B$6*C65^2/F65)</f>
        <v>0.88869581592232794</v>
      </c>
      <c r="Y65" s="7">
        <f>EXP(-Parameters!$B$55*A65)</f>
        <v>0.39808091115496053</v>
      </c>
      <c r="Z65" s="7">
        <f>IF(X65&gt;0,X65^(1-Parameters!$B$52)/(1-Parameters!$B$52)*Y65*Parameters!$B$65,-10+X65*1000)</f>
        <v>-1.1853311863800713</v>
      </c>
      <c r="AC65" s="23">
        <f t="shared" si="6"/>
        <v>17.588910856435568</v>
      </c>
      <c r="AD65" s="23">
        <f t="shared" si="6"/>
        <v>0.92272851782466947</v>
      </c>
      <c r="AE65" s="23">
        <f t="shared" si="7"/>
        <v>0</v>
      </c>
      <c r="AF65" s="23">
        <f t="shared" si="8"/>
        <v>258.37631765337295</v>
      </c>
      <c r="AG65" s="23">
        <f t="shared" si="9"/>
        <v>17.094168062595333</v>
      </c>
      <c r="AH65" s="23">
        <f t="shared" si="10"/>
        <v>170.4833927907691</v>
      </c>
      <c r="AI65" s="23">
        <f t="shared" si="11"/>
        <v>419.57260914888383</v>
      </c>
      <c r="AJ65" s="23">
        <f t="shared" si="12"/>
        <v>370.76811985231637</v>
      </c>
      <c r="AK65" s="23">
        <f t="shared" si="13"/>
        <v>262.14527236090743</v>
      </c>
      <c r="AL65" s="9">
        <f t="shared" si="22"/>
        <v>1.5775592228652435E-2</v>
      </c>
      <c r="AM65" s="9">
        <f t="shared" si="22"/>
        <v>1.2889952539231864E-2</v>
      </c>
      <c r="AN65" s="9">
        <f t="shared" si="31"/>
        <v>1.5770350050113891E-2</v>
      </c>
      <c r="AO65" s="9">
        <f t="shared" si="31"/>
        <v>1.2892804396093105E-2</v>
      </c>
      <c r="AP65" s="23"/>
      <c r="AQ65" s="25">
        <f t="shared" si="1"/>
        <v>370.76811985231632</v>
      </c>
      <c r="AR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-9.678894707700179E-4</v>
      </c>
      <c r="AS65" s="32">
        <f>((C66-C64)/2-(F66-F64)/F65/2*C65)/(F65/2/Parameters!$B$5-C65)-((D66-D64)/D65-(G66-G64)/G65)/(G65/2/Parameters!$B$5/D65-1)</f>
        <v>-9.3954774782039393E-4</v>
      </c>
      <c r="AT65" s="32">
        <f>+Parameters!$B$5*C65^2/F65^2-Parameters!$B$5*D65^2/G65^2</f>
        <v>1.7204278818319495E-3</v>
      </c>
      <c r="AU65" s="30">
        <f>EXP(-Parameters!$B$42*'6states,BAU'!A65)*(Parameters!$B$37*EXP(-Parameters!$B$38*Parameters!$E$25*'6states,BAU'!I65/('6states,BAU'!F65+'6states,BAU'!I65))*(1/Parameters!$B$38/Parameters!$E$25+'6states,BAU'!I65/('6states,BAU'!F65+'6states,BAU'!I65))-Parameters!$B$37/Parameters!$B$38/Parameters!$E$25*EXP(-Parameters!$B$38*Parameters!$E$25)+Parameters!$B$39)</f>
        <v>0.4948154025252034</v>
      </c>
      <c r="AV65" s="30">
        <f>J65*K65*EXP(-Parameters!$B$42*'6states,BAU'!A65)*(Parameters!$B$37*EXP(-Parameters!$B$38*Parameters!$E$25*'6states,BAU'!I65/('6states,BAU'!F65+'6states,BAU'!I65))*(1/Parameters!$B$38/Parameters!$E$25+'6states,BAU'!I65/('6states,BAU'!F65+'6states,BAU'!I65))-Parameters!$B$37/Parameters!$B$38/Parameters!$E$25*EXP(-Parameters!$B$38*Parameters!$E$25)+Parameters!$B$39)</f>
        <v>145.95941168994818</v>
      </c>
      <c r="AW65" s="8">
        <f>1000*(AR65+AS65+AT65)/(EXP(-Parameters!$B$42*A65)*((C65&lt;0)*Parameters!$B$37*EXP(-Parameters!$B$38*AF65)+(C65&gt;=0)*Parameters!$B$41))</f>
        <v>-0.37793758198328731</v>
      </c>
      <c r="AX65" s="13">
        <f>1-W65/'6states,ExoDamages'!T65</f>
        <v>0.14247345361788855</v>
      </c>
      <c r="AY65" s="21">
        <f>-Y65*W65*X65^(-Parameters!B$52)*Parameters!B$46*Parameters!B$45*N65</f>
        <v>-3.230139521980827E-5</v>
      </c>
      <c r="AZ65" s="7">
        <f>1000*EXP(-(Parameters!$B$54)*'6states,BAU'!A65)*AQ65*Parameters!B$46*Parameters!B$45*N65</f>
        <v>2.398764654422163</v>
      </c>
      <c r="BA65" s="7">
        <f>SUM(AZ65:AZ$204)*EXP(Parameters!$B$54*A65)</f>
        <v>1077.2108112610376</v>
      </c>
      <c r="BB65" s="13">
        <f t="shared" si="26"/>
        <v>0.29296706393724531</v>
      </c>
      <c r="BC65" s="30">
        <f>IF(C65&lt;0,Parameters!$B$6*AC65^2/AF65,0)</f>
        <v>0</v>
      </c>
      <c r="BD65" s="30">
        <f>Parameters!$B$5*AD65^2/AG65</f>
        <v>4.9808093291768114E-2</v>
      </c>
      <c r="BE65" s="30">
        <f t="shared" si="14"/>
        <v>0</v>
      </c>
      <c r="BF65" s="30">
        <f t="shared" si="15"/>
        <v>5.3979141567219134E-2</v>
      </c>
      <c r="BH65" s="5"/>
      <c r="BI65" s="5"/>
      <c r="BJ65" s="5"/>
      <c r="BM65">
        <f>-EXP(-Parameters!B$42*'6states,BAU'!A65)*(-Parameters!B$37/Parameters!B$38/Parameters!E$25*(EXP(-Parameters!B$38*Parameters!E$25*'6states,BAU'!I65/('6states,BAU'!F65+'6states,BAU'!I65))-EXP(-Parameters!B$38*Parameters!E$25))+Parameters!B$37*'6states,BAU'!F65/('6states,BAU'!F65+'6states,BAU'!I65)*EXP(-Parameters!B$38*Parameters!E$25*'6states,BAU'!I65/('6states,BAU'!F65+'6states,BAU'!I65)))</f>
        <v>-3.2469160222694318</v>
      </c>
      <c r="BN65">
        <f>-J65*K65*EXP(-Parameters!B$42*'6states,BAU'!A65)*(-Parameters!B$37/Parameters!B$38/Parameters!E$25*(EXP(-Parameters!B$38*Parameters!E$25*'6states,BAU'!I65/('6states,BAU'!F65+'6states,BAU'!I65))-EXP(-Parameters!B$38*Parameters!E$25)) + Parameters!B$37*'6states,BAU'!F65/('6states,BAU'!F65+'6states,BAU'!I65)*EXP(-Parameters!B$38*Parameters!E$25*'6states,BAU'!I65/('6states,BAU'!F65+'6states,BAU'!I65)))</f>
        <v>-957.76717943410017</v>
      </c>
      <c r="BO65" s="7">
        <f t="shared" si="4"/>
        <v>0</v>
      </c>
      <c r="BU65">
        <f>EXP(-Parameters!$B$56*A65)*BH65*BN65</f>
        <v>0</v>
      </c>
      <c r="BV65">
        <f>-EXP((Parameters!$B$56)*F65)*SUM(BU65:BU73)</f>
        <v>0</v>
      </c>
      <c r="BW65">
        <f>X65^-Parameters!B$52/(1-2*Parameters!B$5*'6states,BAU'!D65/'6states,BAU'!G65)</f>
        <v>1.3146135436262707</v>
      </c>
      <c r="BX65">
        <f t="shared" si="16"/>
        <v>1.0138248289819562</v>
      </c>
      <c r="BY65">
        <f>$X65^-Parameters!$B$52/(1-2*Parameters!$B$5*'6states,BAU'!$E65/'6states,BAU'!$H65)</f>
        <v>1.3561543656445914</v>
      </c>
      <c r="BZ65">
        <f t="shared" si="17"/>
        <v>1.013324694785358</v>
      </c>
      <c r="CA65" s="7">
        <f>($X65^-Parameters!$B$52*(1/(1+EXP(-C65)) + IF(C65&lt;0,2*Parameters!$B$6*C65/F65,0)) + BS65*(1/(1+EXP((C65-Parameters!$B$22)*Parameters!$B$21))))/(1-IF(C65&gt;0,2*Parameters!$B$5*C65/F65,0))</f>
        <v>0.69898808743037022</v>
      </c>
      <c r="CB65">
        <f t="shared" si="18"/>
        <v>1.0132751504313326</v>
      </c>
      <c r="CC65" s="7">
        <f t="shared" si="19"/>
        <v>9.1576034469982304E-3</v>
      </c>
      <c r="CD65" t="e">
        <f>(1/$T65-1/Parameters!$B$13) * LN(Parameters!$B$18) / LN(P65)</f>
        <v>#DIV/0!</v>
      </c>
      <c r="CE65">
        <f>(Parameters!$B$18*'6states,BAU'!T65^+Parameters!$B$19*Parameters!$B$25^'6states,BAU'!T65)^((1-'6states,BAU'!T65)/'6states,BAU'!T65)*Parameters!$B$18*Parameters!$B$26^('6states,BAU'!T65-1)</f>
        <v>0.26944272463721114</v>
      </c>
      <c r="CF65" t="e">
        <f t="shared" si="20"/>
        <v>#DIV/0!</v>
      </c>
      <c r="CG65" t="e">
        <f t="shared" si="29"/>
        <v>#DIV/0!</v>
      </c>
      <c r="CH65">
        <f t="shared" si="29"/>
        <v>0.17036004785629977</v>
      </c>
    </row>
    <row r="66" spans="1:86" x14ac:dyDescent="0.3">
      <c r="A66">
        <f>A65+Parameters!$B$65</f>
        <v>62</v>
      </c>
      <c r="B66">
        <v>2087</v>
      </c>
      <c r="C66" s="74">
        <v>5.9640345172281402E-2</v>
      </c>
      <c r="D66" s="69">
        <v>3.10116660326903E-3</v>
      </c>
      <c r="E66" s="75">
        <v>0.30552031683741299</v>
      </c>
      <c r="F66" s="7">
        <f>MAX((1-Parameters!$B$4)^Parameters!B$65*F65 + C65*Parameters!B$65 - IF(C65&gt;0,Parameters!$B$5,0)*C65^2/F65*Parameters!B$65, 0.0001)</f>
        <v>0.87639224894565537</v>
      </c>
      <c r="G66" s="7">
        <f>(1-Parameters!$B$4)^Parameters!B$65*G65+D65*Parameters!B$65-Parameters!$B$5*D65^2/G65*Parameters!B$65</f>
        <v>5.7264927550466541E-2</v>
      </c>
      <c r="H66" s="7">
        <f>(1-Parameters!$B$4)^Parameters!B$65*H65+E65*Parameters!B$65-Parameters!$B$5*E65^2/H65*Parameters!B$65</f>
        <v>4.5169958828445331</v>
      </c>
      <c r="I66" s="7">
        <f>I65 *(1-Parameters!$B$4)-C65*(C65&lt;0)*Parameters!B$65</f>
        <v>0</v>
      </c>
      <c r="J66" s="23">
        <f>J65*(1+Parameters!$B$51)^Parameters!B$65</f>
        <v>9.7647988195675808</v>
      </c>
      <c r="K66" s="23">
        <f>K65*(1+Parameters!$B$53)^Parameters!B$65</f>
        <v>30.901772959260349</v>
      </c>
      <c r="L66" s="23">
        <f>J66*K66*EXP(-Parameters!$B$42*'6states,BAU'!A66)*(Parameters!$B$37/Parameters!$B$38*('6states,BAU'!F66+'6states,BAU'!I66)/Parameters!$E$25*(EXP(-Parameters!$B$38*Parameters!$E$25*'6states,BAU'!I66/('6states,BAU'!F66+'6states,BAU'!I66))-EXP(-Parameters!$B$38*Parameters!$E$25))  +  Parameters!$B$39*'6states,BAU'!F66)</f>
        <v>129.55240820634359</v>
      </c>
      <c r="M66" s="8">
        <f>M65+L66*Parameters!B$65</f>
        <v>7737.2740395350502</v>
      </c>
      <c r="N66" s="7">
        <f>M66*Parameters!$B$45</f>
        <v>4.6423644237210295</v>
      </c>
      <c r="O66" s="9">
        <f>EXP(-Parameters!$B$46/2*N66^2)</f>
        <v>0.80525760076838904</v>
      </c>
      <c r="P66" s="7">
        <f>MAX((Parameters!$B$62 + Parameters!$B$31*'6states,BAU'!A66 - '6states,BAU'!M66 + Parameters!$B$47/Parameters!$B$45)/Parameters!B$62,1)</f>
        <v>1</v>
      </c>
      <c r="Q66" s="7">
        <f>Parameters!B$61*EXP(-Parameters!B$60*A66)</f>
        <v>9.3747790673377282E-2</v>
      </c>
      <c r="R66" s="7">
        <f>(1-Parameters!B$61)*P66^-Parameters!B$63</f>
        <v>0.5</v>
      </c>
      <c r="S66" s="7">
        <f>Parameters!B$61*EXP(-Parameters!B$60*A66)+(1-Parameters!B$61)*P66^-Parameters!B$63</f>
        <v>0.59374779067337724</v>
      </c>
      <c r="T66" s="7">
        <f>1-S66/Parameters!$B$12</f>
        <v>0.70312610466331138</v>
      </c>
      <c r="U66" s="7">
        <f t="shared" si="0"/>
        <v>3.3684335864757888</v>
      </c>
      <c r="V66" s="7">
        <f>(Parameters!$B$19*(F66+Parameters!$B$20)^T66+Parameters!$B$18*G66^T66)^(1/T66)</f>
        <v>0.57810789024720577</v>
      </c>
      <c r="W66" s="7">
        <f>(Parameters!$B$10*H66^Parameters!$B$9+Parameters!$B$11*V66^Parameters!$B$9)^(Parameters!$B$7/Parameters!$B$9)*O66</f>
        <v>1.247997479615321</v>
      </c>
      <c r="X66" s="7">
        <f>W66 - D66 - E66 - LN(1+EXP(Parameters!$B$21*C66))/Parameters!$B$21 - IF(C66&gt;0, 0,Parameters!$B$6*C66^2/F66)</f>
        <v>0.87973565094580708</v>
      </c>
      <c r="Y66" s="7">
        <f>EXP(-Parameters!$B$55*A66)</f>
        <v>0.39211504504167288</v>
      </c>
      <c r="Z66" s="7">
        <f>IF(X66&gt;0,X66^(1-Parameters!$B$52)/(1-Parameters!$B$52)*Y66*Parameters!$B$65,-10+X66*1000)</f>
        <v>-1.171715552614397</v>
      </c>
      <c r="AC66" s="23">
        <f t="shared" si="6"/>
        <v>17.996450067902906</v>
      </c>
      <c r="AD66" s="23">
        <f t="shared" si="6"/>
        <v>0.93577577002216206</v>
      </c>
      <c r="AE66" s="23">
        <f t="shared" si="7"/>
        <v>0</v>
      </c>
      <c r="AF66" s="23">
        <f t="shared" si="8"/>
        <v>264.45100715778273</v>
      </c>
      <c r="AG66" s="23">
        <f t="shared" si="9"/>
        <v>17.279668759915506</v>
      </c>
      <c r="AH66" s="23">
        <f t="shared" si="10"/>
        <v>174.44382239306475</v>
      </c>
      <c r="AI66" s="23">
        <f t="shared" si="11"/>
        <v>429.31952792134763</v>
      </c>
      <c r="AJ66" s="23">
        <f t="shared" si="12"/>
        <v>376.58273542662431</v>
      </c>
      <c r="AK66" s="23">
        <f t="shared" si="13"/>
        <v>265.45987736097902</v>
      </c>
      <c r="AL66" s="9">
        <f t="shared" si="22"/>
        <v>1.5560918578128913E-2</v>
      </c>
      <c r="AM66" s="9">
        <f t="shared" si="22"/>
        <v>1.2564883454357023E-2</v>
      </c>
      <c r="AN66" s="9">
        <f t="shared" si="31"/>
        <v>1.5554926502452915E-2</v>
      </c>
      <c r="AO66" s="9">
        <f t="shared" si="31"/>
        <v>1.2557421826979187E-2</v>
      </c>
      <c r="AP66" s="23"/>
      <c r="AQ66" s="25">
        <f t="shared" si="1"/>
        <v>376.58273542662437</v>
      </c>
      <c r="AR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-9.4577916441434791E-4</v>
      </c>
      <c r="AS66" s="32">
        <f>((C67-C65)/2-(F67-F65)/F66/2*C66)/(F66/2/Parameters!$B$5-C66)-((D67-D65)/D66-(G67-G65)/G66)/(G66/2/Parameters!$B$5/D66-1)</f>
        <v>-8.9394200289394084E-4</v>
      </c>
      <c r="AT66" s="32">
        <f>+Parameters!$B$5*C66^2/F66^2-Parameters!$B$5*D66^2/G66^2</f>
        <v>1.6983555928911684E-3</v>
      </c>
      <c r="AU66" s="30">
        <f>EXP(-Parameters!$B$42*'6states,BAU'!A66)*(Parameters!$B$37*EXP(-Parameters!$B$38*Parameters!$E$25*'6states,BAU'!I66/('6states,BAU'!F66+'6states,BAU'!I66))*(1/Parameters!$B$38/Parameters!$E$25+'6states,BAU'!I66/('6states,BAU'!F66+'6states,BAU'!I66))-Parameters!$B$37/Parameters!$B$38/Parameters!$E$25*EXP(-Parameters!$B$38*Parameters!$E$25)+Parameters!$B$39)</f>
        <v>0.48989190700660529</v>
      </c>
      <c r="AV66" s="30">
        <f>J66*K66*EXP(-Parameters!$B$42*'6states,BAU'!A66)*(Parameters!$B$37*EXP(-Parameters!$B$38*Parameters!$E$25*'6states,BAU'!I66/('6states,BAU'!F66+'6states,BAU'!I66))*(1/Parameters!$B$38/Parameters!$E$25+'6states,BAU'!I66/('6states,BAU'!F66+'6states,BAU'!I66))-Parameters!$B$37/Parameters!$B$38/Parameters!$E$25*EXP(-Parameters!$B$38*Parameters!$E$25)+Parameters!$B$39)</f>
        <v>147.82468507931438</v>
      </c>
      <c r="AW66" s="8">
        <f>1000*(AR66+AS66+AT66)/(EXP(-Parameters!$B$42*A66)*((C66&lt;0)*Parameters!$B$37*EXP(-Parameters!$B$38*AF66)+(C66&gt;=0)*Parameters!$B$41))</f>
        <v>-0.28856482908833642</v>
      </c>
      <c r="AX66" s="13">
        <f>1-W66/'6states,ExoDamages'!T66</f>
        <v>0.14838127031999926</v>
      </c>
      <c r="AY66" s="21">
        <f>-Y66*W66*X66^(-Parameters!B$52)*Parameters!B$46*Parameters!B$45*N66</f>
        <v>-3.2571539974876739E-5</v>
      </c>
      <c r="AZ66" s="7">
        <f>1000*EXP(-(Parameters!$B$54)*'6states,BAU'!A66)*AQ66*Parameters!B$46*Parameters!B$45*N66</f>
        <v>2.392408250357875</v>
      </c>
      <c r="BA66" s="7">
        <f>SUM(AZ66:AZ$204)*EXP(Parameters!$B$54*A66)</f>
        <v>1094.5525873208419</v>
      </c>
      <c r="BB66" s="13">
        <f t="shared" si="26"/>
        <v>0.2950821893698658</v>
      </c>
      <c r="BC66" s="30">
        <f>IF(C66&lt;0,Parameters!$B$6*AC66^2/AF66,0)</f>
        <v>0</v>
      </c>
      <c r="BD66" s="30">
        <f>Parameters!$B$5*AD66^2/AG66</f>
        <v>5.0676682749377672E-2</v>
      </c>
      <c r="BE66" s="30">
        <f t="shared" si="14"/>
        <v>0</v>
      </c>
      <c r="BF66" s="30">
        <f t="shared" si="15"/>
        <v>5.4154728486053336E-2</v>
      </c>
      <c r="BH66" s="5"/>
      <c r="BI66" s="5"/>
      <c r="BJ66" s="5"/>
      <c r="BM66">
        <f>-EXP(-Parameters!B$42*'6states,BAU'!A66)*(-Parameters!B$37/Parameters!B$38/Parameters!E$25*(EXP(-Parameters!B$38*Parameters!E$25*'6states,BAU'!I66/('6states,BAU'!F66+'6states,BAU'!I66))-EXP(-Parameters!B$38*Parameters!E$25))+Parameters!B$37*'6states,BAU'!F66/('6states,BAU'!F66+'6states,BAU'!I66)*EXP(-Parameters!B$38*Parameters!E$25*'6states,BAU'!I66/('6states,BAU'!F66+'6states,BAU'!I66)))</f>
        <v>-3.2146086680453609</v>
      </c>
      <c r="BN66">
        <f>-J66*K66*EXP(-Parameters!B$42*'6states,BAU'!A66)*(-Parameters!B$37/Parameters!B$38/Parameters!E$25*(EXP(-Parameters!B$38*Parameters!E$25*'6states,BAU'!I66/('6states,BAU'!F66+'6states,BAU'!I66))-EXP(-Parameters!B$38*Parameters!E$25)) + Parameters!B$37*'6states,BAU'!F66/('6states,BAU'!F66+'6states,BAU'!I66)*EXP(-Parameters!B$38*Parameters!E$25*'6states,BAU'!I66/('6states,BAU'!F66+'6states,BAU'!I66)))</f>
        <v>-970.00686725088633</v>
      </c>
      <c r="BO66" s="7">
        <f t="shared" si="4"/>
        <v>0</v>
      </c>
      <c r="BU66">
        <f>EXP(-Parameters!$B$56*A66)*BH66*BN66</f>
        <v>0</v>
      </c>
      <c r="BV66">
        <f>-EXP((Parameters!$B$56)*F66)*SUM(BU66:BU74)</f>
        <v>0</v>
      </c>
      <c r="BW66">
        <f>X66^-Parameters!B$52/(1-2*Parameters!B$5*'6states,BAU'!D66/'6states,BAU'!G66)</f>
        <v>1.333246278764032</v>
      </c>
      <c r="BX66">
        <f t="shared" si="16"/>
        <v>1.0141735456994945</v>
      </c>
      <c r="BY66">
        <f>$X66^-Parameters!$B$52/(1-2*Parameters!$B$5*'6states,BAU'!$E66/'6states,BAU'!$H66)</f>
        <v>1.3748235803560072</v>
      </c>
      <c r="BZ66">
        <f t="shared" si="17"/>
        <v>1.013766290316473</v>
      </c>
      <c r="CA66" s="7">
        <f>($X66^-Parameters!$B$52*(1/(1+EXP(-C66)) + IF(C66&lt;0,2*Parameters!$B$6*C66/F66,0)) + BS66*(1/(1+EXP((C66-Parameters!$B$22)*Parameters!$B$21))))/(1-IF(C66&gt;0,2*Parameters!$B$5*C66/F66,0))</f>
        <v>0.70858322239603522</v>
      </c>
      <c r="CB66">
        <f t="shared" si="18"/>
        <v>1.0137271795302532</v>
      </c>
      <c r="CC66" s="7">
        <f t="shared" si="19"/>
        <v>9.5951349656649976E-3</v>
      </c>
      <c r="CD66" t="e">
        <f>(1/$T66-1/Parameters!$B$13) * LN(Parameters!$B$18) / LN(P66)</f>
        <v>#DIV/0!</v>
      </c>
      <c r="CE66">
        <f>(Parameters!$B$18*'6states,BAU'!T66^+Parameters!$B$19*Parameters!$B$25^'6states,BAU'!T66)^((1-'6states,BAU'!T66)/'6states,BAU'!T66)*Parameters!$B$18*Parameters!$B$26^('6states,BAU'!T66-1)</f>
        <v>0.27002620367962782</v>
      </c>
      <c r="CF66" t="e">
        <f t="shared" si="20"/>
        <v>#DIV/0!</v>
      </c>
      <c r="CG66" t="e">
        <f t="shared" si="29"/>
        <v>#DIV/0!</v>
      </c>
      <c r="CH66">
        <f t="shared" si="29"/>
        <v>0.17069551698519414</v>
      </c>
    </row>
    <row r="67" spans="1:86" x14ac:dyDescent="0.3">
      <c r="A67">
        <f>A66+Parameters!$B$65</f>
        <v>63</v>
      </c>
      <c r="B67">
        <v>2088</v>
      </c>
      <c r="C67" s="74">
        <v>5.9660363970162097E-2</v>
      </c>
      <c r="D67" s="69">
        <v>3.0765569717046701E-3</v>
      </c>
      <c r="E67" s="75">
        <v>0.30553235277338597</v>
      </c>
      <c r="F67" s="7">
        <f>MAX((1-Parameters!$B$4)^Parameters!B$65*F66 + C66*Parameters!B$65 - IF(C66&gt;0,Parameters!$B$5,0)*C66^2/F66*Parameters!B$65, 0.0001)</f>
        <v>0.8768488700947894</v>
      </c>
      <c r="G67" s="7">
        <f>(1-Parameters!$B$4)^Parameters!B$65*G66+D66*Parameters!B$65-Parameters!$B$5*D66^2/G66*Parameters!B$65</f>
        <v>5.6596187375421173E-2</v>
      </c>
      <c r="H67" s="7">
        <f>(1-Parameters!$B$4)^Parameters!B$65*H66+E66*Parameters!B$65-Parameters!$B$5*E66^2/H66*Parameters!B$65</f>
        <v>4.5177323924166899</v>
      </c>
      <c r="I67" s="7">
        <f>I66 *(1-Parameters!$B$4)-C66*(C66&lt;0)*Parameters!B$65</f>
        <v>0</v>
      </c>
      <c r="J67" s="23">
        <f>J66*(1+Parameters!$B$51)^Parameters!B$65</f>
        <v>9.7931167361443254</v>
      </c>
      <c r="K67" s="23">
        <f>K66*(1+Parameters!$B$53)^Parameters!B$65</f>
        <v>31.519808418445557</v>
      </c>
      <c r="L67" s="23">
        <f>J67*K67*EXP(-Parameters!$B$42*'6states,BAU'!A67)*(Parameters!$B$37/Parameters!$B$38*('6states,BAU'!F67+'6states,BAU'!I67)/Parameters!$E$25*(EXP(-Parameters!$B$38*Parameters!$E$25*'6states,BAU'!I67/('6states,BAU'!F67+'6states,BAU'!I67))-EXP(-Parameters!$B$38*Parameters!$E$25))  +  Parameters!$B$39*'6states,BAU'!F67)</f>
        <v>131.27637245631595</v>
      </c>
      <c r="M67" s="8">
        <f>M66+L67*Parameters!B$65</f>
        <v>7868.5504119913658</v>
      </c>
      <c r="N67" s="7">
        <f>M67*Parameters!$B$45</f>
        <v>4.7211302471948189</v>
      </c>
      <c r="O67" s="9">
        <f>EXP(-Parameters!$B$46/2*N67^2)</f>
        <v>0.79931100859478832</v>
      </c>
      <c r="P67" s="7">
        <f>MAX((Parameters!$B$62 + Parameters!$B$31*'6states,BAU'!A67 - '6states,BAU'!M67 + Parameters!$B$47/Parameters!$B$45)/Parameters!B$62,1)</f>
        <v>1</v>
      </c>
      <c r="Q67" s="7">
        <f>Parameters!B$61*EXP(-Parameters!B$60*A67)</f>
        <v>9.1250465920002147E-2</v>
      </c>
      <c r="R67" s="7">
        <f>(1-Parameters!B$61)*P67^-Parameters!B$63</f>
        <v>0.5</v>
      </c>
      <c r="S67" s="7">
        <f>Parameters!B$61*EXP(-Parameters!B$60*A67)+(1-Parameters!B$61)*P67^-Parameters!B$63</f>
        <v>0.59125046592000219</v>
      </c>
      <c r="T67" s="7">
        <f>1-S67/Parameters!$B$12</f>
        <v>0.70437476703999891</v>
      </c>
      <c r="U67" s="7">
        <f t="shared" si="0"/>
        <v>3.382661182157285</v>
      </c>
      <c r="V67" s="7">
        <f>(Parameters!$B$19*(F67+Parameters!$B$20)^T67+Parameters!$B$18*G67^T67)^(1/T67)</f>
        <v>0.57825533029238363</v>
      </c>
      <c r="W67" s="7">
        <f>(Parameters!$B$10*H67^Parameters!$B$9+Parameters!$B$11*V67^Parameters!$B$9)^(Parameters!$B$7/Parameters!$B$9)*O67</f>
        <v>1.2388478795849036</v>
      </c>
      <c r="X67" s="7">
        <f>W67 - D67 - E67 - LN(1+EXP(Parameters!$B$21*C67))/Parameters!$B$21 - IF(C67&gt;0, 0,Parameters!$B$6*C67^2/F67)</f>
        <v>0.87057860581343893</v>
      </c>
      <c r="Y67" s="7">
        <f>EXP(-Parameters!$B$55*A67)</f>
        <v>0.38623858677860945</v>
      </c>
      <c r="Z67" s="7">
        <f>IF(X67&gt;0,X67^(1-Parameters!$B$52)/(1-Parameters!$B$52)*Y67*Parameters!$B$65,-10+X67*1000)</f>
        <v>-1.158390049771802</v>
      </c>
      <c r="AC67" s="23">
        <f t="shared" si="6"/>
        <v>18.415791914305167</v>
      </c>
      <c r="AD67" s="23">
        <f t="shared" si="6"/>
        <v>0.94966287888813417</v>
      </c>
      <c r="AE67" s="23">
        <f t="shared" si="7"/>
        <v>0</v>
      </c>
      <c r="AF67" s="23">
        <f t="shared" si="8"/>
        <v>270.66322190114806</v>
      </c>
      <c r="AG67" s="23">
        <f t="shared" si="9"/>
        <v>17.469950575059311</v>
      </c>
      <c r="AH67" s="23">
        <f t="shared" si="10"/>
        <v>178.49421504247331</v>
      </c>
      <c r="AI67" s="23">
        <f t="shared" si="11"/>
        <v>439.28785260195451</v>
      </c>
      <c r="AJ67" s="23">
        <f t="shared" si="12"/>
        <v>382.40404928343884</v>
      </c>
      <c r="AK67" s="23">
        <f t="shared" si="13"/>
        <v>268.72773450937149</v>
      </c>
      <c r="AL67" s="9">
        <f t="shared" si="22"/>
        <v>1.533999834370281E-2</v>
      </c>
      <c r="AM67" s="9">
        <f t="shared" si="22"/>
        <v>1.223501946140626E-2</v>
      </c>
      <c r="AN67" s="9">
        <f t="shared" si="31"/>
        <v>1.5333652748468119E-2</v>
      </c>
      <c r="AO67" s="9">
        <f t="shared" si="31"/>
        <v>1.2212571379554759E-2</v>
      </c>
      <c r="AP67" s="23"/>
      <c r="AQ67" s="25">
        <f t="shared" si="1"/>
        <v>382.40404928343884</v>
      </c>
      <c r="AR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-9.2174182374761744E-4</v>
      </c>
      <c r="AS67" s="32">
        <f>((C68-C66)/2-(F68-F66)/F67/2*C67)/(F67/2/Parameters!$B$5-C67)-((D68-D66)/D67-(G68-G66)/G67)/(G67/2/Parameters!$B$5/D67-1)</f>
        <v>-9.7180422762397722E-4</v>
      </c>
      <c r="AT67" s="32">
        <f>+Parameters!$B$5*C67^2/F67^2-Parameters!$B$5*D67^2/G67^2</f>
        <v>1.674387396215709E-3</v>
      </c>
      <c r="AU67" s="30">
        <f>EXP(-Parameters!$B$42*'6states,BAU'!A67)*(Parameters!$B$37*EXP(-Parameters!$B$38*Parameters!$E$25*'6states,BAU'!I67/('6states,BAU'!F67+'6states,BAU'!I67))*(1/Parameters!$B$38/Parameters!$E$25+'6states,BAU'!I67/('6states,BAU'!F67+'6states,BAU'!I67))-Parameters!$B$37/Parameters!$B$38/Parameters!$E$25*EXP(-Parameters!$B$38*Parameters!$E$25)+Parameters!$B$39)</f>
        <v>0.48501740108695246</v>
      </c>
      <c r="AV67" s="30">
        <f>J67*K67*EXP(-Parameters!$B$42*'6states,BAU'!A67)*(Parameters!$B$37*EXP(-Parameters!$B$38*Parameters!$E$25*'6states,BAU'!I67/('6states,BAU'!F67+'6states,BAU'!I67))*(1/Parameters!$B$38/Parameters!$E$25+'6states,BAU'!I67/('6states,BAU'!F67+'6states,BAU'!I67))-Parameters!$B$37/Parameters!$B$38/Parameters!$E$25*EXP(-Parameters!$B$38*Parameters!$E$25)+Parameters!$B$39)</f>
        <v>149.71379553938942</v>
      </c>
      <c r="AW67" s="8">
        <f>1000*(AR67+AS67+AT67)/(EXP(-Parameters!$B$42*A67)*((C67&lt;0)*Parameters!$B$37*EXP(-Parameters!$B$38*AF67)+(C67&gt;=0)*Parameters!$B$41))</f>
        <v>-0.45185730380959194</v>
      </c>
      <c r="AX67" s="13">
        <f>1-W67/'6states,ExoDamages'!T67</f>
        <v>0.15444009905146072</v>
      </c>
      <c r="AY67" s="21">
        <f>-Y67*W67*X67^(-Parameters!B$52)*Parameters!B$46*Parameters!B$45*N67</f>
        <v>-3.2849301863239994E-5</v>
      </c>
      <c r="AZ67" s="7">
        <f>1000*EXP(-(Parameters!$B$54)*'6states,BAU'!A67)*AQ67*Parameters!B$46*Parameters!B$45*N67</f>
        <v>2.385395437900923</v>
      </c>
      <c r="BA67" s="7">
        <f>SUM(AZ67:AZ$204)*EXP(Parameters!$B$54*A67)</f>
        <v>1111.8167068256951</v>
      </c>
      <c r="BB67" s="13">
        <f t="shared" si="26"/>
        <v>0.29726754978072645</v>
      </c>
      <c r="BC67" s="30">
        <f>IF(C67&lt;0,Parameters!$B$6*AC67^2/AF67,0)</f>
        <v>0</v>
      </c>
      <c r="BD67" s="30">
        <f>Parameters!$B$5*AD67^2/AG67</f>
        <v>5.1623476532648246E-2</v>
      </c>
      <c r="BE67" s="30">
        <f t="shared" si="14"/>
        <v>0</v>
      </c>
      <c r="BF67" s="30">
        <f t="shared" si="15"/>
        <v>5.4359791964374814E-2</v>
      </c>
      <c r="BH67" s="5"/>
      <c r="BI67" s="5"/>
      <c r="BJ67" s="5"/>
      <c r="BM67">
        <f>-EXP(-Parameters!B$42*'6states,BAU'!A67)*(-Parameters!B$37/Parameters!B$38/Parameters!E$25*(EXP(-Parameters!B$38*Parameters!E$25*'6states,BAU'!I67/('6states,BAU'!F67+'6states,BAU'!I67))-EXP(-Parameters!B$38*Parameters!E$25))+Parameters!B$37*'6states,BAU'!F67/('6states,BAU'!F67+'6states,BAU'!I67)*EXP(-Parameters!B$38*Parameters!E$25*'6states,BAU'!I67/('6states,BAU'!F67+'6states,BAU'!I67)))</f>
        <v>-3.182622777366944</v>
      </c>
      <c r="BN67">
        <f>-J67*K67*EXP(-Parameters!B$42*'6states,BAU'!A67)*(-Parameters!B$37/Parameters!B$38/Parameters!E$25*(EXP(-Parameters!B$38*Parameters!E$25*'6states,BAU'!I67/('6states,BAU'!F67+'6states,BAU'!I67))-EXP(-Parameters!B$38*Parameters!E$25)) + Parameters!B$37*'6states,BAU'!F67/('6states,BAU'!F67+'6states,BAU'!I67)*EXP(-Parameters!B$38*Parameters!E$25*'6states,BAU'!I67/('6states,BAU'!F67+'6states,BAU'!I67)))</f>
        <v>-982.40297090762738</v>
      </c>
      <c r="BO67" s="7">
        <f t="shared" si="4"/>
        <v>0</v>
      </c>
      <c r="BU67">
        <f>EXP(-Parameters!$B$56*A67)*BH67*BN67</f>
        <v>0</v>
      </c>
      <c r="BV67">
        <f>-EXP((Parameters!$B$56)*F67)*SUM(BU67:BU75)</f>
        <v>0</v>
      </c>
      <c r="BW67">
        <f>X67^-Parameters!B$52/(1-2*Parameters!B$5*'6states,BAU'!D67/'6states,BAU'!G67)</f>
        <v>1.3528350576235209</v>
      </c>
      <c r="BX67">
        <f t="shared" si="16"/>
        <v>1.0146925434343972</v>
      </c>
      <c r="BY67">
        <f>$X67^-Parameters!$B$52/(1-2*Parameters!$B$5*'6states,BAU'!$E67/'6states,BAU'!$H67)</f>
        <v>1.394354634961892</v>
      </c>
      <c r="BZ67">
        <f t="shared" si="17"/>
        <v>1.0142062260823512</v>
      </c>
      <c r="CA67" s="7">
        <f>($X67^-Parameters!$B$52*(1/(1+EXP(-C67)) + IF(C67&lt;0,2*Parameters!$B$6*C67/F67,0)) + BS67*(1/(1+EXP((C67-Parameters!$B$22)*Parameters!$B$21))))/(1-IF(C67&gt;0,2*Parameters!$B$5*C67/F67,0))</f>
        <v>0.7186494183873634</v>
      </c>
      <c r="CB67">
        <f t="shared" si="18"/>
        <v>1.0142060885343713</v>
      </c>
      <c r="CC67" s="7">
        <f t="shared" si="19"/>
        <v>1.0066195991328186E-2</v>
      </c>
      <c r="CD67" t="e">
        <f>(1/$T67-1/Parameters!$B$13) * LN(Parameters!$B$18) / LN(P67)</f>
        <v>#DIV/0!</v>
      </c>
      <c r="CE67">
        <f>(Parameters!$B$18*'6states,BAU'!T67^+Parameters!$B$19*Parameters!$B$25^'6states,BAU'!T67)^((1-'6states,BAU'!T67)/'6states,BAU'!T67)*Parameters!$B$18*Parameters!$B$26^('6states,BAU'!T67-1)</f>
        <v>0.27058985085831377</v>
      </c>
      <c r="CF67" t="e">
        <f t="shared" si="20"/>
        <v>#DIV/0!</v>
      </c>
      <c r="CG67" t="e">
        <f t="shared" si="29"/>
        <v>#DIV/0!</v>
      </c>
      <c r="CH67">
        <f t="shared" si="29"/>
        <v>0.17101945504524574</v>
      </c>
    </row>
    <row r="68" spans="1:86" x14ac:dyDescent="0.3">
      <c r="A68">
        <f>A67+Parameters!$B$65</f>
        <v>64</v>
      </c>
      <c r="B68">
        <v>2089</v>
      </c>
      <c r="C68" s="74">
        <v>5.9669364750186499E-2</v>
      </c>
      <c r="D68" s="69">
        <v>3.0528772829082301E-3</v>
      </c>
      <c r="E68" s="75">
        <v>0.30557273582587002</v>
      </c>
      <c r="F68" s="7">
        <f>MAX((1-Parameters!$B$4)^Parameters!B$65*F67 + C67*Parameters!B$65 - IF(C67&gt;0,Parameters!$B$5,0)*C67^2/F67*Parameters!B$65, 0.0001)</f>
        <v>0.87729617844284535</v>
      </c>
      <c r="G68" s="7">
        <f>(1-Parameters!$B$4)^Parameters!B$65*G67+D67*Parameters!B$65-Parameters!$B$5*D67^2/G67*Parameters!B$65</f>
        <v>5.594560316426344E-2</v>
      </c>
      <c r="H68" s="7">
        <f>(1-Parameters!$B$4)^Parameters!B$65*H67+E67*Parameters!B$65-Parameters!$B$5*E67^2/H67*Parameters!B$65</f>
        <v>4.518436352436261</v>
      </c>
      <c r="I68" s="7">
        <f>I67 *(1-Parameters!$B$4)-C67*(C67&lt;0)*Parameters!B$65</f>
        <v>0</v>
      </c>
      <c r="J68" s="23">
        <f>J67*(1+Parameters!$B$51)^Parameters!B$65</f>
        <v>9.821516774679143</v>
      </c>
      <c r="K68" s="23">
        <f>K67*(1+Parameters!$B$53)^Parameters!B$65</f>
        <v>32.150204586814468</v>
      </c>
      <c r="L68" s="23">
        <f>J68*K68*EXP(-Parameters!$B$42*'6states,BAU'!A68)*(Parameters!$B$37/Parameters!$B$38*('6states,BAU'!F68+'6states,BAU'!I68)/Parameters!$E$25*(EXP(-Parameters!$B$38*Parameters!$E$25*'6states,BAU'!I68/('6states,BAU'!F68+'6states,BAU'!I68))-EXP(-Parameters!$B$38*Parameters!$E$25))  +  Parameters!$B$39*'6states,BAU'!F68)</f>
        <v>133.02182949015148</v>
      </c>
      <c r="M68" s="8">
        <f>M67+L68*Parameters!B$65</f>
        <v>8001.5722414815173</v>
      </c>
      <c r="N68" s="7">
        <f>M68*Parameters!$B$45</f>
        <v>4.8009433448889096</v>
      </c>
      <c r="O68" s="9">
        <f>EXP(-Parameters!$B$46/2*N68^2)</f>
        <v>0.79322923747688323</v>
      </c>
      <c r="P68" s="7">
        <f>MAX((Parameters!$B$62 + Parameters!$B$31*'6states,BAU'!A68 - '6states,BAU'!M68 + Parameters!$B$47/Parameters!$B$45)/Parameters!B$62,1)</f>
        <v>1</v>
      </c>
      <c r="Q68" s="7">
        <f>Parameters!B$61*EXP(-Parameters!B$60*A68)</f>
        <v>8.8819666797567476E-2</v>
      </c>
      <c r="R68" s="7">
        <f>(1-Parameters!B$61)*P68^-Parameters!B$63</f>
        <v>0.5</v>
      </c>
      <c r="S68" s="7">
        <f>Parameters!B$61*EXP(-Parameters!B$60*A68)+(1-Parameters!B$61)*P68^-Parameters!B$63</f>
        <v>0.58881966679756748</v>
      </c>
      <c r="T68" s="7">
        <f>1-S68/Parameters!$B$12</f>
        <v>0.70559016660121632</v>
      </c>
      <c r="U68" s="7">
        <f t="shared" si="0"/>
        <v>3.3966256780746895</v>
      </c>
      <c r="V68" s="7">
        <f>(Parameters!$B$19*(F68+Parameters!$B$20)^T68+Parameters!$B$18*G68^T68)^(1/T68)</f>
        <v>0.57840163158860691</v>
      </c>
      <c r="W68" s="7">
        <f>(Parameters!$B$10*H68^Parameters!$B$9+Parameters!$B$11*V68^Parameters!$B$9)^(Parameters!$B$7/Parameters!$B$9)*O68</f>
        <v>1.2294854315941093</v>
      </c>
      <c r="X68" s="7">
        <f>W68 - D68 - E68 - LN(1+EXP(Parameters!$B$21*C68))/Parameters!$B$21 - IF(C68&gt;0, 0,Parameters!$B$6*C68^2/F68)</f>
        <v>0.86119045367908431</v>
      </c>
      <c r="Y68" s="7">
        <f>EXP(-Parameters!$B$55*A68)</f>
        <v>0.38045019644906247</v>
      </c>
      <c r="Z68" s="7">
        <f>IF(X68&gt;0,X68^(1-Parameters!$B$52)/(1-Parameters!$B$52)*Y68*Parameters!$B$65,-10+X68*1000)</f>
        <v>-1.1453680013863088</v>
      </c>
      <c r="AC68" s="23">
        <f t="shared" si="6"/>
        <v>18.841423785340158</v>
      </c>
      <c r="AD68" s="23">
        <f t="shared" si="6"/>
        <v>0.96398805136821863</v>
      </c>
      <c r="AE68" s="23">
        <f t="shared" si="7"/>
        <v>0</v>
      </c>
      <c r="AF68" s="23">
        <f t="shared" si="8"/>
        <v>277.01835192152583</v>
      </c>
      <c r="AG68" s="23">
        <f t="shared" si="9"/>
        <v>17.665594774763544</v>
      </c>
      <c r="AH68" s="23">
        <f t="shared" si="10"/>
        <v>182.63828188080504</v>
      </c>
      <c r="AI68" s="23">
        <f t="shared" si="11"/>
        <v>449.4867165932414</v>
      </c>
      <c r="AJ68" s="23">
        <f t="shared" si="12"/>
        <v>388.22695953863081</v>
      </c>
      <c r="AK68" s="23">
        <f t="shared" si="13"/>
        <v>271.93274749261121</v>
      </c>
      <c r="AL68" s="9">
        <f t="shared" si="22"/>
        <v>1.511234562130781E-2</v>
      </c>
      <c r="AM68" s="9">
        <f t="shared" si="22"/>
        <v>1.1856056186278607E-2</v>
      </c>
      <c r="AN68" s="9">
        <f t="shared" si="31"/>
        <v>1.510628472040736E-2</v>
      </c>
      <c r="AO68" s="9">
        <f t="shared" si="31"/>
        <v>1.1856525494581226E-2</v>
      </c>
      <c r="AP68" s="23"/>
      <c r="AQ68" s="25">
        <f t="shared" ref="AQ68:AQ131" si="32">W68*K68*J68</f>
        <v>388.22695953863087</v>
      </c>
      <c r="AR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-8.9588608459790641E-4</v>
      </c>
      <c r="AS68" s="32">
        <f>((C69-C67)/2-(F69-F67)/F68/2*C68)/(F68/2/Parameters!$B$5-C68)-((D69-D67)/D68-(G69-G67)/G68)/(G68/2/Parameters!$B$5/D68-1)</f>
        <v>-1.0240990975785235E-3</v>
      </c>
      <c r="AT68" s="32">
        <f>+Parameters!$B$5*C68^2/F68^2-Parameters!$B$5*D68^2/G68^2</f>
        <v>1.6483103393835448E-3</v>
      </c>
      <c r="AU68" s="30">
        <f>EXP(-Parameters!$B$42*'6states,BAU'!A68)*(Parameters!$B$37*EXP(-Parameters!$B$38*Parameters!$E$25*'6states,BAU'!I68/('6states,BAU'!F68+'6states,BAU'!I68))*(1/Parameters!$B$38/Parameters!$E$25+'6states,BAU'!I68/('6states,BAU'!F68+'6states,BAU'!I68))-Parameters!$B$37/Parameters!$B$38/Parameters!$E$25*EXP(-Parameters!$B$38*Parameters!$E$25)+Parameters!$B$39)</f>
        <v>0.48019139731159083</v>
      </c>
      <c r="AV68" s="30">
        <f>J68*K68*EXP(-Parameters!$B$42*'6states,BAU'!A68)*(Parameters!$B$37*EXP(-Parameters!$B$38*Parameters!$E$25*'6states,BAU'!I68/('6states,BAU'!F68+'6states,BAU'!I68))*(1/Parameters!$B$38/Parameters!$E$25+'6states,BAU'!I68/('6states,BAU'!F68+'6states,BAU'!I68))-Parameters!$B$37/Parameters!$B$38/Parameters!$E$25*EXP(-Parameters!$B$38*Parameters!$E$25)+Parameters!$B$39)</f>
        <v>151.62704769358308</v>
      </c>
      <c r="AW68" s="8">
        <f>1000*(AR68+AS68+AT68)/(EXP(-Parameters!$B$42*A68)*((C68&lt;0)*Parameters!$B$37*EXP(-Parameters!$B$38*AF68)+(C68&gt;=0)*Parameters!$B$41))</f>
        <v>-0.56576366072755424</v>
      </c>
      <c r="AX68" s="13">
        <f>1-W68/'6states,ExoDamages'!T68</f>
        <v>0.16065171152106128</v>
      </c>
      <c r="AY68" s="21">
        <f>-Y68*W68*X68^(-Parameters!B$52)*Parameters!B$46*Parameters!B$45*N68</f>
        <v>-3.3136845207750681E-5</v>
      </c>
      <c r="AZ68" s="7">
        <f>1000*EXP(-(Parameters!$B$54)*'6states,BAU'!A68)*AQ68*Parameters!B$46*Parameters!B$45*N68</f>
        <v>2.3777186010647888</v>
      </c>
      <c r="BA68" s="7">
        <f>SUM(AZ68:AZ$204)*EXP(Parameters!$B$54*A68)</f>
        <v>1128.9837687948927</v>
      </c>
      <c r="BB68" s="13">
        <f t="shared" si="26"/>
        <v>0.29955212839036727</v>
      </c>
      <c r="BC68" s="30">
        <f>IF(C68&lt;0,Parameters!$B$6*AC68^2/AF68,0)</f>
        <v>0</v>
      </c>
      <c r="BD68" s="30">
        <f>Parameters!$B$5*AD68^2/AG68</f>
        <v>5.2603548028183143E-2</v>
      </c>
      <c r="BE68" s="30">
        <f t="shared" si="14"/>
        <v>0</v>
      </c>
      <c r="BF68" s="30">
        <f t="shared" si="15"/>
        <v>5.4568672250160433E-2</v>
      </c>
      <c r="BH68" s="5"/>
      <c r="BI68" s="5"/>
      <c r="BJ68" s="5"/>
      <c r="BM68">
        <f>-EXP(-Parameters!B$42*'6states,BAU'!A68)*(-Parameters!B$37/Parameters!B$38/Parameters!E$25*(EXP(-Parameters!B$38*Parameters!E$25*'6states,BAU'!I68/('6states,BAU'!F68+'6states,BAU'!I68))-EXP(-Parameters!B$38*Parameters!E$25))+Parameters!B$37*'6states,BAU'!F68/('6states,BAU'!F68+'6states,BAU'!I68)*EXP(-Parameters!B$38*Parameters!E$25*'6states,BAU'!I68/('6states,BAU'!F68+'6states,BAU'!I68)))</f>
        <v>-3.1509551516184584</v>
      </c>
      <c r="BN68">
        <f>-J68*K68*EXP(-Parameters!B$42*'6states,BAU'!A68)*(-Parameters!B$37/Parameters!B$38/Parameters!E$25*(EXP(-Parameters!B$38*Parameters!E$25*'6states,BAU'!I68/('6states,BAU'!F68+'6states,BAU'!I68))-EXP(-Parameters!B$38*Parameters!E$25)) + Parameters!B$37*'6states,BAU'!F68/('6states,BAU'!F68+'6states,BAU'!I68)*EXP(-Parameters!B$38*Parameters!E$25*'6states,BAU'!I68/('6states,BAU'!F68+'6states,BAU'!I68)))</f>
        <v>-994.95748930456921</v>
      </c>
      <c r="BO68" s="7">
        <f t="shared" ref="BO68:BO131" si="33">I68/(F68+I68)</f>
        <v>0</v>
      </c>
      <c r="BU68">
        <f>EXP(-Parameters!$B$56*A68)*BH68*BN68</f>
        <v>0</v>
      </c>
      <c r="BV68">
        <f>-EXP((Parameters!$B$56)*F68)*SUM(BU68:BU76)</f>
        <v>0</v>
      </c>
      <c r="BW68">
        <f>X68^-Parameters!B$52/(1-2*Parameters!B$5*'6states,BAU'!D68/'6states,BAU'!G68)</f>
        <v>1.3734261643070345</v>
      </c>
      <c r="BX68">
        <f t="shared" si="16"/>
        <v>1.0152207074820232</v>
      </c>
      <c r="BY68">
        <f>$X68^-Parameters!$B$52/(1-2*Parameters!$B$5*'6states,BAU'!$E68/'6states,BAU'!$H68)</f>
        <v>1.4149089570231967</v>
      </c>
      <c r="BZ68">
        <f t="shared" si="17"/>
        <v>1.0147411006826583</v>
      </c>
      <c r="CA68" s="7">
        <f>($X68^-Parameters!$B$52*(1/(1+EXP(-C68)) + IF(C68&lt;0,2*Parameters!$B$6*C68/F68,0)) + BS68*(1/(1+EXP((C68-Parameters!$B$22)*Parameters!$B$21))))/(1-IF(C68&gt;0,2*Parameters!$B$5*C68/F68,0))</f>
        <v>0.72920773886527335</v>
      </c>
      <c r="CB68">
        <f t="shared" si="18"/>
        <v>1.0146918931648239</v>
      </c>
      <c r="CC68" s="7">
        <f t="shared" si="19"/>
        <v>1.0558320477909944E-2</v>
      </c>
      <c r="CD68" t="e">
        <f>(1/$T68-1/Parameters!$B$13) * LN(Parameters!$B$18) / LN(P68)</f>
        <v>#DIV/0!</v>
      </c>
      <c r="CE68">
        <f>(Parameters!$B$18*'6states,BAU'!T68^+Parameters!$B$19*Parameters!$B$25^'6states,BAU'!T68)^((1-'6states,BAU'!T68)/'6states,BAU'!T68)*Parameters!$B$18*Parameters!$B$26^('6states,BAU'!T68-1)</f>
        <v>0.27113442130516463</v>
      </c>
      <c r="CF68" t="e">
        <f t="shared" si="20"/>
        <v>#DIV/0!</v>
      </c>
      <c r="CG68" t="e">
        <f t="shared" si="29"/>
        <v>#DIV/0!</v>
      </c>
      <c r="CH68">
        <f t="shared" si="29"/>
        <v>0.17133230918426057</v>
      </c>
    </row>
    <row r="69" spans="1:86" s="4" customFormat="1" x14ac:dyDescent="0.3">
      <c r="A69" s="4">
        <f>A68+Parameters!$B$65</f>
        <v>65</v>
      </c>
      <c r="B69">
        <v>2090</v>
      </c>
      <c r="C69" s="74">
        <v>5.9693083285136797E-2</v>
      </c>
      <c r="D69" s="69">
        <v>3.0311668413203598E-3</v>
      </c>
      <c r="E69" s="75">
        <v>0.30557059353945298</v>
      </c>
      <c r="F69" s="7">
        <f>MAX((1-Parameters!$B$4)^Parameters!B$65*F68 + C68*Parameters!B$65 - IF(C68&gt;0,Parameters!$B$5,0)*C68^2/F68*Parameters!B$65, 0.0001)</f>
        <v>0.87772519729271958</v>
      </c>
      <c r="G69" s="16">
        <f>(1-Parameters!$B$4)^Parameters!B$65*G68+D68*Parameters!B$65-Parameters!$B$5*D68^2/G68*Parameters!B$65</f>
        <v>5.5312910548268514E-2</v>
      </c>
      <c r="H69" s="16">
        <f>(1-Parameters!$B$4)^Parameters!B$65*H68+E68*Parameters!B$65-Parameters!$B$5*E68^2/H68*Parameters!B$65</f>
        <v>4.5191341739780446</v>
      </c>
      <c r="I69" s="7">
        <f>I68 *(1-Parameters!$B$4)-C68*(C68&lt;0)*Parameters!B$65</f>
        <v>0</v>
      </c>
      <c r="J69" s="44">
        <f>J68*(1+Parameters!$B$51)^Parameters!B$65</f>
        <v>9.8499991733257115</v>
      </c>
      <c r="K69" s="44">
        <f>K68*(1+Parameters!$B$53)^Parameters!B$65</f>
        <v>32.793208678550755</v>
      </c>
      <c r="L69" s="23">
        <f>J69*K69*EXP(-Parameters!$B$42*'6states,BAU'!A69)*(Parameters!$B$37/Parameters!$B$38*('6states,BAU'!F69+'6states,BAU'!I69)/Parameters!$E$25*(EXP(-Parameters!$B$38*Parameters!$E$25*'6states,BAU'!I69/('6states,BAU'!F69+'6states,BAU'!I69))-EXP(-Parameters!$B$38*Parameters!$E$25))  +  Parameters!$B$39*'6states,BAU'!F69)</f>
        <v>134.78765054204851</v>
      </c>
      <c r="M69" s="25">
        <f>M68+L69*Parameters!B$65</f>
        <v>8136.3598920235654</v>
      </c>
      <c r="N69" s="16">
        <f>M69*Parameters!$B$45</f>
        <v>4.8818159352141386</v>
      </c>
      <c r="O69" s="9">
        <f>EXP(-Parameters!$B$46/2*N69^2)</f>
        <v>0.78701114082752877</v>
      </c>
      <c r="P69" s="7">
        <f>MAX((Parameters!$B$62 + Parameters!$B$31*'6states,BAU'!A69 - '6states,BAU'!M69 + Parameters!$B$47/Parameters!$B$45)/Parameters!B$62,1)</f>
        <v>1</v>
      </c>
      <c r="Q69" s="7">
        <f>Parameters!B$61*EXP(-Parameters!B$60*A69)</f>
        <v>8.6453621145858195E-2</v>
      </c>
      <c r="R69" s="7">
        <f>(1-Parameters!B$61)*P69^-Parameters!B$63</f>
        <v>0.5</v>
      </c>
      <c r="S69" s="7">
        <f>Parameters!B$61*EXP(-Parameters!B$60*A69)+(1-Parameters!B$61)*P69^-Parameters!B$63</f>
        <v>0.58645362114585819</v>
      </c>
      <c r="T69" s="16">
        <f>1-S69/Parameters!$B$12</f>
        <v>0.7067731894270709</v>
      </c>
      <c r="U69" s="16">
        <f t="shared" ref="U69:U132" si="34">1/(1-T69)</f>
        <v>3.4103293557847696</v>
      </c>
      <c r="V69" s="7">
        <f>(Parameters!$B$19*(F69+Parameters!$B$20)^T69+Parameters!$B$18*G69^T69)^(1/T69)</f>
        <v>0.57854125150066216</v>
      </c>
      <c r="W69" s="16">
        <f>(Parameters!$B$10*H69^Parameters!$B$9+Parameters!$B$11*V69^Parameters!$B$9)^(Parameters!$B$7/Parameters!$B$9)*O69</f>
        <v>1.21990954446733</v>
      </c>
      <c r="X69" s="7">
        <f>W69 - D69 - E69 - LN(1+EXP(Parameters!$B$21*C69))/Parameters!$B$21 - IF(C69&gt;0, 0,Parameters!$B$6*C69^2/F69)</f>
        <v>0.85161470074575696</v>
      </c>
      <c r="Y69" s="16">
        <f>EXP(-Parameters!$B$55*A69)</f>
        <v>0.37474855421707526</v>
      </c>
      <c r="Z69" s="16">
        <f>IF(X69&gt;0,X69^(1-Parameters!$B$52)/(1-Parameters!$B$52)*Y69*Parameters!$B$65,-10+X69*1000)</f>
        <v>-1.1326267625951276</v>
      </c>
      <c r="AC69" s="23">
        <f t="shared" ref="AC69:AD132" si="35">C69*$J69*$K69</f>
        <v>19.281646589592821</v>
      </c>
      <c r="AD69" s="23">
        <f t="shared" si="35"/>
        <v>0.97910653248136403</v>
      </c>
      <c r="AE69" s="23">
        <f t="shared" ref="AE69:AE132" si="36">I69*J69*K69</f>
        <v>0</v>
      </c>
      <c r="AF69" s="23">
        <f t="shared" ref="AF69:AF132" si="37">F69*J69*K69</f>
        <v>283.51671794431871</v>
      </c>
      <c r="AG69" s="23">
        <f t="shared" ref="AG69:AG132" si="38">G69*J69*K69</f>
        <v>17.866793510045277</v>
      </c>
      <c r="AH69" s="23">
        <f t="shared" ref="AH69:AH132" si="39">V69*J69*K69</f>
        <v>186.87639061381986</v>
      </c>
      <c r="AI69" s="23">
        <f t="shared" ref="AI69:AI132" si="40">AH69/AH$4*100</f>
        <v>459.91702484707844</v>
      </c>
      <c r="AJ69" s="23">
        <f t="shared" ref="AJ69:AJ132" si="41">W69*J69*K69</f>
        <v>394.04673729673169</v>
      </c>
      <c r="AK69" s="23">
        <f t="shared" ref="AK69:AK132" si="42">X69*J69*K69</f>
        <v>275.08268607679952</v>
      </c>
      <c r="AL69" s="9">
        <f t="shared" si="22"/>
        <v>1.4879408970548624E-2</v>
      </c>
      <c r="AM69" s="9">
        <f t="shared" si="22"/>
        <v>1.1516945256500044E-2</v>
      </c>
      <c r="AN69" s="9">
        <f t="shared" si="31"/>
        <v>1.4872611308849848E-2</v>
      </c>
      <c r="AO69" s="9">
        <f t="shared" si="31"/>
        <v>1.1484042231113812E-2</v>
      </c>
      <c r="AP69" s="23"/>
      <c r="AQ69" s="25">
        <f t="shared" si="32"/>
        <v>394.04673729673175</v>
      </c>
      <c r="AR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-8.6957725809786205E-4</v>
      </c>
      <c r="AS69" s="42">
        <f>((C70-C68)/2-(F70-F68)/F69/2*C69)/(F69/2/Parameters!$B$5-C69)-((D70-D68)/D69-(G70-G68)/G69)/(G69/2/Parameters!$B$5/D69-1)</f>
        <v>-9.921829264799985E-4</v>
      </c>
      <c r="AT69" s="42">
        <f>+Parameters!$B$5*C69^2/F69^2-Parameters!$B$5*D69^2/G69^2</f>
        <v>1.6221256605096794E-3</v>
      </c>
      <c r="AU69" s="30">
        <f>EXP(-Parameters!$B$42*'6states,BAU'!A69)*(Parameters!$B$37*EXP(-Parameters!$B$38*Parameters!$E$25*'6states,BAU'!I69/('6states,BAU'!F69+'6states,BAU'!I69))*(1/Parameters!$B$38/Parameters!$E$25+'6states,BAU'!I69/('6states,BAU'!F69+'6states,BAU'!I69))-Parameters!$B$37/Parameters!$B$38/Parameters!$E$25*EXP(-Parameters!$B$38*Parameters!$E$25)+Parameters!$B$39)</f>
        <v>0.47541341307612123</v>
      </c>
      <c r="AV69" s="30">
        <f>J69*K69*EXP(-Parameters!$B$42*'6states,BAU'!A69)*(Parameters!$B$37*EXP(-Parameters!$B$38*Parameters!$E$25*'6states,BAU'!I69/('6states,BAU'!F69+'6states,BAU'!I69))*(1/Parameters!$B$38/Parameters!$E$25+'6states,BAU'!I69/('6states,BAU'!F69+'6states,BAU'!I69))-Parameters!$B$37/Parameters!$B$38/Parameters!$E$25*EXP(-Parameters!$B$38*Parameters!$E$25)+Parameters!$B$39)</f>
        <v>153.56475005820883</v>
      </c>
      <c r="AW69" s="25">
        <f>1000*(AR69+AS69+AT69)/(EXP(-Parameters!$B$42*A69)*((C69&lt;0)*Parameters!$B$37*EXP(-Parameters!$B$38*AF69)+(C69&gt;=0)*Parameters!$B$41))</f>
        <v>-0.50405503394960327</v>
      </c>
      <c r="AX69" s="43">
        <f>1-W69/'6states,ExoDamages'!T69</f>
        <v>0.16702055886943967</v>
      </c>
      <c r="AY69" s="21">
        <f>-Y69*W69*X69^(-Parameters!B$52)*Parameters!B$46*Parameters!B$45*N69</f>
        <v>-3.3432438285140373E-5</v>
      </c>
      <c r="AZ69" s="16">
        <f>1000*EXP(-(Parameters!$B$54)*'6states,BAU'!A69)*AQ69*Parameters!B$46*Parameters!B$45*N69</f>
        <v>2.3693738114979399</v>
      </c>
      <c r="BA69" s="16">
        <f>SUM(AZ69:AZ$204)*EXP(Parameters!$B$54*A69)</f>
        <v>1146.0336771854875</v>
      </c>
      <c r="BB69" s="43">
        <f t="shared" si="26"/>
        <v>0.30190340368779145</v>
      </c>
      <c r="BC69" s="30">
        <f>IF(C69&lt;0,Parameters!$B$6*AC69^2/AF69,0)</f>
        <v>0</v>
      </c>
      <c r="BD69" s="30">
        <f>Parameters!$B$5*AD69^2/AG69</f>
        <v>5.3655380379736141E-2</v>
      </c>
      <c r="BE69" s="30">
        <f t="shared" ref="BE69:BE132" si="43">ABS(BC69/AC69)</f>
        <v>0</v>
      </c>
      <c r="BF69" s="30">
        <f t="shared" ref="BF69:BF132" si="44">BD69/AD69</f>
        <v>5.480034970633535E-2</v>
      </c>
      <c r="BG69" s="16"/>
      <c r="BH69" s="5"/>
      <c r="BI69" s="5"/>
      <c r="BJ69" s="5"/>
      <c r="BK69"/>
      <c r="BL69"/>
      <c r="BM69">
        <f>-EXP(-Parameters!B$42*'6states,BAU'!A69)*(-Parameters!B$37/Parameters!B$38/Parameters!E$25*(EXP(-Parameters!B$38*Parameters!E$25*'6states,BAU'!I69/('6states,BAU'!F69+'6states,BAU'!I69))-EXP(-Parameters!B$38*Parameters!E$25))+Parameters!B$37*'6states,BAU'!F69/('6states,BAU'!F69+'6states,BAU'!I69)*EXP(-Parameters!B$38*Parameters!E$25*'6states,BAU'!I69/('6states,BAU'!F69+'6states,BAU'!I69)))</f>
        <v>-3.1196026240109394</v>
      </c>
      <c r="BN69">
        <f>-J69*K69*EXP(-Parameters!B$42*'6states,BAU'!A69)*(-Parameters!B$37/Parameters!B$38/Parameters!E$25*(EXP(-Parameters!B$38*Parameters!E$25*'6states,BAU'!I69/('6states,BAU'!F69+'6states,BAU'!I69))-EXP(-Parameters!B$38*Parameters!E$25)) + Parameters!B$37*'6states,BAU'!F69/('6states,BAU'!F69+'6states,BAU'!I69)*EXP(-Parameters!B$38*Parameters!E$25*'6states,BAU'!I69/('6states,BAU'!F69+'6states,BAU'!I69)))</f>
        <v>-1007.6724468866996</v>
      </c>
      <c r="BO69" s="7">
        <f t="shared" si="33"/>
        <v>0</v>
      </c>
      <c r="BP69"/>
      <c r="BQ69"/>
      <c r="BR69"/>
      <c r="BS69"/>
      <c r="BU69">
        <f>EXP(-Parameters!$B$56*A69)*BH69*BN69</f>
        <v>0</v>
      </c>
      <c r="BV69">
        <f>-EXP((Parameters!$B$56)*F69)*SUM(BU69:BU77)</f>
        <v>0</v>
      </c>
      <c r="BW69">
        <f>X69^-Parameters!B$52/(1-2*Parameters!B$5*'6states,BAU'!D69/'6states,BAU'!G69)</f>
        <v>1.3950408910156546</v>
      </c>
      <c r="BX69">
        <f t="shared" ref="BX69:BX100" si="45">BW69/BW68</f>
        <v>1.015737814867919</v>
      </c>
      <c r="BY69">
        <f>$X69^-Parameters!$B$52/(1-2*Parameters!$B$5*'6states,BAU'!$E69/'6states,BAU'!$H69)</f>
        <v>1.4363927619146026</v>
      </c>
      <c r="BZ69">
        <f t="shared" ref="BZ69:BZ100" si="46">BY69/BY68</f>
        <v>1.0151838779341713</v>
      </c>
      <c r="CA69" s="7">
        <f>($X69^-Parameters!$B$52*(1/(1+EXP(-C69)) + IF(C69&lt;0,2*Parameters!$B$6*C69/F69,0)) + BS69*(1/(1+EXP((C69-Parameters!$B$22)*Parameters!$B$21))))/(1-IF(C69&gt;0,2*Parameters!$B$5*C69/F69,0))</f>
        <v>0.74029648606863729</v>
      </c>
      <c r="CB69">
        <f t="shared" ref="CB69:CB100" si="47">CA69/CA68</f>
        <v>1.0152065681867546</v>
      </c>
      <c r="CC69" s="7">
        <f t="shared" ref="CC69:CC100" si="48">CA69-CA68</f>
        <v>1.1088747203363947E-2</v>
      </c>
      <c r="CD69" t="e">
        <f>(1/$T69-1/Parameters!$B$13) * LN(Parameters!$B$18) / LN(P69)</f>
        <v>#DIV/0!</v>
      </c>
      <c r="CE69">
        <f>(Parameters!$B$18*'6states,BAU'!T69^+Parameters!$B$19*Parameters!$B$25^'6states,BAU'!T69)^((1-'6states,BAU'!T69)/'6states,BAU'!T69)*Parameters!$B$18*Parameters!$B$26^('6states,BAU'!T69-1)</f>
        <v>0.27166063818627845</v>
      </c>
      <c r="CF69" t="e">
        <f t="shared" ref="CF69:CF88" si="49">(LN(CE69)-LN(CE$4))/ LN(P69)</f>
        <v>#DIV/0!</v>
      </c>
      <c r="CG69" t="e">
        <f t="shared" ref="CG69:CH80" si="50">1-2^-CD69</f>
        <v>#DIV/0!</v>
      </c>
      <c r="CH69">
        <f t="shared" si="50"/>
        <v>0.17163450708453232</v>
      </c>
    </row>
    <row r="70" spans="1:86" s="38" customFormat="1" x14ac:dyDescent="0.3">
      <c r="A70" s="38">
        <f>A69+Parameters!$B$65</f>
        <v>66</v>
      </c>
      <c r="B70">
        <v>2091</v>
      </c>
      <c r="C70" s="74">
        <v>5.97019980436551E-2</v>
      </c>
      <c r="D70" s="69">
        <v>3.00815880599355E-3</v>
      </c>
      <c r="E70" s="75">
        <v>0.30560427239416399</v>
      </c>
      <c r="F70" s="7">
        <f>MAX((1-Parameters!$B$4)^Parameters!B$65*F69 + C69*Parameters!B$65 - IF(C69&gt;0,Parameters!$B$5,0)*C69^2/F69*Parameters!B$65, 0.0001)</f>
        <v>0.87814970758486621</v>
      </c>
      <c r="G70" s="39">
        <f>(1-Parameters!$B$4)^Parameters!B$65*G69+D69*Parameters!B$65-Parameters!$B$5*D69^2/G69*Parameters!B$65</f>
        <v>5.4698786313180182E-2</v>
      </c>
      <c r="H70" s="39">
        <f>(1-Parameters!$B$4)^Parameters!B$65*H69+E69*Parameters!B$65-Parameters!$B$5*E69^2/H69*Parameters!B$65</f>
        <v>4.5197894409944377</v>
      </c>
      <c r="I70" s="7">
        <f>I69 *(1-Parameters!$B$4)-C69*(C69&lt;0)*Parameters!B$65</f>
        <v>0</v>
      </c>
      <c r="J70" s="41">
        <f>J69*(1+Parameters!$B$51)^Parameters!B$65</f>
        <v>9.8785641709283549</v>
      </c>
      <c r="K70" s="41">
        <f>K69*(1+Parameters!$B$53)^Parameters!B$65</f>
        <v>33.449072852121773</v>
      </c>
      <c r="L70" s="23">
        <f>J70*K70*EXP(-Parameters!$B$42*'6states,BAU'!A70)*(Parameters!$B$37/Parameters!$B$38*('6states,BAU'!F70+'6states,BAU'!I70)/Parameters!$E$25*(EXP(-Parameters!$B$38*Parameters!$E$25*'6states,BAU'!I70/('6states,BAU'!F70+'6states,BAU'!I70))-EXP(-Parameters!$B$38*Parameters!$E$25))  +  Parameters!$B$39*'6states,BAU'!F70)</f>
        <v>136.57617845473288</v>
      </c>
      <c r="M70" s="37">
        <f>M69+L70*Parameters!B$65</f>
        <v>8272.9360704782976</v>
      </c>
      <c r="N70" s="39">
        <f>M70*Parameters!$B$45</f>
        <v>4.9637616422869781</v>
      </c>
      <c r="O70" s="9">
        <f>EXP(-Parameters!$B$46/2*N70^2)</f>
        <v>0.78065556613095699</v>
      </c>
      <c r="P70" s="7">
        <f>MAX((Parameters!$B$62 + Parameters!$B$31*'6states,BAU'!A70 - '6states,BAU'!M70 + Parameters!$B$47/Parameters!$B$45)/Parameters!B$62,1)</f>
        <v>1</v>
      </c>
      <c r="Q70" s="7">
        <f>Parameters!B$61*EXP(-Parameters!B$60*A70)</f>
        <v>8.415060401280719E-2</v>
      </c>
      <c r="R70" s="7">
        <f>(1-Parameters!B$61)*P70^-Parameters!B$63</f>
        <v>0.5</v>
      </c>
      <c r="S70" s="7">
        <f>Parameters!B$61*EXP(-Parameters!B$60*A70)+(1-Parameters!B$61)*P70^-Parameters!B$63</f>
        <v>0.58415060401280716</v>
      </c>
      <c r="T70" s="39">
        <f>1-S70/Parameters!$B$12</f>
        <v>0.70792469799359647</v>
      </c>
      <c r="U70" s="39">
        <f t="shared" si="34"/>
        <v>3.4237745989836408</v>
      </c>
      <c r="V70" s="7">
        <f>(Parameters!$B$19*(F70+Parameters!$B$20)^T70+Parameters!$B$18*G70^T70)^(1/T70)</f>
        <v>0.57868318609016123</v>
      </c>
      <c r="W70" s="39">
        <f>(Parameters!$B$10*H70^Parameters!$B$9+Parameters!$B$11*V70^Parameters!$B$9)^(Parameters!$B$7/Parameters!$B$9)*O70</f>
        <v>1.2101169814226909</v>
      </c>
      <c r="X70" s="7">
        <f>W70 - D70 - E70 - LN(1+EXP(Parameters!$B$21*C70))/Parameters!$B$21 - IF(C70&gt;0, 0,Parameters!$B$6*C70^2/F70)</f>
        <v>0.84180255212336397</v>
      </c>
      <c r="Y70" s="39">
        <f>EXP(-Parameters!$B$55*A70)</f>
        <v>0.36913236002650052</v>
      </c>
      <c r="Z70" s="39">
        <f>IF(X70&gt;0,X70^(1-Parameters!$B$52)/(1-Parameters!$B$52)*Y70*Parameters!$B$65,-10+X70*1000)</f>
        <v>-1.1201869055229965</v>
      </c>
      <c r="AC70" s="23">
        <f t="shared" si="35"/>
        <v>19.727260325068755</v>
      </c>
      <c r="AD70" s="23">
        <f t="shared" si="35"/>
        <v>0.99398234246013628</v>
      </c>
      <c r="AE70" s="23">
        <f t="shared" si="36"/>
        <v>0</v>
      </c>
      <c r="AF70" s="23">
        <f t="shared" si="37"/>
        <v>290.1659651866666</v>
      </c>
      <c r="AG70" s="23">
        <f t="shared" si="38"/>
        <v>18.074055013642738</v>
      </c>
      <c r="AH70" s="23">
        <f t="shared" si="39"/>
        <v>191.21359806741091</v>
      </c>
      <c r="AI70" s="23">
        <f t="shared" si="40"/>
        <v>470.59122259698222</v>
      </c>
      <c r="AJ70" s="23">
        <f t="shared" si="41"/>
        <v>399.8575173121676</v>
      </c>
      <c r="AK70" s="23">
        <f t="shared" si="42"/>
        <v>278.15581776512641</v>
      </c>
      <c r="AL70" s="9">
        <f t="shared" ref="AL70:AM133" si="51">LN(AJ70)-LN(AJ69)</f>
        <v>1.4638752088348639E-2</v>
      </c>
      <c r="AM70" s="9">
        <f t="shared" si="51"/>
        <v>1.1109723114364201E-2</v>
      </c>
      <c r="AN70" s="9">
        <f t="shared" si="31"/>
        <v>1.4632624890859702E-2</v>
      </c>
      <c r="AO70" s="9">
        <f t="shared" si="31"/>
        <v>1.1095807647745381E-2</v>
      </c>
      <c r="AP70" s="23"/>
      <c r="AQ70" s="37">
        <f t="shared" si="32"/>
        <v>399.85751731216766</v>
      </c>
      <c r="AR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-8.4586574249455348E-4</v>
      </c>
      <c r="AS70" s="42">
        <f>((C71-C69)/2-(F71-F69)/F70/2*C70)/(F70/2/Parameters!$B$5-C70)-((D71-D69)/D70-(G71-G69)/G70)/(G70/2/Parameters!$B$5/D70-1)</f>
        <v>-9.2152131527917572E-4</v>
      </c>
      <c r="AT70" s="42">
        <f>+Parameters!$B$5*C70^2/F70^2-Parameters!$B$5*D70^2/G70^2</f>
        <v>1.5976654215498162E-3</v>
      </c>
      <c r="AU70" s="30">
        <f>EXP(-Parameters!$B$42*'6states,BAU'!A70)*(Parameters!$B$37*EXP(-Parameters!$B$38*Parameters!$E$25*'6states,BAU'!I70/('6states,BAU'!F70+'6states,BAU'!I70))*(1/Parameters!$B$38/Parameters!$E$25+'6states,BAU'!I70/('6states,BAU'!F70+'6states,BAU'!I70))-Parameters!$B$37/Parameters!$B$38/Parameters!$E$25*EXP(-Parameters!$B$38*Parameters!$E$25)+Parameters!$B$39)</f>
        <v>0.47068297057813829</v>
      </c>
      <c r="AV70" s="30">
        <f>J70*K70*EXP(-Parameters!$B$42*'6states,BAU'!A70)*(Parameters!$B$37*EXP(-Parameters!$B$38*Parameters!$E$25*'6states,BAU'!I70/('6states,BAU'!F70+'6states,BAU'!I70))*(1/Parameters!$B$38/Parameters!$E$25+'6states,BAU'!I70/('6states,BAU'!F70+'6states,BAU'!I70))-Parameters!$B$37/Parameters!$B$38/Parameters!$E$25*EXP(-Parameters!$B$38*Parameters!$E$25)+Parameters!$B$39)</f>
        <v>155.52721509223286</v>
      </c>
      <c r="AW70" s="37">
        <f>1000*(AR70+AS70+AT70)/(EXP(-Parameters!$B$42*A70)*((C70&lt;0)*Parameters!$B$37*EXP(-Parameters!$B$38*AF70)+(C70&gt;=0)*Parameters!$B$41))</f>
        <v>-0.36058588653726836</v>
      </c>
      <c r="AX70" s="43">
        <f>1-W70/'6states,ExoDamages'!T70</f>
        <v>0.17354439633949414</v>
      </c>
      <c r="AY70" s="21">
        <f>-Y70*W70*X70^(-Parameters!B$52)*Parameters!B$46*Parameters!B$45*N70</f>
        <v>-3.3739130012579319E-5</v>
      </c>
      <c r="AZ70" s="39">
        <f>1000*EXP(-(Parameters!$B$54)*'6states,BAU'!A70)*AQ70*Parameters!B$46*Parameters!B$45*N70</f>
        <v>2.3603526555015453</v>
      </c>
      <c r="BA70" s="39">
        <f>SUM(AZ70:AZ$204)*EXP(Parameters!$B$54*A70)</f>
        <v>1162.9456129883017</v>
      </c>
      <c r="BB70" s="43">
        <f t="shared" si="26"/>
        <v>0.30436266484815266</v>
      </c>
      <c r="BC70" s="30">
        <f>IF(C70&lt;0,Parameters!$B$6*AC70^2/AF70,0)</f>
        <v>0</v>
      </c>
      <c r="BD70" s="30">
        <f>Parameters!$B$5*AD70^2/AG70</f>
        <v>5.4664041709332659E-2</v>
      </c>
      <c r="BE70" s="30">
        <f t="shared" si="43"/>
        <v>0</v>
      </c>
      <c r="BF70" s="30">
        <f t="shared" si="44"/>
        <v>5.4994982681520789E-2</v>
      </c>
      <c r="BG70" s="39"/>
      <c r="BH70" s="5"/>
      <c r="BI70" s="5"/>
      <c r="BJ70" s="5"/>
      <c r="BK70"/>
      <c r="BL70"/>
      <c r="BM70">
        <f>-EXP(-Parameters!B$42*'6states,BAU'!A70)*(-Parameters!B$37/Parameters!B$38/Parameters!E$25*(EXP(-Parameters!B$38*Parameters!E$25*'6states,BAU'!I70/('6states,BAU'!F70+'6states,BAU'!I70))-EXP(-Parameters!B$38*Parameters!E$25))+Parameters!B$37*'6states,BAU'!F70/('6states,BAU'!F70+'6states,BAU'!I70)*EXP(-Parameters!B$38*Parameters!E$25*'6states,BAU'!I70/('6states,BAU'!F70+'6states,BAU'!I70)))</f>
        <v>-3.0885620592654988</v>
      </c>
      <c r="BN70">
        <f>-J70*K70*EXP(-Parameters!B$42*'6states,BAU'!A70)*(-Parameters!B$37/Parameters!B$38/Parameters!E$25*(EXP(-Parameters!B$38*Parameters!E$25*'6states,BAU'!I70/('6states,BAU'!F70+'6states,BAU'!I70))-EXP(-Parameters!B$38*Parameters!E$25)) + Parameters!B$37*'6states,BAU'!F70/('6states,BAU'!F70+'6states,BAU'!I70)*EXP(-Parameters!B$38*Parameters!E$25*'6states,BAU'!I70/('6states,BAU'!F70+'6states,BAU'!I70)))</f>
        <v>-1020.5498939701938</v>
      </c>
      <c r="BO70" s="7">
        <f t="shared" si="33"/>
        <v>0</v>
      </c>
      <c r="BP70"/>
      <c r="BQ70"/>
      <c r="BR70"/>
      <c r="BS70"/>
      <c r="BU70">
        <f>EXP(-Parameters!$B$56*A70)*BH70*BN70</f>
        <v>0</v>
      </c>
      <c r="BV70">
        <f>-EXP((Parameters!$B$56)*F70)*SUM(BU70:BU78)</f>
        <v>0</v>
      </c>
      <c r="BW70">
        <f>X70^-Parameters!B$52/(1-2*Parameters!B$5*'6states,BAU'!D70/'6states,BAU'!G70)</f>
        <v>1.4176573548452802</v>
      </c>
      <c r="BX70">
        <f t="shared" si="45"/>
        <v>1.0162120436578455</v>
      </c>
      <c r="BY70">
        <f>$X70^-Parameters!$B$52/(1-2*Parameters!$B$5*'6states,BAU'!$E70/'6states,BAU'!$H70)</f>
        <v>1.4590335444267875</v>
      </c>
      <c r="BZ70">
        <f t="shared" si="46"/>
        <v>1.0157622504878168</v>
      </c>
      <c r="CA70" s="7">
        <f>($X70^-Parameters!$B$52*(1/(1+EXP(-C70)) + IF(C70&lt;0,2*Parameters!$B$6*C70/F70,0)) + BS70*(1/(1+EXP((C70-Parameters!$B$22)*Parameters!$B$21))))/(1-IF(C70&gt;0,2*Parameters!$B$5*C70/F70,0))</f>
        <v>0.75193301097371035</v>
      </c>
      <c r="CB70">
        <f t="shared" si="47"/>
        <v>1.0157187358363258</v>
      </c>
      <c r="CC70" s="7">
        <f t="shared" si="48"/>
        <v>1.1636524905073053E-2</v>
      </c>
      <c r="CD70" t="e">
        <f>(1/$T70-1/Parameters!$B$13) * LN(Parameters!$B$18) / LN(P70)</f>
        <v>#DIV/0!</v>
      </c>
      <c r="CE70">
        <f>(Parameters!$B$18*'6states,BAU'!T70^+Parameters!$B$19*Parameters!$B$25^'6states,BAU'!T70)^((1-'6states,BAU'!T70)/'6states,BAU'!T70)*Parameters!$B$18*Parameters!$B$26^('6states,BAU'!T70-1)</f>
        <v>0.27216919415009028</v>
      </c>
      <c r="CF70" t="e">
        <f t="shared" si="49"/>
        <v>#DIV/0!</v>
      </c>
      <c r="CG70" t="e">
        <f t="shared" si="50"/>
        <v>#DIV/0!</v>
      </c>
      <c r="CH70">
        <f t="shared" si="50"/>
        <v>0.17192645788402849</v>
      </c>
    </row>
    <row r="71" spans="1:86" x14ac:dyDescent="0.3">
      <c r="A71">
        <f>A70+Parameters!$B$65</f>
        <v>67</v>
      </c>
      <c r="B71">
        <v>2092</v>
      </c>
      <c r="C71" s="74">
        <v>5.9709595017953199E-2</v>
      </c>
      <c r="D71" s="69">
        <v>2.98566159607597E-3</v>
      </c>
      <c r="E71" s="75">
        <v>0.30564761871635299</v>
      </c>
      <c r="F71" s="7">
        <f>MAX((1-Parameters!$B$4)^Parameters!B$65*F70 + C70*Parameters!B$65 - IF(C70&gt;0,Parameters!$B$5,0)*C70^2/F70*Parameters!B$65, 0.0001)</f>
        <v>0.87855718136637351</v>
      </c>
      <c r="G71" s="7">
        <f>(1-Parameters!$B$4)^Parameters!B$65*G70+D70*Parameters!B$65-Parameters!$B$5*D70^2/G70*Parameters!B$65</f>
        <v>5.4100957818635817E-2</v>
      </c>
      <c r="H71" s="7">
        <f>(1-Parameters!$B$4)^Parameters!B$65*H70+E70*Parameters!B$65-Parameters!$B$5*E70^2/H70*Parameters!B$65</f>
        <v>4.5204356119396376</v>
      </c>
      <c r="I71" s="7">
        <f>I70 *(1-Parameters!$B$4)-C70*(C70&lt;0)*Parameters!B$65</f>
        <v>0</v>
      </c>
      <c r="J71" s="23">
        <f>J70*(1+Parameters!$B$51)^Parameters!B$65</f>
        <v>9.9072120070240466</v>
      </c>
      <c r="K71" s="23">
        <f>K70*(1+Parameters!$B$53)^Parameters!B$65</f>
        <v>34.118054309164208</v>
      </c>
      <c r="L71" s="23">
        <f>J71*K71*EXP(-Parameters!$B$42*'6states,BAU'!A71)*(Parameters!$B$37/Parameters!$B$38*('6states,BAU'!F71+'6states,BAU'!I71)/Parameters!$E$25*(EXP(-Parameters!$B$38*Parameters!$E$25*'6states,BAU'!I71/('6states,BAU'!F71+'6states,BAU'!I71))-EXP(-Parameters!$B$38*Parameters!$E$25))  +  Parameters!$B$39*'6states,BAU'!F71)</f>
        <v>138.38572290822611</v>
      </c>
      <c r="M71" s="8">
        <f>M70+L71*Parameters!B$65</f>
        <v>8411.3217933865235</v>
      </c>
      <c r="N71" s="7">
        <f>M71*Parameters!$B$45</f>
        <v>5.0467930760319133</v>
      </c>
      <c r="O71" s="9">
        <f>EXP(-Parameters!$B$46/2*N71^2)</f>
        <v>0.77416154744597099</v>
      </c>
      <c r="P71" s="7">
        <f>MAX((Parameters!$B$62 + Parameters!$B$31*'6states,BAU'!A71 - '6states,BAU'!M71 + Parameters!$B$47/Parameters!$B$45)/Parameters!B$62,1)</f>
        <v>1</v>
      </c>
      <c r="Q71" s="7">
        <f>Parameters!B$61*EXP(-Parameters!B$60*A71)</f>
        <v>8.1908936396928839E-2</v>
      </c>
      <c r="R71" s="7">
        <f>(1-Parameters!B$61)*P71^-Parameters!B$63</f>
        <v>0.5</v>
      </c>
      <c r="S71" s="7">
        <f>Parameters!B$61*EXP(-Parameters!B$60*A71)+(1-Parameters!B$61)*P71^-Parameters!B$63</f>
        <v>0.58190893639692887</v>
      </c>
      <c r="T71" s="7">
        <f>1-S71/Parameters!$B$12</f>
        <v>0.70904553180153562</v>
      </c>
      <c r="U71" s="7">
        <f t="shared" si="34"/>
        <v>3.4369638871394996</v>
      </c>
      <c r="V71" s="7">
        <f>(Parameters!$B$19*(F71+Parameters!$B$20)^T71+Parameters!$B$18*G71^T71)^(1/T71)</f>
        <v>0.5788184918959195</v>
      </c>
      <c r="W71" s="7">
        <f>(Parameters!$B$10*H71^Parameters!$B$9+Parameters!$B$11*V71^Parameters!$B$9)^(Parameters!$B$7/Parameters!$B$9)*O71</f>
        <v>1.2001075225553881</v>
      </c>
      <c r="X71" s="7">
        <f>W71 - D71 - E71 - LN(1+EXP(Parameters!$B$21*C71))/Parameters!$B$21 - IF(C71&gt;0, 0,Parameters!$B$6*C71^2/F71)</f>
        <v>0.83176464716961807</v>
      </c>
      <c r="Y71" s="7">
        <f>EXP(-Parameters!$B$55*A71)</f>
        <v>0.3636003333045692</v>
      </c>
      <c r="Z71" s="7">
        <f>IF(X71&gt;0,X71^(1-Parameters!$B$52)/(1-Parameters!$B$52)*Y71*Parameters!$B$65,-10+X71*1000)</f>
        <v>-1.1080416063309209</v>
      </c>
      <c r="AC71" s="23">
        <f t="shared" si="35"/>
        <v>20.182726657339209</v>
      </c>
      <c r="AD71" s="23">
        <f t="shared" si="35"/>
        <v>1.0091977992280485</v>
      </c>
      <c r="AE71" s="23">
        <f t="shared" si="36"/>
        <v>0</v>
      </c>
      <c r="AF71" s="23">
        <f t="shared" si="37"/>
        <v>296.96532758308661</v>
      </c>
      <c r="AG71" s="23">
        <f t="shared" si="38"/>
        <v>18.286924291237558</v>
      </c>
      <c r="AH71" s="23">
        <f t="shared" si="39"/>
        <v>195.64921521635048</v>
      </c>
      <c r="AI71" s="23">
        <f t="shared" si="40"/>
        <v>481.50761409940941</v>
      </c>
      <c r="AJ71" s="23">
        <f t="shared" si="41"/>
        <v>405.65410098442572</v>
      </c>
      <c r="AK71" s="23">
        <f t="shared" si="42"/>
        <v>281.14875862104032</v>
      </c>
      <c r="AL71" s="9">
        <f t="shared" si="51"/>
        <v>1.4392551520341357E-2</v>
      </c>
      <c r="AM71" s="9">
        <f t="shared" si="51"/>
        <v>1.0702467137019944E-2</v>
      </c>
      <c r="AN71" s="9">
        <f t="shared" si="31"/>
        <v>1.438626675245711E-2</v>
      </c>
      <c r="AO71" s="9">
        <f t="shared" si="31"/>
        <v>1.0708028395839796E-2</v>
      </c>
      <c r="AP71" s="23"/>
      <c r="AQ71" s="25">
        <f t="shared" si="32"/>
        <v>405.65410098442572</v>
      </c>
      <c r="AR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-8.2277832281139527E-4</v>
      </c>
      <c r="AS71" s="32">
        <f>((C72-C70)/2-(F72-F70)/F71/2*C71)/(F71/2/Parameters!$B$5-C71)-((D72-D70)/D71-(G72-G70)/G71)/(G71/2/Parameters!$B$5/D71-1)</f>
        <v>-9.0714709655310673E-4</v>
      </c>
      <c r="AT71" s="32">
        <f>+Parameters!$B$5*C71^2/F71^2-Parameters!$B$5*D71^2/G71^2</f>
        <v>1.5734136466980099E-3</v>
      </c>
      <c r="AU71" s="30">
        <f>EXP(-Parameters!$B$42*'6states,BAU'!A71)*(Parameters!$B$37*EXP(-Parameters!$B$38*Parameters!$E$25*'6states,BAU'!I71/('6states,BAU'!F71+'6states,BAU'!I71))*(1/Parameters!$B$38/Parameters!$E$25+'6states,BAU'!I71/('6states,BAU'!F71+'6states,BAU'!I71))-Parameters!$B$37/Parameters!$B$38/Parameters!$E$25*EXP(-Parameters!$B$38*Parameters!$E$25)+Parameters!$B$39)</f>
        <v>0.46599959676945041</v>
      </c>
      <c r="AV71" s="30">
        <f>J71*K71*EXP(-Parameters!$B$42*'6states,BAU'!A71)*(Parameters!$B$37*EXP(-Parameters!$B$38*Parameters!$E$25*'6states,BAU'!I71/('6states,BAU'!F71+'6states,BAU'!I71))*(1/Parameters!$B$38/Parameters!$E$25+'6states,BAU'!I71/('6states,BAU'!F71+'6states,BAU'!I71))-Parameters!$B$37/Parameters!$B$38/Parameters!$E$25*EXP(-Parameters!$B$38*Parameters!$E$25)+Parameters!$B$39)</f>
        <v>157.5147592476589</v>
      </c>
      <c r="AW71" s="8">
        <f>1000*(AR71+AS71+AT71)/(EXP(-Parameters!$B$42*A71)*((C71&lt;0)*Parameters!$B$37*EXP(-Parameters!$B$38*AF71)+(C71&gt;=0)*Parameters!$B$41))</f>
        <v>-0.33586246372639061</v>
      </c>
      <c r="AX71" s="13">
        <f>1-W71/'6states,ExoDamages'!T71</f>
        <v>0.18022325373565662</v>
      </c>
      <c r="AY71" s="21">
        <f>-Y71*W71*X71^(-Parameters!B$52)*Parameters!B$46*Parameters!B$45*N71</f>
        <v>-3.40570180491294E-5</v>
      </c>
      <c r="AZ71" s="7">
        <f>1000*EXP(-(Parameters!$B$54)*'6states,BAU'!A71)*AQ71*Parameters!B$46*Parameters!B$45*N71</f>
        <v>2.3506520268068205</v>
      </c>
      <c r="BA71" s="7">
        <f>SUM(AZ71:AZ$204)*EXP(Parameters!$B$54*A71)</f>
        <v>1179.6980875147997</v>
      </c>
      <c r="BB71" s="43">
        <f t="shared" si="26"/>
        <v>0.30692489498446762</v>
      </c>
      <c r="BC71" s="30">
        <f>IF(C71&lt;0,Parameters!$B$6*AC71^2/AF71,0)</f>
        <v>0</v>
      </c>
      <c r="BD71" s="30">
        <f>Parameters!$B$5*AD71^2/AG71</f>
        <v>5.5694450403272901E-2</v>
      </c>
      <c r="BE71" s="30">
        <f t="shared" si="43"/>
        <v>0</v>
      </c>
      <c r="BF71" s="30">
        <f t="shared" si="44"/>
        <v>5.5186852811088642E-2</v>
      </c>
      <c r="BH71" s="5"/>
      <c r="BI71" s="5"/>
      <c r="BJ71" s="5"/>
      <c r="BM71">
        <f>-EXP(-Parameters!B$42*'6states,BAU'!A71)*(-Parameters!B$37/Parameters!B$38/Parameters!E$25*(EXP(-Parameters!B$38*Parameters!E$25*'6states,BAU'!I71/('6states,BAU'!F71+'6states,BAU'!I71))-EXP(-Parameters!B$38*Parameters!E$25))+Parameters!B$37*'6states,BAU'!F71/('6states,BAU'!F71+'6states,BAU'!I71)*EXP(-Parameters!B$38*Parameters!E$25*'6states,BAU'!I71/('6states,BAU'!F71+'6states,BAU'!I71)))</f>
        <v>-3.0578303532997952</v>
      </c>
      <c r="BN71">
        <f>-J71*K71*EXP(-Parameters!B$42*'6states,BAU'!A71)*(-Parameters!B$37/Parameters!B$38/Parameters!E$25*(EXP(-Parameters!B$38*Parameters!E$25*'6states,BAU'!I71/('6states,BAU'!F71+'6states,BAU'!I71))-EXP(-Parameters!B$38*Parameters!E$25)) + Parameters!B$37*'6states,BAU'!F71/('6states,BAU'!F71+'6states,BAU'!I71)*EXP(-Parameters!B$38*Parameters!E$25*'6states,BAU'!I71/('6states,BAU'!F71+'6states,BAU'!I71)))</f>
        <v>-1033.5919070730338</v>
      </c>
      <c r="BO71" s="7">
        <f t="shared" si="33"/>
        <v>0</v>
      </c>
      <c r="BU71">
        <f>EXP(-Parameters!$B$56*A71)*BH71*BN71</f>
        <v>0</v>
      </c>
      <c r="BV71">
        <f>-EXP((Parameters!$B$56)*F71)*SUM(BU71:BU79)</f>
        <v>0</v>
      </c>
      <c r="BW71">
        <f>X71^-Parameters!B$52/(1-2*Parameters!B$5*'6states,BAU'!D71/'6states,BAU'!G71)</f>
        <v>1.441424075938321</v>
      </c>
      <c r="BX71">
        <f t="shared" si="45"/>
        <v>1.0167647852365811</v>
      </c>
      <c r="BY71">
        <f>$X71^-Parameters!$B$52/(1-2*Parameters!$B$5*'6states,BAU'!$E71/'6states,BAU'!$H71)</f>
        <v>1.4828540380833106</v>
      </c>
      <c r="BZ71">
        <f t="shared" si="46"/>
        <v>1.0163262138471816</v>
      </c>
      <c r="CA71" s="7">
        <f>($X71^-Parameters!$B$52*(1/(1+EXP(-C71)) + IF(C71&lt;0,2*Parameters!$B$6*C71/F71,0)) + BS71*(1/(1+EXP((C71-Parameters!$B$22)*Parameters!$B$21))))/(1-IF(C71&gt;0,2*Parameters!$B$5*C71/F71,0))</f>
        <v>0.76417170099678333</v>
      </c>
      <c r="CB71">
        <f t="shared" si="47"/>
        <v>1.016276303665967</v>
      </c>
      <c r="CC71" s="7">
        <f t="shared" si="48"/>
        <v>1.2238690023072984E-2</v>
      </c>
      <c r="CD71" t="e">
        <f>(1/$T71-1/Parameters!$B$13) * LN(Parameters!$B$18) / LN(P71)</f>
        <v>#DIV/0!</v>
      </c>
      <c r="CE71">
        <f>(Parameters!$B$18*'6states,BAU'!T71^+Parameters!$B$19*Parameters!$B$25^'6states,BAU'!T71)^((1-'6states,BAU'!T71)/'6states,BAU'!T71)*Parameters!$B$18*Parameters!$B$26^('6states,BAU'!T71-1)</f>
        <v>0.27266075270996654</v>
      </c>
      <c r="CF71" t="e">
        <f t="shared" si="49"/>
        <v>#DIV/0!</v>
      </c>
      <c r="CG71" t="e">
        <f t="shared" si="50"/>
        <v>#DIV/0!</v>
      </c>
      <c r="CH71">
        <f t="shared" si="50"/>
        <v>0.17220855305259486</v>
      </c>
    </row>
    <row r="72" spans="1:86" x14ac:dyDescent="0.3">
      <c r="A72">
        <f>A71+Parameters!$B$65</f>
        <v>68</v>
      </c>
      <c r="B72">
        <v>2093</v>
      </c>
      <c r="C72" s="74">
        <v>5.9721259335564901E-2</v>
      </c>
      <c r="D72" s="69">
        <v>2.9637667623894099E-3</v>
      </c>
      <c r="E72" s="75">
        <v>0.30568468296362999</v>
      </c>
      <c r="F72" s="7">
        <f>MAX((1-Parameters!$B$4)^Parameters!B$65*F71 + C71*Parameters!B$65 - IF(C71&gt;0,Parameters!$B$5,0)*C71^2/F71*Parameters!B$65, 0.0001)</f>
        <v>0.87894747197356604</v>
      </c>
      <c r="G72" s="7">
        <f>(1-Parameters!$B$4)^Parameters!B$65*G71+D71*Parameters!B$65-Parameters!$B$5*D71^2/G71*Parameters!B$65</f>
        <v>5.3518899900873225E-2</v>
      </c>
      <c r="H72" s="7">
        <f>(1-Parameters!$B$4)^Parameters!B$65*H71+E71*Parameters!B$65-Parameters!$B$5*E71^2/H71*Parameters!B$65</f>
        <v>4.5210815774879194</v>
      </c>
      <c r="I72" s="7">
        <f>I71 *(1-Parameters!$B$4)-C71*(C71&lt;0)*Parameters!B$65</f>
        <v>0</v>
      </c>
      <c r="J72" s="23">
        <f>J71*(1+Parameters!$B$51)^Parameters!B$65</f>
        <v>9.9359429218444149</v>
      </c>
      <c r="K72" s="23">
        <f>K71*(1+Parameters!$B$53)^Parameters!B$65</f>
        <v>34.800415395347493</v>
      </c>
      <c r="L72" s="23">
        <f>J72*K72*EXP(-Parameters!$B$42*'6states,BAU'!A72)*(Parameters!$B$37/Parameters!$B$38*('6states,BAU'!F72+'6states,BAU'!I72)/Parameters!$E$25*(EXP(-Parameters!$B$38*Parameters!$E$25*'6states,BAU'!I72/('6states,BAU'!F72+'6states,BAU'!I72))-EXP(-Parameters!$B$38*Parameters!$E$25))  +  Parameters!$B$39*'6states,BAU'!F72)</f>
        <v>140.21647127966793</v>
      </c>
      <c r="M72" s="8">
        <f>M71+L72*Parameters!B$65</f>
        <v>8551.538264666191</v>
      </c>
      <c r="N72" s="7">
        <f>M72*Parameters!$B$45</f>
        <v>5.1309229587997143</v>
      </c>
      <c r="O72" s="9">
        <f>EXP(-Parameters!$B$46/2*N72^2)</f>
        <v>0.76752822679666144</v>
      </c>
      <c r="P72" s="7">
        <f>MAX((Parameters!$B$62 + Parameters!$B$31*'6states,BAU'!A72 - '6states,BAU'!M72 + Parameters!$B$47/Parameters!$B$45)/Parameters!B$62,1)</f>
        <v>1</v>
      </c>
      <c r="Q72" s="7">
        <f>Parameters!B$61*EXP(-Parameters!B$60*A72)</f>
        <v>7.9726984023252581E-2</v>
      </c>
      <c r="R72" s="7">
        <f>(1-Parameters!B$61)*P72^-Parameters!B$63</f>
        <v>0.5</v>
      </c>
      <c r="S72" s="7">
        <f>Parameters!B$61*EXP(-Parameters!B$60*A72)+(1-Parameters!B$61)*P72^-Parameters!B$63</f>
        <v>0.57972698402325262</v>
      </c>
      <c r="T72" s="7">
        <f>1-S72/Parameters!$B$12</f>
        <v>0.71013650798837369</v>
      </c>
      <c r="U72" s="7">
        <f t="shared" si="34"/>
        <v>3.4498997892424836</v>
      </c>
      <c r="V72" s="7">
        <f>(Parameters!$B$19*(F72+Parameters!$B$20)^T72+Parameters!$B$18*G72^T72)^(1/T72)</f>
        <v>0.57894687910118603</v>
      </c>
      <c r="W72" s="7">
        <f>(Parameters!$B$10*H72^Parameters!$B$9+Parameters!$B$11*V72^Parameters!$B$9)^(Parameters!$B$7/Parameters!$B$9)*O72</f>
        <v>1.189880391532917</v>
      </c>
      <c r="X72" s="7">
        <f>W72 - D72 - E72 - LN(1+EXP(Parameters!$B$21*C72))/Parameters!$B$21 - IF(C72&gt;0, 0,Parameters!$B$6*C72^2/F72)</f>
        <v>0.82151068241613845</v>
      </c>
      <c r="Y72" s="7">
        <f>EXP(-Parameters!$B$55*A72)</f>
        <v>0.35815121266990152</v>
      </c>
      <c r="Z72" s="7">
        <f>IF(X72&gt;0,X72^(1-Parameters!$B$52)/(1-Parameters!$B$52)*Y72*Parameters!$B$65,-10+X72*1000)</f>
        <v>-1.0961847510680878</v>
      </c>
      <c r="AC72" s="23">
        <f t="shared" si="35"/>
        <v>20.650114924672682</v>
      </c>
      <c r="AD72" s="23">
        <f t="shared" si="35"/>
        <v>1.0247962774760111</v>
      </c>
      <c r="AE72" s="23">
        <f t="shared" si="36"/>
        <v>0</v>
      </c>
      <c r="AF72" s="23">
        <f t="shared" si="37"/>
        <v>303.91801028542352</v>
      </c>
      <c r="AG72" s="23">
        <f t="shared" si="38"/>
        <v>18.505494456928496</v>
      </c>
      <c r="AH72" s="23">
        <f t="shared" si="39"/>
        <v>200.18532297761681</v>
      </c>
      <c r="AI72" s="23">
        <f t="shared" si="40"/>
        <v>492.67132064947089</v>
      </c>
      <c r="AJ72" s="23">
        <f t="shared" si="41"/>
        <v>411.43082220867984</v>
      </c>
      <c r="AK72" s="23">
        <f t="shared" si="42"/>
        <v>284.05780776355891</v>
      </c>
      <c r="AL72" s="9">
        <f t="shared" si="51"/>
        <v>1.4140066253752082E-2</v>
      </c>
      <c r="AM72" s="9">
        <f t="shared" si="51"/>
        <v>1.0293846544564111E-2</v>
      </c>
      <c r="AN72" s="9">
        <f t="shared" ref="AN72:AO87" si="52">AVERAGE(AL70:AL74)</f>
        <v>1.4132768326036427E-2</v>
      </c>
      <c r="AO72" s="9">
        <f t="shared" si="52"/>
        <v>1.0286294215000958E-2</v>
      </c>
      <c r="AP72" s="23"/>
      <c r="AQ72" s="25">
        <f t="shared" si="32"/>
        <v>411.4308222086799</v>
      </c>
      <c r="AR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-8.0086961512636494E-4</v>
      </c>
      <c r="AS72" s="32">
        <f>((C73-C71)/2-(F73-F71)/F72/2*C72)/(F72/2/Parameters!$B$5-C72)-((D73-D71)/D72-(G73-G71)/G72)/(G72/2/Parameters!$B$5/D72-1)</f>
        <v>-9.1260602557121794E-4</v>
      </c>
      <c r="AT72" s="32">
        <f>+Parameters!$B$5*C72^2/F72^2-Parameters!$B$5*D72^2/G72^2</f>
        <v>1.5499875018234535E-3</v>
      </c>
      <c r="AU72" s="30">
        <f>EXP(-Parameters!$B$42*'6states,BAU'!A72)*(Parameters!$B$37*EXP(-Parameters!$B$38*Parameters!$E$25*'6states,BAU'!I72/('6states,BAU'!F72+'6states,BAU'!I72))*(1/Parameters!$B$38/Parameters!$E$25+'6states,BAU'!I72/('6states,BAU'!F72+'6states,BAU'!I72))-Parameters!$B$37/Parameters!$B$38/Parameters!$E$25*EXP(-Parameters!$B$38*Parameters!$E$25)+Parameters!$B$39)</f>
        <v>0.46136282330877371</v>
      </c>
      <c r="AV72" s="30">
        <f>J72*K72*EXP(-Parameters!$B$42*'6states,BAU'!A72)*(Parameters!$B$37*EXP(-Parameters!$B$38*Parameters!$E$25*'6states,BAU'!I72/('6states,BAU'!F72+'6states,BAU'!I72))*(1/Parameters!$B$38/Parameters!$E$25+'6states,BAU'!I72/('6states,BAU'!F72+'6states,BAU'!I72))-Parameters!$B$37/Parameters!$B$38/Parameters!$E$25*EXP(-Parameters!$B$38*Parameters!$E$25)+Parameters!$B$39)</f>
        <v>159.52770302055649</v>
      </c>
      <c r="AW72" s="8">
        <f>1000*(AR72+AS72+AT72)/(EXP(-Parameters!$B$42*A72)*((C72&lt;0)*Parameters!$B$37*EXP(-Parameters!$B$38*AF72)+(C72&gt;=0)*Parameters!$B$41))</f>
        <v>-0.35435915209126562</v>
      </c>
      <c r="AX72" s="13">
        <f>1-W72/'6states,ExoDamages'!T72</f>
        <v>0.1870604062311878</v>
      </c>
      <c r="AY72" s="21">
        <f>-Y72*W72*X72^(-Parameters!B$52)*Parameters!B$46*Parameters!B$45*N72</f>
        <v>-3.4386240379815654E-5</v>
      </c>
      <c r="AZ72" s="7">
        <f>1000*EXP(-(Parameters!$B$54)*'6states,BAU'!A72)*AQ72*Parameters!B$46*Parameters!B$45*N72</f>
        <v>2.3402677924013053</v>
      </c>
      <c r="BA72" s="7">
        <f>SUM(AZ72:AZ$204)*EXP(Parameters!$B$54*A72)</f>
        <v>1196.2689022122779</v>
      </c>
      <c r="BB72" s="43">
        <f t="shared" si="26"/>
        <v>0.3095854942083846</v>
      </c>
      <c r="BC72" s="30">
        <f>IF(C72&lt;0,Parameters!$B$6*AC72^2/AF72,0)</f>
        <v>0</v>
      </c>
      <c r="BD72" s="30">
        <f>Parameters!$B$5*AD72^2/AG72</f>
        <v>5.6751113177388769E-2</v>
      </c>
      <c r="BE72" s="30">
        <f t="shared" si="43"/>
        <v>0</v>
      </c>
      <c r="BF72" s="30">
        <f t="shared" si="44"/>
        <v>5.537794625597401E-2</v>
      </c>
      <c r="BH72" s="5"/>
      <c r="BI72" s="5"/>
      <c r="BJ72" s="5"/>
      <c r="BM72">
        <f>-EXP(-Parameters!B$42*'6states,BAU'!A72)*(-Parameters!B$37/Parameters!B$38/Parameters!E$25*(EXP(-Parameters!B$38*Parameters!E$25*'6states,BAU'!I72/('6states,BAU'!F72+'6states,BAU'!I72))-EXP(-Parameters!B$38*Parameters!E$25))+Parameters!B$37*'6states,BAU'!F72/('6states,BAU'!F72+'6states,BAU'!I72)*EXP(-Parameters!B$38*Parameters!E$25*'6states,BAU'!I72/('6states,BAU'!F72+'6states,BAU'!I72)))</f>
        <v>-3.027404432917622</v>
      </c>
      <c r="BN72">
        <f>-J72*K72*EXP(-Parameters!B$42*'6states,BAU'!A72)*(-Parameters!B$37/Parameters!B$38/Parameters!E$25*(EXP(-Parameters!B$38*Parameters!E$25*'6states,BAU'!I72/('6states,BAU'!F72+'6states,BAU'!I72))-EXP(-Parameters!B$38*Parameters!E$25)) + Parameters!B$37*'6states,BAU'!F72/('6states,BAU'!F72+'6states,BAU'!I72)*EXP(-Parameters!B$38*Parameters!E$25*'6states,BAU'!I72/('6states,BAU'!F72+'6states,BAU'!I72)))</f>
        <v>-1046.8005892498497</v>
      </c>
      <c r="BO72" s="7">
        <f t="shared" si="33"/>
        <v>0</v>
      </c>
      <c r="BU72">
        <f>EXP(-Parameters!$B$56*A72)*BH72*BN72</f>
        <v>0</v>
      </c>
      <c r="BV72">
        <f>-EXP((Parameters!$B$56)*F72)*SUM(BU72:BU80)</f>
        <v>0</v>
      </c>
      <c r="BW72">
        <f>X72^-Parameters!B$52/(1-2*Parameters!B$5*'6states,BAU'!D72/'6states,BAU'!G72)</f>
        <v>1.4663956497396109</v>
      </c>
      <c r="BX72">
        <f t="shared" si="45"/>
        <v>1.0173242380352459</v>
      </c>
      <c r="BY72">
        <f>$X72^-Parameters!$B$52/(1-2*Parameters!$B$5*'6states,BAU'!$E72/'6states,BAU'!$H72)</f>
        <v>1.5078901777692679</v>
      </c>
      <c r="BZ72">
        <f t="shared" si="46"/>
        <v>1.0168837519020539</v>
      </c>
      <c r="CA72" s="7">
        <f>($X72^-Parameters!$B$52*(1/(1+EXP(-C72)) + IF(C72&lt;0,2*Parameters!$B$6*C72/F72,0)) + BS72*(1/(1+EXP((C72-Parameters!$B$22)*Parameters!$B$21))))/(1-IF(C72&gt;0,2*Parameters!$B$5*C72/F72,0))</f>
        <v>0.77705040170586437</v>
      </c>
      <c r="CB72">
        <f t="shared" si="47"/>
        <v>1.0168531505318532</v>
      </c>
      <c r="CC72" s="7">
        <f t="shared" si="48"/>
        <v>1.2878700709081037E-2</v>
      </c>
      <c r="CD72" t="e">
        <f>(1/$T72-1/Parameters!$B$13) * LN(Parameters!$B$18) / LN(P72)</f>
        <v>#DIV/0!</v>
      </c>
      <c r="CE72">
        <f>(Parameters!$B$18*'6states,BAU'!T72^+Parameters!$B$19*Parameters!$B$25^'6states,BAU'!T72)^((1-'6states,BAU'!T72)/'6states,BAU'!T72)*Parameters!$B$18*Parameters!$B$26^('6states,BAU'!T72-1)</f>
        <v>0.27313594956381082</v>
      </c>
      <c r="CF72" t="e">
        <f t="shared" si="49"/>
        <v>#DIV/0!</v>
      </c>
      <c r="CG72" t="e">
        <f t="shared" si="50"/>
        <v>#DIV/0!</v>
      </c>
      <c r="CH72">
        <f t="shared" si="50"/>
        <v>0.17248116722525586</v>
      </c>
    </row>
    <row r="73" spans="1:86" x14ac:dyDescent="0.3">
      <c r="A73">
        <f>A72+Parameters!$B$65</f>
        <v>69</v>
      </c>
      <c r="B73">
        <v>2094</v>
      </c>
      <c r="C73" s="74">
        <v>5.9744461373141003E-2</v>
      </c>
      <c r="D73" s="69">
        <v>2.9432195131923401E-3</v>
      </c>
      <c r="E73" s="75">
        <v>0.30566906876170602</v>
      </c>
      <c r="F73" s="7">
        <f>MAX((1-Parameters!$B$4)^Parameters!B$65*F72 + C72*Parameters!B$65 - IF(C72&gt;0,Parameters!$B$5,0)*C72^2/F72*Parameters!B$65, 0.0001)</f>
        <v>0.87932509463144892</v>
      </c>
      <c r="G73" s="7">
        <f>(1-Parameters!$B$4)^Parameters!B$65*G72+D72*Parameters!B$65-Parameters!$B$5*D72^2/G72*Parameters!B$65</f>
        <v>5.2952200543014867E-2</v>
      </c>
      <c r="H73" s="7">
        <f>(1-Parameters!$B$4)^Parameters!B$65*H72+E72*Parameters!B$65-Parameters!$B$5*E72^2/H72*Parameters!B$65</f>
        <v>4.5217219170555651</v>
      </c>
      <c r="I73" s="7">
        <f>I72 *(1-Parameters!$B$4)-C72*(C72&lt;0)*Parameters!B$65</f>
        <v>0</v>
      </c>
      <c r="J73" s="23">
        <f>J72*(1+Parameters!$B$51)^Parameters!B$65</f>
        <v>9.9647571563177628</v>
      </c>
      <c r="K73" s="23">
        <f>K72*(1+Parameters!$B$53)^Parameters!B$65</f>
        <v>35.496423703254443</v>
      </c>
      <c r="L73" s="23">
        <f>J73*K73*EXP(-Parameters!$B$42*'6states,BAU'!A73)*(Parameters!$B$37/Parameters!$B$38*('6states,BAU'!F73+'6states,BAU'!I73)/Parameters!$E$25*(EXP(-Parameters!$B$38*Parameters!$E$25*'6states,BAU'!I73/('6states,BAU'!F73+'6states,BAU'!I73))-EXP(-Parameters!$B$38*Parameters!$E$25))  +  Parameters!$B$39*'6states,BAU'!F73)</f>
        <v>142.06936447124602</v>
      </c>
      <c r="M73" s="8">
        <f>M72+L73*Parameters!B$65</f>
        <v>8693.6076291374375</v>
      </c>
      <c r="N73" s="7">
        <f>M73*Parameters!$B$45</f>
        <v>5.2161645774824619</v>
      </c>
      <c r="O73" s="9">
        <f>EXP(-Parameters!$B$46/2*N73^2)</f>
        <v>0.76075482512258374</v>
      </c>
      <c r="P73" s="7">
        <f>MAX((Parameters!$B$62 + Parameters!$B$31*'6states,BAU'!A73 - '6states,BAU'!M73 + Parameters!$B$47/Parameters!$B$45)/Parameters!B$62,1)</f>
        <v>1</v>
      </c>
      <c r="Q73" s="7">
        <f>Parameters!B$61*EXP(-Parameters!B$60*A73)</f>
        <v>7.7603156151864111E-2</v>
      </c>
      <c r="R73" s="7">
        <f>(1-Parameters!B$61)*P73^-Parameters!B$63</f>
        <v>0.5</v>
      </c>
      <c r="S73" s="7">
        <f>Parameters!B$61*EXP(-Parameters!B$60*A73)+(1-Parameters!B$61)*P73^-Parameters!B$63</f>
        <v>0.57760315615186408</v>
      </c>
      <c r="T73" s="7">
        <f>1-S73/Parameters!$B$12</f>
        <v>0.7111984219240679</v>
      </c>
      <c r="U73" s="7">
        <f t="shared" si="34"/>
        <v>3.4625849576801087</v>
      </c>
      <c r="V73" s="7">
        <f>(Parameters!$B$19*(F73+Parameters!$B$20)^T73+Parameters!$B$18*G73^T73)^(1/T73)</f>
        <v>0.57907099201488899</v>
      </c>
      <c r="W73" s="7">
        <f>(Parameters!$B$10*H73^Parameters!$B$9+Parameters!$B$11*V73^Parameters!$B$9)^(Parameters!$B$7/Parameters!$B$9)*O73</f>
        <v>1.1794342982665957</v>
      </c>
      <c r="X73" s="7">
        <f>W73 - D73 - E73 - LN(1+EXP(Parameters!$B$21*C73))/Parameters!$B$21 - IF(C73&gt;0, 0,Parameters!$B$6*C73^2/F73)</f>
        <v>0.8110775485637447</v>
      </c>
      <c r="Y73" s="7">
        <f>EXP(-Parameters!$B$55*A73)</f>
        <v>0.35278375564489362</v>
      </c>
      <c r="Z73" s="7">
        <f>IF(X73&gt;0,X73^(1-Parameters!$B$52)/(1-Parameters!$B$52)*Y73*Parameters!$B$65,-10+X73*1000)</f>
        <v>-1.0845977571104939</v>
      </c>
      <c r="AC73" s="23">
        <f t="shared" si="35"/>
        <v>21.132407131048165</v>
      </c>
      <c r="AD73" s="23">
        <f t="shared" si="35"/>
        <v>1.0410557162841481</v>
      </c>
      <c r="AE73" s="23">
        <f t="shared" si="36"/>
        <v>0</v>
      </c>
      <c r="AF73" s="23">
        <f t="shared" si="37"/>
        <v>311.02893010017425</v>
      </c>
      <c r="AG73" s="23">
        <f t="shared" si="38"/>
        <v>18.729894531494864</v>
      </c>
      <c r="AH73" s="23">
        <f t="shared" si="39"/>
        <v>204.82507800363183</v>
      </c>
      <c r="AI73" s="23">
        <f t="shared" si="40"/>
        <v>504.09011100910391</v>
      </c>
      <c r="AJ73" s="23">
        <f t="shared" si="41"/>
        <v>417.18152950822105</v>
      </c>
      <c r="AK73" s="23">
        <f t="shared" si="42"/>
        <v>286.88886931378534</v>
      </c>
      <c r="AL73" s="9">
        <f t="shared" si="51"/>
        <v>1.3880554929294853E-2</v>
      </c>
      <c r="AM73" s="9">
        <f t="shared" si="51"/>
        <v>9.9171599267506849E-3</v>
      </c>
      <c r="AN73" s="9">
        <f t="shared" si="52"/>
        <v>1.3872748876681839E-2</v>
      </c>
      <c r="AO73" s="9">
        <f t="shared" si="52"/>
        <v>9.8652249119988156E-3</v>
      </c>
      <c r="AP73" s="23"/>
      <c r="AQ73" s="25">
        <f t="shared" si="32"/>
        <v>417.18152950822105</v>
      </c>
      <c r="AR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-7.7938834080256022E-4</v>
      </c>
      <c r="AS73" s="32">
        <f>((C74-C72)/2-(F74-F72)/F73/2*C73)/(F73/2/Parameters!$B$5-C73)-((D74-D72)/D73-(G74-G72)/G73)/(G73/2/Parameters!$B$5/D73-1)</f>
        <v>-8.7399706178936773E-4</v>
      </c>
      <c r="AT73" s="32">
        <f>+Parameters!$B$5*C73^2/F73^2-Parameters!$B$5*D73^2/G73^2</f>
        <v>1.5269025406705076E-3</v>
      </c>
      <c r="AU73" s="30">
        <f>EXP(-Parameters!$B$42*'6states,BAU'!A73)*(Parameters!$B$37*EXP(-Parameters!$B$38*Parameters!$E$25*'6states,BAU'!I73/('6states,BAU'!F73+'6states,BAU'!I73))*(1/Parameters!$B$38/Parameters!$E$25+'6states,BAU'!I73/('6states,BAU'!F73+'6states,BAU'!I73))-Parameters!$B$37/Parameters!$B$38/Parameters!$E$25*EXP(-Parameters!$B$38*Parameters!$E$25)+Parameters!$B$39)</f>
        <v>0.4567721865148982</v>
      </c>
      <c r="AV73" s="30">
        <f>J73*K73*EXP(-Parameters!$B$42*'6states,BAU'!A73)*(Parameters!$B$37*EXP(-Parameters!$B$38*Parameters!$E$25*'6states,BAU'!I73/('6states,BAU'!F73+'6states,BAU'!I73))*(1/Parameters!$B$38/Parameters!$E$25+'6states,BAU'!I73/('6states,BAU'!F73+'6states,BAU'!I73))-Parameters!$B$37/Parameters!$B$38/Parameters!$E$25*EXP(-Parameters!$B$38*Parameters!$E$25)+Parameters!$B$39)</f>
        <v>161.56637100274216</v>
      </c>
      <c r="AW73" s="8">
        <f>1000*(AR73+AS73+AT73)/(EXP(-Parameters!$B$42*A73)*((C73&lt;0)*Parameters!$B$37*EXP(-Parameters!$B$38*AF73)+(C73&gt;=0)*Parameters!$B$41))</f>
        <v>-0.27690578729511789</v>
      </c>
      <c r="AX73" s="13">
        <f>1-W73/'6states,ExoDamages'!T73</f>
        <v>0.19405352545808374</v>
      </c>
      <c r="AY73" s="21">
        <f>-Y73*W73*X73^(-Parameters!B$52)*Parameters!B$46*Parameters!B$45*N73</f>
        <v>-3.4725356488545325E-5</v>
      </c>
      <c r="AZ73" s="7">
        <f>1000*EXP(-(Parameters!$B$54)*'6states,BAU'!A73)*AQ73*Parameters!B$46*Parameters!B$45*N73</f>
        <v>2.3291950563463009</v>
      </c>
      <c r="BA73" s="7">
        <f>SUM(AZ73:AZ$204)*EXP(Parameters!$B$54*A73)</f>
        <v>1212.6351716153079</v>
      </c>
      <c r="BB73" s="43">
        <f t="shared" si="26"/>
        <v>0.31231646407893182</v>
      </c>
      <c r="BC73" s="30">
        <f>IF(C73&lt;0,Parameters!$B$6*AC73^2/AF73,0)</f>
        <v>0</v>
      </c>
      <c r="BD73" s="30">
        <f>Parameters!$B$5*AD73^2/AG73</f>
        <v>5.7864554580671253E-2</v>
      </c>
      <c r="BE73" s="30">
        <f t="shared" si="43"/>
        <v>0</v>
      </c>
      <c r="BF73" s="30">
        <f t="shared" si="44"/>
        <v>5.5582572263478715E-2</v>
      </c>
      <c r="BH73" s="5"/>
      <c r="BI73" s="5"/>
      <c r="BJ73" s="5"/>
      <c r="BM73">
        <f>-EXP(-Parameters!B$42*'6states,BAU'!A73)*(-Parameters!B$37/Parameters!B$38/Parameters!E$25*(EXP(-Parameters!B$38*Parameters!E$25*'6states,BAU'!I73/('6states,BAU'!F73+'6states,BAU'!I73))-EXP(-Parameters!B$38*Parameters!E$25))+Parameters!B$37*'6states,BAU'!F73/('6states,BAU'!F73+'6states,BAU'!I73)*EXP(-Parameters!B$38*Parameters!E$25*'6states,BAU'!I73/('6states,BAU'!F73+'6states,BAU'!I73)))</f>
        <v>-2.9972812555015858</v>
      </c>
      <c r="BN73">
        <f>-J73*K73*EXP(-Parameters!B$42*'6states,BAU'!A73)*(-Parameters!B$37/Parameters!B$38/Parameters!E$25*(EXP(-Parameters!B$38*Parameters!E$25*'6states,BAU'!I73/('6states,BAU'!F73+'6states,BAU'!I73))-EXP(-Parameters!B$38*Parameters!E$25)) + Parameters!B$37*'6states,BAU'!F73/('6states,BAU'!F73+'6states,BAU'!I73)*EXP(-Parameters!B$38*Parameters!E$25*'6states,BAU'!I73/('6states,BAU'!F73+'6states,BAU'!I73)))</f>
        <v>-1060.1780704310447</v>
      </c>
      <c r="BO73" s="7">
        <f t="shared" si="33"/>
        <v>0</v>
      </c>
      <c r="BU73">
        <f>EXP(-Parameters!$B$56*A73)*BH73*BN73</f>
        <v>0</v>
      </c>
      <c r="BV73">
        <f>-EXP((Parameters!$B$56)*F73)*SUM(BU73:BU81)</f>
        <v>0</v>
      </c>
      <c r="BW73">
        <f>X73^-Parameters!B$52/(1-2*Parameters!B$5*'6states,BAU'!D73/'6states,BAU'!G73)</f>
        <v>1.4926043746455215</v>
      </c>
      <c r="BX73">
        <f t="shared" si="45"/>
        <v>1.0178728877916166</v>
      </c>
      <c r="BY73">
        <f>$X73^-Parameters!$B$52/(1-2*Parameters!$B$5*'6states,BAU'!$E73/'6states,BAU'!$H73)</f>
        <v>1.5340879351505001</v>
      </c>
      <c r="BZ73">
        <f t="shared" si="46"/>
        <v>1.0173737834276422</v>
      </c>
      <c r="CA73" s="7">
        <f>($X73^-Parameters!$B$52*(1/(1+EXP(-C73)) + IF(C73&lt;0,2*Parameters!$B$6*C73/F73,0)) + BS73*(1/(1+EXP((C73-Parameters!$B$22)*Parameters!$B$21))))/(1-IF(C73&gt;0,2*Parameters!$B$5*C73/F73,0))</f>
        <v>0.79057831380732368</v>
      </c>
      <c r="CB73">
        <f t="shared" si="47"/>
        <v>1.0174093109941922</v>
      </c>
      <c r="CC73" s="7">
        <f t="shared" si="48"/>
        <v>1.3527912101459316E-2</v>
      </c>
      <c r="CD73" t="e">
        <f>(1/$T73-1/Parameters!$B$13) * LN(Parameters!$B$18) / LN(P73)</f>
        <v>#DIV/0!</v>
      </c>
      <c r="CE73">
        <f>(Parameters!$B$18*'6states,BAU'!T73^+Parameters!$B$19*Parameters!$B$25^'6states,BAU'!T73)^((1-'6states,BAU'!T73)/'6states,BAU'!T73)*Parameters!$B$18*Parameters!$B$26^('6states,BAU'!T73-1)</f>
        <v>0.27359539385319337</v>
      </c>
      <c r="CF73" t="e">
        <f t="shared" si="49"/>
        <v>#DIV/0!</v>
      </c>
      <c r="CG73" t="e">
        <f t="shared" si="50"/>
        <v>#DIV/0!</v>
      </c>
      <c r="CH73">
        <f t="shared" si="50"/>
        <v>0.17274465899461389</v>
      </c>
    </row>
    <row r="74" spans="1:86" s="4" customFormat="1" x14ac:dyDescent="0.3">
      <c r="A74" s="4">
        <f>A73+Parameters!$B$65</f>
        <v>70</v>
      </c>
      <c r="B74">
        <v>2095</v>
      </c>
      <c r="C74" s="74">
        <v>5.9745550822146401E-2</v>
      </c>
      <c r="D74" s="69">
        <v>2.92137338792739E-3</v>
      </c>
      <c r="E74" s="75">
        <v>0.30572945624144199</v>
      </c>
      <c r="F74" s="7">
        <f>MAX((1-Parameters!$B$4)^Parameters!B$65*F73 + C73*Parameters!B$65 - IF(C73&gt;0,Parameters!$B$5,0)*C73^2/F73*Parameters!B$65, 0.0001)</f>
        <v>0.87970075724023256</v>
      </c>
      <c r="G74" s="16">
        <f>(1-Parameters!$B$4)^Parameters!B$65*G73+D73*Parameters!B$65-Parameters!$B$5*D73^2/G73*Parameters!B$65</f>
        <v>5.2401134930772274E-2</v>
      </c>
      <c r="H74" s="16">
        <f>(1-Parameters!$B$4)^Parameters!B$65*H73+E73*Parameters!B$65-Parameters!$B$5*E73^2/H73*Parameters!B$65</f>
        <v>4.5223114030854781</v>
      </c>
      <c r="I74" s="7">
        <f>I73 *(1-Parameters!$B$4)-C73*(C73&lt;0)*Parameters!B$65</f>
        <v>0</v>
      </c>
      <c r="J74" s="44">
        <f>J73*(1+Parameters!$B$51)^Parameters!B$65</f>
        <v>9.9936549520710827</v>
      </c>
      <c r="K74" s="44">
        <f>K73*(1+Parameters!$B$53)^Parameters!B$65</f>
        <v>36.20635217731953</v>
      </c>
      <c r="L74" s="23">
        <f>J74*K74*EXP(-Parameters!$B$42*'6states,BAU'!A74)*(Parameters!$B$37/Parameters!$B$38*('6states,BAU'!F74+'6states,BAU'!I74)/Parameters!$E$25*(EXP(-Parameters!$B$38*Parameters!$E$25*'6states,BAU'!I74/('6states,BAU'!F74+'6states,BAU'!I74))-EXP(-Parameters!$B$38*Parameters!$E$25))  +  Parameters!$B$39*'6states,BAU'!F74)</f>
        <v>143.94639548249174</v>
      </c>
      <c r="M74" s="25">
        <f>M73+L74*Parameters!B$65</f>
        <v>8837.5540246199289</v>
      </c>
      <c r="N74" s="16">
        <f>M74*Parameters!$B$45</f>
        <v>5.3025324147719566</v>
      </c>
      <c r="O74" s="9">
        <f>EXP(-Parameters!$B$46/2*N74^2)</f>
        <v>0.75384059740794152</v>
      </c>
      <c r="P74" s="7">
        <f>MAX((Parameters!$B$62 + Parameters!$B$31*'6states,BAU'!A74 - '6states,BAU'!M74 + Parameters!$B$47/Parameters!$B$45)/Parameters!B$62,1)</f>
        <v>1</v>
      </c>
      <c r="Q74" s="7">
        <f>Parameters!B$61*EXP(-Parameters!B$60*A74)</f>
        <v>7.5535904418185432E-2</v>
      </c>
      <c r="R74" s="7">
        <f>(1-Parameters!B$61)*P74^-Parameters!B$63</f>
        <v>0.5</v>
      </c>
      <c r="S74" s="7">
        <f>Parameters!B$61*EXP(-Parameters!B$60*A74)+(1-Parameters!B$61)*P74^-Parameters!B$63</f>
        <v>0.57553590441818547</v>
      </c>
      <c r="T74" s="16">
        <f>1-S74/Parameters!$B$12</f>
        <v>0.71223204779090721</v>
      </c>
      <c r="U74" s="16">
        <f t="shared" si="34"/>
        <v>3.4750221222459059</v>
      </c>
      <c r="V74" s="7">
        <f>(Parameters!$B$19*(F74+Parameters!$B$20)^T74+Parameters!$B$18*G74^T74)^(1/T74)</f>
        <v>0.57919770483967636</v>
      </c>
      <c r="W74" s="16">
        <f>(Parameters!$B$10*H74^Parameters!$B$9+Parameters!$B$11*V74^Parameters!$B$9)^(Parameters!$B$7/Parameters!$B$9)*O74</f>
        <v>1.1687658952080529</v>
      </c>
      <c r="X74" s="7">
        <f>W74 - D74 - E74 - LN(1+EXP(Parameters!$B$21*C74))/Parameters!$B$21 - IF(C74&gt;0, 0,Parameters!$B$6*C74^2/F74)</f>
        <v>0.80036951470174345</v>
      </c>
      <c r="Y74" s="16">
        <f>EXP(-Parameters!$B$55*A74)</f>
        <v>0.34749673837241518</v>
      </c>
      <c r="Z74" s="16">
        <f>IF(X74&gt;0,X74^(1-Parameters!$B$52)/(1-Parameters!$B$52)*Y74*Parameters!$B$65,-10+X74*1000)</f>
        <v>-1.0733243938052028</v>
      </c>
      <c r="AC74" s="23">
        <f t="shared" si="35"/>
        <v>21.617959133426197</v>
      </c>
      <c r="AD74" s="23">
        <f t="shared" si="35"/>
        <v>1.0570516071011478</v>
      </c>
      <c r="AE74" s="23">
        <f t="shared" si="36"/>
        <v>0</v>
      </c>
      <c r="AF74" s="23">
        <f t="shared" si="37"/>
        <v>318.30545970318695</v>
      </c>
      <c r="AG74" s="23">
        <f t="shared" si="38"/>
        <v>18.960501290728416</v>
      </c>
      <c r="AH74" s="23">
        <f t="shared" si="39"/>
        <v>209.57330112616651</v>
      </c>
      <c r="AI74" s="23">
        <f t="shared" si="40"/>
        <v>515.77584961232355</v>
      </c>
      <c r="AJ74" s="23">
        <f t="shared" si="41"/>
        <v>422.89899434292738</v>
      </c>
      <c r="AK74" s="23">
        <f t="shared" si="42"/>
        <v>289.60073549190264</v>
      </c>
      <c r="AL74" s="9">
        <f t="shared" si="51"/>
        <v>1.3611916838445204E-2</v>
      </c>
      <c r="AM74" s="9">
        <f t="shared" si="51"/>
        <v>9.4082743523058454E-3</v>
      </c>
      <c r="AN74" s="9">
        <f t="shared" si="52"/>
        <v>1.3605383310990505E-2</v>
      </c>
      <c r="AO74" s="9">
        <f t="shared" si="52"/>
        <v>9.4329079932423451E-3</v>
      </c>
      <c r="AP74" s="23"/>
      <c r="AQ74" s="25">
        <f t="shared" si="32"/>
        <v>422.89899434292744</v>
      </c>
      <c r="AR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-7.5960820457683111E-4</v>
      </c>
      <c r="AS74" s="42">
        <f>((C75-C73)/2-(F75-F73)/F74/2*C74)/(F74/2/Parameters!$B$5-C74)-((D75-D73)/D74-(G75-G73)/G74)/(G74/2/Parameters!$B$5/D74-1)</f>
        <v>-8.613484650087411E-4</v>
      </c>
      <c r="AT74" s="42">
        <f>+Parameters!$B$5*C74^2/F74^2-Parameters!$B$5*D74^2/G74^2</f>
        <v>1.5044672540238339E-3</v>
      </c>
      <c r="AU74" s="30">
        <f>EXP(-Parameters!$B$42*'6states,BAU'!A74)*(Parameters!$B$37*EXP(-Parameters!$B$38*Parameters!$E$25*'6states,BAU'!I74/('6states,BAU'!F74+'6states,BAU'!I74))*(1/Parameters!$B$38/Parameters!$E$25+'6states,BAU'!I74/('6states,BAU'!F74+'6states,BAU'!I74))-Parameters!$B$37/Parameters!$B$38/Parameters!$E$25*EXP(-Parameters!$B$38*Parameters!$E$25)+Parameters!$B$39)</f>
        <v>0.452227227320319</v>
      </c>
      <c r="AV74" s="30">
        <f>J74*K74*EXP(-Parameters!$B$42*'6states,BAU'!A74)*(Parameters!$B$37*EXP(-Parameters!$B$38*Parameters!$E$25*'6states,BAU'!I74/('6states,BAU'!F74+'6states,BAU'!I74))*(1/Parameters!$B$38/Parameters!$E$25+'6states,BAU'!I74/('6states,BAU'!F74+'6states,BAU'!I74))-Parameters!$B$37/Parameters!$B$38/Parameters!$E$25*EXP(-Parameters!$B$38*Parameters!$E$25)+Parameters!$B$39)</f>
        <v>163.63109193412032</v>
      </c>
      <c r="AW74" s="25">
        <f>1000*(AR74+AS74+AT74)/(EXP(-Parameters!$B$42*A74)*((C74&lt;0)*Parameters!$B$37*EXP(-Parameters!$B$38*AF74)+(C74&gt;=0)*Parameters!$B$41))</f>
        <v>-0.25759045126937286</v>
      </c>
      <c r="AX74" s="43">
        <f>1-W74/'6states,ExoDamages'!T74</f>
        <v>0.20120686200280291</v>
      </c>
      <c r="AY74" s="21">
        <f>-Y74*W74*X74^(-Parameters!B$52)*Parameters!B$46*Parameters!B$45*N74</f>
        <v>-3.5080572798963679E-5</v>
      </c>
      <c r="AZ74" s="16">
        <f>1000*EXP(-(Parameters!$B$54)*'6states,BAU'!A74)*AQ74*Parameters!B$46*Parameters!B$45*N74</f>
        <v>2.3174253333963368</v>
      </c>
      <c r="BA74" s="16">
        <f>SUM(AZ74:AZ$204)*EXP(Parameters!$B$54*A74)</f>
        <v>1228.7733491092847</v>
      </c>
      <c r="BB74" s="43">
        <f t="shared" si="26"/>
        <v>0.31520117241779827</v>
      </c>
      <c r="BC74" s="30">
        <f>IF(C74&lt;0,Parameters!$B$6*AC74^2/AF74,0)</f>
        <v>0</v>
      </c>
      <c r="BD74" s="30">
        <f>Parameters!$B$5*AD74^2/AG74</f>
        <v>5.8930831149569936E-2</v>
      </c>
      <c r="BE74" s="30">
        <f t="shared" si="43"/>
        <v>0</v>
      </c>
      <c r="BF74" s="30">
        <f t="shared" si="44"/>
        <v>5.5750193040415036E-2</v>
      </c>
      <c r="BG74" s="16"/>
      <c r="BH74" s="5"/>
      <c r="BI74" s="5"/>
      <c r="BJ74" s="5"/>
      <c r="BK74"/>
      <c r="BL74"/>
      <c r="BM74">
        <f>-EXP(-Parameters!B$42*'6states,BAU'!A74)*(-Parameters!B$37/Parameters!B$38/Parameters!E$25*(EXP(-Parameters!B$38*Parameters!E$25*'6states,BAU'!I74/('6states,BAU'!F74+'6states,BAU'!I74))-EXP(-Parameters!B$38*Parameters!E$25))+Parameters!B$37*'6states,BAU'!F74/('6states,BAU'!F74+'6states,BAU'!I74)*EXP(-Parameters!B$38*Parameters!E$25*'6states,BAU'!I74/('6states,BAU'!F74+'6states,BAU'!I74)))</f>
        <v>-2.967457808708843</v>
      </c>
      <c r="BN74">
        <f>-J74*K74*EXP(-Parameters!B$42*'6states,BAU'!A74)*(-Parameters!B$37/Parameters!B$38/Parameters!E$25*(EXP(-Parameters!B$38*Parameters!E$25*'6states,BAU'!I74/('6states,BAU'!F74+'6states,BAU'!I74))-EXP(-Parameters!B$38*Parameters!E$25)) + Parameters!B$37*'6states,BAU'!F74/('6states,BAU'!F74+'6states,BAU'!I74)*EXP(-Parameters!B$38*Parameters!E$25*'6states,BAU'!I74/('6states,BAU'!F74+'6states,BAU'!I74)))</f>
        <v>-1073.7265077662494</v>
      </c>
      <c r="BO74" s="7">
        <f t="shared" si="33"/>
        <v>0</v>
      </c>
      <c r="BP74"/>
      <c r="BQ74"/>
      <c r="BR74"/>
      <c r="BS74"/>
      <c r="BU74">
        <f>EXP(-Parameters!$B$56*A74)*BH74*BN74</f>
        <v>0</v>
      </c>
      <c r="BV74">
        <f>-EXP((Parameters!$B$56)*F74)*SUM(BU74:BU82)</f>
        <v>0</v>
      </c>
      <c r="BW74">
        <f>X74^-Parameters!B$52/(1-2*Parameters!B$5*'6states,BAU'!D74/'6states,BAU'!G74)</f>
        <v>1.5201993051891503</v>
      </c>
      <c r="BX74">
        <f t="shared" si="45"/>
        <v>1.0184877727898809</v>
      </c>
      <c r="BY74">
        <f>$X74^-Parameters!$B$52/(1-2*Parameters!$B$5*'6states,BAU'!$E74/'6states,BAU'!$H74)</f>
        <v>1.5618769001064556</v>
      </c>
      <c r="BZ74">
        <f t="shared" si="46"/>
        <v>1.0181143233834438</v>
      </c>
      <c r="CA74" s="7">
        <f>($X74^-Parameters!$B$52*(1/(1+EXP(-C74)) + IF(C74&lt;0,2*Parameters!$B$6*C74/F74,0)) + BS74*(1/(1+EXP((C74-Parameters!$B$22)*Parameters!$B$21))))/(1-IF(C74&gt;0,2*Parameters!$B$5*C74/F74,0))</f>
        <v>0.804839335437465</v>
      </c>
      <c r="CB74">
        <f t="shared" si="47"/>
        <v>1.0180387209983817</v>
      </c>
      <c r="CC74" s="7">
        <f t="shared" si="48"/>
        <v>1.4261021630141313E-2</v>
      </c>
      <c r="CD74" t="e">
        <f>(1/$T74-1/Parameters!$B$13) * LN(Parameters!$B$18) / LN(P74)</f>
        <v>#DIV/0!</v>
      </c>
      <c r="CE74">
        <f>(Parameters!$B$18*'6states,BAU'!T74^+Parameters!$B$19*Parameters!$B$25^'6states,BAU'!T74)^((1-'6states,BAU'!T74)/'6states,BAU'!T74)*Parameters!$B$18*Parameters!$B$26^('6states,BAU'!T74-1)</f>
        <v>0.2740396693644862</v>
      </c>
      <c r="CF74" t="e">
        <f t="shared" si="49"/>
        <v>#DIV/0!</v>
      </c>
      <c r="CG74" t="e">
        <f t="shared" si="50"/>
        <v>#DIV/0!</v>
      </c>
      <c r="CH74">
        <f t="shared" si="50"/>
        <v>0.17299937166428769</v>
      </c>
    </row>
    <row r="75" spans="1:86" s="38" customFormat="1" x14ac:dyDescent="0.3">
      <c r="A75" s="38">
        <f>A74+Parameters!$B$65</f>
        <v>71</v>
      </c>
      <c r="B75">
        <v>2096</v>
      </c>
      <c r="C75" s="74">
        <v>5.97665887483411E-2</v>
      </c>
      <c r="D75" s="69">
        <v>2.9017404852360799E-3</v>
      </c>
      <c r="E75" s="75">
        <v>0.30572529959829797</v>
      </c>
      <c r="F75" s="7">
        <f>MAX((1-Parameters!$B$4)^Parameters!B$65*F74 + C74*Parameters!B$65 - IF(C74&gt;0,Parameters!$B$5,0)*C74^2/F74*Parameters!B$65, 0.0001)</f>
        <v>0.88005546557984315</v>
      </c>
      <c r="G75" s="39">
        <f>(1-Parameters!$B$4)^Parameters!B$65*G74+D74*Parameters!B$65-Parameters!$B$5*D74^2/G74*Parameters!B$65</f>
        <v>5.1863609801234008E-2</v>
      </c>
      <c r="H75" s="39">
        <f>(1-Parameters!$B$4)^Parameters!B$65*H74+E74*Parameters!B$65-Parameters!$B$5*E74^2/H74*Parameters!B$65</f>
        <v>4.5229187272469318</v>
      </c>
      <c r="I75" s="7">
        <f>I74 *(1-Parameters!$B$4)-C74*(C74&lt;0)*Parameters!B$65</f>
        <v>0</v>
      </c>
      <c r="J75" s="41">
        <f>J74*(1+Parameters!$B$51)^Parameters!B$65</f>
        <v>10.022636551432088</v>
      </c>
      <c r="K75" s="41">
        <f>K74*(1+Parameters!$B$53)^Parameters!B$65</f>
        <v>36.930479220865919</v>
      </c>
      <c r="L75" s="23">
        <f>J75*K75*EXP(-Parameters!$B$42*'6states,BAU'!A75)*(Parameters!$B$37/Parameters!$B$38*('6states,BAU'!F75+'6states,BAU'!I75)/Parameters!$E$25*(EXP(-Parameters!$B$38*Parameters!$E$25*'6states,BAU'!I75/('6states,BAU'!F75+'6states,BAU'!I75))-EXP(-Parameters!$B$38*Parameters!$E$25))  +  Parameters!$B$39*'6states,BAU'!F75)</f>
        <v>145.84472678285707</v>
      </c>
      <c r="M75" s="37">
        <f>M74+L75*Parameters!B$65</f>
        <v>8983.3987514027867</v>
      </c>
      <c r="N75" s="39">
        <f>M75*Parameters!$B$45</f>
        <v>5.3900392508416717</v>
      </c>
      <c r="O75" s="9">
        <f>EXP(-Parameters!$B$46/2*N75^2)</f>
        <v>0.74678507154413698</v>
      </c>
      <c r="P75" s="7">
        <f>MAX((Parameters!$B$62 + Parameters!$B$31*'6states,BAU'!A75 - '6states,BAU'!M75 + Parameters!$B$47/Parameters!$B$45)/Parameters!B$62,1)</f>
        <v>1</v>
      </c>
      <c r="Q75" s="7">
        <f>Parameters!B$61*EXP(-Parameters!B$60*A75)</f>
        <v>7.3523721704148601E-2</v>
      </c>
      <c r="R75" s="7">
        <f>(1-Parameters!B$61)*P75^-Parameters!B$63</f>
        <v>0.5</v>
      </c>
      <c r="S75" s="7">
        <f>Parameters!B$61*EXP(-Parameters!B$60*A75)+(1-Parameters!B$61)*P75^-Parameters!B$63</f>
        <v>0.57352372170414856</v>
      </c>
      <c r="T75" s="39">
        <f>1-S75/Parameters!$B$12</f>
        <v>0.71323813914792566</v>
      </c>
      <c r="U75" s="39">
        <f t="shared" si="34"/>
        <v>3.4872140842880373</v>
      </c>
      <c r="V75" s="7">
        <f>(Parameters!$B$19*(F75+Parameters!$B$20)^T75+Parameters!$B$18*G75^T75)^(1/T75)</f>
        <v>0.57931418158822168</v>
      </c>
      <c r="W75" s="39">
        <f>(Parameters!$B$10*H75^Parameters!$B$9+Parameters!$B$11*V75^Parameters!$B$9)^(Parameters!$B$7/Parameters!$B$9)*O75</f>
        <v>1.1578775444882312</v>
      </c>
      <c r="X75" s="7">
        <f>W75 - D75 - E75 - LN(1+EXP(Parameters!$B$21*C75))/Parameters!$B$21 - IF(C75&gt;0, 0,Parameters!$B$6*C75^2/F75)</f>
        <v>0.78948391560190723</v>
      </c>
      <c r="Y75" s="39">
        <f>EXP(-Parameters!$B$55*A75)</f>
        <v>0.34228895533675241</v>
      </c>
      <c r="Z75" s="39">
        <f>IF(X75&gt;0,X75^(1-Parameters!$B$52)/(1-Parameters!$B$52)*Y75*Parameters!$B$65,-10+X75*1000)</f>
        <v>-1.0623183695883891</v>
      </c>
      <c r="AC75" s="23">
        <f t="shared" si="35"/>
        <v>22.122051233431254</v>
      </c>
      <c r="AD75" s="23">
        <f t="shared" si="35"/>
        <v>1.0740524601597909</v>
      </c>
      <c r="AE75" s="23">
        <f t="shared" si="36"/>
        <v>0</v>
      </c>
      <c r="AF75" s="23">
        <f t="shared" si="37"/>
        <v>325.7444084653211</v>
      </c>
      <c r="AG75" s="23">
        <f t="shared" si="38"/>
        <v>19.196836513535029</v>
      </c>
      <c r="AH75" s="23">
        <f t="shared" si="39"/>
        <v>214.42779776691961</v>
      </c>
      <c r="AI75" s="23">
        <f t="shared" si="40"/>
        <v>527.72313543484938</v>
      </c>
      <c r="AJ75" s="23">
        <f t="shared" si="41"/>
        <v>428.57768692577753</v>
      </c>
      <c r="AK75" s="23">
        <f t="shared" si="42"/>
        <v>292.22018513479361</v>
      </c>
      <c r="AL75" s="9">
        <f t="shared" si="51"/>
        <v>1.3338654841575703E-2</v>
      </c>
      <c r="AM75" s="9">
        <f t="shared" si="51"/>
        <v>9.0043765993534919E-3</v>
      </c>
      <c r="AN75" s="9">
        <f t="shared" si="52"/>
        <v>1.3330281399603194E-2</v>
      </c>
      <c r="AO75" s="9">
        <f t="shared" si="52"/>
        <v>8.9700724535113352E-3</v>
      </c>
      <c r="AP75" s="23"/>
      <c r="AQ75" s="37">
        <f t="shared" si="32"/>
        <v>428.57768692577753</v>
      </c>
      <c r="AU75" s="39"/>
      <c r="AV75" s="39"/>
      <c r="AX75" s="43">
        <f>1-W75/'6states,ExoDamages'!T75</f>
        <v>0.2085162050802063</v>
      </c>
      <c r="AY75" s="21">
        <f>-Y75*W75*X75^(-Parameters!B$52)*Parameters!B$46*Parameters!B$45*N75</f>
        <v>-3.5447149450211498E-5</v>
      </c>
      <c r="AZ75" s="39">
        <f>1000*EXP(-(Parameters!$B$54)*'6states,BAU'!A75)*AQ75*Parameters!B$46*Parameters!B$45*N75</f>
        <v>2.3049606407038818</v>
      </c>
      <c r="BA75" s="39">
        <f>SUM(AZ75:AZ$204)*EXP(Parameters!$B$54*A75)</f>
        <v>1244.6592927037007</v>
      </c>
      <c r="BB75" s="43">
        <f t="shared" si="26"/>
        <v>0.3181628580548222</v>
      </c>
      <c r="BC75" s="30">
        <f>IF(C75&lt;0,Parameters!$B$6*AC75^2/AF75,0)</f>
        <v>0</v>
      </c>
      <c r="BD75" s="30">
        <f>Parameters!$B$5*AD75^2/AG75</f>
        <v>6.0092645283609289E-2</v>
      </c>
      <c r="BE75" s="30">
        <f t="shared" si="43"/>
        <v>0</v>
      </c>
      <c r="BF75" s="30">
        <f t="shared" si="44"/>
        <v>5.5949450806778163E-2</v>
      </c>
      <c r="BG75" s="39"/>
      <c r="BH75" s="5"/>
      <c r="BI75" s="5"/>
      <c r="BJ75" s="5"/>
      <c r="BK75"/>
      <c r="BL75"/>
      <c r="BM75">
        <f>-EXP(-Parameters!B$42*'6states,BAU'!A75)*(-Parameters!B$37/Parameters!B$38/Parameters!E$25*(EXP(-Parameters!B$38*Parameters!E$25*'6states,BAU'!I75/('6states,BAU'!F75+'6states,BAU'!I75))-EXP(-Parameters!B$38*Parameters!E$25))+Parameters!B$37*'6states,BAU'!F75/('6states,BAU'!F75+'6states,BAU'!I75)*EXP(-Parameters!B$38*Parameters!E$25*'6states,BAU'!I75/('6states,BAU'!F75+'6states,BAU'!I75)))</f>
        <v>-2.9379311101698606</v>
      </c>
      <c r="BN75">
        <f>-J75*K75*EXP(-Parameters!B$42*'6states,BAU'!A75)*(-Parameters!B$37/Parameters!B$38/Parameters!E$25*(EXP(-Parameters!B$38*Parameters!E$25*'6states,BAU'!I75/('6states,BAU'!F75+'6states,BAU'!I75))-EXP(-Parameters!B$38*Parameters!E$25)) + Parameters!B$37*'6states,BAU'!F75/('6states,BAU'!F75+'6states,BAU'!I75)*EXP(-Parameters!B$38*Parameters!E$25*'6states,BAU'!I75/('6states,BAU'!F75+'6states,BAU'!I75)))</f>
        <v>-1087.4480859721677</v>
      </c>
      <c r="BO75" s="7">
        <f t="shared" si="33"/>
        <v>0</v>
      </c>
      <c r="BP75"/>
      <c r="BQ75"/>
      <c r="BR75"/>
      <c r="BS75"/>
      <c r="BU75">
        <f>EXP(-Parameters!$B$56*A75)*BH75*BN75</f>
        <v>0</v>
      </c>
      <c r="BV75">
        <f>-EXP((Parameters!$B$56)*F75)*SUM(BU75:BU83)</f>
        <v>0</v>
      </c>
      <c r="BW75">
        <f>X75^-Parameters!B$52/(1-2*Parameters!B$5*'6states,BAU'!D75/'6states,BAU'!G75)</f>
        <v>1.5492594580402201</v>
      </c>
      <c r="BX75">
        <f t="shared" si="45"/>
        <v>1.0191160150855707</v>
      </c>
      <c r="BY75">
        <f>$X75^-Parameters!$B$52/(1-2*Parameters!$B$5*'6states,BAU'!$E75/'6states,BAU'!$H75)</f>
        <v>1.59098304509938</v>
      </c>
      <c r="BZ75">
        <f t="shared" si="46"/>
        <v>1.0186353642793107</v>
      </c>
      <c r="CA75" s="7">
        <f>($X75^-Parameters!$B$52*(1/(1+EXP(-C75)) + IF(C75&lt;0,2*Parameters!$B$6*C75/F75,0)) + BS75*(1/(1+EXP((C75-Parameters!$B$22)*Parameters!$B$21))))/(1-IF(C75&gt;0,2*Parameters!$B$5*C75/F75,0))</f>
        <v>0.81985854932545565</v>
      </c>
      <c r="CB75">
        <f t="shared" si="47"/>
        <v>1.0186611330071573</v>
      </c>
      <c r="CC75" s="7">
        <f t="shared" si="48"/>
        <v>1.5019213887990657E-2</v>
      </c>
      <c r="CD75" t="e">
        <f>(1/$T75-1/Parameters!$B$13) * LN(Parameters!$B$18) / LN(P75)</f>
        <v>#DIV/0!</v>
      </c>
      <c r="CE75">
        <f>(Parameters!$B$18*'6states,BAU'!T75^+Parameters!$B$19*Parameters!$B$25^'6states,BAU'!T75)^((1-'6states,BAU'!T75)/'6states,BAU'!T75)*Parameters!$B$18*Parameters!$B$26^('6states,BAU'!T75-1)</f>
        <v>0.27446933567442561</v>
      </c>
      <c r="CF75" t="e">
        <f t="shared" si="49"/>
        <v>#DIV/0!</v>
      </c>
      <c r="CG75" t="e">
        <f t="shared" si="50"/>
        <v>#DIV/0!</v>
      </c>
      <c r="CH75">
        <f t="shared" si="50"/>
        <v>0.17324563396525361</v>
      </c>
    </row>
    <row r="76" spans="1:86" x14ac:dyDescent="0.3">
      <c r="A76">
        <f>A75+Parameters!$B$65</f>
        <v>72</v>
      </c>
      <c r="B76">
        <v>2097</v>
      </c>
      <c r="C76" s="74">
        <v>5.9787611655358702E-2</v>
      </c>
      <c r="D76" s="69">
        <v>2.87760840372921E-3</v>
      </c>
      <c r="E76" s="75">
        <v>0.305715401182233</v>
      </c>
      <c r="F76" s="7">
        <f>MAX((1-Parameters!$B$4)^Parameters!B$65*F75 + C75*Parameters!B$65 - IF(C75&gt;0,Parameters!$B$5,0)*C75^2/F75*Parameters!B$65, 0.0001)</f>
        <v>0.88040767917715812</v>
      </c>
      <c r="G76" s="7">
        <f>(1-Parameters!$B$4)^Parameters!B$65*G75+D75*Parameters!B$65-Parameters!$B$5*D75^2/G75*Parameters!B$65</f>
        <v>5.1340778443439719E-2</v>
      </c>
      <c r="H76" s="7">
        <f>(1-Parameters!$B$4)^Parameters!B$65*H75+E75*Parameters!B$65-Parameters!$B$5*E75^2/H75*Parameters!B$65</f>
        <v>4.5234870313513138</v>
      </c>
      <c r="I76" s="7">
        <f>I75 *(1-Parameters!$B$4)-C75*(C75&lt;0)*Parameters!B$65</f>
        <v>0</v>
      </c>
      <c r="J76" s="23">
        <f>J75*(1+Parameters!$B$51)^Parameters!B$65</f>
        <v>10.05170219743124</v>
      </c>
      <c r="K76" s="23">
        <f>K75*(1+Parameters!$B$53)^Parameters!B$65</f>
        <v>37.669088805283238</v>
      </c>
      <c r="L76" s="23">
        <f>J76*K76*EXP(-Parameters!$B$42*'6states,BAU'!A76)*(Parameters!$B$37/Parameters!$B$38*('6states,BAU'!F76+'6states,BAU'!I76)/Parameters!$E$25*(EXP(-Parameters!$B$38*Parameters!$E$25*'6states,BAU'!I76/('6states,BAU'!F76+'6states,BAU'!I76))-EXP(-Parameters!$B$38*Parameters!$E$25))  +  Parameters!$B$39*'6states,BAU'!F76)</f>
        <v>147.76765010843908</v>
      </c>
      <c r="M76" s="8">
        <f>M75+L76*Parameters!B$65</f>
        <v>9131.1664015112256</v>
      </c>
      <c r="N76" s="7">
        <f>M76*Parameters!$B$45</f>
        <v>5.4786998409067351</v>
      </c>
      <c r="O76" s="9">
        <f>EXP(-Parameters!$B$46/2*N76^2)</f>
        <v>0.73958776149949046</v>
      </c>
      <c r="P76" s="7">
        <f>MAX((Parameters!$B$62 + Parameters!$B$31*'6states,BAU'!A76 - '6states,BAU'!M76 + Parameters!$B$47/Parameters!$B$45)/Parameters!B$62,1)</f>
        <v>1</v>
      </c>
      <c r="Q76" s="7">
        <f>Parameters!B$61*EXP(-Parameters!B$60*A76)</f>
        <v>7.1565141039439908E-2</v>
      </c>
      <c r="R76" s="7">
        <f>(1-Parameters!B$61)*P76^-Parameters!B$63</f>
        <v>0.5</v>
      </c>
      <c r="S76" s="7">
        <f>Parameters!B$61*EXP(-Parameters!B$60*A76)+(1-Parameters!B$61)*P76^-Parameters!B$63</f>
        <v>0.57156514103943989</v>
      </c>
      <c r="T76" s="7">
        <f>1-S76/Parameters!$B$12</f>
        <v>0.71421742948028011</v>
      </c>
      <c r="U76" s="7">
        <f t="shared" si="34"/>
        <v>3.4991637110038414</v>
      </c>
      <c r="V76" s="7">
        <f>(Parameters!$B$19*(F76+Parameters!$B$20)^T76+Parameters!$B$18*G76^T76)^(1/T76)</f>
        <v>0.57943259785075174</v>
      </c>
      <c r="W76" s="7">
        <f>(Parameters!$B$10*H76^Parameters!$B$9+Parameters!$B$11*V76^Parameters!$B$9)^(Parameters!$B$7/Parameters!$B$9)*O76</f>
        <v>1.1467661290698361</v>
      </c>
      <c r="X76" s="7">
        <f>W76 - D76 - E76 - LN(1+EXP(Parameters!$B$21*C76))/Parameters!$B$21 - IF(C76&gt;0, 0,Parameters!$B$6*C76^2/F76)</f>
        <v>0.77838550777440874</v>
      </c>
      <c r="Y76" s="7">
        <f>EXP(-Parameters!$B$55*A76)</f>
        <v>0.33715921908873309</v>
      </c>
      <c r="Z76" s="7">
        <f>IF(X76&gt;0,X76^(1-Parameters!$B$52)/(1-Parameters!$B$52)*Y76*Parameters!$B$65,-10+X76*1000)</f>
        <v>-1.0515957818440569</v>
      </c>
      <c r="AC76" s="23">
        <f t="shared" si="35"/>
        <v>22.637889366843407</v>
      </c>
      <c r="AD76" s="23">
        <f t="shared" si="35"/>
        <v>1.0895732222961612</v>
      </c>
      <c r="AE76" s="23">
        <f t="shared" si="36"/>
        <v>0</v>
      </c>
      <c r="AF76" s="23">
        <f t="shared" si="37"/>
        <v>333.35621020990408</v>
      </c>
      <c r="AG76" s="23">
        <f t="shared" si="38"/>
        <v>19.43959342463609</v>
      </c>
      <c r="AH76" s="23">
        <f t="shared" si="39"/>
        <v>219.39546809965788</v>
      </c>
      <c r="AI76" s="23">
        <f t="shared" si="40"/>
        <v>539.94895032965576</v>
      </c>
      <c r="AJ76" s="23">
        <f t="shared" si="41"/>
        <v>434.20976420956288</v>
      </c>
      <c r="AK76" s="23">
        <f t="shared" si="42"/>
        <v>294.72669206668235</v>
      </c>
      <c r="AL76" s="9">
        <f t="shared" si="51"/>
        <v>1.305572369188468E-2</v>
      </c>
      <c r="AM76" s="9">
        <f t="shared" si="51"/>
        <v>8.5408825432375934E-3</v>
      </c>
      <c r="AN76" s="9">
        <f t="shared" si="52"/>
        <v>1.3047763062322382E-2</v>
      </c>
      <c r="AO76" s="9">
        <f t="shared" si="52"/>
        <v>8.4778027307482514E-3</v>
      </c>
      <c r="AP76" s="23"/>
      <c r="AQ76" s="25">
        <f t="shared" si="32"/>
        <v>434.20976420956288</v>
      </c>
      <c r="AR76" s="4"/>
      <c r="AS76" s="4"/>
      <c r="AT76" s="4"/>
      <c r="AU76" s="16"/>
      <c r="AV76" s="16"/>
      <c r="AX76" s="13">
        <f>1-W76/'6states,ExoDamages'!T76</f>
        <v>0.21598535591103385</v>
      </c>
      <c r="AY76" s="21">
        <f>-Y76*W76*X76^(-Parameters!B$52)*Parameters!B$46*Parameters!B$45*N76</f>
        <v>-3.5827937732759892E-5</v>
      </c>
      <c r="AZ76" s="7">
        <f>1000*EXP(-(Parameters!$B$54)*'6states,BAU'!A76)*AQ76*Parameters!B$46*Parameters!B$45*N76</f>
        <v>2.2917929866790772</v>
      </c>
      <c r="BA76" s="7">
        <f>SUM(AZ76:AZ$204)*EXP(Parameters!$B$54*A76)</f>
        <v>1260.2681681557078</v>
      </c>
      <c r="BB76" s="43">
        <f t="shared" si="26"/>
        <v>0.3212343056732252</v>
      </c>
      <c r="BC76" s="30">
        <f>IF(C76&lt;0,Parameters!$B$6*AC76^2/AF76,0)</f>
        <v>0</v>
      </c>
      <c r="BD76" s="30">
        <f>Parameters!$B$5*AD76^2/AG76</f>
        <v>6.1069682930730514E-2</v>
      </c>
      <c r="BE76" s="30">
        <f t="shared" si="43"/>
        <v>0</v>
      </c>
      <c r="BF76" s="30">
        <f t="shared" si="44"/>
        <v>5.6049177495416574E-2</v>
      </c>
      <c r="BH76" s="5"/>
      <c r="BI76" s="5"/>
      <c r="BJ76" s="5"/>
      <c r="BM76">
        <f>-EXP(-Parameters!B$42*'6states,BAU'!A76)*(-Parameters!B$37/Parameters!B$38/Parameters!E$25*(EXP(-Parameters!B$38*Parameters!E$25*'6states,BAU'!I76/('6states,BAU'!F76+'6states,BAU'!I76))-EXP(-Parameters!B$38*Parameters!E$25))+Parameters!B$37*'6states,BAU'!F76/('6states,BAU'!F76+'6states,BAU'!I76)*EXP(-Parameters!B$38*Parameters!E$25*'6states,BAU'!I76/('6states,BAU'!F76+'6states,BAU'!I76)))</f>
        <v>-2.9086982071901795</v>
      </c>
      <c r="BN76">
        <f>-J76*K76*EXP(-Parameters!B$42*'6states,BAU'!A76)*(-Parameters!B$37/Parameters!B$38/Parameters!E$25*(EXP(-Parameters!B$38*Parameters!E$25*'6states,BAU'!I76/('6states,BAU'!F76+'6states,BAU'!I76))-EXP(-Parameters!B$38*Parameters!E$25)) + Parameters!B$37*'6states,BAU'!F76/('6states,BAU'!F76+'6states,BAU'!I76)*EXP(-Parameters!B$38*Parameters!E$25*'6states,BAU'!I76/('6states,BAU'!F76+'6states,BAU'!I76)))</f>
        <v>-1101.3450176848678</v>
      </c>
      <c r="BO76" s="7">
        <f t="shared" si="33"/>
        <v>0</v>
      </c>
      <c r="BU76">
        <f>EXP(-Parameters!$B$56*A76)*BH76*BN76</f>
        <v>0</v>
      </c>
      <c r="BV76">
        <f>-EXP((Parameters!$B$56)*F76)*SUM(BU76:BU84)</f>
        <v>0</v>
      </c>
      <c r="BW76">
        <f>X76^-Parameters!B$52/(1-2*Parameters!B$5*'6states,BAU'!D76/'6states,BAU'!G76)</f>
        <v>1.5795094856014662</v>
      </c>
      <c r="BX76">
        <f t="shared" si="45"/>
        <v>1.0195254754807253</v>
      </c>
      <c r="BY76">
        <f>$X76^-Parameters!$B$52/(1-2*Parameters!$B$5*'6states,BAU'!$E76/'6states,BAU'!$H76)</f>
        <v>1.6216434047808164</v>
      </c>
      <c r="BZ76">
        <f t="shared" si="46"/>
        <v>1.0192713302482248</v>
      </c>
      <c r="CA76" s="7">
        <f>($X76^-Parameters!$B$52*(1/(1+EXP(-C76)) + IF(C76&lt;0,2*Parameters!$B$6*C76/F76,0)) + BS76*(1/(1+EXP((C76-Parameters!$B$22)*Parameters!$B$21))))/(1-IF(C76&gt;0,2*Parameters!$B$5*C76/F76,0))</f>
        <v>0.83568111329734773</v>
      </c>
      <c r="CB76">
        <f t="shared" si="47"/>
        <v>1.019299138839145</v>
      </c>
      <c r="CC76" s="7">
        <f t="shared" si="48"/>
        <v>1.5822563971892079E-2</v>
      </c>
      <c r="CD76" t="e">
        <f>(1/$T76-1/Parameters!$B$13) * LN(Parameters!$B$18) / LN(P76)</f>
        <v>#DIV/0!</v>
      </c>
      <c r="CE76">
        <f>(Parameters!$B$18*'6states,BAU'!T76^+Parameters!$B$19*Parameters!$B$25^'6states,BAU'!T76)^((1-'6states,BAU'!T76)/'6states,BAU'!T76)*Parameters!$B$18*Parameters!$B$26^('6states,BAU'!T76-1)</f>
        <v>0.2748849292424736</v>
      </c>
      <c r="CF76" t="e">
        <f t="shared" si="49"/>
        <v>#DIV/0!</v>
      </c>
      <c r="CG76" t="e">
        <f t="shared" si="50"/>
        <v>#DIV/0!</v>
      </c>
      <c r="CH76">
        <f t="shared" si="50"/>
        <v>0.17348376073687888</v>
      </c>
    </row>
    <row r="77" spans="1:86" x14ac:dyDescent="0.3">
      <c r="A77">
        <f>A76+Parameters!$B$65</f>
        <v>73</v>
      </c>
      <c r="B77">
        <v>2098</v>
      </c>
      <c r="C77" s="74">
        <v>5.9798610064253903E-2</v>
      </c>
      <c r="D77" s="69">
        <v>2.8659574072035202E-3</v>
      </c>
      <c r="E77" s="75">
        <v>0.30575358684429998</v>
      </c>
      <c r="F77" s="7">
        <f>MAX((1-Parameters!$B$4)^Parameters!B$65*F76 + C76*Parameters!B$65 - IF(C76&gt;0,Parameters!$B$5,0)*C76^2/F76*Parameters!B$65, 0.0001)</f>
        <v>0.88075753044619975</v>
      </c>
      <c r="G77" s="7">
        <f>(1-Parameters!$B$4)^Parameters!B$65*G76+D76*Parameters!B$65-Parameters!$B$5*D76^2/G76*Parameters!B$65</f>
        <v>5.0827764298893657E-2</v>
      </c>
      <c r="H77" s="7">
        <f>(1-Parameters!$B$4)^Parameters!B$65*H76+E76*Parameters!B$65-Parameters!$B$5*E76^2/H76*Parameters!B$65</f>
        <v>4.5240136249618033</v>
      </c>
      <c r="I77" s="7">
        <f>I76 *(1-Parameters!$B$4)-C76*(C76&lt;0)*Parameters!B$65</f>
        <v>0</v>
      </c>
      <c r="J77" s="23">
        <f>J76*(1+Parameters!$B$51)^Parameters!B$65</f>
        <v>10.08085213380379</v>
      </c>
      <c r="K77" s="23">
        <f>K76*(1+Parameters!$B$53)^Parameters!B$65</f>
        <v>38.4224705813889</v>
      </c>
      <c r="L77" s="23">
        <f>J77*K77*EXP(-Parameters!$B$42*'6states,BAU'!A77)*(Parameters!$B$37/Parameters!$B$38*('6states,BAU'!F77+'6states,BAU'!I77)/Parameters!$E$25*(EXP(-Parameters!$B$38*Parameters!$E$25*'6states,BAU'!I77/('6states,BAU'!F77+'6states,BAU'!I77))-EXP(-Parameters!$B$38*Parameters!$E$25))  +  Parameters!$B$39*'6states,BAU'!F77)</f>
        <v>149.71550113701704</v>
      </c>
      <c r="M77" s="8">
        <f>M76+L77*Parameters!B$65</f>
        <v>9280.8819026482433</v>
      </c>
      <c r="N77" s="7">
        <f>M77*Parameters!$B$45</f>
        <v>5.5685291415889457</v>
      </c>
      <c r="O77" s="9">
        <f>EXP(-Parameters!$B$46/2*N77^2)</f>
        <v>0.73224831540736202</v>
      </c>
      <c r="P77" s="7">
        <f>MAX((Parameters!$B$62 + Parameters!$B$31*'6states,BAU'!A77 - '6states,BAU'!M77 + Parameters!$B$47/Parameters!$B$45)/Parameters!B$62,1)</f>
        <v>1</v>
      </c>
      <c r="Q77" s="7">
        <f>Parameters!B$61*EXP(-Parameters!B$60*A77)</f>
        <v>6.9658734532013489E-2</v>
      </c>
      <c r="R77" s="7">
        <f>(1-Parameters!B$61)*P77^-Parameters!B$63</f>
        <v>0.5</v>
      </c>
      <c r="S77" s="7">
        <f>Parameters!B$61*EXP(-Parameters!B$60*A77)+(1-Parameters!B$61)*P77^-Parameters!B$63</f>
        <v>0.56965873453201343</v>
      </c>
      <c r="T77" s="7">
        <f>1-S77/Parameters!$B$12</f>
        <v>0.71517063273399328</v>
      </c>
      <c r="U77" s="7">
        <f t="shared" si="34"/>
        <v>3.5108739298854812</v>
      </c>
      <c r="V77" s="7">
        <f>(Parameters!$B$19*(F77+Parameters!$B$20)^T77+Parameters!$B$18*G77^T77)^(1/T77)</f>
        <v>0.57955019329628388</v>
      </c>
      <c r="W77" s="7">
        <f>(Parameters!$B$10*H77^Parameters!$B$9+Parameters!$B$11*V77^Parameters!$B$9)^(Parameters!$B$7/Parameters!$B$9)*O77</f>
        <v>1.1354306947702018</v>
      </c>
      <c r="X77" s="7">
        <f>W77 - D77 - E77 - LN(1+EXP(Parameters!$B$21*C77))/Parameters!$B$21 - IF(C77&gt;0, 0,Parameters!$B$6*C77^2/F77)</f>
        <v>0.76701254040051614</v>
      </c>
      <c r="Y77" s="7">
        <f>EXP(-Parameters!$B$55*A77)</f>
        <v>0.33210635997497118</v>
      </c>
      <c r="Z77" s="7">
        <f>IF(X77&gt;0,X77^(1-Parameters!$B$52)/(1-Parameters!$B$52)*Y77*Parameters!$B$65,-10+X77*1000)</f>
        <v>-1.0411859179641159</v>
      </c>
      <c r="AC77" s="23">
        <f t="shared" si="35"/>
        <v>23.161870058332799</v>
      </c>
      <c r="AD77" s="23">
        <f t="shared" si="35"/>
        <v>1.110074849349135</v>
      </c>
      <c r="AE77" s="23">
        <f t="shared" si="36"/>
        <v>0</v>
      </c>
      <c r="AF77" s="23">
        <f t="shared" si="37"/>
        <v>341.14491041134704</v>
      </c>
      <c r="AG77" s="23">
        <f t="shared" si="38"/>
        <v>19.687181203401948</v>
      </c>
      <c r="AH77" s="23">
        <f t="shared" si="39"/>
        <v>224.47789764656073</v>
      </c>
      <c r="AI77" s="23">
        <f t="shared" si="40"/>
        <v>552.45719638753724</v>
      </c>
      <c r="AJ77" s="23">
        <f t="shared" si="41"/>
        <v>439.78778410153456</v>
      </c>
      <c r="AK77" s="23">
        <f t="shared" si="42"/>
        <v>297.08792185603369</v>
      </c>
      <c r="AL77" s="9">
        <f t="shared" si="51"/>
        <v>1.2764556696815532E-2</v>
      </c>
      <c r="AM77" s="9">
        <f t="shared" si="51"/>
        <v>7.9796688459090603E-3</v>
      </c>
      <c r="AN77" s="9">
        <f t="shared" si="52"/>
        <v>1.2758124409609727E-2</v>
      </c>
      <c r="AO77" s="9">
        <f t="shared" si="52"/>
        <v>7.9841785308255812E-3</v>
      </c>
      <c r="AP77" s="23"/>
      <c r="AQ77" s="25">
        <f t="shared" si="32"/>
        <v>439.7877841015345</v>
      </c>
      <c r="AR77" s="4"/>
      <c r="AS77" s="4"/>
      <c r="AT77" s="4"/>
      <c r="AU77" s="16"/>
      <c r="AV77" s="16"/>
      <c r="AX77" s="13">
        <f>1-W77/'6states,ExoDamages'!T77</f>
        <v>0.22361455866814717</v>
      </c>
      <c r="AY77" s="21">
        <f>-Y77*W77*X77^(-Parameters!B$52)*Parameters!B$46*Parameters!B$45*N77</f>
        <v>-3.6227828286051363E-5</v>
      </c>
      <c r="AZ77" s="7">
        <f>1000*EXP(-(Parameters!$B$54)*'6states,BAU'!A77)*AQ77*Parameters!B$46*Parameters!B$45*N77</f>
        <v>2.2779186771375102</v>
      </c>
      <c r="BA77" s="7">
        <f>SUM(AZ77:AZ$204)*EXP(Parameters!$B$54*A77)</f>
        <v>1275.5745955256534</v>
      </c>
      <c r="BB77" s="43">
        <f t="shared" si="26"/>
        <v>0.32447436555369946</v>
      </c>
      <c r="BC77" s="30">
        <f>IF(C77&lt;0,Parameters!$B$6*AC77^2/AF77,0)</f>
        <v>0</v>
      </c>
      <c r="BD77" s="30">
        <f>Parameters!$B$5*AD77^2/AG77</f>
        <v>6.2592311130075295E-2</v>
      </c>
      <c r="BE77" s="30">
        <f t="shared" si="43"/>
        <v>0</v>
      </c>
      <c r="BF77" s="30">
        <f t="shared" si="44"/>
        <v>5.6385667296916735E-2</v>
      </c>
      <c r="BH77" s="5"/>
      <c r="BI77" s="5"/>
      <c r="BJ77" s="5"/>
      <c r="BM77">
        <f>-EXP(-Parameters!B$42*'6states,BAU'!A77)*(-Parameters!B$37/Parameters!B$38/Parameters!E$25*(EXP(-Parameters!B$38*Parameters!E$25*'6states,BAU'!I77/('6states,BAU'!F77+'6states,BAU'!I77))-EXP(-Parameters!B$38*Parameters!E$25))+Parameters!B$37*'6states,BAU'!F77/('6states,BAU'!F77+'6states,BAU'!I77)*EXP(-Parameters!B$38*Parameters!E$25*'6states,BAU'!I77/('6states,BAU'!F77+'6states,BAU'!I77)))</f>
        <v>-2.8797561764551403</v>
      </c>
      <c r="BN77">
        <f>-J77*K77*EXP(-Parameters!B$42*'6states,BAU'!A77)*(-Parameters!B$37/Parameters!B$38/Parameters!E$25*(EXP(-Parameters!B$38*Parameters!E$25*'6states,BAU'!I77/('6states,BAU'!F77+'6states,BAU'!I77))-EXP(-Parameters!B$38*Parameters!E$25)) + Parameters!B$37*'6states,BAU'!F77/('6states,BAU'!F77+'6states,BAU'!I77)*EXP(-Parameters!B$38*Parameters!E$25*'6states,BAU'!I77/('6states,BAU'!F77+'6states,BAU'!I77)))</f>
        <v>-1115.4195438165737</v>
      </c>
      <c r="BO77" s="7">
        <f t="shared" si="33"/>
        <v>0</v>
      </c>
      <c r="BU77">
        <f>EXP(-Parameters!$B$56*A77)*BH77*BN77</f>
        <v>0</v>
      </c>
      <c r="BV77">
        <f>-EXP((Parameters!$B$56)*F77)*SUM(BU77:BU85)</f>
        <v>0</v>
      </c>
      <c r="BW77">
        <f>X77^-Parameters!B$52/(1-2*Parameters!B$5*'6states,BAU'!D77/'6states,BAU'!G77)</f>
        <v>1.6124308838567778</v>
      </c>
      <c r="BX77">
        <f t="shared" si="45"/>
        <v>1.0208427987013799</v>
      </c>
      <c r="BY77">
        <f>$X77^-Parameters!$B$52/(1-2*Parameters!$B$5*'6states,BAU'!$E77/'6states,BAU'!$H77)</f>
        <v>1.6541904544259405</v>
      </c>
      <c r="BZ77">
        <f t="shared" si="46"/>
        <v>1.0200704110097023</v>
      </c>
      <c r="CA77" s="7">
        <f>($X77^-Parameters!$B$52*(1/(1+EXP(-C77)) + IF(C77&lt;0,2*Parameters!$B$6*C77/F77,0)) + BS77*(1/(1+EXP((C77-Parameters!$B$22)*Parameters!$B$21))))/(1-IF(C77&gt;0,2*Parameters!$B$5*C77/F77,0))</f>
        <v>0.85242841287324567</v>
      </c>
      <c r="CB77">
        <f t="shared" si="47"/>
        <v>1.020040299235456</v>
      </c>
      <c r="CC77" s="7">
        <f t="shared" si="48"/>
        <v>1.6747299575897934E-2</v>
      </c>
      <c r="CD77" t="e">
        <f>(1/$T77-1/Parameters!$B$13) * LN(Parameters!$B$18) / LN(P77)</f>
        <v>#DIV/0!</v>
      </c>
      <c r="CE77">
        <f>(Parameters!$B$18*'6states,BAU'!T77^+Parameters!$B$19*Parameters!$B$25^'6states,BAU'!T77)^((1-'6states,BAU'!T77)/'6states,BAU'!T77)*Parameters!$B$18*Parameters!$B$26^('6states,BAU'!T77-1)</f>
        <v>0.27528696445228373</v>
      </c>
      <c r="CF77" t="e">
        <f t="shared" si="49"/>
        <v>#DIV/0!</v>
      </c>
      <c r="CG77" t="e">
        <f t="shared" si="50"/>
        <v>#DIV/0!</v>
      </c>
      <c r="CH77">
        <f t="shared" si="50"/>
        <v>0.17371405357436875</v>
      </c>
    </row>
    <row r="78" spans="1:86" x14ac:dyDescent="0.3">
      <c r="A78">
        <f>A77+Parameters!$B$65</f>
        <v>74</v>
      </c>
      <c r="B78">
        <v>2099</v>
      </c>
      <c r="C78" s="74">
        <v>5.9794493499253497E-2</v>
      </c>
      <c r="D78" s="69">
        <v>2.8481976032782301E-3</v>
      </c>
      <c r="E78" s="75">
        <v>0.30582132127785699</v>
      </c>
      <c r="F78" s="7">
        <f>MAX((1-Parameters!$B$4)^Parameters!B$65*F77 + C77*Parameters!B$65 - IF(C77&gt;0,Parameters!$B$5,0)*C77^2/F77*Parameters!B$65, 0.0001)</f>
        <v>0.88109649389816025</v>
      </c>
      <c r="G78" s="7">
        <f>(1-Parameters!$B$4)^Parameters!B$65*G77+D77*Parameters!B$65-Parameters!$B$5*D77^2/G77*Parameters!B$65</f>
        <v>5.0335056410847054E-2</v>
      </c>
      <c r="H78" s="7">
        <f>(1-Parameters!$B$4)^Parameters!B$65*H77+E77*Parameters!B$65-Parameters!$B$5*E77^2/H77*Parameters!B$65</f>
        <v>4.5245425252825626</v>
      </c>
      <c r="I78" s="7">
        <f>I77 *(1-Parameters!$B$4)-C77*(C77&lt;0)*Parameters!B$65</f>
        <v>0</v>
      </c>
      <c r="J78" s="23">
        <f>J77*(1+Parameters!$B$51)^Parameters!B$65</f>
        <v>10.110086604991819</v>
      </c>
      <c r="K78" s="23">
        <f>K77*(1+Parameters!$B$53)^Parameters!B$65</f>
        <v>39.190919993016678</v>
      </c>
      <c r="L78" s="23">
        <f>J78*K78*EXP(-Parameters!$B$42*'6states,BAU'!A78)*(Parameters!$B$37/Parameters!$B$38*('6states,BAU'!F78+'6states,BAU'!I78)/Parameters!$E$25*(EXP(-Parameters!$B$38*Parameters!$E$25*'6states,BAU'!I78/('6states,BAU'!F78+'6states,BAU'!I78))-EXP(-Parameters!$B$38*Parameters!$E$25))  +  Parameters!$B$39*'6states,BAU'!F78)</f>
        <v>151.68713009604491</v>
      </c>
      <c r="M78" s="8">
        <f>M77+L78*Parameters!B$65</f>
        <v>9432.5690327442881</v>
      </c>
      <c r="N78" s="7">
        <f>M78*Parameters!$B$45</f>
        <v>5.6595414196465725</v>
      </c>
      <c r="O78" s="9">
        <f>EXP(-Parameters!$B$46/2*N78^2)</f>
        <v>0.72476659690660816</v>
      </c>
      <c r="P78" s="7">
        <f>MAX((Parameters!$B$62 + Parameters!$B$31*'6states,BAU'!A78 - '6states,BAU'!M78 + Parameters!$B$47/Parameters!$B$45)/Parameters!B$62,1)</f>
        <v>1</v>
      </c>
      <c r="Q78" s="7">
        <f>Parameters!B$61*EXP(-Parameters!B$60*A78)</f>
        <v>6.780311232709485E-2</v>
      </c>
      <c r="R78" s="7">
        <f>(1-Parameters!B$61)*P78^-Parameters!B$63</f>
        <v>0.5</v>
      </c>
      <c r="S78" s="7">
        <f>Parameters!B$61*EXP(-Parameters!B$60*A78)+(1-Parameters!B$61)*P78^-Parameters!B$63</f>
        <v>0.56780311232709479</v>
      </c>
      <c r="T78" s="7">
        <f>1-S78/Parameters!$B$12</f>
        <v>0.7160984438364526</v>
      </c>
      <c r="U78" s="7">
        <f t="shared" si="34"/>
        <v>3.5223477233211402</v>
      </c>
      <c r="V78" s="7">
        <f>(Parameters!$B$19*(F78+Parameters!$B$20)^T78+Parameters!$B$18*G78^T78)^(1/T78)</f>
        <v>0.57966820774617822</v>
      </c>
      <c r="W78" s="7">
        <f>(Parameters!$B$10*H78^Parameters!$B$9+Parameters!$B$11*V78^Parameters!$B$9)^(Parameters!$B$7/Parameters!$B$9)*O78</f>
        <v>1.1238739247037037</v>
      </c>
      <c r="X78" s="7">
        <f>W78 - D78 - E78 - LN(1+EXP(Parameters!$B$21*C78))/Parameters!$B$21 - IF(C78&gt;0, 0,Parameters!$B$6*C78^2/F78)</f>
        <v>0.75540991226932019</v>
      </c>
      <c r="Y78" s="7">
        <f>EXP(-Parameters!$B$55*A78)</f>
        <v>0.32712922587116899</v>
      </c>
      <c r="Z78" s="7">
        <f>IF(X78&gt;0,X78^(1-Parameters!$B$52)/(1-Parameters!$B$52)*Y78*Parameters!$B$65,-10+X78*1000)</f>
        <v>-1.0310681316401777</v>
      </c>
      <c r="AC78" s="23">
        <f t="shared" si="35"/>
        <v>23.691989190947425</v>
      </c>
      <c r="AD78" s="23">
        <f t="shared" si="35"/>
        <v>1.1285230943781241</v>
      </c>
      <c r="AE78" s="23">
        <f t="shared" si="36"/>
        <v>0</v>
      </c>
      <c r="AF78" s="23">
        <f t="shared" si="37"/>
        <v>349.11122058216779</v>
      </c>
      <c r="AG78" s="23">
        <f t="shared" si="38"/>
        <v>19.9439370186555</v>
      </c>
      <c r="AH78" s="23">
        <f t="shared" si="39"/>
        <v>229.67822133036009</v>
      </c>
      <c r="AI78" s="23">
        <f t="shared" si="40"/>
        <v>565.25558889200977</v>
      </c>
      <c r="AJ78" s="23">
        <f t="shared" si="41"/>
        <v>445.30536706361147</v>
      </c>
      <c r="AK78" s="23">
        <f t="shared" si="42"/>
        <v>299.31123133341219</v>
      </c>
      <c r="AL78" s="9">
        <f t="shared" si="51"/>
        <v>1.2467963242890789E-2</v>
      </c>
      <c r="AM78" s="9">
        <f t="shared" si="51"/>
        <v>7.4558113129352677E-3</v>
      </c>
      <c r="AN78" s="9">
        <f t="shared" si="52"/>
        <v>1.246049814253194E-2</v>
      </c>
      <c r="AO78" s="9">
        <f t="shared" si="52"/>
        <v>7.4749666918776823E-3</v>
      </c>
      <c r="AP78" s="23"/>
      <c r="AQ78" s="25">
        <f t="shared" si="32"/>
        <v>445.30536706361153</v>
      </c>
      <c r="AR78" s="4"/>
      <c r="AS78" s="4"/>
      <c r="AT78" s="4"/>
      <c r="AU78" s="16"/>
      <c r="AV78" s="16"/>
      <c r="AX78" s="13">
        <f>1-W78/'6states,ExoDamages'!T78</f>
        <v>0.23140166015281594</v>
      </c>
      <c r="AY78" s="21">
        <f>-Y78*W78*X78^(-Parameters!B$52)*Parameters!B$46*Parameters!B$45*N78</f>
        <v>-3.6645350051676243E-5</v>
      </c>
      <c r="AZ78" s="7">
        <f>1000*EXP(-(Parameters!$B$54)*'6states,BAU'!A78)*AQ78*Parameters!B$46*Parameters!B$45*N78</f>
        <v>2.2633410106408305</v>
      </c>
      <c r="BA78" s="7">
        <f>SUM(AZ78:AZ$204)*EXP(Parameters!$B$54*A78)</f>
        <v>1290.5526350692608</v>
      </c>
      <c r="BB78" s="43">
        <f t="shared" ref="BB78:BB141" si="53">(C78+D78+E78)/W78</f>
        <v>0.32785173165889581</v>
      </c>
      <c r="BC78" s="30">
        <f>IF(C78&lt;0,Parameters!$B$6*AC78^2/AF78,0)</f>
        <v>0</v>
      </c>
      <c r="BD78" s="30">
        <f>Parameters!$B$5*AD78^2/AG78</f>
        <v>6.3857220034012743E-2</v>
      </c>
      <c r="BE78" s="30">
        <f t="shared" si="43"/>
        <v>0</v>
      </c>
      <c r="BF78" s="30">
        <f t="shared" si="44"/>
        <v>5.6584770264893378E-2</v>
      </c>
      <c r="BH78" s="5"/>
      <c r="BI78" s="5"/>
      <c r="BJ78" s="5"/>
      <c r="BM78">
        <f>-EXP(-Parameters!B$42*'6states,BAU'!A78)*(-Parameters!B$37/Parameters!B$38/Parameters!E$25*(EXP(-Parameters!B$38*Parameters!E$25*'6states,BAU'!I78/('6states,BAU'!F78+'6states,BAU'!I78))-EXP(-Parameters!B$38*Parameters!E$25))+Parameters!B$37*'6states,BAU'!F78/('6states,BAU'!F78+'6states,BAU'!I78)*EXP(-Parameters!B$38*Parameters!E$25*'6states,BAU'!I78/('6states,BAU'!F78+'6states,BAU'!I78)))</f>
        <v>-2.8511021237375513</v>
      </c>
      <c r="BN78">
        <f>-J78*K78*EXP(-Parameters!B$42*'6states,BAU'!A78)*(-Parameters!B$37/Parameters!B$38/Parameters!E$25*(EXP(-Parameters!B$38*Parameters!E$25*'6states,BAU'!I78/('6states,BAU'!F78+'6states,BAU'!I78))-EXP(-Parameters!B$38*Parameters!E$25)) + Parameters!B$37*'6states,BAU'!F78/('6states,BAU'!F78+'6states,BAU'!I78)*EXP(-Parameters!B$38*Parameters!E$25*'6states,BAU'!I78/('6states,BAU'!F78+'6states,BAU'!I78)))</f>
        <v>-1129.673933917019</v>
      </c>
      <c r="BO78" s="7">
        <f t="shared" si="33"/>
        <v>0</v>
      </c>
      <c r="BU78">
        <f>EXP(-Parameters!$B$56*A78)*BH78*BN78</f>
        <v>0</v>
      </c>
      <c r="BV78">
        <f>-EXP((Parameters!$B$56)*F78)*SUM(BU78:BU86)</f>
        <v>0</v>
      </c>
      <c r="BW78">
        <f>X78^-Parameters!B$52/(1-2*Parameters!B$5*'6states,BAU'!D78/'6states,BAU'!G78)</f>
        <v>1.6466935404916629</v>
      </c>
      <c r="BX78">
        <f t="shared" si="45"/>
        <v>1.0212490699464476</v>
      </c>
      <c r="BY78">
        <f>$X78^-Parameters!$B$52/(1-2*Parameters!$B$5*'6states,BAU'!$E78/'6states,BAU'!$H78)</f>
        <v>1.6886098625294605</v>
      </c>
      <c r="BZ78">
        <f t="shared" si="46"/>
        <v>1.0208074034107908</v>
      </c>
      <c r="CA78" s="7">
        <f>($X78^-Parameters!$B$52*(1/(1+EXP(-C78)) + IF(C78&lt;0,2*Parameters!$B$6*C78/F78,0)) + BS78*(1/(1+EXP((C78-Parameters!$B$22)*Parameters!$B$21))))/(1-IF(C78&gt;0,2*Parameters!$B$5*C78/F78,0))</f>
        <v>0.87008726801663905</v>
      </c>
      <c r="CB78">
        <f t="shared" si="47"/>
        <v>1.020715939164758</v>
      </c>
      <c r="CC78" s="7">
        <f t="shared" si="48"/>
        <v>1.7658855143393382E-2</v>
      </c>
      <c r="CD78" t="e">
        <f>(1/$T78-1/Parameters!$B$13) * LN(Parameters!$B$18) / LN(P78)</f>
        <v>#DIV/0!</v>
      </c>
      <c r="CE78">
        <f>(Parameters!$B$18*'6states,BAU'!T78^+Parameters!$B$19*Parameters!$B$25^'6states,BAU'!T78)^((1-'6states,BAU'!T78)/'6states,BAU'!T78)*Parameters!$B$18*Parameters!$B$26^('6states,BAU'!T78-1)</f>
        <v>0.27567593460450845</v>
      </c>
      <c r="CF78" t="e">
        <f t="shared" si="49"/>
        <v>#DIV/0!</v>
      </c>
      <c r="CG78" t="e">
        <f t="shared" si="50"/>
        <v>#DIV/0!</v>
      </c>
      <c r="CH78">
        <f t="shared" si="50"/>
        <v>0.17393680144427281</v>
      </c>
    </row>
    <row r="79" spans="1:86" s="85" customFormat="1" x14ac:dyDescent="0.3">
      <c r="A79" s="85">
        <f>A78+Parameters!$B$65</f>
        <v>75</v>
      </c>
      <c r="B79" s="53">
        <v>2100</v>
      </c>
      <c r="C79" s="76">
        <v>5.9798183192449603E-2</v>
      </c>
      <c r="D79" s="77">
        <v>2.82958280947802E-3</v>
      </c>
      <c r="E79" s="78">
        <v>0.305869365921423</v>
      </c>
      <c r="F79" s="54">
        <f>MAX((1-Parameters!$B$4)^Parameters!B$65*F78 + C78*Parameters!B$65 - IF(C78&gt;0,Parameters!$B$5,0)*C78^2/F78*Parameters!B$65, 0.0001)</f>
        <v>0.8814121406412827</v>
      </c>
      <c r="G79" s="86">
        <f>(1-Parameters!$B$4)^Parameters!B$65*G78+D78*Parameters!B$65-Parameters!$B$5*D78^2/G78*Parameters!B$65</f>
        <v>4.9856014358832489E-2</v>
      </c>
      <c r="H79" s="86">
        <f>(1-Parameters!$B$4)^Parameters!B$65*H78+E78*Parameters!B$65-Parameters!$B$5*E78^2/H78*Parameters!B$65</f>
        <v>4.5250991522186954</v>
      </c>
      <c r="I79" s="54">
        <f>I78 *(1-Parameters!$B$4)-C78*(C78&lt;0)*Parameters!B$65</f>
        <v>0</v>
      </c>
      <c r="J79" s="101">
        <f>J78*(1+Parameters!$B$51)^Parameters!B$65</f>
        <v>10.139405856146295</v>
      </c>
      <c r="K79" s="101">
        <f>K78*(1+Parameters!$B$53)^Parameters!B$65</f>
        <v>39.974738392877015</v>
      </c>
      <c r="L79" s="56">
        <f>J79*K79*EXP(-Parameters!$B$42*'6states,BAU'!A79)*(Parameters!$B$37/Parameters!$B$38*('6states,BAU'!F79+'6states,BAU'!I79)/Parameters!$E$25*(EXP(-Parameters!$B$38*Parameters!$E$25*'6states,BAU'!I79/('6states,BAU'!F79+'6states,BAU'!I79))-EXP(-Parameters!$B$38*Parameters!$E$25))  +  Parameters!$B$39*'6states,BAU'!F79)</f>
        <v>153.68063558953099</v>
      </c>
      <c r="M79" s="84">
        <f>M78+L79*Parameters!B$65</f>
        <v>9586.2496683338195</v>
      </c>
      <c r="N79" s="86">
        <f>M79*Parameters!$B$45</f>
        <v>5.7517498010002912</v>
      </c>
      <c r="O79" s="55">
        <f>EXP(-Parameters!$B$46/2*N79^2)</f>
        <v>0.71714273259662586</v>
      </c>
      <c r="P79" s="54">
        <f>MAX((Parameters!$B$62 + Parameters!$B$31*'6states,BAU'!A79 - '6states,BAU'!M79 + Parameters!$B$47/Parameters!$B$45)/Parameters!B$62,1)</f>
        <v>1</v>
      </c>
      <c r="Q79" s="54">
        <f>Parameters!B$61*EXP(-Parameters!B$60*A79)</f>
        <v>6.5996921593915112E-2</v>
      </c>
      <c r="R79" s="54">
        <f>(1-Parameters!B$61)*P79^-Parameters!B$63</f>
        <v>0.5</v>
      </c>
      <c r="S79" s="54">
        <f>Parameters!B$61*EXP(-Parameters!B$60*A79)+(1-Parameters!B$61)*P79^-Parameters!B$63</f>
        <v>0.56599692159391513</v>
      </c>
      <c r="T79" s="86">
        <f>1-S79/Parameters!$B$12</f>
        <v>0.71700153920304244</v>
      </c>
      <c r="U79" s="86">
        <f t="shared" si="34"/>
        <v>3.5335881233554423</v>
      </c>
      <c r="V79" s="54">
        <f>(Parameters!$B$19*(F79+Parameters!$B$20)^T79+Parameters!$B$18*G79^T79)^(1/T79)</f>
        <v>0.57977505942942797</v>
      </c>
      <c r="W79" s="86">
        <f>(Parameters!$B$10*H79^Parameters!$B$9+Parameters!$B$11*V79^Parameters!$B$9)^(Parameters!$B$7/Parameters!$B$9)*O79</f>
        <v>1.1120963877612215</v>
      </c>
      <c r="X79" s="54">
        <f>W79 - D79 - E79 - LN(1+EXP(Parameters!$B$21*C79))/Parameters!$B$21 - IF(C79&gt;0, 0,Parameters!$B$6*C79^2/F79)</f>
        <v>0.74359925578393571</v>
      </c>
      <c r="Y79" s="86">
        <f>EXP(-Parameters!$B$55*A79)</f>
        <v>0.32222668191941661</v>
      </c>
      <c r="Z79" s="86">
        <f>IF(X79&gt;0,X79^(1-Parameters!$B$52)/(1-Parameters!$B$52)*Y79*Parameters!$B$65,-10+X79*1000)</f>
        <v>-1.021232961294581</v>
      </c>
      <c r="AC79" s="56">
        <f t="shared" si="35"/>
        <v>24.237405385595714</v>
      </c>
      <c r="AD79" s="56">
        <f t="shared" si="35"/>
        <v>1.1468867775583367</v>
      </c>
      <c r="AE79" s="56">
        <f t="shared" si="36"/>
        <v>0</v>
      </c>
      <c r="AF79" s="56">
        <f t="shared" si="37"/>
        <v>357.25405395269411</v>
      </c>
      <c r="AG79" s="56">
        <f t="shared" si="38"/>
        <v>20.207644553951592</v>
      </c>
      <c r="AH79" s="56">
        <f t="shared" si="39"/>
        <v>234.99448307023474</v>
      </c>
      <c r="AI79" s="56">
        <f t="shared" si="40"/>
        <v>578.33931377924921</v>
      </c>
      <c r="AJ79" s="56">
        <f t="shared" si="41"/>
        <v>450.75501526990786</v>
      </c>
      <c r="AK79" s="56">
        <f t="shared" si="42"/>
        <v>301.39572215528756</v>
      </c>
      <c r="AL79" s="55">
        <f t="shared" si="51"/>
        <v>1.2163723574881935E-2</v>
      </c>
      <c r="AM79" s="55">
        <f t="shared" si="51"/>
        <v>6.9401533526924908E-3</v>
      </c>
      <c r="AN79" s="55">
        <f t="shared" si="52"/>
        <v>1.2154548433575486E-2</v>
      </c>
      <c r="AO79" s="55">
        <f t="shared" si="52"/>
        <v>6.9321373640988783E-3</v>
      </c>
      <c r="AP79" s="56"/>
      <c r="AQ79" s="84">
        <f t="shared" si="32"/>
        <v>450.75501526990791</v>
      </c>
      <c r="AU79" s="86"/>
      <c r="AV79" s="86"/>
      <c r="AX79" s="102">
        <f>1-W79/'6states,ExoDamages'!T79</f>
        <v>0.23934596625203985</v>
      </c>
      <c r="AY79" s="61">
        <f>-Y79*W79*X79^(-Parameters!B$52)*Parameters!B$46*Parameters!B$45*N79</f>
        <v>-3.7080334700374557E-5</v>
      </c>
      <c r="AZ79" s="86">
        <f>1000*EXP(-(Parameters!$B$54)*'6states,BAU'!A79)*AQ79*Parameters!B$46*Parameters!B$45*N79</f>
        <v>2.2480586522987895</v>
      </c>
      <c r="BA79" s="86">
        <f>SUM(AZ79:AZ$204)*EXP(Parameters!$B$54*A79)</f>
        <v>1305.1757296954177</v>
      </c>
      <c r="BB79" s="102">
        <f t="shared" si="53"/>
        <v>0.33135359127024766</v>
      </c>
      <c r="BC79" s="59">
        <f>IF(C79&lt;0,Parameters!$B$6*AC79^2/AF79,0)</f>
        <v>0</v>
      </c>
      <c r="BD79" s="59">
        <f>Parameters!$B$5*AD79^2/AG79</f>
        <v>6.5091667513566293E-2</v>
      </c>
      <c r="BE79" s="59">
        <f t="shared" si="43"/>
        <v>0</v>
      </c>
      <c r="BF79" s="59">
        <f t="shared" si="44"/>
        <v>5.6755094563164403E-2</v>
      </c>
      <c r="BG79" s="86"/>
      <c r="BH79" s="62"/>
      <c r="BI79" s="62"/>
      <c r="BJ79" s="62"/>
      <c r="BK79" s="53"/>
      <c r="BL79" s="53"/>
      <c r="BM79" s="53">
        <f>-EXP(-Parameters!B$42*'6states,BAU'!A79)*(-Parameters!B$37/Parameters!B$38/Parameters!E$25*(EXP(-Parameters!B$38*Parameters!E$25*'6states,BAU'!I79/('6states,BAU'!F79+'6states,BAU'!I79))-EXP(-Parameters!B$38*Parameters!E$25))+Parameters!B$37*'6states,BAU'!F79/('6states,BAU'!F79+'6states,BAU'!I79)*EXP(-Parameters!B$38*Parameters!E$25*'6states,BAU'!I79/('6states,BAU'!F79+'6states,BAU'!I79)))</f>
        <v>-2.8227331836082628</v>
      </c>
      <c r="BN79" s="53">
        <f>-J79*K79*EXP(-Parameters!B$42*'6states,BAU'!A79)*(-Parameters!B$37/Parameters!B$38/Parameters!E$25*(EXP(-Parameters!B$38*Parameters!E$25*'6states,BAU'!I79/('6states,BAU'!F79+'6states,BAU'!I79))-EXP(-Parameters!B$38*Parameters!E$25)) + Parameters!B$37*'6states,BAU'!F79/('6states,BAU'!F79+'6states,BAU'!I79)*EXP(-Parameters!B$38*Parameters!E$25*'6states,BAU'!I79/('6states,BAU'!F79+'6states,BAU'!I79)))</f>
        <v>-1144.1104865394159</v>
      </c>
      <c r="BO79" s="54">
        <f t="shared" si="33"/>
        <v>0</v>
      </c>
      <c r="BP79" s="53"/>
      <c r="BQ79" s="53"/>
      <c r="BR79" s="53"/>
      <c r="BS79" s="53"/>
      <c r="BU79" s="53">
        <f>EXP(-Parameters!$B$56*A79)*BH79*BN79</f>
        <v>0</v>
      </c>
      <c r="BV79" s="53">
        <f>-EXP((Parameters!$B$56)*F79)*SUM(BU79:BU87)</f>
        <v>0</v>
      </c>
      <c r="BW79" s="53">
        <f>X79^-Parameters!B$52/(1-2*Parameters!B$5*'6states,BAU'!D79/'6states,BAU'!G79)</f>
        <v>1.6827464151283185</v>
      </c>
      <c r="BX79" s="53">
        <f t="shared" si="45"/>
        <v>1.0218941009666505</v>
      </c>
      <c r="BY79" s="53">
        <f>$X79^-Parameters!$B$52/(1-2*Parameters!$B$5*'6states,BAU'!$E79/'6states,BAU'!$H79)</f>
        <v>1.7249268157241511</v>
      </c>
      <c r="BZ79" s="53">
        <f t="shared" si="46"/>
        <v>1.0215070123659526</v>
      </c>
      <c r="CA79" s="54">
        <f>($X79^-Parameters!$B$52*(1/(1+EXP(-C79)) + IF(C79&lt;0,2*Parameters!$B$6*C79/F79,0)) + BS79*(1/(1+EXP((C79-Parameters!$B$22)*Parameters!$B$21))))/(1-IF(C79&gt;0,2*Parameters!$B$5*C79/F79,0))</f>
        <v>0.88875572906755107</v>
      </c>
      <c r="CB79" s="53">
        <f t="shared" si="47"/>
        <v>1.0214558490132453</v>
      </c>
      <c r="CC79" s="54">
        <f t="shared" si="48"/>
        <v>1.8668461050912022E-2</v>
      </c>
      <c r="CD79" s="53" t="e">
        <f>(1/$T79-1/Parameters!$B$13) * LN(Parameters!$B$18) / LN(P79)</f>
        <v>#DIV/0!</v>
      </c>
      <c r="CE79" s="53">
        <f>(Parameters!$B$18*'6states,BAU'!T79^+Parameters!$B$19*Parameters!$B$25^'6states,BAU'!T79)^((1-'6states,BAU'!T79)/'6states,BAU'!T79)*Parameters!$B$18*Parameters!$B$26^('6states,BAU'!T79-1)</f>
        <v>0.27605231286311593</v>
      </c>
      <c r="CF79" s="53" t="e">
        <f t="shared" si="49"/>
        <v>#DIV/0!</v>
      </c>
      <c r="CG79" s="53" t="e">
        <f t="shared" si="50"/>
        <v>#DIV/0!</v>
      </c>
      <c r="CH79" s="53">
        <f t="shared" si="50"/>
        <v>0.17415228126962579</v>
      </c>
    </row>
    <row r="80" spans="1:86" x14ac:dyDescent="0.3">
      <c r="A80">
        <f>A79+Parameters!$B$65</f>
        <v>76</v>
      </c>
      <c r="B80">
        <v>2101</v>
      </c>
      <c r="C80" s="74">
        <v>5.9827622456019303E-2</v>
      </c>
      <c r="D80" s="69">
        <v>2.8139855273983001E-3</v>
      </c>
      <c r="E80" s="75">
        <v>0.30583540974068202</v>
      </c>
      <c r="F80" s="7">
        <f>MAX((1-Parameters!$B$4)^Parameters!B$65*F79 + C79*Parameters!B$65 - IF(C79&gt;0,Parameters!$B$5,0)*C79^2/F79*Parameters!B$65, 0.0001)</f>
        <v>0.8817125754546411</v>
      </c>
      <c r="G80" s="7">
        <f>(1-Parameters!$B$4)^Parameters!B$65*G79+D79*Parameters!B$65-Parameters!$B$5*D79^2/G79*Parameters!B$65</f>
        <v>4.9389060625213713E-2</v>
      </c>
      <c r="H80" s="7">
        <f>(1-Parameters!$B$4)^Parameters!B$65*H79+E79*Parameters!B$65-Parameters!$B$5*E79^2/H79*Parameters!B$65</f>
        <v>4.5256648601296838</v>
      </c>
      <c r="I80" s="7">
        <f>I79 *(1-Parameters!$B$4)-C79*(C79&lt;0)*Parameters!B$65</f>
        <v>0</v>
      </c>
      <c r="J80" s="23">
        <f>J79*(1+Parameters!$B$51)^Parameters!B$65</f>
        <v>10.168810133129119</v>
      </c>
      <c r="K80" s="23">
        <f>K79*(1+Parameters!$B$53)^Parameters!B$65</f>
        <v>40.774233160734553</v>
      </c>
      <c r="L80" s="23">
        <f>J80*K80*EXP(-Parameters!$B$42*'6states,BAU'!A80)*(Parameters!$B$37/Parameters!$B$38*('6states,BAU'!F80+'6states,BAU'!I80)/Parameters!$E$25*(EXP(-Parameters!$B$38*Parameters!$E$25*'6states,BAU'!I80/('6states,BAU'!F80+'6states,BAU'!I80))-EXP(-Parameters!$B$38*Parameters!$E$25))  +  Parameters!$B$39*'6states,BAU'!F80)</f>
        <v>155.6976339951016</v>
      </c>
      <c r="M80" s="8">
        <f>M79+L80*Parameters!B$65</f>
        <v>9741.9473023289211</v>
      </c>
      <c r="N80" s="7">
        <f>M80*Parameters!$B$45</f>
        <v>5.8451683813973521</v>
      </c>
      <c r="O80" s="9">
        <f>EXP(-Parameters!$B$46/2*N80^2)</f>
        <v>0.70937694693425135</v>
      </c>
      <c r="P80" s="7">
        <f>MAX((Parameters!$B$62 + Parameters!$B$31*'6states,BAU'!A80 - '6states,BAU'!M80 + Parameters!$B$47/Parameters!$B$45)/Parameters!B$62,1)</f>
        <v>1</v>
      </c>
      <c r="Q80" s="7">
        <f>Parameters!B$61*EXP(-Parameters!B$60*A80)</f>
        <v>6.4238845539437511E-2</v>
      </c>
      <c r="R80" s="7">
        <f>(1-Parameters!B$61)*P80^-Parameters!B$63</f>
        <v>0.5</v>
      </c>
      <c r="S80" s="7">
        <f>Parameters!B$61*EXP(-Parameters!B$60*A80)+(1-Parameters!B$61)*P80^-Parameters!B$63</f>
        <v>0.56423884553943748</v>
      </c>
      <c r="T80" s="7">
        <f>1-S80/Parameters!$B$12</f>
        <v>0.7178805772302812</v>
      </c>
      <c r="U80" s="7">
        <f t="shared" si="34"/>
        <v>3.5445982066121493</v>
      </c>
      <c r="V80" s="7">
        <f>(Parameters!$B$19*(F80+Parameters!$B$20)^T80+Parameters!$B$18*G80^T80)^(1/T80)</f>
        <v>0.57987488849044833</v>
      </c>
      <c r="W80" s="7">
        <f>(Parameters!$B$10*H80^Parameters!$B$9+Parameters!$B$11*V80^Parameters!$B$9)^(Parameters!$B$7/Parameters!$B$9)*O80</f>
        <v>1.100097667843323</v>
      </c>
      <c r="X80" s="7">
        <f>W80 - D80 - E80 - LN(1+EXP(Parameters!$B$21*C80))/Parameters!$B$21 - IF(C80&gt;0, 0,Parameters!$B$6*C80^2/F80)</f>
        <v>0.73162065006576238</v>
      </c>
      <c r="Y80" s="7">
        <f>EXP(-Parameters!$B$55*A80)</f>
        <v>0.31739761026942775</v>
      </c>
      <c r="Z80" s="7">
        <f>IF(X80&gt;0,X80^(1-Parameters!$B$52)/(1-Parameters!$B$52)*Y80*Parameters!$B$65,-10+X80*1000)</f>
        <v>-1.0116622017807075</v>
      </c>
      <c r="AC80" s="23">
        <f t="shared" si="35"/>
        <v>24.806054005911761</v>
      </c>
      <c r="AD80" s="23">
        <f t="shared" si="35"/>
        <v>1.1667499743251672</v>
      </c>
      <c r="AE80" s="23">
        <f t="shared" si="36"/>
        <v>0</v>
      </c>
      <c r="AF80" s="23">
        <f t="shared" si="37"/>
        <v>365.58046043861862</v>
      </c>
      <c r="AG80" s="23">
        <f t="shared" si="38"/>
        <v>20.477960762538014</v>
      </c>
      <c r="AH80" s="23">
        <f t="shared" si="39"/>
        <v>240.43087808044584</v>
      </c>
      <c r="AI80" s="23">
        <f t="shared" si="40"/>
        <v>591.71869579094823</v>
      </c>
      <c r="AJ80" s="23">
        <f t="shared" si="41"/>
        <v>456.12847444104762</v>
      </c>
      <c r="AK80" s="23">
        <f t="shared" si="42"/>
        <v>303.34853053391936</v>
      </c>
      <c r="AL80" s="9">
        <f t="shared" si="51"/>
        <v>1.1850523506186761E-2</v>
      </c>
      <c r="AM80" s="9">
        <f t="shared" si="51"/>
        <v>6.4583174046140002E-3</v>
      </c>
      <c r="AN80" s="9">
        <f t="shared" si="52"/>
        <v>1.1840560617046058E-2</v>
      </c>
      <c r="AO80" s="9">
        <f t="shared" si="52"/>
        <v>6.3765499661512237E-3</v>
      </c>
      <c r="AP80" s="23"/>
      <c r="AQ80" s="25">
        <f t="shared" si="32"/>
        <v>456.12847444104762</v>
      </c>
      <c r="AR80" s="4"/>
      <c r="AS80" s="4"/>
      <c r="AT80" s="4"/>
      <c r="AU80" s="16"/>
      <c r="AV80" s="16"/>
      <c r="AX80" s="13">
        <f>1-W80/'6states,ExoDamages'!T80</f>
        <v>0.24744743060466678</v>
      </c>
      <c r="AY80" s="21">
        <f>-Y80*W80*X80^(-Parameters!B$52)*Parameters!B$46*Parameters!B$45*N80</f>
        <v>-3.7531264037143214E-5</v>
      </c>
      <c r="AZ80" s="7">
        <f>1000*EXP(-(Parameters!$B$54)*'6states,BAU'!A80)*AQ80*Parameters!B$46*Parameters!B$45*N80</f>
        <v>2.2320687067082106</v>
      </c>
      <c r="BA80" s="7">
        <f>SUM(AZ80:AZ$204)*EXP(Parameters!$B$54*A80)</f>
        <v>1319.4167999050826</v>
      </c>
      <c r="BB80" s="43">
        <f t="shared" si="53"/>
        <v>0.33494936721980079</v>
      </c>
      <c r="BC80" s="30">
        <f>IF(C80&lt;0,Parameters!$B$6*AC80^2/AF80,0)</f>
        <v>0</v>
      </c>
      <c r="BD80" s="30">
        <f>Parameters!$B$5*AD80^2/AG80</f>
        <v>6.6476614462418759E-2</v>
      </c>
      <c r="BE80" s="30">
        <f t="shared" si="43"/>
        <v>0</v>
      </c>
      <c r="BF80" s="30">
        <f t="shared" si="44"/>
        <v>5.6975886801170023E-2</v>
      </c>
      <c r="BH80" s="5"/>
      <c r="BI80" s="5"/>
      <c r="BJ80" s="5"/>
      <c r="BM80">
        <f>-EXP(-Parameters!B$42*'6states,BAU'!A80)*(-Parameters!B$37/Parameters!B$38/Parameters!E$25*(EXP(-Parameters!B$38*Parameters!E$25*'6states,BAU'!I80/('6states,BAU'!F80+'6states,BAU'!I80))-EXP(-Parameters!B$38*Parameters!E$25))+Parameters!B$37*'6states,BAU'!F80/('6states,BAU'!F80+'6states,BAU'!I80)*EXP(-Parameters!B$38*Parameters!E$25*'6states,BAU'!I80/('6states,BAU'!F80+'6states,BAU'!I80)))</f>
        <v>-2.7946465191496199</v>
      </c>
      <c r="BN80">
        <f>-J80*K80*EXP(-Parameters!B$42*'6states,BAU'!A80)*(-Parameters!B$37/Parameters!B$38/Parameters!E$25*(EXP(-Parameters!B$38*Parameters!E$25*'6states,BAU'!I80/('6states,BAU'!F80+'6states,BAU'!I80))-EXP(-Parameters!B$38*Parameters!E$25)) + Parameters!B$37*'6states,BAU'!F80/('6states,BAU'!F80+'6states,BAU'!I80)*EXP(-Parameters!B$38*Parameters!E$25*'6states,BAU'!I80/('6states,BAU'!F80+'6states,BAU'!I80)))</f>
        <v>-1158.7315296111026</v>
      </c>
      <c r="BO80" s="7">
        <f t="shared" si="33"/>
        <v>0</v>
      </c>
      <c r="BU80">
        <f>EXP(-Parameters!$B$56*A80)*BH80*BN80</f>
        <v>0</v>
      </c>
      <c r="BV80">
        <f>-EXP((Parameters!$B$56)*F80)*SUM(BU80:BU88)</f>
        <v>0</v>
      </c>
      <c r="BW80">
        <f>X80^-Parameters!B$52/(1-2*Parameters!B$5*'6states,BAU'!D80/'6states,BAU'!G80)</f>
        <v>1.7209038262113852</v>
      </c>
      <c r="BX80">
        <f t="shared" si="45"/>
        <v>1.0226756751581949</v>
      </c>
      <c r="BY80">
        <f>$X80^-Parameters!$B$52/(1-2*Parameters!$B$5*'6states,BAU'!$E80/'6states,BAU'!$H80)</f>
        <v>1.7630969356926272</v>
      </c>
      <c r="BZ80">
        <f t="shared" si="46"/>
        <v>1.0221285445970945</v>
      </c>
      <c r="CA80" s="7">
        <f>($X80^-Parameters!$B$52*(1/(1+EXP(-C80)) + IF(C80&lt;0,2*Parameters!$B$6*C80/F80,0)) + BS80*(1/(1+EXP((C80-Parameters!$B$22)*Parameters!$B$21))))/(1-IF(C80&gt;0,2*Parameters!$B$5*C80/F80,0))</f>
        <v>0.90849067912781989</v>
      </c>
      <c r="CB80">
        <f t="shared" si="47"/>
        <v>1.0222051452551242</v>
      </c>
      <c r="CC80" s="7">
        <f t="shared" si="48"/>
        <v>1.9734950060268819E-2</v>
      </c>
      <c r="CD80" t="e">
        <f>(1/$T80-1/Parameters!$B$13) * LN(Parameters!$B$18) / LN(P80)</f>
        <v>#DIV/0!</v>
      </c>
      <c r="CE80">
        <f>(Parameters!$B$18*'6states,BAU'!T80^+Parameters!$B$19*Parameters!$B$25^'6states,BAU'!T80)^((1-'6states,BAU'!T80)/'6states,BAU'!T80)*Parameters!$B$18*Parameters!$B$26^('6states,BAU'!T80-1)</f>
        <v>0.27641655315731373</v>
      </c>
      <c r="CF80" t="e">
        <f t="shared" si="49"/>
        <v>#DIV/0!</v>
      </c>
      <c r="CG80" t="e">
        <f t="shared" si="50"/>
        <v>#DIV/0!</v>
      </c>
      <c r="CH80">
        <f t="shared" si="50"/>
        <v>0.17436075848623056</v>
      </c>
    </row>
    <row r="81" spans="1:84" x14ac:dyDescent="0.3">
      <c r="A81">
        <f>A80+Parameters!$B$65</f>
        <v>77</v>
      </c>
      <c r="B81">
        <v>2102</v>
      </c>
      <c r="C81" s="74">
        <v>5.9829878569412999E-2</v>
      </c>
      <c r="D81" s="69">
        <v>2.7970363826505E-3</v>
      </c>
      <c r="E81" s="75">
        <v>0.30586784882460399</v>
      </c>
      <c r="F81" s="7">
        <f>MAX((1-Parameters!$B$4)^Parameters!B$65*F80 + C80*Parameters!B$65 - IF(C80&gt;0,Parameters!$B$5,0)*C80^2/F80*Parameters!B$65, 0.0001)</f>
        <v>0.88202094038487944</v>
      </c>
      <c r="G81" s="7">
        <f>(1-Parameters!$B$4)^Parameters!B$65*G80+D80*Parameters!B$65-Parameters!$B$5*D80^2/G80*Parameters!B$65</f>
        <v>4.8936144918416899E-2</v>
      </c>
      <c r="H81" s="7">
        <f>(1-Parameters!$B$4)^Parameters!B$65*H80+E80*Parameters!B$65-Parameters!$B$5*E80^2/H80*Parameters!B$65</f>
        <v>4.5261682028333858</v>
      </c>
      <c r="I81" s="7">
        <f>I80 *(1-Parameters!$B$4)-C80*(C80&lt;0)*Parameters!B$65</f>
        <v>0</v>
      </c>
      <c r="J81" s="23">
        <f>J80*(1+Parameters!$B$51)^Parameters!B$65</f>
        <v>10.198299682515193</v>
      </c>
      <c r="K81" s="23">
        <f>K80*(1+Parameters!$B$53)^Parameters!B$65</f>
        <v>41.589717823949243</v>
      </c>
      <c r="L81" s="23">
        <f>J81*K81*EXP(-Parameters!$B$42*'6states,BAU'!A81)*(Parameters!$B$37/Parameters!$B$38*('6states,BAU'!F81+'6states,BAU'!I81)/Parameters!$E$25*(EXP(-Parameters!$B$38*Parameters!$E$25*'6states,BAU'!I81/('6states,BAU'!F81+'6states,BAU'!I81))-EXP(-Parameters!$B$38*Parameters!$E$25))  +  Parameters!$B$39*'6states,BAU'!F81)</f>
        <v>157.74250464276216</v>
      </c>
      <c r="M81" s="8">
        <f>M80+L81*Parameters!B$65</f>
        <v>9899.6898069716826</v>
      </c>
      <c r="N81" s="7">
        <f>M81*Parameters!$B$45</f>
        <v>5.9398138841830095</v>
      </c>
      <c r="O81" s="9">
        <f>EXP(-Parameters!$B$46/2*N81^2)</f>
        <v>0.70146942943878587</v>
      </c>
      <c r="P81" s="7">
        <f>MAX((Parameters!$B$62 + Parameters!$B$31*'6states,BAU'!A81 - '6states,BAU'!M81 + Parameters!$B$47/Parameters!$B$45)/Parameters!B$62,1)</f>
        <v>1</v>
      </c>
      <c r="Q81" s="7">
        <f>Parameters!B$61*EXP(-Parameters!B$60*A81)</f>
        <v>6.2527602448356992E-2</v>
      </c>
      <c r="R81" s="7">
        <f>(1-Parameters!B$61)*P81^-Parameters!B$63</f>
        <v>0.5</v>
      </c>
      <c r="S81" s="7">
        <f>Parameters!B$61*EXP(-Parameters!B$60*A81)+(1-Parameters!B$61)*P81^-Parameters!B$63</f>
        <v>0.56252760244835698</v>
      </c>
      <c r="T81" s="7">
        <f>1-S81/Parameters!$B$12</f>
        <v>0.71873619877582151</v>
      </c>
      <c r="U81" s="7">
        <f t="shared" si="34"/>
        <v>3.5553810893814952</v>
      </c>
      <c r="V81" s="7">
        <f>(Parameters!$B$19*(F81+Parameters!$B$20)^T81+Parameters!$B$18*G81^T81)^(1/T81)</f>
        <v>0.57998326138374712</v>
      </c>
      <c r="W81" s="7">
        <f>(Parameters!$B$10*H81^Parameters!$B$9+Parameters!$B$11*V81^Parameters!$B$9)^(Parameters!$B$7/Parameters!$B$9)*O81</f>
        <v>1.087875280043703</v>
      </c>
      <c r="X81" s="7">
        <f>W81 - D81 - E81 - LN(1+EXP(Parameters!$B$21*C81))/Parameters!$B$21 - IF(C81&gt;0, 0,Parameters!$B$6*C81^2/F81)</f>
        <v>0.71938051621361054</v>
      </c>
      <c r="Y81" s="7">
        <f>EXP(-Parameters!$B$55*A81)</f>
        <v>0.31264090982365395</v>
      </c>
      <c r="Z81" s="7">
        <f>IF(X81&gt;0,X81^(1-Parameters!$B$52)/(1-Parameters!$B$52)*Y81*Parameters!$B$65,-10+X81*1000)</f>
        <v>-1.0024026973757305</v>
      </c>
      <c r="AC81" s="23">
        <f t="shared" si="35"/>
        <v>25.376508311654899</v>
      </c>
      <c r="AD81" s="23">
        <f t="shared" si="35"/>
        <v>1.1863473353031069</v>
      </c>
      <c r="AE81" s="23">
        <f t="shared" si="36"/>
        <v>0</v>
      </c>
      <c r="AF81" s="23">
        <f t="shared" si="37"/>
        <v>374.10424790956023</v>
      </c>
      <c r="AG81" s="23">
        <f t="shared" si="38"/>
        <v>20.755992122260778</v>
      </c>
      <c r="AH81" s="23">
        <f t="shared" si="39"/>
        <v>245.99665593588009</v>
      </c>
      <c r="AI81" s="23">
        <f t="shared" si="40"/>
        <v>605.41649883510536</v>
      </c>
      <c r="AJ81" s="23">
        <f t="shared" si="41"/>
        <v>461.41621454311741</v>
      </c>
      <c r="AK81" s="23">
        <f t="shared" si="42"/>
        <v>305.12122179485789</v>
      </c>
      <c r="AL81" s="9">
        <f t="shared" si="51"/>
        <v>1.1525975147102407E-2</v>
      </c>
      <c r="AM81" s="9">
        <f t="shared" si="51"/>
        <v>5.8267359043435718E-3</v>
      </c>
      <c r="AN81" s="9">
        <f t="shared" si="52"/>
        <v>1.1517987964160703E-2</v>
      </c>
      <c r="AO81" s="9">
        <f t="shared" si="52"/>
        <v>5.8109106713441607E-3</v>
      </c>
      <c r="AP81" s="23"/>
      <c r="AQ81" s="25">
        <f t="shared" si="32"/>
        <v>461.41621454311741</v>
      </c>
      <c r="AR81" s="4"/>
      <c r="AS81" s="4"/>
      <c r="AT81" s="4"/>
      <c r="AU81" s="16"/>
      <c r="AV81" s="16"/>
      <c r="AX81" s="13">
        <f>1-W81/'6states,ExoDamages'!T81</f>
        <v>0.25570750172254197</v>
      </c>
      <c r="AY81" s="21">
        <f>-Y81*W81*X81^(-Parameters!B$52)*Parameters!B$46*Parameters!B$45*N81</f>
        <v>-3.8005885282515446E-5</v>
      </c>
      <c r="AZ81" s="7">
        <f>1000*EXP(-(Parameters!$B$54)*'6states,BAU'!A81)*AQ81*Parameters!B$46*Parameters!B$45*N81</f>
        <v>2.2153650537709986</v>
      </c>
      <c r="BA81" s="7">
        <f>SUM(AZ81:AZ$204)*EXP(Parameters!$B$54*A81)</f>
        <v>1333.2483116477665</v>
      </c>
      <c r="BB81" s="43">
        <f t="shared" si="53"/>
        <v>0.3387288695096225</v>
      </c>
      <c r="BC81" s="30">
        <f>IF(C81&lt;0,Parameters!$B$6*AC81^2/AF81,0)</f>
        <v>0</v>
      </c>
      <c r="BD81" s="30">
        <f>Parameters!$B$5*AD81^2/AG81</f>
        <v>6.7807888521567036E-2</v>
      </c>
      <c r="BE81" s="30">
        <f t="shared" si="43"/>
        <v>0</v>
      </c>
      <c r="BF81" s="30">
        <f t="shared" si="44"/>
        <v>5.7156859971571813E-2</v>
      </c>
      <c r="BH81" s="5"/>
      <c r="BI81" s="5"/>
      <c r="BJ81" s="5"/>
      <c r="BM81">
        <f>-EXP(-Parameters!B$42*'6states,BAU'!A81)*(-Parameters!B$37/Parameters!B$38/Parameters!E$25*(EXP(-Parameters!B$38*Parameters!E$25*'6states,BAU'!I81/('6states,BAU'!F81+'6states,BAU'!I81))-EXP(-Parameters!B$38*Parameters!E$25))+Parameters!B$37*'6states,BAU'!F81/('6states,BAU'!F81+'6states,BAU'!I81)*EXP(-Parameters!B$38*Parameters!E$25*'6states,BAU'!I81/('6states,BAU'!F81+'6states,BAU'!I81)))</f>
        <v>-2.7668393216717728</v>
      </c>
      <c r="BN81">
        <f>-J81*K81*EXP(-Parameters!B$42*'6states,BAU'!A81)*(-Parameters!B$37/Parameters!B$38/Parameters!E$25*(EXP(-Parameters!B$38*Parameters!E$25*'6states,BAU'!I81/('6states,BAU'!F81+'6states,BAU'!I81))-EXP(-Parameters!B$38*Parameters!E$25)) + Parameters!B$37*'6states,BAU'!F81/('6states,BAU'!F81+'6states,BAU'!I81)*EXP(-Parameters!B$38*Parameters!E$25*'6states,BAU'!I81/('6states,BAU'!F81+'6states,BAU'!I81)))</f>
        <v>-1173.5394208089267</v>
      </c>
      <c r="BO81" s="7">
        <f t="shared" si="33"/>
        <v>0</v>
      </c>
      <c r="BU81">
        <f>EXP(-Parameters!$B$56*A81)*BH81*BN81</f>
        <v>0</v>
      </c>
      <c r="BV81">
        <f>-EXP((Parameters!$B$56)*F81)*SUM(BU81:BU89)</f>
        <v>0</v>
      </c>
      <c r="BW81">
        <f>X81^-Parameters!B$52/(1-2*Parameters!B$5*'6states,BAU'!D81/'6states,BAU'!G81)</f>
        <v>1.7612697526181114</v>
      </c>
      <c r="BX81">
        <f t="shared" si="45"/>
        <v>1.0234562360731063</v>
      </c>
      <c r="BY81">
        <f>$X81^-Parameters!$B$52/(1-2*Parameters!$B$5*'6states,BAU'!$E81/'6states,BAU'!$H81)</f>
        <v>1.8037139914218179</v>
      </c>
      <c r="BZ81">
        <f t="shared" si="46"/>
        <v>1.0230373355582032</v>
      </c>
      <c r="CA81" s="7">
        <f>($X81^-Parameters!$B$52*(1/(1+EXP(-C81)) + IF(C81&lt;0,2*Parameters!$B$6*C81/F81,0)) + BS81*(1/(1+EXP((C81-Parameters!$B$22)*Parameters!$B$21))))/(1-IF(C81&gt;0,2*Parameters!$B$5*C81/F81,0))</f>
        <v>0.92937613236411942</v>
      </c>
      <c r="CB81">
        <f t="shared" si="47"/>
        <v>1.0229891772322313</v>
      </c>
      <c r="CC81" s="7">
        <f t="shared" si="48"/>
        <v>2.0885453236299534E-2</v>
      </c>
      <c r="CE81">
        <f>(Parameters!$B$18*'6states,BAU'!T81^+Parameters!$B$19*Parameters!$B$25^'6states,BAU'!T81)^((1-'6states,BAU'!T81)/'6states,BAU'!T81)*Parameters!$B$18*Parameters!$B$26^('6states,BAU'!T81-1)</f>
        <v>0.27676909104109704</v>
      </c>
      <c r="CF81" t="e">
        <f t="shared" si="49"/>
        <v>#DIV/0!</v>
      </c>
    </row>
    <row r="82" spans="1:84" x14ac:dyDescent="0.3">
      <c r="A82">
        <f>A81+Parameters!$B$65</f>
        <v>78</v>
      </c>
      <c r="B82">
        <v>2103</v>
      </c>
      <c r="C82" s="74">
        <v>5.98316912638336E-2</v>
      </c>
      <c r="D82" s="69">
        <v>2.7807910693784799E-3</v>
      </c>
      <c r="E82" s="75">
        <v>0.30591658596565802</v>
      </c>
      <c r="F82" s="7">
        <f>MAX((1-Parameters!$B$4)^Parameters!B$65*F81 + C81*Parameters!B$65 - IF(C81&gt;0,Parameters!$B$5,0)*C81^2/F81*Parameters!B$65, 0.0001)</f>
        <v>0.8823132784654395</v>
      </c>
      <c r="G82" s="7">
        <f>(1-Parameters!$B$4)^Parameters!B$65*G81+D81*Parameters!B$65-Parameters!$B$5*D81^2/G81*Parameters!B$65</f>
        <v>4.8495227968840426E-2</v>
      </c>
      <c r="H82" s="7">
        <f>(1-Parameters!$B$4)^Parameters!B$65*H81+E81*Parameters!B$65-Parameters!$B$5*E81^2/H81*Parameters!B$65</f>
        <v>4.5266702386860462</v>
      </c>
      <c r="I82" s="7">
        <f>I81 *(1-Parameters!$B$4)-C81*(C81&lt;0)*Parameters!B$65</f>
        <v>0</v>
      </c>
      <c r="J82" s="23">
        <f>J81*(1+Parameters!$B$51)^Parameters!B$65</f>
        <v>10.227874751594486</v>
      </c>
      <c r="K82" s="23">
        <f>K81*(1+Parameters!$B$53)^Parameters!B$65</f>
        <v>42.42151218042823</v>
      </c>
      <c r="L82" s="23">
        <f>J82*K82*EXP(-Parameters!$B$42*'6states,BAU'!A82)*(Parameters!$B$37/Parameters!$B$38*('6states,BAU'!F82+'6states,BAU'!I82)/Parameters!$E$25*(EXP(-Parameters!$B$38*Parameters!$E$25*'6states,BAU'!I82/('6states,BAU'!F82+'6states,BAU'!I82))-EXP(-Parameters!$B$38*Parameters!$E$25))  +  Parameters!$B$39*'6states,BAU'!F82)</f>
        <v>159.81130936713998</v>
      </c>
      <c r="M82" s="8">
        <f>M81+L82*Parameters!B$65</f>
        <v>10059.501116338823</v>
      </c>
      <c r="N82" s="7">
        <f>M82*Parameters!$B$45</f>
        <v>6.0357006698032931</v>
      </c>
      <c r="O82" s="9">
        <f>EXP(-Parameters!$B$46/2*N82^2)</f>
        <v>0.69342075782756563</v>
      </c>
      <c r="P82" s="7">
        <f>MAX((Parameters!$B$62 + Parameters!$B$31*'6states,BAU'!A82 - '6states,BAU'!M82 + Parameters!$B$47/Parameters!$B$45)/Parameters!B$62,1)</f>
        <v>1</v>
      </c>
      <c r="Q82" s="7">
        <f>Parameters!B$61*EXP(-Parameters!B$60*A82)</f>
        <v>6.0861944748672944E-2</v>
      </c>
      <c r="R82" s="7">
        <f>(1-Parameters!B$61)*P82^-Parameters!B$63</f>
        <v>0.5</v>
      </c>
      <c r="S82" s="7">
        <f>Parameters!B$61*EXP(-Parameters!B$60*A82)+(1-Parameters!B$61)*P82^-Parameters!B$63</f>
        <v>0.5608619447486729</v>
      </c>
      <c r="T82" s="7">
        <f>1-S82/Parameters!$B$12</f>
        <v>0.71956902762566355</v>
      </c>
      <c r="U82" s="7">
        <f t="shared" si="34"/>
        <v>3.565939922873921</v>
      </c>
      <c r="V82" s="7">
        <f>(Parameters!$B$19*(F82+Parameters!$B$20)^T82+Parameters!$B$18*G82^T82)^(1/T82)</f>
        <v>0.58008427429043741</v>
      </c>
      <c r="W82" s="7">
        <f>(Parameters!$B$10*H82^Parameters!$B$9+Parameters!$B$11*V82^Parameters!$B$9)^(Parameters!$B$7/Parameters!$B$9)*O82</f>
        <v>1.0754322747037648</v>
      </c>
      <c r="X82" s="7">
        <f>W82 - D82 - E82 - LN(1+EXP(Parameters!$B$21*C82))/Parameters!$B$21 - IF(C82&gt;0, 0,Parameters!$B$6*C82^2/F82)</f>
        <v>0.70690320635149895</v>
      </c>
      <c r="Y82" s="7">
        <f>EXP(-Parameters!$B$55*A82)</f>
        <v>0.30795549598621846</v>
      </c>
      <c r="Z82" s="7">
        <f>IF(X82&gt;0,X82^(1-Parameters!$B$52)/(1-Parameters!$B$52)*Y82*Parameters!$B$65,-10+X82*1000)</f>
        <v>-0.99344523680599528</v>
      </c>
      <c r="AC82" s="23">
        <f t="shared" si="35"/>
        <v>25.959888684797409</v>
      </c>
      <c r="AD82" s="23">
        <f t="shared" si="35"/>
        <v>1.2065349498214855</v>
      </c>
      <c r="AE82" s="23">
        <f t="shared" si="36"/>
        <v>0</v>
      </c>
      <c r="AF82" s="23">
        <f t="shared" si="37"/>
        <v>382.81977343880772</v>
      </c>
      <c r="AG82" s="23">
        <f t="shared" si="38"/>
        <v>21.041202299690898</v>
      </c>
      <c r="AH82" s="23">
        <f t="shared" si="39"/>
        <v>251.68807483608433</v>
      </c>
      <c r="AI82" s="23">
        <f t="shared" si="40"/>
        <v>619.42351405592899</v>
      </c>
      <c r="AJ82" s="23">
        <f t="shared" si="41"/>
        <v>466.61061303182362</v>
      </c>
      <c r="AK82" s="23">
        <f t="shared" si="42"/>
        <v>306.71251572833228</v>
      </c>
      <c r="AL82" s="9">
        <f t="shared" si="51"/>
        <v>1.1194617614168401E-2</v>
      </c>
      <c r="AM82" s="9">
        <f t="shared" si="51"/>
        <v>5.2017318561707881E-3</v>
      </c>
      <c r="AN82" s="9">
        <f t="shared" si="52"/>
        <v>1.1186122605731619E-2</v>
      </c>
      <c r="AO82" s="9">
        <f t="shared" si="52"/>
        <v>5.218348113490201E-3</v>
      </c>
      <c r="AP82" s="23"/>
      <c r="AQ82" s="25">
        <f t="shared" si="32"/>
        <v>466.61061303182362</v>
      </c>
      <c r="AR82" s="4"/>
      <c r="AS82" s="4"/>
      <c r="AT82" s="4"/>
      <c r="AU82" s="16"/>
      <c r="AV82" s="16"/>
      <c r="AX82" s="13">
        <f>1-W82/'6states,ExoDamages'!T82</f>
        <v>0.26412389836609718</v>
      </c>
      <c r="AY82" s="21">
        <f>-Y82*W82*X82^(-Parameters!B$52)*Parameters!B$46*Parameters!B$45*N82</f>
        <v>-3.8504376202883545E-5</v>
      </c>
      <c r="AZ82" s="7">
        <f>1000*EXP(-(Parameters!$B$54)*'6states,BAU'!A82)*AQ82*Parameters!B$46*Parameters!B$45*N82</f>
        <v>2.1979518862610563</v>
      </c>
      <c r="BA82" s="7">
        <f>SUM(AZ82:AZ$204)*EXP(Parameters!$B$54*A82)</f>
        <v>1346.6423809708351</v>
      </c>
      <c r="BB82" s="43">
        <f t="shared" si="53"/>
        <v>0.34267994086413667</v>
      </c>
      <c r="BC82" s="30">
        <f>IF(C82&lt;0,Parameters!$B$6*AC82^2/AF82,0)</f>
        <v>0</v>
      </c>
      <c r="BD82" s="30">
        <f>Parameters!$B$5*AD82^2/AG82</f>
        <v>6.9184572459631707E-2</v>
      </c>
      <c r="BE82" s="30">
        <f t="shared" si="43"/>
        <v>0</v>
      </c>
      <c r="BF82" s="30">
        <f t="shared" si="44"/>
        <v>5.7341540309187068E-2</v>
      </c>
      <c r="BH82" s="5"/>
      <c r="BI82" s="5"/>
      <c r="BJ82" s="5"/>
      <c r="BM82">
        <f>-EXP(-Parameters!B$42*'6states,BAU'!A82)*(-Parameters!B$37/Parameters!B$38/Parameters!E$25*(EXP(-Parameters!B$38*Parameters!E$25*'6states,BAU'!I82/('6states,BAU'!F82+'6states,BAU'!I82))-EXP(-Parameters!B$38*Parameters!E$25))+Parameters!B$37*'6states,BAU'!F82/('6states,BAU'!F82+'6states,BAU'!I82)*EXP(-Parameters!B$38*Parameters!E$25*'6states,BAU'!I82/('6states,BAU'!F82+'6states,BAU'!I82)))</f>
        <v>-2.7393088104317997</v>
      </c>
      <c r="BN82">
        <f>-J82*K82*EXP(-Parameters!B$42*'6states,BAU'!A82)*(-Parameters!B$37/Parameters!B$38/Parameters!E$25*(EXP(-Parameters!B$38*Parameters!E$25*'6states,BAU'!I82/('6states,BAU'!F82+'6states,BAU'!I82))-EXP(-Parameters!B$38*Parameters!E$25)) + Parameters!B$37*'6states,BAU'!F82/('6states,BAU'!F82+'6states,BAU'!I82)*EXP(-Parameters!B$38*Parameters!E$25*'6states,BAU'!I82/('6states,BAU'!F82+'6states,BAU'!I82)))</f>
        <v>-1188.5365479394266</v>
      </c>
      <c r="BO82" s="7">
        <f t="shared" si="33"/>
        <v>0</v>
      </c>
      <c r="BU82">
        <f>EXP(-Parameters!$B$56*A82)*BH82*BN82</f>
        <v>0</v>
      </c>
      <c r="BV82">
        <f>-EXP((Parameters!$B$56)*F82)*SUM(BU82:BU90)</f>
        <v>0</v>
      </c>
      <c r="BW82">
        <f>X82^-Parameters!B$52/(1-2*Parameters!B$5*'6states,BAU'!D82/'6states,BAU'!G82)</f>
        <v>1.8041195026713164</v>
      </c>
      <c r="BX82">
        <f t="shared" si="45"/>
        <v>1.0243288968027238</v>
      </c>
      <c r="BY82">
        <f>$X82^-Parameters!$B$52/(1-2*Parameters!$B$5*'6states,BAU'!$E82/'6states,BAU'!$H82)</f>
        <v>1.846839827704305</v>
      </c>
      <c r="BZ82">
        <f t="shared" si="46"/>
        <v>1.0239094648528464</v>
      </c>
      <c r="CA82" s="7">
        <f>($X82^-Parameters!$B$52*(1/(1+EXP(-C82)) + IF(C82&lt;0,2*Parameters!$B$6*C82/F82,0)) + BS82*(1/(1+EXP((C82-Parameters!$B$22)*Parameters!$B$21))))/(1-IF(C82&gt;0,2*Parameters!$B$5*C82/F82,0))</f>
        <v>0.95154569271406897</v>
      </c>
      <c r="CB82">
        <f t="shared" si="47"/>
        <v>1.0238542389651812</v>
      </c>
      <c r="CC82" s="7">
        <f t="shared" si="48"/>
        <v>2.2169560349949546E-2</v>
      </c>
      <c r="CE82">
        <f>(Parameters!$B$18*'6states,BAU'!T82^+Parameters!$B$19*Parameters!$B$25^'6states,BAU'!T82)^((1-'6states,BAU'!T82)/'6states,BAU'!T82)*Parameters!$B$18*Parameters!$B$26^('6states,BAU'!T82-1)</f>
        <v>0.27711034451237282</v>
      </c>
      <c r="CF82" t="e">
        <f t="shared" si="49"/>
        <v>#DIV/0!</v>
      </c>
    </row>
    <row r="83" spans="1:84" x14ac:dyDescent="0.3">
      <c r="A83">
        <f>A82+Parameters!$B$65</f>
        <v>79</v>
      </c>
      <c r="B83">
        <v>2104</v>
      </c>
      <c r="C83" s="74">
        <v>5.9852673303672499E-2</v>
      </c>
      <c r="D83" s="69">
        <v>2.76528456296017E-3</v>
      </c>
      <c r="E83" s="75">
        <v>0.30590912467069398</v>
      </c>
      <c r="F83" s="7">
        <f>MAX((1-Parameters!$B$4)^Parameters!B$65*F82 + C82*Parameters!B$65 - IF(C82&gt;0,Parameters!$B$5,0)*C82^2/F82*Parameters!B$65, 0.0001)</f>
        <v>0.88259014001595315</v>
      </c>
      <c r="G83" s="7">
        <f>(1-Parameters!$B$4)^Parameters!B$65*G82+D82*Parameters!B$65-Parameters!$B$5*D82^2/G82*Parameters!B$65</f>
        <v>4.8066214355782649E-2</v>
      </c>
      <c r="H83" s="7">
        <f>(1-Parameters!$B$4)^Parameters!B$65*H82+E82*Parameters!B$65-Parameters!$B$5*E82^2/H82*Parameters!B$65</f>
        <v>4.527185139159597</v>
      </c>
      <c r="I83" s="7">
        <f>I82 *(1-Parameters!$B$4)-C82*(C82&lt;0)*Parameters!B$65</f>
        <v>0</v>
      </c>
      <c r="J83" s="23">
        <f>J82*(1+Parameters!$B$51)^Parameters!B$65</f>
        <v>10.257535588374109</v>
      </c>
      <c r="K83" s="23">
        <f>K82*(1+Parameters!$B$53)^Parameters!B$65</f>
        <v>43.269942424036799</v>
      </c>
      <c r="L83" s="23">
        <f>J83*K83*EXP(-Parameters!$B$42*'6states,BAU'!A83)*(Parameters!$B$37/Parameters!$B$38*('6states,BAU'!F83+'6states,BAU'!I83)/Parameters!$E$25*(EXP(-Parameters!$B$38*Parameters!$E$25*'6states,BAU'!I83/('6states,BAU'!F83+'6states,BAU'!I83))-EXP(-Parameters!$B$38*Parameters!$E$25))  +  Parameters!$B$39*'6states,BAU'!F83)</f>
        <v>161.90438979496639</v>
      </c>
      <c r="M83" s="8">
        <f>M82+L83*Parameters!B$65</f>
        <v>10221.405506133789</v>
      </c>
      <c r="N83" s="7">
        <f>M83*Parameters!$B$45</f>
        <v>6.1328433036802732</v>
      </c>
      <c r="O83" s="9">
        <f>EXP(-Parameters!$B$46/2*N83^2)</f>
        <v>0.68523169418472107</v>
      </c>
      <c r="P83" s="7">
        <f>MAX((Parameters!$B$62 + Parameters!$B$31*'6states,BAU'!A83 - '6states,BAU'!M83 + Parameters!$B$47/Parameters!$B$45)/Parameters!B$62,1)</f>
        <v>1</v>
      </c>
      <c r="Q83" s="7">
        <f>Parameters!B$61*EXP(-Parameters!B$60*A83)</f>
        <v>5.9240658102153877E-2</v>
      </c>
      <c r="R83" s="7">
        <f>(1-Parameters!B$61)*P83^-Parameters!B$63</f>
        <v>0.5</v>
      </c>
      <c r="S83" s="7">
        <f>Parameters!B$61*EXP(-Parameters!B$60*A83)+(1-Parameters!B$61)*P83^-Parameters!B$63</f>
        <v>0.55924065810215384</v>
      </c>
      <c r="T83" s="7">
        <f>1-S83/Parameters!$B$12</f>
        <v>0.72037967094892308</v>
      </c>
      <c r="U83" s="7">
        <f t="shared" si="34"/>
        <v>3.5762778886414042</v>
      </c>
      <c r="V83" s="7">
        <f>(Parameters!$B$19*(F83+Parameters!$B$20)^T83+Parameters!$B$18*G83^T83)^(1/T83)</f>
        <v>0.58017831073070203</v>
      </c>
      <c r="W83" s="7">
        <f>(Parameters!$B$10*H83^Parameters!$B$9+Parameters!$B$11*V83^Parameters!$B$9)^(Parameters!$B$7/Parameters!$B$9)*O83</f>
        <v>1.062770700520125</v>
      </c>
      <c r="X83" s="7">
        <f>W83 - D83 - E83 - LN(1+EXP(Parameters!$B$21*C83))/Parameters!$B$21 - IF(C83&gt;0, 0,Parameters!$B$6*C83^2/F83)</f>
        <v>0.69424361792973766</v>
      </c>
      <c r="Y83" s="7">
        <f>EXP(-Parameters!$B$55*A83)</f>
        <v>0.30334030041561322</v>
      </c>
      <c r="Z83" s="7">
        <f>IF(X83&gt;0,X83^(1-Parameters!$B$52)/(1-Parameters!$B$52)*Y83*Parameters!$B$65,-10+X83*1000)</f>
        <v>-0.98476567989259656</v>
      </c>
      <c r="AC83" s="23">
        <f t="shared" si="35"/>
        <v>26.565188540192413</v>
      </c>
      <c r="AD83" s="23">
        <f t="shared" si="35"/>
        <v>1.2273521252694499</v>
      </c>
      <c r="AE83" s="23">
        <f t="shared" si="36"/>
        <v>0</v>
      </c>
      <c r="AF83" s="23">
        <f t="shared" si="37"/>
        <v>391.73143285147108</v>
      </c>
      <c r="AG83" s="23">
        <f t="shared" si="38"/>
        <v>21.333851544043245</v>
      </c>
      <c r="AH83" s="23">
        <f t="shared" si="39"/>
        <v>257.50806707151276</v>
      </c>
      <c r="AI83" s="23">
        <f t="shared" si="40"/>
        <v>633.74695804347243</v>
      </c>
      <c r="AJ83" s="23">
        <f t="shared" si="41"/>
        <v>471.7033087405498</v>
      </c>
      <c r="AK83" s="23">
        <f t="shared" si="42"/>
        <v>308.13515228562335</v>
      </c>
      <c r="AL83" s="9">
        <f t="shared" si="51"/>
        <v>1.0855099978464011E-2</v>
      </c>
      <c r="AM83" s="9">
        <f t="shared" si="51"/>
        <v>4.6276148388999516E-3</v>
      </c>
      <c r="AN83" s="9">
        <f t="shared" si="52"/>
        <v>1.0844801210700616E-2</v>
      </c>
      <c r="AO83" s="9">
        <f t="shared" si="52"/>
        <v>4.5767894684118461E-3</v>
      </c>
      <c r="AP83" s="23"/>
      <c r="AQ83" s="25">
        <f t="shared" si="32"/>
        <v>471.7033087405498</v>
      </c>
      <c r="AR83" s="4"/>
      <c r="AS83" s="4"/>
      <c r="AT83" s="4"/>
      <c r="AU83" s="16"/>
      <c r="AV83" s="16"/>
      <c r="AX83" s="13">
        <f>1-W83/'6states,ExoDamages'!T83</f>
        <v>0.27269501005345631</v>
      </c>
      <c r="AY83" s="21">
        <f>-Y83*W83*X83^(-Parameters!B$52)*Parameters!B$46*Parameters!B$45*N83</f>
        <v>-3.9024540849766453E-5</v>
      </c>
      <c r="AZ83" s="7">
        <f>1000*EXP(-(Parameters!$B$54)*'6states,BAU'!A83)*AQ83*Parameters!B$46*Parameters!B$45*N83</f>
        <v>2.1798315293505341</v>
      </c>
      <c r="BA83" s="7">
        <f>SUM(AZ83:AZ$204)*EXP(Parameters!$B$54*A83)</f>
        <v>1359.5706796898291</v>
      </c>
      <c r="BB83" s="43">
        <f t="shared" si="53"/>
        <v>0.34676067222870155</v>
      </c>
      <c r="BC83" s="30">
        <f>IF(C83&lt;0,Parameters!$B$6*AC83^2/AF83,0)</f>
        <v>0</v>
      </c>
      <c r="BD83" s="30">
        <f>Parameters!$B$5*AD83^2/AG83</f>
        <v>7.0610467889191092E-2</v>
      </c>
      <c r="BE83" s="30">
        <f t="shared" si="43"/>
        <v>0</v>
      </c>
      <c r="BF83" s="30">
        <f t="shared" si="44"/>
        <v>5.7530733385652823E-2</v>
      </c>
      <c r="BH83" s="5"/>
      <c r="BI83" s="5"/>
      <c r="BJ83" s="5"/>
      <c r="BM83">
        <f>-EXP(-Parameters!B$42*'6states,BAU'!A83)*(-Parameters!B$37/Parameters!B$38/Parameters!E$25*(EXP(-Parameters!B$38*Parameters!E$25*'6states,BAU'!I83/('6states,BAU'!F83+'6states,BAU'!I83))-EXP(-Parameters!B$38*Parameters!E$25))+Parameters!B$37*'6states,BAU'!F83/('6states,BAU'!F83+'6states,BAU'!I83)*EXP(-Parameters!B$38*Parameters!E$25*'6states,BAU'!I83/('6states,BAU'!F83+'6states,BAU'!I83)))</f>
        <v>-2.7120522323556346</v>
      </c>
      <c r="BN83">
        <f>-J83*K83*EXP(-Parameters!B$42*'6states,BAU'!A83)*(-Parameters!B$37/Parameters!B$38/Parameters!E$25*(EXP(-Parameters!B$38*Parameters!E$25*'6states,BAU'!I83/('6states,BAU'!F83+'6states,BAU'!I83))-EXP(-Parameters!B$38*Parameters!E$25)) + Parameters!B$37*'6states,BAU'!F83/('6states,BAU'!F83+'6states,BAU'!I83)*EXP(-Parameters!B$38*Parameters!E$25*'6states,BAU'!I83/('6states,BAU'!F83+'6states,BAU'!I83)))</f>
        <v>-1203.7253293238698</v>
      </c>
      <c r="BO83" s="7">
        <f t="shared" si="33"/>
        <v>0</v>
      </c>
      <c r="BU83">
        <f>EXP(-Parameters!$B$56*A83)*BH83*BN83</f>
        <v>0</v>
      </c>
      <c r="BV83">
        <f>-EXP((Parameters!$B$56)*F83)*SUM(BU83:BU91)</f>
        <v>0</v>
      </c>
      <c r="BW83">
        <f>X83^-Parameters!B$52/(1-2*Parameters!B$5*'6states,BAU'!D83/'6states,BAU'!G83)</f>
        <v>1.8494637956979316</v>
      </c>
      <c r="BX83">
        <f t="shared" si="45"/>
        <v>1.0251337524811828</v>
      </c>
      <c r="BY83">
        <f>$X83^-Parameters!$B$52/(1-2*Parameters!$B$5*'6states,BAU'!$E83/'6states,BAU'!$H83)</f>
        <v>1.8924078101818393</v>
      </c>
      <c r="BZ83">
        <f t="shared" si="46"/>
        <v>1.024673489164557</v>
      </c>
      <c r="CA83" s="7">
        <f>($X83^-Parameters!$B$52*(1/(1+EXP(-C83)) + IF(C83&lt;0,2*Parameters!$B$6*C83/F83,0)) + BS83*(1/(1+EXP((C83-Parameters!$B$22)*Parameters!$B$21))))/(1-IF(C83&gt;0,2*Parameters!$B$5*C83/F83,0))</f>
        <v>0.97506025842808386</v>
      </c>
      <c r="CB83">
        <f t="shared" si="47"/>
        <v>1.0247119669544664</v>
      </c>
      <c r="CC83" s="7">
        <f t="shared" si="48"/>
        <v>2.351456571401489E-2</v>
      </c>
      <c r="CE83">
        <f>(Parameters!$B$18*'6states,BAU'!T83^+Parameters!$B$19*Parameters!$B$25^'6states,BAU'!T83)^((1-'6states,BAU'!T83)/'6states,BAU'!T83)*Parameters!$B$18*Parameters!$B$26^('6states,BAU'!T83-1)</f>
        <v>0.27744071479352866</v>
      </c>
      <c r="CF83" t="e">
        <f t="shared" si="49"/>
        <v>#DIV/0!</v>
      </c>
    </row>
    <row r="84" spans="1:84" s="4" customFormat="1" x14ac:dyDescent="0.3">
      <c r="A84" s="4">
        <f>A83+Parameters!$B$65</f>
        <v>80</v>
      </c>
      <c r="B84">
        <v>2105</v>
      </c>
      <c r="C84" s="74">
        <v>5.98762989776035E-2</v>
      </c>
      <c r="D84" s="69">
        <v>2.7503507456162501E-3</v>
      </c>
      <c r="E84" s="75">
        <v>0.305895758847819</v>
      </c>
      <c r="F84" s="7">
        <f>MAX((1-Parameters!$B$4)^Parameters!B$65*F83 + C83*Parameters!B$65 - IF(C83&gt;0,Parameters!$B$5,0)*C83^2/F83*Parameters!B$65, 0.0001)</f>
        <v>0.88286899647856809</v>
      </c>
      <c r="G84" s="16">
        <f>(1-Parameters!$B$4)^Parameters!B$65*G83+D83*Parameters!B$65-Parameters!$B$5*D83^2/G83*Parameters!B$65</f>
        <v>4.764904518683697E-2</v>
      </c>
      <c r="H84" s="16">
        <f>(1-Parameters!$B$4)^Parameters!B$65*H83+E83*Parameters!B$65-Parameters!$B$5*E83^2/H83*Parameters!B$65</f>
        <v>4.5276635508306935</v>
      </c>
      <c r="I84" s="7">
        <f>I83 *(1-Parameters!$B$4)-C83*(C83&lt;0)*Parameters!B$65</f>
        <v>0</v>
      </c>
      <c r="J84" s="44">
        <f>J83*(1+Parameters!$B$51)^Parameters!B$65</f>
        <v>10.287282441580393</v>
      </c>
      <c r="K84" s="44">
        <f>K83*(1+Parameters!$B$53)^Parameters!B$65</f>
        <v>44.135341272517536</v>
      </c>
      <c r="L84" s="23">
        <f>J84*K84*EXP(-Parameters!$B$42*'6states,BAU'!A84)*(Parameters!$B$37/Parameters!$B$38*('6states,BAU'!F84+'6states,BAU'!I84)/Parameters!$E$25*(EXP(-Parameters!$B$38*Parameters!$E$25*'6states,BAU'!I84/('6states,BAU'!F84+'6states,BAU'!I84))-EXP(-Parameters!$B$38*Parameters!$E$25))  +  Parameters!$B$39*'6states,BAU'!F84)</f>
        <v>164.02523819991629</v>
      </c>
      <c r="M84" s="25">
        <f>M83+L84*Parameters!B$65</f>
        <v>10385.430744333706</v>
      </c>
      <c r="N84" s="16">
        <f>M84*Parameters!$B$45</f>
        <v>6.231258446600223</v>
      </c>
      <c r="O84" s="9">
        <f>EXP(-Parameters!$B$46/2*N84^2)</f>
        <v>0.67690303258167206</v>
      </c>
      <c r="P84" s="7">
        <f>MAX((Parameters!$B$62 + Parameters!$B$31*'6states,BAU'!A84 - '6states,BAU'!M84 + Parameters!$B$47/Parameters!$B$45)/Parameters!B$62,1)</f>
        <v>1</v>
      </c>
      <c r="Q84" s="7">
        <f>Parameters!B$61*EXP(-Parameters!B$60*A84)</f>
        <v>5.7662560519031257E-2</v>
      </c>
      <c r="R84" s="7">
        <f>(1-Parameters!B$61)*P84^-Parameters!B$63</f>
        <v>0.5</v>
      </c>
      <c r="S84" s="7">
        <f>Parameters!B$61*EXP(-Parameters!B$60*A84)+(1-Parameters!B$61)*P84^-Parameters!B$63</f>
        <v>0.55766256051903129</v>
      </c>
      <c r="T84" s="16">
        <f>1-S84/Parameters!$B$12</f>
        <v>0.72116871974048435</v>
      </c>
      <c r="U84" s="16">
        <f t="shared" si="34"/>
        <v>3.5863981941670016</v>
      </c>
      <c r="V84" s="7">
        <f>(Parameters!$B$19*(F84+Parameters!$B$20)^T84+Parameters!$B$18*G84^T84)^(1/T84)</f>
        <v>0.58027622173349869</v>
      </c>
      <c r="W84" s="16">
        <f>(Parameters!$B$10*H84^Parameters!$B$9+Parameters!$B$11*V84^Parameters!$B$9)^(Parameters!$B$7/Parameters!$B$9)*O84</f>
        <v>1.0498899327274469</v>
      </c>
      <c r="X84" s="7">
        <f>W84 - D84 - E84 - LN(1+EXP(Parameters!$B$21*C84))/Parameters!$B$21 - IF(C84&gt;0, 0,Parameters!$B$6*C84^2/F84)</f>
        <v>0.68136752410372203</v>
      </c>
      <c r="Y84" s="16">
        <f>EXP(-Parameters!$B$55*A84)</f>
        <v>0.29879427078110121</v>
      </c>
      <c r="Z84" s="16">
        <f>IF(X84&gt;0,X84^(1-Parameters!$B$52)/(1-Parameters!$B$52)*Y84*Parameters!$B$65,-10+X84*1000)</f>
        <v>-0.97638415058392691</v>
      </c>
      <c r="AC84" s="23">
        <f t="shared" si="35"/>
        <v>27.1857989677262</v>
      </c>
      <c r="AD84" s="23">
        <f t="shared" si="35"/>
        <v>1.2487492336329413</v>
      </c>
      <c r="AE84" s="23">
        <f t="shared" si="36"/>
        <v>0</v>
      </c>
      <c r="AF84" s="23">
        <f t="shared" si="37"/>
        <v>400.8514130454555</v>
      </c>
      <c r="AG84" s="23">
        <f t="shared" si="38"/>
        <v>21.634225654761703</v>
      </c>
      <c r="AH84" s="23">
        <f t="shared" si="39"/>
        <v>263.46439207438806</v>
      </c>
      <c r="AI84" s="23">
        <f t="shared" si="40"/>
        <v>648.40592735118821</v>
      </c>
      <c r="AJ84" s="23">
        <f t="shared" si="41"/>
        <v>476.68438324893827</v>
      </c>
      <c r="AK84" s="23">
        <f t="shared" si="42"/>
        <v>309.36315119192278</v>
      </c>
      <c r="AL84" s="9">
        <f t="shared" si="51"/>
        <v>1.0504396782736514E-2</v>
      </c>
      <c r="AM84" s="9">
        <f t="shared" si="51"/>
        <v>3.9773405634226933E-3</v>
      </c>
      <c r="AN84" s="9">
        <f t="shared" si="52"/>
        <v>1.0494637763289382E-2</v>
      </c>
      <c r="AO84" s="9">
        <f t="shared" si="52"/>
        <v>3.9155284222312401E-3</v>
      </c>
      <c r="AP84" s="23"/>
      <c r="AQ84" s="25">
        <f t="shared" si="32"/>
        <v>476.68438324893827</v>
      </c>
      <c r="AU84" s="16"/>
      <c r="AV84" s="16"/>
      <c r="AX84" s="43">
        <f>1-W84/'6states,ExoDamages'!T84</f>
        <v>0.28142113519632106</v>
      </c>
      <c r="AY84" s="21">
        <f>-Y84*W84*X84^(-Parameters!B$52)*Parameters!B$46*Parameters!B$45*N84</f>
        <v>-3.9570740626467343E-5</v>
      </c>
      <c r="AZ84" s="16">
        <f>1000*EXP(-(Parameters!$B$54)*'6states,BAU'!A84)*AQ84*Parameters!B$46*Parameters!B$45*N84</f>
        <v>2.1610016133861456</v>
      </c>
      <c r="BA84" s="16">
        <f>SUM(AZ84:AZ$204)*EXP(Parameters!$B$54*A84)</f>
        <v>1372.0045161004782</v>
      </c>
      <c r="BB84" s="43">
        <f t="shared" si="53"/>
        <v>0.35101051746793704</v>
      </c>
      <c r="BC84" s="30">
        <f>IF(C84&lt;0,Parameters!$B$6*AC84^2/AF84,0)</f>
        <v>0</v>
      </c>
      <c r="BD84" s="30">
        <f>Parameters!$B$5*AD84^2/AG84</f>
        <v>7.2079059975767565E-2</v>
      </c>
      <c r="BE84" s="30">
        <f t="shared" si="43"/>
        <v>0</v>
      </c>
      <c r="BF84" s="30">
        <f t="shared" si="44"/>
        <v>5.7721004373368495E-2</v>
      </c>
      <c r="BG84" s="16"/>
      <c r="BH84" s="5"/>
      <c r="BI84" s="5"/>
      <c r="BJ84" s="5"/>
      <c r="BK84"/>
      <c r="BL84"/>
      <c r="BM84">
        <f>-EXP(-Parameters!B$42*'6states,BAU'!A84)*(-Parameters!B$37/Parameters!B$38/Parameters!E$25*(EXP(-Parameters!B$38*Parameters!E$25*'6states,BAU'!I84/('6states,BAU'!F84+'6states,BAU'!I84))-EXP(-Parameters!B$38*Parameters!E$25))+Parameters!B$37*'6states,BAU'!F84/('6states,BAU'!F84+'6states,BAU'!I84)*EXP(-Parameters!B$38*Parameters!E$25*'6states,BAU'!I84/('6states,BAU'!F84+'6states,BAU'!I84)))</f>
        <v>-2.6850668617627558</v>
      </c>
      <c r="BN84">
        <f>-J84*K84*EXP(-Parameters!B$42*'6states,BAU'!A84)*(-Parameters!B$37/Parameters!B$38/Parameters!E$25*(EXP(-Parameters!B$38*Parameters!E$25*'6states,BAU'!I84/('6states,BAU'!F84+'6states,BAU'!I84))-EXP(-Parameters!B$38*Parameters!E$25)) + Parameters!B$37*'6states,BAU'!F84/('6states,BAU'!F84+'6states,BAU'!I84)*EXP(-Parameters!B$38*Parameters!E$25*'6states,BAU'!I84/('6states,BAU'!F84+'6states,BAU'!I84)))</f>
        <v>-1219.1082141882134</v>
      </c>
      <c r="BO84" s="7">
        <f t="shared" si="33"/>
        <v>0</v>
      </c>
      <c r="BP84"/>
      <c r="BQ84"/>
      <c r="BR84"/>
      <c r="BS84"/>
      <c r="BU84">
        <f>EXP(-Parameters!$B$56*A84)*BH84*BN84</f>
        <v>0</v>
      </c>
      <c r="BV84">
        <f>-EXP((Parameters!$B$56)*F84)*SUM(BU84:BU92)</f>
        <v>0</v>
      </c>
      <c r="BW84">
        <f>X84^-Parameters!B$52/(1-2*Parameters!B$5*'6states,BAU'!D84/'6states,BAU'!G84)</f>
        <v>1.8976178596674562</v>
      </c>
      <c r="BX84">
        <f t="shared" si="45"/>
        <v>1.0260367702690567</v>
      </c>
      <c r="BY84">
        <f>$X84^-Parameters!$B$52/(1-2*Parameters!$B$5*'6states,BAU'!$E84/'6states,BAU'!$H84)</f>
        <v>1.9407997407999924</v>
      </c>
      <c r="BZ84">
        <f t="shared" si="46"/>
        <v>1.025571618526296</v>
      </c>
      <c r="CA84" s="7">
        <f>($X84^-Parameters!$B$52*(1/(1+EXP(-C84)) + IF(C84&lt;0,2*Parameters!$B$6*C84/F84,0)) + BS84*(1/(1+EXP((C84-Parameters!$B$22)*Parameters!$B$21))))/(1-IF(C84&gt;0,2*Parameters!$B$5*C84/F84,0))</f>
        <v>1.000041282476261</v>
      </c>
      <c r="CB84">
        <f t="shared" si="47"/>
        <v>1.0256199797215093</v>
      </c>
      <c r="CC84" s="7">
        <f t="shared" si="48"/>
        <v>2.4981024048177147E-2</v>
      </c>
      <c r="CE84">
        <f>(Parameters!$B$18*'6states,BAU'!T84^+Parameters!$B$19*Parameters!$B$25^'6states,BAU'!T84)^((1-'6states,BAU'!T84)/'6states,BAU'!T84)*Parameters!$B$18*Parameters!$B$26^('6states,BAU'!T84-1)</f>
        <v>0.27776058707524709</v>
      </c>
      <c r="CF84" t="e">
        <f t="shared" si="49"/>
        <v>#DIV/0!</v>
      </c>
    </row>
    <row r="85" spans="1:84" x14ac:dyDescent="0.3">
      <c r="A85">
        <f>A84+Parameters!$B$65</f>
        <v>81</v>
      </c>
      <c r="B85">
        <v>2106</v>
      </c>
      <c r="C85" s="74">
        <v>5.9881297129026401E-2</v>
      </c>
      <c r="D85" s="69">
        <v>2.73693366007595E-3</v>
      </c>
      <c r="E85" s="75">
        <v>0.30592886372508099</v>
      </c>
      <c r="F85" s="7">
        <f>MAX((1-Parameters!$B$4)^Parameters!B$65*F84 + C84*Parameters!B$65 - IF(C84&gt;0,Parameters!$B$5,0)*C84^2/F84*Parameters!B$65, 0.0001)</f>
        <v>0.88315201659596887</v>
      </c>
      <c r="G85" s="7">
        <f>(1-Parameters!$B$4)^Parameters!B$65*G84+D84*Parameters!B$65-Parameters!$B$5*D84^2/G84*Parameters!B$65</f>
        <v>4.7243517982785165E-2</v>
      </c>
      <c r="H85" s="7">
        <f>(1-Parameters!$B$4)^Parameters!B$65*H84+E84*Parameters!B$65-Parameters!$B$5*E84^2/H84*Parameters!B$65</f>
        <v>4.5281024948133259</v>
      </c>
      <c r="I85" s="7">
        <f>I84 *(1-Parameters!$B$4)-C84*(C84&lt;0)*Parameters!B$65</f>
        <v>0</v>
      </c>
      <c r="J85" s="23">
        <f>J84*(1+Parameters!$B$51)^Parameters!B$65</f>
        <v>10.317115560660975</v>
      </c>
      <c r="K85" s="23">
        <f>K84*(1+Parameters!$B$53)^Parameters!B$65</f>
        <v>45.018048097967885</v>
      </c>
      <c r="L85" s="23">
        <f>J85*K85*EXP(-Parameters!$B$42*'6states,BAU'!A85)*(Parameters!$B$37/Parameters!$B$38*('6states,BAU'!F85+'6states,BAU'!I85)/Parameters!$E$25*(EXP(-Parameters!$B$38*Parameters!$E$25*'6states,BAU'!I85/('6states,BAU'!F85+'6states,BAU'!I85))-EXP(-Parameters!$B$38*Parameters!$E$25))  +  Parameters!$B$39*'6states,BAU'!F85)</f>
        <v>166.17463527965236</v>
      </c>
      <c r="M85" s="8">
        <f>M84+L85*Parameters!B$65</f>
        <v>10551.605379613358</v>
      </c>
      <c r="N85" s="7">
        <f>M85*Parameters!$B$45</f>
        <v>6.3309632277680148</v>
      </c>
      <c r="O85" s="9">
        <f>EXP(-Parameters!$B$46/2*N85^2)</f>
        <v>0.66843574269505324</v>
      </c>
      <c r="P85" s="7">
        <f>MAX((Parameters!$B$62 + Parameters!$B$31*'6states,BAU'!A85 - '6states,BAU'!M85 + Parameters!$B$47/Parameters!$B$45)/Parameters!B$62,1)</f>
        <v>1</v>
      </c>
      <c r="Q85" s="7">
        <f>Parameters!B$61*EXP(-Parameters!B$60*A85)</f>
        <v>5.6126501496276487E-2</v>
      </c>
      <c r="R85" s="7">
        <f>(1-Parameters!B$61)*P85^-Parameters!B$63</f>
        <v>0.5</v>
      </c>
      <c r="S85" s="7">
        <f>Parameters!B$61*EXP(-Parameters!B$60*A85)+(1-Parameters!B$61)*P85^-Parameters!B$63</f>
        <v>0.55612650149627652</v>
      </c>
      <c r="T85" s="7">
        <f>1-S85/Parameters!$B$12</f>
        <v>0.7219367492518618</v>
      </c>
      <c r="U85" s="7">
        <f t="shared" si="34"/>
        <v>3.5963040686227594</v>
      </c>
      <c r="V85" s="7">
        <f>(Parameters!$B$19*(F85+Parameters!$B$20)^T85+Parameters!$B$18*G85^T85)^(1/T85)</f>
        <v>0.58037933207664916</v>
      </c>
      <c r="W85" s="7">
        <f>(Parameters!$B$10*H85^Parameters!$B$9+Parameters!$B$11*V85^Parameters!$B$9)^(Parameters!$B$7/Parameters!$B$9)*O85</f>
        <v>1.0367914694602438</v>
      </c>
      <c r="X85" s="7">
        <f>W85 - D85 - E85 - LN(1+EXP(Parameters!$B$21*C85))/Parameters!$B$21 - IF(C85&gt;0, 0,Parameters!$B$6*C85^2/F85)</f>
        <v>0.66824437489345345</v>
      </c>
      <c r="Y85" s="7">
        <f>EXP(-Parameters!$B$55*A85)</f>
        <v>0.29431637052277015</v>
      </c>
      <c r="Z85" s="7">
        <f>IF(X85&gt;0,X85^(1-Parameters!$B$52)/(1-Parameters!$B$52)*Y85*Parameters!$B$65,-10+X85*1000)</f>
        <v>-0.96832025360702745</v>
      </c>
      <c r="AC85" s="23">
        <f t="shared" si="35"/>
        <v>27.812251963866494</v>
      </c>
      <c r="AD85" s="23">
        <f t="shared" si="35"/>
        <v>1.2711863672292043</v>
      </c>
      <c r="AE85" s="23">
        <f t="shared" si="36"/>
        <v>0</v>
      </c>
      <c r="AF85" s="23">
        <f t="shared" si="37"/>
        <v>410.18561029229403</v>
      </c>
      <c r="AG85" s="23">
        <f t="shared" si="38"/>
        <v>21.942554500205794</v>
      </c>
      <c r="AH85" s="23">
        <f t="shared" si="39"/>
        <v>269.5608978468826</v>
      </c>
      <c r="AI85" s="23">
        <f t="shared" si="40"/>
        <v>663.40989220538404</v>
      </c>
      <c r="AJ85" s="23">
        <f t="shared" si="41"/>
        <v>481.54443816545501</v>
      </c>
      <c r="AK85" s="23">
        <f t="shared" si="42"/>
        <v>310.37037971851566</v>
      </c>
      <c r="AL85" s="9">
        <f t="shared" si="51"/>
        <v>1.0143916531031749E-2</v>
      </c>
      <c r="AM85" s="9">
        <f t="shared" si="51"/>
        <v>3.250524179222225E-3</v>
      </c>
      <c r="AN85" s="9">
        <f t="shared" si="52"/>
        <v>1.0135118775252926E-2</v>
      </c>
      <c r="AO85" s="9">
        <f t="shared" si="52"/>
        <v>3.2338594870109814E-3</v>
      </c>
      <c r="AP85" s="23"/>
      <c r="AQ85" s="25">
        <f t="shared" si="32"/>
        <v>481.54443816545501</v>
      </c>
      <c r="AR85" s="4"/>
      <c r="AS85" s="4"/>
      <c r="AT85" s="4"/>
      <c r="AU85" s="16"/>
      <c r="AV85" s="16"/>
      <c r="AX85" s="13">
        <f>1-W85/'6states,ExoDamages'!T85</f>
        <v>0.29030663504414334</v>
      </c>
      <c r="AY85" s="21">
        <f>-Y85*W85*X85^(-Parameters!B$52)*Parameters!B$46*Parameters!B$45*N85</f>
        <v>-4.014766230391462E-5</v>
      </c>
      <c r="AZ85" s="7">
        <f>1000*EXP(-(Parameters!$B$54)*'6states,BAU'!A85)*AQ85*Parameters!B$46*Parameters!B$45*N85</f>
        <v>2.1414642492156339</v>
      </c>
      <c r="BA85" s="7">
        <f>SUM(AZ85:AZ$204)*EXP(Parameters!$B$54*A85)</f>
        <v>1383.9149768742029</v>
      </c>
      <c r="BB85" s="43">
        <f t="shared" si="53"/>
        <v>0.35546887235294272</v>
      </c>
      <c r="BC85" s="30">
        <f>IF(C85&lt;0,Parameters!$B$6*AC85^2/AF85,0)</f>
        <v>0</v>
      </c>
      <c r="BD85" s="30">
        <f>Parameters!$B$5*AD85^2/AG85</f>
        <v>7.3642965326312676E-2</v>
      </c>
      <c r="BE85" s="30">
        <f t="shared" si="43"/>
        <v>0</v>
      </c>
      <c r="BF85" s="30">
        <f t="shared" si="44"/>
        <v>5.7932469404019582E-2</v>
      </c>
      <c r="BH85" s="5"/>
      <c r="BI85" s="5"/>
      <c r="BJ85" s="5"/>
      <c r="BM85">
        <f>-EXP(-Parameters!B$42*'6states,BAU'!A85)*(-Parameters!B$37/Parameters!B$38/Parameters!E$25*(EXP(-Parameters!B$38*Parameters!E$25*'6states,BAU'!I85/('6states,BAU'!F85+'6states,BAU'!I85))-EXP(-Parameters!B$38*Parameters!E$25))+Parameters!B$37*'6states,BAU'!F85/('6states,BAU'!F85+'6states,BAU'!I85)*EXP(-Parameters!B$38*Parameters!E$25*'6states,BAU'!I85/('6states,BAU'!F85+'6states,BAU'!I85)))</f>
        <v>-2.6583500000936175</v>
      </c>
      <c r="BN85">
        <f>-J85*K85*EXP(-Parameters!B$42*'6states,BAU'!A85)*(-Parameters!B$37/Parameters!B$38/Parameters!E$25*(EXP(-Parameters!B$38*Parameters!E$25*'6states,BAU'!I85/('6states,BAU'!F85+'6states,BAU'!I85))-EXP(-Parameters!B$38*Parameters!E$25)) + Parameters!B$37*'6states,BAU'!F85/('6states,BAU'!F85+'6states,BAU'!I85)*EXP(-Parameters!B$38*Parameters!E$25*'6states,BAU'!I85/('6states,BAU'!F85+'6states,BAU'!I85)))</f>
        <v>-1234.6876830580488</v>
      </c>
      <c r="BO85" s="7">
        <f t="shared" si="33"/>
        <v>0</v>
      </c>
      <c r="BU85">
        <f>EXP(-Parameters!$B$56*A85)*BH85*BN85</f>
        <v>0</v>
      </c>
      <c r="BV85">
        <f>-EXP((Parameters!$B$56)*F85)*SUM(BU85:BU93)</f>
        <v>0</v>
      </c>
      <c r="BW85">
        <f>X85^-Parameters!B$52/(1-2*Parameters!B$5*'6states,BAU'!D85/'6states,BAU'!G85)</f>
        <v>1.9490308618509213</v>
      </c>
      <c r="BX85">
        <f t="shared" si="45"/>
        <v>1.0270934434567742</v>
      </c>
      <c r="BY85">
        <f>$X85^-Parameters!$B$52/(1-2*Parameters!$B$5*'6states,BAU'!$E85/'6states,BAU'!$H85)</f>
        <v>1.9924331105936168</v>
      </c>
      <c r="BZ85">
        <f t="shared" si="46"/>
        <v>1.0266041718309078</v>
      </c>
      <c r="CA85" s="7">
        <f>($X85^-Parameters!$B$52*(1/(1+EXP(-C85)) + IF(C85&lt;0,2*Parameters!$B$6*C85/F85,0)) + BS85*(1/(1+EXP((C85-Parameters!$B$22)*Parameters!$B$21))))/(1-IF(C85&gt;0,2*Parameters!$B$5*C85/F85,0))</f>
        <v>1.0266090491378976</v>
      </c>
      <c r="CB85">
        <f t="shared" si="47"/>
        <v>1.0265666699237161</v>
      </c>
      <c r="CC85" s="7">
        <f t="shared" si="48"/>
        <v>2.6567766661636627E-2</v>
      </c>
      <c r="CE85">
        <f>(Parameters!$B$18*'6states,BAU'!T85^+Parameters!$B$19*Parameters!$B$25^'6states,BAU'!T85)^((1-'6states,BAU'!T85)/'6states,BAU'!T85)*Parameters!$B$18*Parameters!$B$26^('6states,BAU'!T85-1)</f>
        <v>0.27807033122529135</v>
      </c>
      <c r="CF85" t="e">
        <f t="shared" si="49"/>
        <v>#DIV/0!</v>
      </c>
    </row>
    <row r="86" spans="1:84" x14ac:dyDescent="0.3">
      <c r="A86">
        <f>A85+Parameters!$B$65</f>
        <v>82</v>
      </c>
      <c r="B86">
        <v>2107</v>
      </c>
      <c r="C86" s="74">
        <v>5.9878824088228699E-2</v>
      </c>
      <c r="D86" s="69">
        <v>2.7215515734432898E-3</v>
      </c>
      <c r="E86" s="75">
        <v>0.305982892999072</v>
      </c>
      <c r="F86" s="7">
        <f>MAX((1-Parameters!$B$4)^Parameters!B$65*F85 + C85*Parameters!B$65 - IF(C85&gt;0,Parameters!$B$5,0)*C85^2/F85*Parameters!B$65, 0.0001)</f>
        <v>0.8834228564917852</v>
      </c>
      <c r="G86" s="7">
        <f>(1-Parameters!$B$4)^Parameters!B$65*G85+D85*Parameters!B$65-Parameters!$B$5*D85^2/G85*Parameters!B$65</f>
        <v>4.6850277036220744E-2</v>
      </c>
      <c r="H86" s="7">
        <f>(1-Parameters!$B$4)^Parameters!B$65*H85+E85*Parameters!B$65-Parameters!$B$5*E85^2/H85*Parameters!B$65</f>
        <v>4.5285444644482418</v>
      </c>
      <c r="I86" s="7">
        <f>I85 *(1-Parameters!$B$4)-C85*(C85&lt;0)*Parameters!B$65</f>
        <v>0</v>
      </c>
      <c r="J86" s="23">
        <f>J85*(1+Parameters!$B$51)^Parameters!B$65</f>
        <v>10.347035195786891</v>
      </c>
      <c r="K86" s="23">
        <f>K85*(1+Parameters!$B$53)^Parameters!B$65</f>
        <v>45.918409059927242</v>
      </c>
      <c r="L86" s="23">
        <f>J86*K86*EXP(-Parameters!$B$42*'6states,BAU'!A86)*(Parameters!$B$37/Parameters!$B$38*('6states,BAU'!F86+'6states,BAU'!I86)/Parameters!$E$25*(EXP(-Parameters!$B$38*Parameters!$E$25*'6states,BAU'!I86/('6states,BAU'!F86+'6states,BAU'!I86))-EXP(-Parameters!$B$38*Parameters!$E$25))  +  Parameters!$B$39*'6states,BAU'!F86)</f>
        <v>168.34985977574772</v>
      </c>
      <c r="M86" s="8">
        <f>M85+L86*Parameters!B$65</f>
        <v>10719.955239389106</v>
      </c>
      <c r="N86" s="7">
        <f>M86*Parameters!$B$45</f>
        <v>6.4319731436334635</v>
      </c>
      <c r="O86" s="9">
        <f>EXP(-Parameters!$B$46/2*N86^2)</f>
        <v>0.65983115718931329</v>
      </c>
      <c r="P86" s="7">
        <f>MAX((Parameters!$B$62 + Parameters!$B$31*'6states,BAU'!A86 - '6states,BAU'!M86 + Parameters!$B$47/Parameters!$B$45)/Parameters!B$62,1)</f>
        <v>1</v>
      </c>
      <c r="Q86" s="7">
        <f>Parameters!B$61*EXP(-Parameters!B$60*A86)</f>
        <v>5.4631361178833215E-2</v>
      </c>
      <c r="R86" s="7">
        <f>(1-Parameters!B$61)*P86^-Parameters!B$63</f>
        <v>0.5</v>
      </c>
      <c r="S86" s="7">
        <f>Parameters!B$61*EXP(-Parameters!B$60*A86)+(1-Parameters!B$61)*P86^-Parameters!B$63</f>
        <v>0.55463136117883316</v>
      </c>
      <c r="T86" s="7">
        <f>1-S86/Parameters!$B$12</f>
        <v>0.72268431941058342</v>
      </c>
      <c r="U86" s="7">
        <f t="shared" si="34"/>
        <v>3.6059987587956241</v>
      </c>
      <c r="V86" s="7">
        <f>(Parameters!$B$19*(F86+Parameters!$B$20)^T86+Parameters!$B$18*G86^T86)^(1/T86)</f>
        <v>0.58047804773306999</v>
      </c>
      <c r="W86" s="7">
        <f>(Parameters!$B$10*H86^Parameters!$B$9+Parameters!$B$11*V86^Parameters!$B$9)^(Parameters!$B$7/Parameters!$B$9)*O86</f>
        <v>1.0234789367979957</v>
      </c>
      <c r="X86" s="7">
        <f>W86 - D86 - E86 - LN(1+EXP(Parameters!$B$21*C86))/Parameters!$B$21 - IF(C86&gt;0, 0,Parameters!$B$6*C86^2/F86)</f>
        <v>0.65489566808460564</v>
      </c>
      <c r="Y86" s="7">
        <f>EXP(-Parameters!$B$55*A86)</f>
        <v>0.28990557861518201</v>
      </c>
      <c r="Z86" s="7">
        <f>IF(X86&gt;0,X86^(1-Parameters!$B$52)/(1-Parameters!$B$52)*Y86*Parameters!$B$65,-10+X86*1000)</f>
        <v>-0.96056838116151089</v>
      </c>
      <c r="AC86" s="23">
        <f t="shared" si="35"/>
        <v>28.449590654806119</v>
      </c>
      <c r="AD86" s="23">
        <f t="shared" si="35"/>
        <v>1.2930619361582643</v>
      </c>
      <c r="AE86" s="23">
        <f t="shared" si="36"/>
        <v>0</v>
      </c>
      <c r="AF86" s="23">
        <f t="shared" si="37"/>
        <v>419.73133282073934</v>
      </c>
      <c r="AG86" s="23">
        <f t="shared" si="38"/>
        <v>22.259475265927385</v>
      </c>
      <c r="AH86" s="23">
        <f t="shared" si="39"/>
        <v>275.79637866257519</v>
      </c>
      <c r="AI86" s="23">
        <f t="shared" si="40"/>
        <v>678.75588522154146</v>
      </c>
      <c r="AJ86" s="23">
        <f t="shared" si="41"/>
        <v>486.2746929167443</v>
      </c>
      <c r="AK86" s="23">
        <f t="shared" si="42"/>
        <v>311.15363339734472</v>
      </c>
      <c r="AL86" s="9">
        <f t="shared" si="51"/>
        <v>9.7751579100462394E-3</v>
      </c>
      <c r="AM86" s="9">
        <f t="shared" si="51"/>
        <v>2.5204306734405435E-3</v>
      </c>
      <c r="AN86" s="9">
        <f t="shared" si="52"/>
        <v>9.7657024805512197E-3</v>
      </c>
      <c r="AO86" s="9">
        <f t="shared" si="52"/>
        <v>2.5131713110576825E-3</v>
      </c>
      <c r="AP86" s="23"/>
      <c r="AQ86" s="25">
        <f t="shared" si="32"/>
        <v>486.27469291674436</v>
      </c>
      <c r="AR86" s="4"/>
      <c r="AS86" s="4"/>
      <c r="AT86" s="4"/>
      <c r="AU86" s="16"/>
      <c r="AV86" s="16"/>
      <c r="AX86" s="13">
        <f>1-W86/'6states,ExoDamages'!T86</f>
        <v>0.29934281295975951</v>
      </c>
      <c r="AY86" s="21">
        <f>-Y86*W86*X86^(-Parameters!B$52)*Parameters!B$46*Parameters!B$45*N86</f>
        <v>-4.0756290870170825E-5</v>
      </c>
      <c r="AZ86" s="7">
        <f>1000*EXP(-(Parameters!$B$54)*'6states,BAU'!A86)*AQ86*Parameters!B$46*Parameters!B$45*N86</f>
        <v>2.121225408872621</v>
      </c>
      <c r="BA86" s="7">
        <f>SUM(AZ86:AZ$204)*EXP(Parameters!$B$54*A86)</f>
        <v>1395.2729301115573</v>
      </c>
      <c r="BB86" s="43">
        <f t="shared" si="53"/>
        <v>0.36012784963985178</v>
      </c>
      <c r="BC86" s="30">
        <f>IF(C86&lt;0,Parameters!$B$6*AC86^2/AF86,0)</f>
        <v>0</v>
      </c>
      <c r="BD86" s="30">
        <f>Parameters!$B$5*AD86^2/AG86</f>
        <v>7.5114491728414917E-2</v>
      </c>
      <c r="BE86" s="30">
        <f t="shared" si="43"/>
        <v>0</v>
      </c>
      <c r="BF86" s="30">
        <f t="shared" si="44"/>
        <v>5.8090405129071314E-2</v>
      </c>
      <c r="BH86" s="5"/>
      <c r="BI86" s="5"/>
      <c r="BJ86" s="5"/>
      <c r="BM86">
        <f>-EXP(-Parameters!B$42*'6states,BAU'!A86)*(-Parameters!B$37/Parameters!B$38/Parameters!E$25*(EXP(-Parameters!B$38*Parameters!E$25*'6states,BAU'!I86/('6states,BAU'!F86+'6states,BAU'!I86))-EXP(-Parameters!B$38*Parameters!E$25))+Parameters!B$37*'6states,BAU'!F86/('6states,BAU'!F86+'6states,BAU'!I86)*EXP(-Parameters!B$38*Parameters!E$25*'6states,BAU'!I86/('6states,BAU'!F86+'6states,BAU'!I86)))</f>
        <v>-2.6318989756397864</v>
      </c>
      <c r="BN86">
        <f>-J86*K86*EXP(-Parameters!B$42*'6states,BAU'!A86)*(-Parameters!B$37/Parameters!B$38/Parameters!E$25*(EXP(-Parameters!B$38*Parameters!E$25*'6states,BAU'!I86/('6states,BAU'!F86+'6states,BAU'!I86))-EXP(-Parameters!B$38*Parameters!E$25)) + Parameters!B$37*'6states,BAU'!F86/('6states,BAU'!F86+'6states,BAU'!I86)*EXP(-Parameters!B$38*Parameters!E$25*'6states,BAU'!I86/('6states,BAU'!F86+'6states,BAU'!I86)))</f>
        <v>-1250.4662481585888</v>
      </c>
      <c r="BO86" s="7">
        <f t="shared" si="33"/>
        <v>0</v>
      </c>
      <c r="BU86">
        <f>EXP(-Parameters!$B$56*A86)*BH86*BN86</f>
        <v>0</v>
      </c>
      <c r="BV86">
        <f>-EXP((Parameters!$B$56)*F86)*SUM(BU86:BU94)</f>
        <v>0</v>
      </c>
      <c r="BW86">
        <f>X86^-Parameters!B$52/(1-2*Parameters!B$5*'6states,BAU'!D86/'6states,BAU'!G86)</f>
        <v>2.0035685880985397</v>
      </c>
      <c r="BX86">
        <f t="shared" si="45"/>
        <v>1.0279819716122021</v>
      </c>
      <c r="BY86">
        <f>$X86^-Parameters!$B$52/(1-2*Parameters!$B$5*'6states,BAU'!$E86/'6states,BAU'!$H86)</f>
        <v>2.0474788394850214</v>
      </c>
      <c r="BZ86">
        <f t="shared" si="46"/>
        <v>1.027627391152421</v>
      </c>
      <c r="CA86" s="7">
        <f>($X86^-Parameters!$B$52*(1/(1+EXP(-C86)) + IF(C86&lt;0,2*Parameters!$B$6*C86/F86,0)) + BS86*(1/(1+EXP((C86-Parameters!$B$22)*Parameters!$B$21))))/(1-IF(C86&gt;0,2*Parameters!$B$5*C86/F86,0))</f>
        <v>1.0548997230348653</v>
      </c>
      <c r="CB86">
        <f t="shared" si="47"/>
        <v>1.0275573977462258</v>
      </c>
      <c r="CC86" s="7">
        <f t="shared" si="48"/>
        <v>2.8290673896967711E-2</v>
      </c>
      <c r="CE86">
        <f>(Parameters!$B$18*'6states,BAU'!T86^+Parameters!$B$19*Parameters!$B$25^'6states,BAU'!T86)^((1-'6states,BAU'!T86)/'6states,BAU'!T86)*Parameters!$B$18*Parameters!$B$26^('6states,BAU'!T86-1)</f>
        <v>0.27837030246391498</v>
      </c>
      <c r="CF86" t="e">
        <f t="shared" si="49"/>
        <v>#DIV/0!</v>
      </c>
    </row>
    <row r="87" spans="1:84" x14ac:dyDescent="0.3">
      <c r="A87">
        <f>A86+Parameters!$B$65</f>
        <v>83</v>
      </c>
      <c r="B87">
        <v>2108</v>
      </c>
      <c r="C87" s="74">
        <v>5.9885340569397698E-2</v>
      </c>
      <c r="D87" s="69">
        <v>2.7078457109262202E-3</v>
      </c>
      <c r="E87" s="75">
        <v>0.30601502510197398</v>
      </c>
      <c r="F87" s="7">
        <f>MAX((1-Parameters!$B$4)^Parameters!B$65*F86 + C86*Parameters!B$65 - IF(C86&gt;0,Parameters!$B$5,0)*C86^2/F86*Parameters!B$65, 0.0001)</f>
        <v>0.88367576754729593</v>
      </c>
      <c r="G87" s="7">
        <f>(1-Parameters!$B$4)^Parameters!B$65*G86+D86*Parameters!B$65-Parameters!$B$5*D86^2/G86*Parameters!B$65</f>
        <v>4.6466850150604762E-2</v>
      </c>
      <c r="H87" s="7">
        <f>(1-Parameters!$B$4)^Parameters!B$65*H86+E86*Parameters!B$65-Parameters!$B$5*E86^2/H86*Parameters!B$65</f>
        <v>4.5290073800987969</v>
      </c>
      <c r="I87" s="7">
        <f>I86 *(1-Parameters!$B$4)-C86*(C86&lt;0)*Parameters!B$65</f>
        <v>0</v>
      </c>
      <c r="J87" s="23">
        <f>J86*(1+Parameters!$B$51)^Parameters!B$65</f>
        <v>10.377041597854671</v>
      </c>
      <c r="K87" s="23">
        <f>K86*(1+Parameters!$B$53)^Parameters!B$65</f>
        <v>46.836777241125787</v>
      </c>
      <c r="L87" s="23">
        <f>J87*K87*EXP(-Parameters!$B$42*'6states,BAU'!A87)*(Parameters!$B$37/Parameters!$B$38*('6states,BAU'!F87+'6states,BAU'!I87)/Parameters!$E$25*(EXP(-Parameters!$B$38*Parameters!$E$25*'6states,BAU'!I87/('6states,BAU'!F87+'6states,BAU'!I87))-EXP(-Parameters!$B$38*Parameters!$E$25))  +  Parameters!$B$39*'6states,BAU'!F87)</f>
        <v>170.55008163102451</v>
      </c>
      <c r="M87" s="8">
        <f>M86+L87*Parameters!B$65</f>
        <v>10890.505321020131</v>
      </c>
      <c r="N87" s="7">
        <f>M87*Parameters!$B$45</f>
        <v>6.5343031926120778</v>
      </c>
      <c r="O87" s="9">
        <f>EXP(-Parameters!$B$46/2*N87^2)</f>
        <v>0.65109088511883395</v>
      </c>
      <c r="P87" s="7">
        <f>MAX((Parameters!$B$62 + Parameters!$B$31*'6states,BAU'!A87 - '6states,BAU'!M87 + Parameters!$B$47/Parameters!$B$45)/Parameters!B$62,1)</f>
        <v>1</v>
      </c>
      <c r="Q87" s="7">
        <f>Parameters!B$61*EXP(-Parameters!B$60*A87)</f>
        <v>5.3176049543193549E-2</v>
      </c>
      <c r="R87" s="7">
        <f>(1-Parameters!B$61)*P87^-Parameters!B$63</f>
        <v>0.5</v>
      </c>
      <c r="S87" s="7">
        <f>Parameters!B$61*EXP(-Parameters!B$60*A87)+(1-Parameters!B$61)*P87^-Parameters!B$63</f>
        <v>0.55317604954319355</v>
      </c>
      <c r="T87" s="7">
        <f>1-S87/Parameters!$B$12</f>
        <v>0.72341197522840317</v>
      </c>
      <c r="U87" s="7">
        <f t="shared" si="34"/>
        <v>3.6154855251805942</v>
      </c>
      <c r="V87" s="7">
        <f>(Parameters!$B$19*(F87+Parameters!$B$20)^T87+Parameters!$B$18*G87^T87)^(1/T87)</f>
        <v>0.58056740502061488</v>
      </c>
      <c r="W87" s="7">
        <f>(Parameters!$B$10*H87^Parameters!$B$9+Parameters!$B$11*V87^Parameters!$B$9)^(Parameters!$B$7/Parameters!$B$9)*O87</f>
        <v>1.0099553668018366</v>
      </c>
      <c r="X87" s="7">
        <f>W87 - D87 - E87 - LN(1+EXP(Parameters!$B$21*C87))/Parameters!$B$21 - IF(C87&gt;0, 0,Parameters!$B$6*C87^2/F87)</f>
        <v>0.64134715536699549</v>
      </c>
      <c r="Y87" s="7">
        <f>EXP(-Parameters!$B$55*A87)</f>
        <v>0.28556088933456458</v>
      </c>
      <c r="Z87" s="7">
        <f>IF(X87&gt;0,X87^(1-Parameters!$B$52)/(1-Parameters!$B$52)*Y87*Parameters!$B$65,-10+X87*1000)</f>
        <v>-0.9531210715178271</v>
      </c>
      <c r="AC87" s="23">
        <f t="shared" si="35"/>
        <v>29.105903544062656</v>
      </c>
      <c r="AD87" s="23">
        <f t="shared" si="35"/>
        <v>1.3160866303012664</v>
      </c>
      <c r="AE87" s="23">
        <f t="shared" si="36"/>
        <v>0</v>
      </c>
      <c r="AF87" s="23">
        <f t="shared" si="37"/>
        <v>429.49044640819034</v>
      </c>
      <c r="AG87" s="23">
        <f t="shared" si="38"/>
        <v>22.584152408929313</v>
      </c>
      <c r="AH87" s="23">
        <f t="shared" si="39"/>
        <v>282.17154199490136</v>
      </c>
      <c r="AI87" s="23">
        <f t="shared" si="40"/>
        <v>694.44564754564749</v>
      </c>
      <c r="AJ87" s="23">
        <f t="shared" si="41"/>
        <v>490.86576465032743</v>
      </c>
      <c r="AK87" s="23">
        <f t="shared" si="42"/>
        <v>311.71215300576995</v>
      </c>
      <c r="AL87" s="9">
        <f t="shared" si="51"/>
        <v>9.3970226739861218E-3</v>
      </c>
      <c r="AM87" s="9">
        <f t="shared" si="51"/>
        <v>1.7933871800694945E-3</v>
      </c>
      <c r="AN87" s="9">
        <f t="shared" si="52"/>
        <v>9.3864361218290778E-3</v>
      </c>
      <c r="AO87" s="9">
        <f t="shared" si="52"/>
        <v>1.765536922309252E-3</v>
      </c>
      <c r="AP87" s="23"/>
      <c r="AQ87" s="25">
        <f t="shared" si="32"/>
        <v>490.86576465032743</v>
      </c>
      <c r="AR87" s="4"/>
      <c r="AS87" s="4"/>
      <c r="AT87" s="4"/>
      <c r="AU87" s="16"/>
      <c r="AV87" s="16"/>
      <c r="AX87" s="13">
        <f>1-W87/'6states,ExoDamages'!T87</f>
        <v>0.30852744944276445</v>
      </c>
      <c r="AY87" s="21">
        <f>-Y87*W87*X87^(-Parameters!B$52)*Parameters!B$46*Parameters!B$45*N87</f>
        <v>-4.1397271114076295E-5</v>
      </c>
      <c r="AZ87" s="7">
        <f>1000*EXP(-(Parameters!$B$54)*'6states,BAU'!A87)*AQ87*Parameters!B$46*Parameters!B$45*N87</f>
        <v>2.1002897793621922</v>
      </c>
      <c r="BA87" s="7">
        <f>SUM(AZ87:AZ$204)*EXP(Parameters!$B$54*A87)</f>
        <v>1406.0490318212021</v>
      </c>
      <c r="BB87" s="43">
        <f t="shared" si="53"/>
        <v>0.36497475383446576</v>
      </c>
      <c r="BC87" s="30">
        <f>IF(C87&lt;0,Parameters!$B$6*AC87^2/AF87,0)</f>
        <v>0</v>
      </c>
      <c r="BD87" s="30">
        <f>Parameters!$B$5*AD87^2/AG87</f>
        <v>7.6694665670645742E-2</v>
      </c>
      <c r="BE87" s="30">
        <f t="shared" si="43"/>
        <v>0</v>
      </c>
      <c r="BF87" s="30">
        <f t="shared" si="44"/>
        <v>5.8274785188790736E-2</v>
      </c>
      <c r="BH87" s="5"/>
      <c r="BI87" s="5"/>
      <c r="BJ87" s="5"/>
      <c r="BM87">
        <f>-EXP(-Parameters!B$42*'6states,BAU'!A87)*(-Parameters!B$37/Parameters!B$38/Parameters!E$25*(EXP(-Parameters!B$38*Parameters!E$25*'6states,BAU'!I87/('6states,BAU'!F87+'6states,BAU'!I87))-EXP(-Parameters!B$38*Parameters!E$25))+Parameters!B$37*'6states,BAU'!F87/('6states,BAU'!F87+'6states,BAU'!I87)*EXP(-Parameters!B$38*Parameters!E$25*'6states,BAU'!I87/('6states,BAU'!F87+'6states,BAU'!I87)))</f>
        <v>-2.6057111432767761</v>
      </c>
      <c r="BN87">
        <f>-J87*K87*EXP(-Parameters!B$42*'6states,BAU'!A87)*(-Parameters!B$37/Parameters!B$38/Parameters!E$25*(EXP(-Parameters!B$38*Parameters!E$25*'6states,BAU'!I87/('6states,BAU'!F87+'6states,BAU'!I87))-EXP(-Parameters!B$38*Parameters!E$25)) + Parameters!B$37*'6states,BAU'!F87/('6states,BAU'!F87+'6states,BAU'!I87)*EXP(-Parameters!B$38*Parameters!E$25*'6states,BAU'!I87/('6states,BAU'!F87+'6states,BAU'!I87)))</f>
        <v>-1266.4464538197724</v>
      </c>
      <c r="BO87" s="7">
        <f t="shared" si="33"/>
        <v>0</v>
      </c>
      <c r="BU87">
        <f>EXP(-Parameters!$B$56*A87)*BH87*BN87</f>
        <v>0</v>
      </c>
      <c r="BV87">
        <f>-EXP((Parameters!$B$56)*F87)*SUM(BU87:BU95)</f>
        <v>0</v>
      </c>
      <c r="BW87">
        <f>X87^-Parameters!B$52/(1-2*Parameters!B$5*'6states,BAU'!D87/'6states,BAU'!G87)</f>
        <v>2.0617786134476037</v>
      </c>
      <c r="BX87">
        <f t="shared" si="45"/>
        <v>1.0290531732703534</v>
      </c>
      <c r="BY87">
        <f>$X87^-Parameters!$B$52/(1-2*Parameters!$B$5*'6states,BAU'!$E87/'6states,BAU'!$H87)</f>
        <v>2.1060864163939099</v>
      </c>
      <c r="BZ87">
        <f t="shared" si="46"/>
        <v>1.0286242650124919</v>
      </c>
      <c r="CA87" s="7">
        <f>($X87^-Parameters!$B$52*(1/(1+EXP(-C87)) + IF(C87&lt;0,2*Parameters!$B$6*C87/F87,0)) + BS87*(1/(1+EXP((C87-Parameters!$B$22)*Parameters!$B$21))))/(1-IF(C87&gt;0,2*Parameters!$B$5*C87/F87,0))</f>
        <v>1.0850682212649894</v>
      </c>
      <c r="CB87">
        <f t="shared" si="47"/>
        <v>1.0285984511810577</v>
      </c>
      <c r="CC87" s="7">
        <f t="shared" si="48"/>
        <v>3.0168498230124019E-2</v>
      </c>
      <c r="CE87">
        <f>(Parameters!$B$18*'6states,BAU'!T87^+Parameters!$B$19*Parameters!$B$25^'6states,BAU'!T87)^((1-'6states,BAU'!T87)/'6states,BAU'!T87)*Parameters!$B$18*Parameters!$B$26^('6states,BAU'!T87-1)</f>
        <v>0.27866084200748076</v>
      </c>
      <c r="CF87" t="e">
        <f t="shared" si="49"/>
        <v>#DIV/0!</v>
      </c>
    </row>
    <row r="88" spans="1:84" x14ac:dyDescent="0.3">
      <c r="A88">
        <f>A87+Parameters!$B$65</f>
        <v>84</v>
      </c>
      <c r="B88">
        <v>2109</v>
      </c>
      <c r="C88" s="74">
        <v>5.9897141290267901E-2</v>
      </c>
      <c r="D88" s="69">
        <v>2.6947402233148802E-3</v>
      </c>
      <c r="E88" s="75">
        <v>0.30603500239057801</v>
      </c>
      <c r="F88" s="7">
        <f>MAX((1-Parameters!$B$4)^Parameters!B$65*F87 + C87*Parameters!B$65 - IF(C87&gt;0,Parameters!$B$5,0)*C87^2/F87*Parameters!B$65, 0.0001)</f>
        <v>0.88391956539265826</v>
      </c>
      <c r="G88" s="7">
        <f>(1-Parameters!$B$4)^Parameters!B$65*G87+D87*Parameters!B$65-Parameters!$B$5*D87^2/G87*Parameters!B$65</f>
        <v>4.6094131859929333E-2</v>
      </c>
      <c r="H88" s="7">
        <f>(1-Parameters!$B$4)^Parameters!B$65*H87+E87*Parameters!B$65-Parameters!$B$5*E87^2/H87*Parameters!B$65</f>
        <v>4.5294710816656343</v>
      </c>
      <c r="I88" s="7">
        <f>I87 *(1-Parameters!$B$4)-C87*(C87&lt;0)*Parameters!B$65</f>
        <v>0</v>
      </c>
      <c r="J88" s="23">
        <f>J87*(1+Parameters!$B$51)^Parameters!B$65</f>
        <v>10.407135018488448</v>
      </c>
      <c r="K88" s="23">
        <f>K87*(1+Parameters!$B$53)^Parameters!B$65</f>
        <v>47.773512785948306</v>
      </c>
      <c r="L88" s="23">
        <f>J88*K88*EXP(-Parameters!$B$42*'6states,BAU'!A88)*(Parameters!$B$37/Parameters!$B$38*('6states,BAU'!F88+'6states,BAU'!I88)/Parameters!$E$25*(EXP(-Parameters!$B$38*Parameters!$E$25*'6states,BAU'!I88/('6states,BAU'!F88+'6states,BAU'!I88))-EXP(-Parameters!$B$38*Parameters!$E$25))  +  Parameters!$B$39*'6states,BAU'!F88)</f>
        <v>172.77726345148528</v>
      </c>
      <c r="M88" s="8">
        <f>M87+L88*Parameters!B$65</f>
        <v>11063.282584471617</v>
      </c>
      <c r="N88" s="7">
        <f>M88*Parameters!$B$45</f>
        <v>6.6379695506829695</v>
      </c>
      <c r="O88" s="9">
        <f>EXP(-Parameters!$B$46/2*N88^2)</f>
        <v>0.64221667672548033</v>
      </c>
      <c r="P88" s="7">
        <f>MAX((Parameters!$B$62 + Parameters!$B$31*'6states,BAU'!A88 - '6states,BAU'!M88 + Parameters!$B$47/Parameters!$B$45)/Parameters!B$62,1)</f>
        <v>1</v>
      </c>
      <c r="Q88" s="7">
        <f>Parameters!B$61*EXP(-Parameters!B$60*A88)</f>
        <v>5.1759505602722529E-2</v>
      </c>
      <c r="R88" s="7">
        <f>(1-Parameters!B$61)*P88^-Parameters!B$63</f>
        <v>0.5</v>
      </c>
      <c r="S88" s="7">
        <f>Parameters!B$61*EXP(-Parameters!B$60*A88)+(1-Parameters!B$61)*P88^-Parameters!B$63</f>
        <v>0.55175950560272258</v>
      </c>
      <c r="T88" s="7">
        <f>1-S88/Parameters!$B$12</f>
        <v>0.72412024719863877</v>
      </c>
      <c r="U88" s="7">
        <f t="shared" si="34"/>
        <v>3.6247676382399088</v>
      </c>
      <c r="V88" s="7">
        <f>(Parameters!$B$19*(F88+Parameters!$B$20)^T88+Parameters!$B$18*G88^T88)^(1/T88)</f>
        <v>0.5806534911115292</v>
      </c>
      <c r="W88" s="7">
        <f>(Parameters!$B$10*H88^Parameters!$B$9+Parameters!$B$11*V88^Parameters!$B$9)^(Parameters!$B$7/Parameters!$B$9)*O88</f>
        <v>0.99622287802667675</v>
      </c>
      <c r="X88" s="7">
        <f>W88 - D88 - E88 - LN(1+EXP(Parameters!$B$21*C88))/Parameters!$B$21 - IF(C88&gt;0, 0,Parameters!$B$6*C88^2/F88)</f>
        <v>0.62759599407015842</v>
      </c>
      <c r="Y88" s="7">
        <f>EXP(-Parameters!$B$55*A88)</f>
        <v>0.28128131202949208</v>
      </c>
      <c r="Z88" s="7">
        <f>IF(X88&gt;0,X88^(1-Parameters!$B$52)/(1-Parameters!$B$52)*Y88*Parameters!$B$65,-10+X88*1000)</f>
        <v>-0.94598614953221516</v>
      </c>
      <c r="AC88" s="23">
        <f t="shared" si="35"/>
        <v>29.779984023728261</v>
      </c>
      <c r="AD88" s="23">
        <f t="shared" si="35"/>
        <v>1.3397854900873871</v>
      </c>
      <c r="AE88" s="23">
        <f t="shared" si="36"/>
        <v>0</v>
      </c>
      <c r="AF88" s="23">
        <f t="shared" si="37"/>
        <v>439.47190080557601</v>
      </c>
      <c r="AG88" s="23">
        <f t="shared" si="38"/>
        <v>22.917329288290308</v>
      </c>
      <c r="AH88" s="23">
        <f t="shared" si="39"/>
        <v>288.69243700338268</v>
      </c>
      <c r="AI88" s="23">
        <f t="shared" si="40"/>
        <v>710.49406661982835</v>
      </c>
      <c r="AJ88" s="23">
        <f t="shared" si="41"/>
        <v>495.30746797973484</v>
      </c>
      <c r="AK88" s="23">
        <f t="shared" si="42"/>
        <v>312.03156401392221</v>
      </c>
      <c r="AL88" s="9">
        <f t="shared" si="51"/>
        <v>9.0080185049554728E-3</v>
      </c>
      <c r="AM88" s="9">
        <f t="shared" si="51"/>
        <v>1.0241739591334564E-3</v>
      </c>
      <c r="AN88" s="9">
        <f t="shared" ref="AN88:AO103" si="54">AVERAGE(AL86:AL90)</f>
        <v>8.9968534911285761E-3</v>
      </c>
      <c r="AO88" s="9">
        <f t="shared" si="54"/>
        <v>9.7949314534808698E-4</v>
      </c>
      <c r="AP88" s="23"/>
      <c r="AQ88" s="25">
        <f t="shared" si="32"/>
        <v>495.30746797973484</v>
      </c>
      <c r="AR88" s="4"/>
      <c r="AS88" s="4"/>
      <c r="AT88" s="4"/>
      <c r="AU88" s="16"/>
      <c r="AV88" s="16"/>
      <c r="AX88" s="13">
        <f>1-W88/'6states,ExoDamages'!T88</f>
        <v>0.3178590189147884</v>
      </c>
      <c r="AY88" s="21">
        <f>-Y88*W88*X88^(-Parameters!B$52)*Parameters!B$46*Parameters!B$45*N88</f>
        <v>-4.2073799597649074E-5</v>
      </c>
      <c r="AZ88" s="7">
        <f>1000*EXP(-(Parameters!$B$54)*'6states,BAU'!A88)*AQ88*Parameters!B$46*Parameters!B$45*N88</f>
        <v>2.0786606242509533</v>
      </c>
      <c r="BA88" s="7">
        <f>SUM(AZ88:AZ$204)*EXP(Parameters!$B$54*A88)</f>
        <v>1416.2138235685234</v>
      </c>
      <c r="BB88" s="43">
        <f t="shared" si="53"/>
        <v>0.37002451161766003</v>
      </c>
      <c r="BC88" s="30">
        <f>IF(C88&lt;0,Parameters!$B$6*AC88^2/AF88,0)</f>
        <v>0</v>
      </c>
      <c r="BD88" s="30">
        <f>Parameters!$B$5*AD88^2/AG88</f>
        <v>7.832610584191739E-2</v>
      </c>
      <c r="BE88" s="30">
        <f t="shared" si="43"/>
        <v>0</v>
      </c>
      <c r="BF88" s="30">
        <f t="shared" si="44"/>
        <v>5.8461676455988931E-2</v>
      </c>
      <c r="BH88" s="5"/>
      <c r="BI88" s="5"/>
      <c r="BJ88" s="5"/>
      <c r="BM88">
        <f>-EXP(-Parameters!B$42*'6states,BAU'!A88)*(-Parameters!B$37/Parameters!B$38/Parameters!E$25*(EXP(-Parameters!B$38*Parameters!E$25*'6states,BAU'!I88/('6states,BAU'!F88+'6states,BAU'!I88))-EXP(-Parameters!B$38*Parameters!E$25))+Parameters!B$37*'6states,BAU'!F88/('6states,BAU'!F88+'6states,BAU'!I88)*EXP(-Parameters!B$38*Parameters!E$25*'6states,BAU'!I88/('6states,BAU'!F88+'6states,BAU'!I88)))</f>
        <v>-2.5797838841995269</v>
      </c>
      <c r="BN88">
        <f>-J88*K88*EXP(-Parameters!B$42*'6states,BAU'!A88)*(-Parameters!B$37/Parameters!B$38/Parameters!E$25*(EXP(-Parameters!B$38*Parameters!E$25*'6states,BAU'!I88/('6states,BAU'!F88+'6states,BAU'!I88))-EXP(-Parameters!B$38*Parameters!E$25)) + Parameters!B$37*'6states,BAU'!F88/('6states,BAU'!F88+'6states,BAU'!I88)*EXP(-Parameters!B$38*Parameters!E$25*'6states,BAU'!I88/('6states,BAU'!F88+'6states,BAU'!I88)))</f>
        <v>-1282.630876886544</v>
      </c>
      <c r="BO88" s="7">
        <f t="shared" si="33"/>
        <v>0</v>
      </c>
      <c r="BU88">
        <f>EXP(-Parameters!$B$56*A88)*BH88*BN88</f>
        <v>0</v>
      </c>
      <c r="BV88">
        <f>-EXP((Parameters!$B$56)*F88)*SUM(BU88:BU96)</f>
        <v>0</v>
      </c>
      <c r="BW88">
        <f>X88^-Parameters!B$52/(1-2*Parameters!B$5*'6states,BAU'!D88/'6states,BAU'!G88)</f>
        <v>2.1238966511749275</v>
      </c>
      <c r="BX88">
        <f t="shared" si="45"/>
        <v>1.030128374269754</v>
      </c>
      <c r="BY88">
        <f>$X88^-Parameters!$B$52/(1-2*Parameters!$B$5*'6states,BAU'!$E88/'6states,BAU'!$H88)</f>
        <v>2.1686088863500554</v>
      </c>
      <c r="BZ88">
        <f t="shared" si="46"/>
        <v>1.0296865643638677</v>
      </c>
      <c r="CA88" s="7">
        <f>($X88^-Parameters!$B$52*(1/(1+EXP(-C88)) + IF(C88&lt;0,2*Parameters!$B$6*C88/F88,0)) + BS88*(1/(1+EXP((C88-Parameters!$B$22)*Parameters!$B$21))))/(1-IF(C88&gt;0,2*Parameters!$B$5*C88/F88,0))</f>
        <v>1.1172792342921756</v>
      </c>
      <c r="CB88">
        <f t="shared" si="47"/>
        <v>1.0296857030700191</v>
      </c>
      <c r="CC88" s="7">
        <f t="shared" si="48"/>
        <v>3.2211013027186208E-2</v>
      </c>
      <c r="CE88">
        <f>(Parameters!$B$18*'6states,BAU'!T88^+Parameters!$B$19*Parameters!$B$25^'6states,BAU'!T88)^((1-'6states,BAU'!T88)/'6states,BAU'!T88)*Parameters!$B$18*Parameters!$B$26^('6states,BAU'!T88-1)</f>
        <v>0.27894227768180291</v>
      </c>
      <c r="CF88" t="e">
        <f t="shared" si="49"/>
        <v>#DIV/0!</v>
      </c>
    </row>
    <row r="89" spans="1:84" x14ac:dyDescent="0.3">
      <c r="A89">
        <f>A88+Parameters!$B$65</f>
        <v>85</v>
      </c>
      <c r="B89">
        <v>2110</v>
      </c>
      <c r="C89" s="74">
        <v>5.9928499865556803E-2</v>
      </c>
      <c r="D89" s="69">
        <v>2.6823679277060601E-3</v>
      </c>
      <c r="E89" s="75">
        <v>0.30601553871447501</v>
      </c>
      <c r="F89" s="7">
        <f>MAX((1-Parameters!$B$4)^Parameters!B$65*F88 + C88*Parameters!B$65 - IF(C88&gt;0,Parameters!$B$5,0)*C88^2/F88*Parameters!B$65, 0.0001)</f>
        <v>0.88415934927303386</v>
      </c>
      <c r="G89" s="7">
        <f>(1-Parameters!$B$4)^Parameters!B$65*G88+D88*Parameters!B$65-Parameters!$B$5*D88^2/G88*Parameters!B$65</f>
        <v>4.5732012158186286E-2</v>
      </c>
      <c r="H89" s="7">
        <f>(1-Parameters!$B$4)^Parameters!B$65*H88+E88*Parameters!B$65-Parameters!$B$5*E88^2/H88*Parameters!B$65</f>
        <v>4.5299250110076352</v>
      </c>
      <c r="I89" s="7">
        <f>I88 *(1-Parameters!$B$4)-C88*(C88&lt;0)*Parameters!B$65</f>
        <v>0</v>
      </c>
      <c r="J89" s="23">
        <f>J88*(1+Parameters!$B$51)^Parameters!B$65</f>
        <v>10.437315710042064</v>
      </c>
      <c r="K89" s="23">
        <f>K88*(1+Parameters!$B$53)^Parameters!B$65</f>
        <v>48.72898304166727</v>
      </c>
      <c r="L89" s="23">
        <f>J89*K89*EXP(-Parameters!$B$42*'6states,BAU'!A89)*(Parameters!$B$37/Parameters!$B$38*('6states,BAU'!F89+'6states,BAU'!I89)/Parameters!$E$25*(EXP(-Parameters!$B$38*Parameters!$E$25*'6states,BAU'!I89/('6states,BAU'!F89+'6states,BAU'!I89))-EXP(-Parameters!$B$38*Parameters!$E$25))  +  Parameters!$B$39*'6states,BAU'!F89)</f>
        <v>175.03272168488851</v>
      </c>
      <c r="M89" s="8">
        <f>M88+L89*Parameters!B$65</f>
        <v>11238.315306156506</v>
      </c>
      <c r="N89" s="7">
        <f>M89*Parameters!$B$45</f>
        <v>6.7429891836939033</v>
      </c>
      <c r="O89" s="9">
        <f>EXP(-Parameters!$B$46/2*N89^2)</f>
        <v>0.63321046340275078</v>
      </c>
      <c r="P89" s="7">
        <f>MAX((Parameters!$B$62 + Parameters!$B$31*'6states,BAU'!A89 - '6states,BAU'!M89 + Parameters!$B$47/Parameters!$B$45)/Parameters!B$62,1)</f>
        <v>1</v>
      </c>
      <c r="Q89" s="7">
        <f>Parameters!B$61*EXP(-Parameters!B$60*A89)</f>
        <v>5.0380696634151866E-2</v>
      </c>
      <c r="R89" s="7">
        <f>(1-Parameters!B$61)*P89^-Parameters!B$63</f>
        <v>0.5</v>
      </c>
      <c r="S89" s="7">
        <f>Parameters!B$61*EXP(-Parameters!B$60*A89)+(1-Parameters!B$61)*P89^-Parameters!B$63</f>
        <v>0.5503806966341519</v>
      </c>
      <c r="T89" s="7">
        <f>1-S89/Parameters!$B$12</f>
        <v>0.72480965168292411</v>
      </c>
      <c r="U89" s="7">
        <f t="shared" si="34"/>
        <v>3.6338483748267008</v>
      </c>
      <c r="V89" s="7">
        <f>(Parameters!$B$19*(F89+Parameters!$B$20)^T89+Parameters!$B$18*G89^T89)^(1/T89)</f>
        <v>0.58073948693589283</v>
      </c>
      <c r="W89" s="7">
        <f>(Parameters!$B$10*H89^Parameters!$B$9+Parameters!$B$11*V89^Parameters!$B$9)^(Parameters!$B$7/Parameters!$B$9)*O89</f>
        <v>0.98228416502961591</v>
      </c>
      <c r="X89" s="7">
        <f>W89 - D89 - E89 - LN(1+EXP(Parameters!$B$21*C89))/Parameters!$B$21 - IF(C89&gt;0, 0,Parameters!$B$6*C89^2/F89)</f>
        <v>0.61365775847001069</v>
      </c>
      <c r="Y89" s="7">
        <f>EXP(-Parameters!$B$55*A89)</f>
        <v>0.27706587089500223</v>
      </c>
      <c r="Z89" s="7">
        <f>IF(X89&gt;0,X89^(1-Parameters!$B$52)/(1-Parameters!$B$52)*Y89*Parameters!$B$65,-10+X89*1000)</f>
        <v>-0.93916263975253544</v>
      </c>
      <c r="AC89" s="23">
        <f t="shared" si="35"/>
        <v>30.479621861445434</v>
      </c>
      <c r="AD89" s="23">
        <f t="shared" si="35"/>
        <v>1.3642517385411628</v>
      </c>
      <c r="AE89" s="23">
        <f t="shared" si="36"/>
        <v>0</v>
      </c>
      <c r="AF89" s="23">
        <f t="shared" si="37"/>
        <v>449.68325073313338</v>
      </c>
      <c r="AG89" s="23">
        <f t="shared" si="38"/>
        <v>23.259291333365535</v>
      </c>
      <c r="AH89" s="23">
        <f t="shared" si="39"/>
        <v>295.36397542947878</v>
      </c>
      <c r="AI89" s="23">
        <f t="shared" si="40"/>
        <v>726.91323061376386</v>
      </c>
      <c r="AJ89" s="23">
        <f t="shared" si="41"/>
        <v>499.58951046254725</v>
      </c>
      <c r="AK89" s="23">
        <f t="shared" si="42"/>
        <v>312.1062010974527</v>
      </c>
      <c r="AL89" s="9">
        <f t="shared" si="51"/>
        <v>8.6080649891258076E-3</v>
      </c>
      <c r="AM89" s="9">
        <f t="shared" si="51"/>
        <v>2.3916861968054093E-4</v>
      </c>
      <c r="AN89" s="9">
        <f t="shared" si="54"/>
        <v>8.5967830824543508E-3</v>
      </c>
      <c r="AO89" s="9">
        <f t="shared" si="54"/>
        <v>1.6143485939021929E-4</v>
      </c>
      <c r="AP89" s="23"/>
      <c r="AQ89" s="25">
        <f t="shared" si="32"/>
        <v>499.58951046254731</v>
      </c>
      <c r="AR89" s="4"/>
      <c r="AS89" s="4"/>
      <c r="AT89" s="4"/>
      <c r="AU89" s="16"/>
      <c r="AV89" s="16"/>
      <c r="AX89" s="13">
        <f>1-W89/'6states,ExoDamages'!T89</f>
        <v>0.32733549479010804</v>
      </c>
      <c r="AY89" s="21">
        <f>-Y89*W89*X89^(-Parameters!B$52)*Parameters!B$46*Parameters!B$45*N89</f>
        <v>-4.2787758576514262E-5</v>
      </c>
      <c r="AZ89" s="7">
        <f>1000*EXP(-(Parameters!$B$54)*'6states,BAU'!A89)*AQ89*Parameters!B$46*Parameters!B$45*N89</f>
        <v>2.0563427073329339</v>
      </c>
      <c r="BA89" s="7">
        <f>SUM(AZ89:AZ$204)*EXP(Parameters!$B$54*A89)</f>
        <v>1425.7378455870953</v>
      </c>
      <c r="BB89" s="43">
        <f t="shared" si="53"/>
        <v>0.37527471136279977</v>
      </c>
      <c r="BC89" s="30">
        <f>IF(C89&lt;0,Parameters!$B$6*AC89^2/AF89,0)</f>
        <v>0</v>
      </c>
      <c r="BD89" s="30">
        <f>Parameters!$B$5*AD89^2/AG89</f>
        <v>8.0018895650647445E-2</v>
      </c>
      <c r="BE89" s="30">
        <f t="shared" si="43"/>
        <v>0</v>
      </c>
      <c r="BF89" s="30">
        <f t="shared" si="44"/>
        <v>5.8654054372849228E-2</v>
      </c>
      <c r="BH89" s="5"/>
      <c r="BI89" s="5"/>
      <c r="BJ89" s="5"/>
      <c r="BM89">
        <f>-EXP(-Parameters!B$42*'6states,BAU'!A89)*(-Parameters!B$37/Parameters!B$38/Parameters!E$25*(EXP(-Parameters!B$38*Parameters!E$25*'6states,BAU'!I89/('6states,BAU'!F89+'6states,BAU'!I89))-EXP(-Parameters!B$38*Parameters!E$25))+Parameters!B$37*'6states,BAU'!F89/('6states,BAU'!F89+'6states,BAU'!I89)*EXP(-Parameters!B$38*Parameters!E$25*'6states,BAU'!I89/('6states,BAU'!F89+'6states,BAU'!I89)))</f>
        <v>-2.5541146056605251</v>
      </c>
      <c r="BN89">
        <f>-J89*K89*EXP(-Parameters!B$42*'6states,BAU'!A89)*(-Parameters!B$37/Parameters!B$38/Parameters!E$25*(EXP(-Parameters!B$38*Parameters!E$25*'6states,BAU'!I89/('6states,BAU'!F89+'6states,BAU'!I89))-EXP(-Parameters!B$38*Parameters!E$25)) + Parameters!B$37*'6states,BAU'!F89/('6states,BAU'!F89+'6states,BAU'!I89)*EXP(-Parameters!B$38*Parameters!E$25*'6states,BAU'!I89/('6states,BAU'!F89+'6states,BAU'!I89)))</f>
        <v>-1299.0221271343737</v>
      </c>
      <c r="BO89" s="7">
        <f t="shared" si="33"/>
        <v>0</v>
      </c>
      <c r="BU89">
        <f>EXP(-Parameters!$B$56*A89)*BH89*BN89</f>
        <v>0</v>
      </c>
      <c r="BV89">
        <f>-EXP((Parameters!$B$56)*F89)*SUM(BU89:BU97)</f>
        <v>0</v>
      </c>
      <c r="BW89">
        <f>X89^-Parameters!B$52/(1-2*Parameters!B$5*'6states,BAU'!D89/'6states,BAU'!G89)</f>
        <v>2.1902336818279431</v>
      </c>
      <c r="BX89">
        <f t="shared" si="45"/>
        <v>1.0312336434149554</v>
      </c>
      <c r="BY89">
        <f>$X89^-Parameters!$B$52/(1-2*Parameters!$B$5*'6states,BAU'!$E89/'6states,BAU'!$H89)</f>
        <v>2.2353108625512075</v>
      </c>
      <c r="BZ89">
        <f t="shared" si="46"/>
        <v>1.0307579557664808</v>
      </c>
      <c r="CA89" s="7">
        <f>($X89^-Parameters!$B$52*(1/(1+EXP(-C89)) + IF(C89&lt;0,2*Parameters!$B$6*C89/F89,0)) + BS89*(1/(1+EXP((C89-Parameters!$B$22)*Parameters!$B$21))))/(1-IF(C89&gt;0,2*Parameters!$B$5*C89/F89,0))</f>
        <v>1.1517369874094796</v>
      </c>
      <c r="CB89">
        <f t="shared" si="47"/>
        <v>1.0308407710979555</v>
      </c>
      <c r="CC89" s="7">
        <f t="shared" si="48"/>
        <v>3.4457753117304035E-2</v>
      </c>
    </row>
    <row r="90" spans="1:84" x14ac:dyDescent="0.3">
      <c r="A90">
        <f>A89+Parameters!$B$65</f>
        <v>86</v>
      </c>
      <c r="B90">
        <v>2111</v>
      </c>
      <c r="C90" s="74">
        <v>5.9923529615884798E-2</v>
      </c>
      <c r="D90" s="69">
        <v>2.6699559979600799E-3</v>
      </c>
      <c r="E90" s="75">
        <v>0.30606998989690098</v>
      </c>
      <c r="F90" s="7">
        <f>MAX((1-Parameters!$B$4)^Parameters!B$65*F89 + C89*Parameters!B$65 - IF(C89&gt;0,Parameters!$B$5,0)*C89^2/F89*Parameters!B$65, 0.0001)</f>
        <v>0.88441226020412644</v>
      </c>
      <c r="G90" s="7">
        <f>(1-Parameters!$B$4)^Parameters!B$65*G89+D89*Parameters!B$65-Parameters!$B$5*D89^2/G89*Parameters!B$65</f>
        <v>4.5380504766862777E-2</v>
      </c>
      <c r="H90" s="7">
        <f>(1-Parameters!$B$4)^Parameters!B$65*H89+E89*Parameters!B$65-Parameters!$B$5*E89^2/H89*Parameters!B$65</f>
        <v>4.5303356263188759</v>
      </c>
      <c r="I90" s="7">
        <f>I89 *(1-Parameters!$B$4)-C89*(C89&lt;0)*Parameters!B$65</f>
        <v>0</v>
      </c>
      <c r="J90" s="23">
        <f>J89*(1+Parameters!$B$51)^Parameters!B$65</f>
        <v>10.467583925601184</v>
      </c>
      <c r="K90" s="23">
        <f>K89*(1+Parameters!$B$53)^Parameters!B$65</f>
        <v>49.703562702500619</v>
      </c>
      <c r="L90" s="23">
        <f>J90*K90*EXP(-Parameters!$B$42*'6states,BAU'!A90)*(Parameters!$B$37/Parameters!$B$38*('6states,BAU'!F90+'6states,BAU'!I90)/Parameters!$E$25*(EXP(-Parameters!$B$38*Parameters!$E$25*'6states,BAU'!I90/('6states,BAU'!F90+'6states,BAU'!I90))-EXP(-Parameters!$B$38*Parameters!$E$25))  +  Parameters!$B$39*'6states,BAU'!F90)</f>
        <v>177.32024184775446</v>
      </c>
      <c r="M90" s="8">
        <f>M89+L90*Parameters!B$65</f>
        <v>11415.63554800426</v>
      </c>
      <c r="N90" s="7">
        <f>M90*Parameters!$B$45</f>
        <v>6.8493813288025551</v>
      </c>
      <c r="O90" s="9">
        <f>EXP(-Parameters!$B$46/2*N90^2)</f>
        <v>0.62407423764584513</v>
      </c>
      <c r="P90" s="7">
        <f>MAX((Parameters!$B$62 + Parameters!$B$31*'6states,BAU'!A90 - '6states,BAU'!M90 + Parameters!$B$47/Parameters!$B$45)/Parameters!B$62,1)</f>
        <v>1</v>
      </c>
      <c r="Q90" s="7">
        <f>Parameters!B$61*EXP(-Parameters!B$60*A90)</f>
        <v>4.9038617424679028E-2</v>
      </c>
      <c r="R90" s="7">
        <f>(1-Parameters!B$61)*P90^-Parameters!B$63</f>
        <v>0.5</v>
      </c>
      <c r="S90" s="7">
        <f>Parameters!B$61*EXP(-Parameters!B$60*A90)+(1-Parameters!B$61)*P90^-Parameters!B$63</f>
        <v>0.54903861742467908</v>
      </c>
      <c r="T90" s="7">
        <f>1-S90/Parameters!$B$12</f>
        <v>0.72548069128766046</v>
      </c>
      <c r="U90" s="7">
        <f t="shared" si="34"/>
        <v>3.6427310147712402</v>
      </c>
      <c r="V90" s="7">
        <f>(Parameters!$B$19*(F90+Parameters!$B$20)^T90+Parameters!$B$18*G90^T90)^(1/T90)</f>
        <v>0.58083609692695115</v>
      </c>
      <c r="W90" s="7">
        <f>(Parameters!$B$10*H90^Parameters!$B$9+Parameters!$B$11*V90^Parameters!$B$9)^(Parameters!$B$7/Parameters!$B$9)*O90</f>
        <v>0.96814146024899728</v>
      </c>
      <c r="X90" s="7">
        <f>W90 - D90 - E90 - LN(1+EXP(Parameters!$B$21*C90))/Parameters!$B$21 - IF(C90&gt;0, 0,Parameters!$B$6*C90^2/F90)</f>
        <v>0.59947798468630675</v>
      </c>
      <c r="Y90" s="7">
        <f>EXP(-Parameters!$B$55*A90)</f>
        <v>0.27291360475009885</v>
      </c>
      <c r="Z90" s="7">
        <f>IF(X90&gt;0,X90^(1-Parameters!$B$52)/(1-Parameters!$B$52)*Y90*Parameters!$B$65,-10+X90*1000)</f>
        <v>-0.93268825508765874</v>
      </c>
      <c r="AC90" s="23">
        <f t="shared" si="35"/>
        <v>31.176787117458563</v>
      </c>
      <c r="AD90" s="23">
        <f t="shared" si="35"/>
        <v>1.3891145981380448</v>
      </c>
      <c r="AE90" s="23">
        <f t="shared" si="36"/>
        <v>0</v>
      </c>
      <c r="AF90" s="23">
        <f t="shared" si="37"/>
        <v>460.13866234517013</v>
      </c>
      <c r="AG90" s="23">
        <f t="shared" si="38"/>
        <v>23.610397209049712</v>
      </c>
      <c r="AH90" s="23">
        <f t="shared" si="39"/>
        <v>302.19520545777016</v>
      </c>
      <c r="AI90" s="23">
        <f t="shared" si="40"/>
        <v>743.7254077985765</v>
      </c>
      <c r="AJ90" s="23">
        <f t="shared" si="41"/>
        <v>503.7009735449106</v>
      </c>
      <c r="AK90" s="23">
        <f t="shared" si="42"/>
        <v>311.8941362428306</v>
      </c>
      <c r="AL90" s="9">
        <f t="shared" si="51"/>
        <v>8.1960033775292374E-3</v>
      </c>
      <c r="AM90" s="9">
        <f t="shared" si="51"/>
        <v>-6.7969470558360001E-4</v>
      </c>
      <c r="AN90" s="9">
        <f t="shared" si="54"/>
        <v>8.1857558377024017E-3</v>
      </c>
      <c r="AO90" s="9">
        <f t="shared" si="54"/>
        <v>-6.9233809974598157E-4</v>
      </c>
      <c r="AP90" s="23"/>
      <c r="AQ90" s="25">
        <f t="shared" si="32"/>
        <v>503.70097354491065</v>
      </c>
      <c r="AR90" s="4"/>
      <c r="AS90" s="4"/>
      <c r="AT90" s="4"/>
      <c r="AU90" s="16"/>
      <c r="AV90" s="16"/>
      <c r="AX90" s="13">
        <f>1-W90/'6states,ExoDamages'!T90</f>
        <v>0.33695527125262625</v>
      </c>
      <c r="AY90" s="21">
        <f>-Y90*W90*X90^(-Parameters!B$52)*Parameters!B$46*Parameters!B$45*N90</f>
        <v>-4.3548057332050827E-5</v>
      </c>
      <c r="AZ90" s="7">
        <f>1000*EXP(-(Parameters!$B$54)*'6states,BAU'!A90)*AQ90*Parameters!B$46*Parameters!B$45*N90</f>
        <v>2.0333405447150024</v>
      </c>
      <c r="BA90" s="7">
        <f>SUM(AZ90:AZ$204)*EXP(Parameters!$B$54*A90)</f>
        <v>1434.5917045473857</v>
      </c>
      <c r="BB90" s="43">
        <f t="shared" si="53"/>
        <v>0.3807950497398685</v>
      </c>
      <c r="BC90" s="30">
        <f>IF(C90&lt;0,Parameters!$B$6*AC90^2/AF90,0)</f>
        <v>0</v>
      </c>
      <c r="BD90" s="30">
        <f>Parameters!$B$5*AD90^2/AG90</f>
        <v>8.1728373719210601E-2</v>
      </c>
      <c r="BE90" s="30">
        <f t="shared" si="43"/>
        <v>0</v>
      </c>
      <c r="BF90" s="30">
        <f t="shared" si="44"/>
        <v>5.8834867784672687E-2</v>
      </c>
      <c r="BH90" s="5"/>
      <c r="BI90" s="5"/>
      <c r="BJ90" s="5"/>
      <c r="BM90">
        <f>-EXP(-Parameters!B$42*'6states,BAU'!A90)*(-Parameters!B$37/Parameters!B$38/Parameters!E$25*(EXP(-Parameters!B$38*Parameters!E$25*'6states,BAU'!I90/('6states,BAU'!F90+'6states,BAU'!I90))-EXP(-Parameters!B$38*Parameters!E$25))+Parameters!B$37*'6states,BAU'!F90/('6states,BAU'!F90+'6states,BAU'!I90)*EXP(-Parameters!B$38*Parameters!E$25*'6states,BAU'!I90/('6states,BAU'!F90+'6states,BAU'!I90)))</f>
        <v>-2.5287007407105246</v>
      </c>
      <c r="BN90">
        <f>-J90*K90*EXP(-Parameters!B$42*'6states,BAU'!A90)*(-Parameters!B$37/Parameters!B$38/Parameters!E$25*(EXP(-Parameters!B$38*Parameters!E$25*'6states,BAU'!I90/('6states,BAU'!F90+'6states,BAU'!I90))-EXP(-Parameters!B$38*Parameters!E$25)) + Parameters!B$37*'6states,BAU'!F90/('6states,BAU'!F90+'6states,BAU'!I90)*EXP(-Parameters!B$38*Parameters!E$25*'6states,BAU'!I90/('6states,BAU'!F90+'6states,BAU'!I90)))</f>
        <v>-1315.6228476900899</v>
      </c>
      <c r="BO90" s="7">
        <f t="shared" si="33"/>
        <v>0</v>
      </c>
      <c r="BU90">
        <f>EXP(-Parameters!$B$56*A90)*BH90*BN90</f>
        <v>0</v>
      </c>
      <c r="BV90">
        <f>-EXP((Parameters!$B$56)*F90)*SUM(BU90:BU98)</f>
        <v>0</v>
      </c>
      <c r="BW90">
        <f>X90^-Parameters!B$52/(1-2*Parameters!B$5*'6states,BAU'!D90/'6states,BAU'!G90)</f>
        <v>2.2613873155062567</v>
      </c>
      <c r="BX90">
        <f t="shared" si="45"/>
        <v>1.0324867772186435</v>
      </c>
      <c r="BY90">
        <f>$X90^-Parameters!$B$52/(1-2*Parameters!$B$5*'6states,BAU'!$E90/'6states,BAU'!$H90)</f>
        <v>2.3070148373964305</v>
      </c>
      <c r="BZ90">
        <f t="shared" si="46"/>
        <v>1.0320778537099693</v>
      </c>
      <c r="CA90" s="7">
        <f>($X90^-Parameters!$B$52*(1/(1+EXP(-C90)) + IF(C90&lt;0,2*Parameters!$B$6*C90/F90,0)) + BS90*(1/(1+EXP((C90-Parameters!$B$22)*Parameters!$B$21))))/(1-IF(C90&gt;0,2*Parameters!$B$5*C90/F90,0))</f>
        <v>1.1885944084303182</v>
      </c>
      <c r="CB90">
        <f t="shared" si="47"/>
        <v>1.0320015953501149</v>
      </c>
      <c r="CC90" s="7">
        <f t="shared" si="48"/>
        <v>3.6857421020838554E-2</v>
      </c>
    </row>
    <row r="91" spans="1:84" x14ac:dyDescent="0.3">
      <c r="A91">
        <f>A90+Parameters!$B$65</f>
        <v>87</v>
      </c>
      <c r="B91">
        <v>2112</v>
      </c>
      <c r="C91" s="74">
        <v>5.9930413758535098E-2</v>
      </c>
      <c r="D91" s="69">
        <v>2.65813055313652E-3</v>
      </c>
      <c r="E91" s="75">
        <v>0.30610722126717899</v>
      </c>
      <c r="F91" s="7">
        <f>MAX((1-Parameters!$B$4)^Parameters!B$65*F90 + C90*Parameters!B$65 - IF(C90&gt;0,Parameters!$B$5,0)*C90^2/F90*Parameters!B$65, 0.0001)</f>
        <v>0.88464612791640751</v>
      </c>
      <c r="G91" s="7">
        <f>(1-Parameters!$B$4)^Parameters!B$65*G90+D90*Parameters!B$65-Parameters!$B$5*D90^2/G90*Parameters!B$65</f>
        <v>4.5038940506856306E-2</v>
      </c>
      <c r="H91" s="7">
        <f>(1-Parameters!$B$4)^Parameters!B$65*H90+E90*Parameters!B$65-Parameters!$B$5*E90^2/H90*Parameters!B$65</f>
        <v>4.5307693820105897</v>
      </c>
      <c r="I91" s="7">
        <f>I90 *(1-Parameters!$B$4)-C90*(C90&lt;0)*Parameters!B$65</f>
        <v>0</v>
      </c>
      <c r="J91" s="23">
        <f>J90*(1+Parameters!$B$51)^Parameters!B$65</f>
        <v>10.497939918985427</v>
      </c>
      <c r="K91" s="23">
        <f>K90*(1+Parameters!$B$53)^Parameters!B$65</f>
        <v>50.697633956550632</v>
      </c>
      <c r="L91" s="23">
        <f>J91*K91*EXP(-Parameters!$B$42*'6states,BAU'!A91)*(Parameters!$B$37/Parameters!$B$38*('6states,BAU'!F91+'6states,BAU'!I91)/Parameters!$E$25*(EXP(-Parameters!$B$38*Parameters!$E$25*'6states,BAU'!I91/('6states,BAU'!F91+'6states,BAU'!I91))-EXP(-Parameters!$B$38*Parameters!$E$25))  +  Parameters!$B$39*'6states,BAU'!F91)</f>
        <v>179.63377628767941</v>
      </c>
      <c r="M91" s="8">
        <f>M90+L91*Parameters!B$65</f>
        <v>11595.269324291939</v>
      </c>
      <c r="N91" s="7">
        <f>M91*Parameters!$B$45</f>
        <v>6.9571615945751635</v>
      </c>
      <c r="O91" s="9">
        <f>EXP(-Parameters!$B$46/2*N91^2)</f>
        <v>0.61481056722078897</v>
      </c>
      <c r="P91" s="7">
        <f>MAX((Parameters!$B$62 + Parameters!$B$31*'6states,BAU'!A91 - '6states,BAU'!M91 + Parameters!$B$47/Parameters!$B$45)/Parameters!B$62,1)</f>
        <v>1</v>
      </c>
      <c r="Q91" s="7">
        <f>Parameters!B$61*EXP(-Parameters!B$60*A91)</f>
        <v>4.773228953912257E-2</v>
      </c>
      <c r="R91" s="7">
        <f>(1-Parameters!B$61)*P91^-Parameters!B$63</f>
        <v>0.5</v>
      </c>
      <c r="S91" s="7">
        <f>Parameters!B$61*EXP(-Parameters!B$60*A91)+(1-Parameters!B$61)*P91^-Parameters!B$63</f>
        <v>0.54773228953912256</v>
      </c>
      <c r="T91" s="7">
        <f>1-S91/Parameters!$B$12</f>
        <v>0.72613385523043872</v>
      </c>
      <c r="U91" s="7">
        <f t="shared" si="34"/>
        <v>3.6514188376275141</v>
      </c>
      <c r="V91" s="7">
        <f>(Parameters!$B$19*(F91+Parameters!$B$20)^T91+Parameters!$B$18*G91^T91)^(1/T91)</f>
        <v>0.58092311646709738</v>
      </c>
      <c r="W91" s="7">
        <f>(Parameters!$B$10*H91^Parameters!$B$9+Parameters!$B$11*V91^Parameters!$B$9)^(Parameters!$B$7/Parameters!$B$9)*O91</f>
        <v>0.95380055588898727</v>
      </c>
      <c r="X91" s="7">
        <f>W91 - D91 - E91 - LN(1+EXP(Parameters!$B$21*C91))/Parameters!$B$21 - IF(C91&gt;0, 0,Parameters!$B$6*C91^2/F91)</f>
        <v>0.58510479025829909</v>
      </c>
      <c r="Y91" s="7">
        <f>EXP(-Parameters!$B$55*A91)</f>
        <v>0.26882356681858899</v>
      </c>
      <c r="Z91" s="7">
        <f>IF(X91&gt;0,X91^(1-Parameters!$B$52)/(1-Parameters!$B$52)*Y91*Parameters!$B$65,-10+X91*1000)</f>
        <v>-0.92654713174997239</v>
      </c>
      <c r="AC91" s="23">
        <f t="shared" si="35"/>
        <v>31.896207679426816</v>
      </c>
      <c r="AD91" s="23">
        <f t="shared" si="35"/>
        <v>1.414712144379237</v>
      </c>
      <c r="AE91" s="23">
        <f t="shared" si="36"/>
        <v>0</v>
      </c>
      <c r="AF91" s="23">
        <f t="shared" si="37"/>
        <v>470.82699499640876</v>
      </c>
      <c r="AG91" s="23">
        <f t="shared" si="38"/>
        <v>23.970657133389899</v>
      </c>
      <c r="AH91" s="23">
        <f t="shared" si="39"/>
        <v>309.17931658657227</v>
      </c>
      <c r="AI91" s="23">
        <f t="shared" si="40"/>
        <v>760.9138370111134</v>
      </c>
      <c r="AJ91" s="23">
        <f t="shared" si="41"/>
        <v>507.63241411886946</v>
      </c>
      <c r="AK91" s="23">
        <f t="shared" si="42"/>
        <v>311.40489000292115</v>
      </c>
      <c r="AL91" s="9">
        <f t="shared" si="51"/>
        <v>7.7748058666751163E-3</v>
      </c>
      <c r="AM91" s="9">
        <f t="shared" si="51"/>
        <v>-1.5698607563487954E-3</v>
      </c>
      <c r="AN91" s="9">
        <f t="shared" si="54"/>
        <v>7.7633534977312735E-3</v>
      </c>
      <c r="AO91" s="9">
        <f t="shared" si="54"/>
        <v>-1.6008235981040287E-3</v>
      </c>
      <c r="AP91" s="23"/>
      <c r="AQ91" s="25">
        <f t="shared" si="32"/>
        <v>507.63241411886946</v>
      </c>
      <c r="AR91" s="4"/>
      <c r="AS91" s="4"/>
      <c r="AT91" s="4"/>
      <c r="AU91" s="16"/>
      <c r="AV91" s="16"/>
      <c r="AX91" s="13">
        <f>1-W91/'6states,ExoDamages'!T91</f>
        <v>0.3467142206991124</v>
      </c>
      <c r="AY91" s="21">
        <f>-Y91*W91*X91^(-Parameters!B$52)*Parameters!B$46*Parameters!B$45*N91</f>
        <v>-4.4354621394629792E-5</v>
      </c>
      <c r="AZ91" s="7">
        <f>1000*EXP(-(Parameters!$B$54)*'6states,BAU'!A91)*AQ91*Parameters!B$46*Parameters!B$45*N91</f>
        <v>2.009665073356095</v>
      </c>
      <c r="BA91" s="7">
        <f>SUM(AZ91:AZ$204)*EXP(Parameters!$B$54*A91)</f>
        <v>1442.7461813641173</v>
      </c>
      <c r="BB91" s="43">
        <f t="shared" si="53"/>
        <v>0.3865543622326878</v>
      </c>
      <c r="BC91" s="30">
        <f>IF(C91&lt;0,Parameters!$B$6*AC91^2/AF91,0)</f>
        <v>0</v>
      </c>
      <c r="BD91" s="30">
        <f>Parameters!$B$5*AD91^2/AG91</f>
        <v>8.3494183756282453E-2</v>
      </c>
      <c r="BE91" s="30">
        <f t="shared" si="43"/>
        <v>0</v>
      </c>
      <c r="BF91" s="30">
        <f t="shared" si="44"/>
        <v>5.9018496510411279E-2</v>
      </c>
      <c r="BH91" s="5"/>
      <c r="BI91" s="5"/>
      <c r="BJ91" s="5"/>
      <c r="BM91">
        <f>-EXP(-Parameters!B$42*'6states,BAU'!A91)*(-Parameters!B$37/Parameters!B$38/Parameters!E$25*(EXP(-Parameters!B$38*Parameters!E$25*'6states,BAU'!I91/('6states,BAU'!F91+'6states,BAU'!I91))-EXP(-Parameters!B$38*Parameters!E$25))+Parameters!B$37*'6states,BAU'!F91/('6states,BAU'!F91+'6states,BAU'!I91)*EXP(-Parameters!B$38*Parameters!E$25*'6states,BAU'!I91/('6states,BAU'!F91+'6states,BAU'!I91)))</f>
        <v>-2.5035397479418529</v>
      </c>
      <c r="BN91">
        <f>-J91*K91*EXP(-Parameters!B$42*'6states,BAU'!A91)*(-Parameters!B$37/Parameters!B$38/Parameters!E$25*(EXP(-Parameters!B$38*Parameters!E$25*'6states,BAU'!I91/('6states,BAU'!F91+'6states,BAU'!I91))-EXP(-Parameters!B$38*Parameters!E$25)) + Parameters!B$37*'6states,BAU'!F91/('6states,BAU'!F91+'6states,BAU'!I91)*EXP(-Parameters!B$38*Parameters!E$25*'6states,BAU'!I91/('6states,BAU'!F91+'6states,BAU'!I91)))</f>
        <v>-1332.4357154580919</v>
      </c>
      <c r="BO91" s="7">
        <f t="shared" si="33"/>
        <v>0</v>
      </c>
      <c r="BU91">
        <f>EXP(-Parameters!$B$56*A91)*BH91*BN91</f>
        <v>0</v>
      </c>
      <c r="BV91">
        <f>-EXP((Parameters!$B$56)*F91)*SUM(BU91:BU99)</f>
        <v>0</v>
      </c>
      <c r="BW91">
        <f>X91^-Parameters!B$52/(1-2*Parameters!B$5*'6states,BAU'!D91/'6states,BAU'!G91)</f>
        <v>2.3376753534868033</v>
      </c>
      <c r="BX91">
        <f t="shared" si="45"/>
        <v>1.0337350605344968</v>
      </c>
      <c r="BY91">
        <f>$X91^-Parameters!$B$52/(1-2*Parameters!$B$5*'6states,BAU'!$E91/'6states,BAU'!$H91)</f>
        <v>2.3838591104067719</v>
      </c>
      <c r="BZ91">
        <f t="shared" si="46"/>
        <v>1.0333089634989359</v>
      </c>
      <c r="CA91" s="7">
        <f>($X91^-Parameters!$B$52*(1/(1+EXP(-C91)) + IF(C91&lt;0,2*Parameters!$B$6*C91/F91,0)) + BS91*(1/(1+EXP((C91-Parameters!$B$22)*Parameters!$B$21))))/(1-IF(C91&gt;0,2*Parameters!$B$5*C91/F91,0))</f>
        <v>1.2281556048497801</v>
      </c>
      <c r="CB91">
        <f t="shared" si="47"/>
        <v>1.0332840169353541</v>
      </c>
      <c r="CC91" s="7">
        <f t="shared" si="48"/>
        <v>3.9561196419461986E-2</v>
      </c>
    </row>
    <row r="92" spans="1:84" x14ac:dyDescent="0.3">
      <c r="A92">
        <f>A91+Parameters!$B$65</f>
        <v>88</v>
      </c>
      <c r="B92">
        <v>2113</v>
      </c>
      <c r="C92" s="74">
        <v>5.9945887058755497E-2</v>
      </c>
      <c r="D92" s="69">
        <v>2.6470017488738999E-3</v>
      </c>
      <c r="E92" s="75">
        <v>0.30611320959629201</v>
      </c>
      <c r="F92" s="7">
        <f>MAX((1-Parameters!$B$4)^Parameters!B$65*F91 + C91*Parameters!B$65 - IF(C91&gt;0,Parameters!$B$5,0)*C91^2/F91*Parameters!B$65, 0.0001)</f>
        <v>0.8848723101607362</v>
      </c>
      <c r="G92" s="7">
        <f>(1-Parameters!$B$4)^Parameters!B$65*G91+D91*Parameters!B$65-Parameters!$B$5*D91^2/G91*Parameters!B$65</f>
        <v>4.470724283333706E-2</v>
      </c>
      <c r="H92" s="7">
        <f>(1-Parameters!$B$4)^Parameters!B$65*H91+E91*Parameters!B$65-Parameters!$B$5*E91^2/H91*Parameters!B$65</f>
        <v>4.5312100349355022</v>
      </c>
      <c r="I92" s="7">
        <f>I91 *(1-Parameters!$B$4)-C91*(C91&lt;0)*Parameters!B$65</f>
        <v>0</v>
      </c>
      <c r="J92" s="23">
        <f>J91*(1+Parameters!$B$51)^Parameters!B$65</f>
        <v>10.528383944750484</v>
      </c>
      <c r="K92" s="23">
        <f>K91*(1+Parameters!$B$53)^Parameters!B$65</f>
        <v>51.711586635681648</v>
      </c>
      <c r="L92" s="23">
        <f>J92*K92*EXP(-Parameters!$B$42*'6states,BAU'!A92)*(Parameters!$B$37/Parameters!$B$38*('6states,BAU'!F92+'6states,BAU'!I92)/Parameters!$E$25*(EXP(-Parameters!$B$38*Parameters!$E$25*'6states,BAU'!I92/('6states,BAU'!F92+'6states,BAU'!I92))-EXP(-Parameters!$B$38*Parameters!$E$25))  +  Parameters!$B$39*'6states,BAU'!F92)</f>
        <v>181.97590264628101</v>
      </c>
      <c r="M92" s="8">
        <f>M91+L92*Parameters!B$65</f>
        <v>11777.245226938221</v>
      </c>
      <c r="N92" s="7">
        <f>M92*Parameters!$B$45</f>
        <v>7.066347136162932</v>
      </c>
      <c r="O92" s="9">
        <f>EXP(-Parameters!$B$46/2*N92^2)</f>
        <v>0.60542215853860626</v>
      </c>
      <c r="P92" s="7">
        <f>MAX((Parameters!$B$62 + Parameters!$B$31*'6states,BAU'!A92 - '6states,BAU'!M92 + Parameters!$B$47/Parameters!$B$45)/Parameters!B$62,1)</f>
        <v>1</v>
      </c>
      <c r="Q92" s="7">
        <f>Parameters!B$61*EXP(-Parameters!B$60*A92)</f>
        <v>4.6460760606599448E-2</v>
      </c>
      <c r="R92" s="7">
        <f>(1-Parameters!B$61)*P92^-Parameters!B$63</f>
        <v>0.5</v>
      </c>
      <c r="S92" s="7">
        <f>Parameters!B$61*EXP(-Parameters!B$60*A92)+(1-Parameters!B$61)*P92^-Parameters!B$63</f>
        <v>0.54646076060659943</v>
      </c>
      <c r="T92" s="7">
        <f>1-S92/Parameters!$B$12</f>
        <v>0.72676961969670029</v>
      </c>
      <c r="U92" s="7">
        <f t="shared" si="34"/>
        <v>3.6599151195776574</v>
      </c>
      <c r="V92" s="7">
        <f>(Parameters!$B$19*(F92+Parameters!$B$20)^T92+Parameters!$B$18*G92^T92)^(1/T92)</f>
        <v>0.58100761113767618</v>
      </c>
      <c r="W92" s="7">
        <f>(Parameters!$B$10*H92^Parameters!$B$9+Parameters!$B$11*V92^Parameters!$B$9)^(Parameters!$B$7/Parameters!$B$9)*O92</f>
        <v>0.93926536650642178</v>
      </c>
      <c r="X92" s="7">
        <f>W92 - D92 - E92 - LN(1+EXP(Parameters!$B$21*C92))/Parameters!$B$21 - IF(C92&gt;0, 0,Parameters!$B$6*C92^2/F92)</f>
        <v>0.57055926805090296</v>
      </c>
      <c r="Y92" s="7">
        <f>EXP(-Parameters!$B$55*A92)</f>
        <v>0.26479482451320413</v>
      </c>
      <c r="Z92" s="7">
        <f>IF(X92&gt;0,X92^(1-Parameters!$B$52)/(1-Parameters!$B$52)*Y92*Parameters!$B$65,-10+X92*1000)</f>
        <v>-0.92073823994747384</v>
      </c>
      <c r="AC92" s="23">
        <f t="shared" si="35"/>
        <v>32.636905090214718</v>
      </c>
      <c r="AD92" s="23">
        <f t="shared" si="35"/>
        <v>1.4411321458460595</v>
      </c>
      <c r="AE92" s="23">
        <f t="shared" si="36"/>
        <v>0</v>
      </c>
      <c r="AF92" s="23">
        <f t="shared" si="37"/>
        <v>481.75938368163571</v>
      </c>
      <c r="AG92" s="23">
        <f t="shared" si="38"/>
        <v>24.340386184738115</v>
      </c>
      <c r="AH92" s="23">
        <f t="shared" si="39"/>
        <v>316.32345756777232</v>
      </c>
      <c r="AI92" s="23">
        <f t="shared" si="40"/>
        <v>778.4961118740282</v>
      </c>
      <c r="AJ92" s="23">
        <f t="shared" si="41"/>
        <v>511.37310873638165</v>
      </c>
      <c r="AK92" s="23">
        <f t="shared" si="42"/>
        <v>310.63496752443058</v>
      </c>
      <c r="AL92" s="9">
        <f t="shared" si="51"/>
        <v>7.3418864502263759E-3</v>
      </c>
      <c r="AM92" s="9">
        <f t="shared" si="51"/>
        <v>-2.4754776156115099E-3</v>
      </c>
      <c r="AN92" s="9">
        <f t="shared" si="54"/>
        <v>7.329597665013665E-3</v>
      </c>
      <c r="AO92" s="9">
        <f t="shared" si="54"/>
        <v>-2.5550486620927516E-3</v>
      </c>
      <c r="AP92" s="23"/>
      <c r="AQ92" s="25">
        <f t="shared" si="32"/>
        <v>511.37310873638165</v>
      </c>
      <c r="AR92" s="4"/>
      <c r="AS92" s="4"/>
      <c r="AT92" s="4"/>
      <c r="AU92" s="16"/>
      <c r="AV92" s="16"/>
      <c r="AX92" s="13">
        <f>1-W92/'6states,ExoDamages'!T92</f>
        <v>0.35660957846447072</v>
      </c>
      <c r="AY92" s="21">
        <f>-Y92*W92*X92^(-Parameters!B$52)*Parameters!B$46*Parameters!B$45*N92</f>
        <v>-4.5209951978707927E-5</v>
      </c>
      <c r="AZ92" s="7">
        <f>1000*EXP(-(Parameters!$B$54)*'6states,BAU'!A92)*AQ92*Parameters!B$46*Parameters!B$45*N92</f>
        <v>1.9853238820254577</v>
      </c>
      <c r="BA92" s="7">
        <f>SUM(AZ92:AZ$204)*EXP(Parameters!$B$54*A92)</f>
        <v>1450.1722033947283</v>
      </c>
      <c r="BB92" s="43">
        <f t="shared" si="53"/>
        <v>0.39254731575520152</v>
      </c>
      <c r="BC92" s="30">
        <f>IF(C92&lt;0,Parameters!$B$6*AC92^2/AF92,0)</f>
        <v>0</v>
      </c>
      <c r="BD92" s="30">
        <f>Parameters!$B$5*AD92^2/AG92</f>
        <v>8.5325756379867959E-2</v>
      </c>
      <c r="BE92" s="30">
        <f t="shared" si="43"/>
        <v>0</v>
      </c>
      <c r="BF92" s="30">
        <f t="shared" si="44"/>
        <v>5.9207447856750799E-2</v>
      </c>
      <c r="BH92" s="5"/>
      <c r="BI92" s="5"/>
      <c r="BJ92" s="5"/>
      <c r="BM92">
        <f>-EXP(-Parameters!B$42*'6states,BAU'!A92)*(-Parameters!B$37/Parameters!B$38/Parameters!E$25*(EXP(-Parameters!B$38*Parameters!E$25*'6states,BAU'!I92/('6states,BAU'!F92+'6states,BAU'!I92))-EXP(-Parameters!B$38*Parameters!E$25))+Parameters!B$37*'6states,BAU'!F92/('6states,BAU'!F92+'6states,BAU'!I92)*EXP(-Parameters!B$38*Parameters!E$25*'6states,BAU'!I92/('6states,BAU'!F92+'6states,BAU'!I92)))</f>
        <v>-2.4786291112342655</v>
      </c>
      <c r="BN92">
        <f>-J92*K92*EXP(-Parameters!B$42*'6states,BAU'!A92)*(-Parameters!B$37/Parameters!B$38/Parameters!E$25*(EXP(-Parameters!B$38*Parameters!E$25*'6states,BAU'!I92/('6states,BAU'!F92+'6states,BAU'!I92))-EXP(-Parameters!B$38*Parameters!E$25)) + Parameters!B$37*'6states,BAU'!F92/('6states,BAU'!F92+'6states,BAU'!I92)*EXP(-Parameters!B$38*Parameters!E$25*'6states,BAU'!I92/('6states,BAU'!F92+'6states,BAU'!I92)))</f>
        <v>-1349.4634415520047</v>
      </c>
      <c r="BO92" s="7">
        <f t="shared" si="33"/>
        <v>0</v>
      </c>
      <c r="BU92">
        <f>EXP(-Parameters!$B$56*A92)*BH92*BN92</f>
        <v>0</v>
      </c>
      <c r="BV92">
        <f>-EXP((Parameters!$B$56)*F92)*SUM(BU92:BU100)</f>
        <v>0</v>
      </c>
      <c r="BW92">
        <f>X92^-Parameters!B$52/(1-2*Parameters!B$5*'6states,BAU'!D92/'6states,BAU'!G92)</f>
        <v>2.4195228314290449</v>
      </c>
      <c r="BX92">
        <f t="shared" si="45"/>
        <v>1.0350123372863389</v>
      </c>
      <c r="BY92">
        <f>$X92^-Parameters!$B$52/(1-2*Parameters!$B$5*'6states,BAU'!$E92/'6states,BAU'!$H92)</f>
        <v>2.4662364592009447</v>
      </c>
      <c r="BZ92">
        <f t="shared" si="46"/>
        <v>1.0345562992521469</v>
      </c>
      <c r="CA92" s="7">
        <f>($X92^-Parameters!$B$52*(1/(1+EXP(-C92)) + IF(C92&lt;0,2*Parameters!$B$6*C92/F92,0)) + BS92*(1/(1+EXP((C92-Parameters!$B$22)*Parameters!$B$21))))/(1-IF(C92&gt;0,2*Parameters!$B$5*C92/F92,0))</f>
        <v>1.2706215752736334</v>
      </c>
      <c r="CB92">
        <f t="shared" si="47"/>
        <v>1.034577027744825</v>
      </c>
      <c r="CC92" s="7">
        <f t="shared" si="48"/>
        <v>4.246597042385325E-2</v>
      </c>
    </row>
    <row r="93" spans="1:84" x14ac:dyDescent="0.3">
      <c r="A93">
        <f>A92+Parameters!$B$65</f>
        <v>89</v>
      </c>
      <c r="B93">
        <v>2114</v>
      </c>
      <c r="C93" s="74">
        <v>5.9959338356121397E-2</v>
      </c>
      <c r="D93" s="69">
        <v>2.6356861193867999E-3</v>
      </c>
      <c r="E93" s="75">
        <v>0.30614886198277202</v>
      </c>
      <c r="F93" s="7">
        <f>MAX((1-Parameters!$B$4)^Parameters!B$65*F92 + C92*Parameters!B$65 - IF(C92&gt;0,Parameters!$B$5,0)*C92^2/F92*Parameters!B$65, 0.0001)</f>
        <v>0.88509868040202844</v>
      </c>
      <c r="G93" s="7">
        <f>(1-Parameters!$B$4)^Parameters!B$65*G92+D92*Parameters!B$65-Parameters!$B$5*D92^2/G92*Parameters!B$65</f>
        <v>4.4385436789970881E-2</v>
      </c>
      <c r="H93" s="7">
        <f>(1-Parameters!$B$4)^Parameters!B$65*H92+E92*Parameters!B$65-Parameters!$B$5*E92^2/H92*Parameters!B$65</f>
        <v>4.5316301612370804</v>
      </c>
      <c r="I93" s="7">
        <f>I92 *(1-Parameters!$B$4)-C92*(C92&lt;0)*Parameters!B$65</f>
        <v>0</v>
      </c>
      <c r="J93" s="23">
        <f>J92*(1+Parameters!$B$51)^Parameters!B$65</f>
        <v>10.558916258190258</v>
      </c>
      <c r="K93" s="23">
        <f>K92*(1+Parameters!$B$53)^Parameters!B$65</f>
        <v>52.745818368395284</v>
      </c>
      <c r="L93" s="23">
        <f>J93*K93*EXP(-Parameters!$B$42*'6states,BAU'!A93)*(Parameters!$B$37/Parameters!$B$38*('6states,BAU'!F93+'6states,BAU'!I93)/Parameters!$E$25*(EXP(-Parameters!$B$38*Parameters!$E$25*'6states,BAU'!I93/('6states,BAU'!F93+'6states,BAU'!I93))-EXP(-Parameters!$B$38*Parameters!$E$25))  +  Parameters!$B$39*'6states,BAU'!F93)</f>
        <v>184.34859355744575</v>
      </c>
      <c r="M93" s="8">
        <f>M92+L93*Parameters!B$65</f>
        <v>11961.593820495667</v>
      </c>
      <c r="N93" s="7">
        <f>M93*Parameters!$B$45</f>
        <v>7.1769562922974002</v>
      </c>
      <c r="O93" s="9">
        <f>EXP(-Parameters!$B$46/2*N93^2)</f>
        <v>0.59591189424257229</v>
      </c>
      <c r="P93" s="7">
        <f>MAX((Parameters!$B$62 + Parameters!$B$31*'6states,BAU'!A93 - '6states,BAU'!M93 + Parameters!$B$47/Parameters!$B$45)/Parameters!B$62,1)</f>
        <v>1</v>
      </c>
      <c r="Q93" s="7">
        <f>Parameters!B$61*EXP(-Parameters!B$60*A93)</f>
        <v>4.522310362620463E-2</v>
      </c>
      <c r="R93" s="7">
        <f>(1-Parameters!B$61)*P93^-Parameters!B$63</f>
        <v>0.5</v>
      </c>
      <c r="S93" s="7">
        <f>Parameters!B$61*EXP(-Parameters!B$60*A93)+(1-Parameters!B$61)*P93^-Parameters!B$63</f>
        <v>0.54522310362620463</v>
      </c>
      <c r="T93" s="7">
        <f>1-S93/Parameters!$B$12</f>
        <v>0.72738844818689774</v>
      </c>
      <c r="U93" s="7">
        <f t="shared" si="34"/>
        <v>3.6682231304914863</v>
      </c>
      <c r="V93" s="7">
        <f>(Parameters!$B$19*(F93+Parameters!$B$20)^T93+Parameters!$B$18*G93^T93)^(1/T93)</f>
        <v>0.58109455792652542</v>
      </c>
      <c r="W93" s="7">
        <f>(Parameters!$B$10*H93^Parameters!$B$9+Parameters!$B$11*V93^Parameters!$B$9)^(Parameters!$B$7/Parameters!$B$9)*O93</f>
        <v>0.92453935707149693</v>
      </c>
      <c r="X93" s="7">
        <f>W93 - D93 - E93 - LN(1+EXP(Parameters!$B$21*C93))/Parameters!$B$21 - IF(C93&gt;0, 0,Parameters!$B$6*C93^2/F93)</f>
        <v>0.55579547056182699</v>
      </c>
      <c r="Y93" s="7">
        <f>EXP(-Parameters!$B$55*A93)</f>
        <v>0.26082645922295711</v>
      </c>
      <c r="Z93" s="7">
        <f>IF(X93&gt;0,X93^(1-Parameters!$B$52)/(1-Parameters!$B$52)*Y93*Parameters!$B$65,-10+X93*1000)</f>
        <v>-0.91529976383299805</v>
      </c>
      <c r="AC93" s="23">
        <f t="shared" si="35"/>
        <v>33.393674705063297</v>
      </c>
      <c r="AD93" s="23">
        <f t="shared" si="35"/>
        <v>1.4679155459104183</v>
      </c>
      <c r="AE93" s="23">
        <f t="shared" si="36"/>
        <v>0</v>
      </c>
      <c r="AF93" s="23">
        <f t="shared" si="37"/>
        <v>492.94568995537634</v>
      </c>
      <c r="AG93" s="23">
        <f t="shared" si="38"/>
        <v>24.719966538041621</v>
      </c>
      <c r="AH93" s="23">
        <f t="shared" si="39"/>
        <v>323.63403553634873</v>
      </c>
      <c r="AI93" s="23">
        <f t="shared" si="40"/>
        <v>796.48800083430024</v>
      </c>
      <c r="AJ93" s="23">
        <f t="shared" si="41"/>
        <v>514.91172832333211</v>
      </c>
      <c r="AK93" s="23">
        <f t="shared" si="42"/>
        <v>309.54399523647163</v>
      </c>
      <c r="AL93" s="9">
        <f t="shared" si="51"/>
        <v>6.8960068050998302E-3</v>
      </c>
      <c r="AM93" s="9">
        <f t="shared" si="51"/>
        <v>-3.5182535326567788E-3</v>
      </c>
      <c r="AN93" s="9">
        <f t="shared" si="54"/>
        <v>6.8842518723240429E-3</v>
      </c>
      <c r="AO93" s="9">
        <f t="shared" si="54"/>
        <v>-3.5442124101717097E-3</v>
      </c>
      <c r="AP93" s="23"/>
      <c r="AQ93" s="25">
        <f t="shared" si="32"/>
        <v>514.91172832333223</v>
      </c>
      <c r="AR93" s="4"/>
      <c r="AS93" s="4"/>
      <c r="AT93" s="4"/>
      <c r="AU93" s="16"/>
      <c r="AV93" s="16"/>
      <c r="AX93" s="13">
        <f>1-W93/'6states,ExoDamages'!T93</f>
        <v>0.36663880854755804</v>
      </c>
      <c r="AY93" s="21">
        <f>-Y93*W93*X93^(-Parameters!B$52)*Parameters!B$46*Parameters!B$45*N93</f>
        <v>-4.6124259216935169E-5</v>
      </c>
      <c r="AZ93" s="7">
        <f>1000*EXP(-(Parameters!$B$54)*'6states,BAU'!A93)*AQ93*Parameters!B$46*Parameters!B$45*N93</f>
        <v>1.9603240190809867</v>
      </c>
      <c r="BA93" s="7">
        <f>SUM(AZ93:AZ$204)*EXP(Parameters!$B$54*A93)</f>
        <v>1456.8410189205119</v>
      </c>
      <c r="BB93" s="43">
        <f t="shared" si="53"/>
        <v>0.39884065901346405</v>
      </c>
      <c r="BC93" s="30">
        <f>IF(C93&lt;0,Parameters!$B$6*AC93^2/AF93,0)</f>
        <v>0</v>
      </c>
      <c r="BD93" s="30">
        <f>Parameters!$B$5*AD93^2/AG93</f>
        <v>8.7167433928743029E-2</v>
      </c>
      <c r="BE93" s="30">
        <f t="shared" si="43"/>
        <v>0</v>
      </c>
      <c r="BF93" s="30">
        <f t="shared" si="44"/>
        <v>5.9381777222531407E-2</v>
      </c>
      <c r="BH93" s="5"/>
      <c r="BI93" s="5"/>
      <c r="BJ93" s="5"/>
      <c r="BM93">
        <f>-EXP(-Parameters!B$42*'6states,BAU'!A93)*(-Parameters!B$37/Parameters!B$38/Parameters!E$25*(EXP(-Parameters!B$38*Parameters!E$25*'6states,BAU'!I93/('6states,BAU'!F93+'6states,BAU'!I93))-EXP(-Parameters!B$38*Parameters!E$25))+Parameters!B$37*'6states,BAU'!F93/('6states,BAU'!F93+'6states,BAU'!I93)*EXP(-Parameters!B$38*Parameters!E$25*'6states,BAU'!I93/('6states,BAU'!F93+'6states,BAU'!I93)))</f>
        <v>-2.4539663395033329</v>
      </c>
      <c r="BN93">
        <f>-J93*K93*EXP(-Parameters!B$42*'6states,BAU'!A93)*(-Parameters!B$37/Parameters!B$38/Parameters!E$25*(EXP(-Parameters!B$38*Parameters!E$25*'6states,BAU'!I93/('6states,BAU'!F93+'6states,BAU'!I93))-EXP(-Parameters!B$38*Parameters!E$25)) + Parameters!B$37*'6states,BAU'!F93/('6states,BAU'!F93+'6states,BAU'!I93)*EXP(-Parameters!B$38*Parameters!E$25*'6states,BAU'!I93/('6states,BAU'!F93+'6states,BAU'!I93)))</f>
        <v>-1366.7087717318523</v>
      </c>
      <c r="BO93" s="7">
        <f t="shared" si="33"/>
        <v>0</v>
      </c>
      <c r="BU93">
        <f>EXP(-Parameters!$B$56*A93)*BH93*BN93</f>
        <v>0</v>
      </c>
      <c r="BV93">
        <f>-EXP((Parameters!$B$56)*F93)*SUM(BU93:BU101)</f>
        <v>0</v>
      </c>
      <c r="BW93">
        <f>X93^-Parameters!B$52/(1-2*Parameters!B$5*'6states,BAU'!D93/'6states,BAU'!G93)</f>
        <v>2.5076810356200885</v>
      </c>
      <c r="BX93">
        <f t="shared" si="45"/>
        <v>1.0364361943792755</v>
      </c>
      <c r="BY93">
        <f>$X93^-Parameters!$B$52/(1-2*Parameters!$B$5*'6states,BAU'!$E93/'6states,BAU'!$H93)</f>
        <v>2.5550952966617988</v>
      </c>
      <c r="BZ93">
        <f t="shared" si="46"/>
        <v>1.0360301369843685</v>
      </c>
      <c r="CA93" s="7">
        <f>($X93^-Parameters!$B$52*(1/(1+EXP(-C93)) + IF(C93&lt;0,2*Parameters!$B$6*C93/F93,0)) + BS93*(1/(1+EXP((C93-Parameters!$B$22)*Parameters!$B$21))))/(1-IF(C93&gt;0,2*Parameters!$B$5*C93/F93,0))</f>
        <v>1.3163994662401488</v>
      </c>
      <c r="CB93">
        <f t="shared" si="47"/>
        <v>1.0360279503019276</v>
      </c>
      <c r="CC93" s="7">
        <f t="shared" si="48"/>
        <v>4.5777890966515411E-2</v>
      </c>
    </row>
    <row r="94" spans="1:84" x14ac:dyDescent="0.3">
      <c r="A94">
        <f>A93+Parameters!$B$65</f>
        <v>90</v>
      </c>
      <c r="B94">
        <v>2115</v>
      </c>
      <c r="C94" s="74">
        <v>5.9965695771323997E-2</v>
      </c>
      <c r="D94" s="69">
        <v>2.6253053567378499E-3</v>
      </c>
      <c r="E94" s="75">
        <v>0.30617253614198298</v>
      </c>
      <c r="F94" s="7">
        <f>MAX((1-Parameters!$B$4)^Parameters!B$65*F93 + C93*Parameters!B$65 - IF(C93&gt;0,Parameters!$B$5,0)*C93^2/F93*Parameters!B$65, 0.0001)</f>
        <v>0.88532347963331826</v>
      </c>
      <c r="G94" s="7">
        <f>(1-Parameters!$B$4)^Parameters!B$65*G93+D93*Parameters!B$65-Parameters!$B$5*D93^2/G93*Parameters!B$65</f>
        <v>4.407276720929857E-2</v>
      </c>
      <c r="H94" s="7">
        <f>(1-Parameters!$B$4)^Parameters!B$65*H93+E93*Parameters!B$65-Parameters!$B$5*E93^2/H93*Parameters!B$65</f>
        <v>4.5320566142728618</v>
      </c>
      <c r="I94" s="7">
        <f>I93 *(1-Parameters!$B$4)-C93*(C93&lt;0)*Parameters!B$65</f>
        <v>0</v>
      </c>
      <c r="J94" s="23">
        <f>J93*(1+Parameters!$B$51)^Parameters!B$65</f>
        <v>10.589537115339009</v>
      </c>
      <c r="K94" s="23">
        <f>K93*(1+Parameters!$B$53)^Parameters!B$65</f>
        <v>53.800734735763193</v>
      </c>
      <c r="L94" s="23">
        <f>J94*K94*EXP(-Parameters!$B$42*'6states,BAU'!A94)*(Parameters!$B$37/Parameters!$B$38*('6states,BAU'!F94+'6states,BAU'!I94)/Parameters!$E$25*(EXP(-Parameters!$B$38*Parameters!$E$25*'6states,BAU'!I94/('6states,BAU'!F94+'6states,BAU'!I94))-EXP(-Parameters!$B$38*Parameters!$E$25))  +  Parameters!$B$39*'6states,BAU'!F94)</f>
        <v>186.75187716662376</v>
      </c>
      <c r="M94" s="8">
        <f>M93+L94*Parameters!B$65</f>
        <v>12148.345697662291</v>
      </c>
      <c r="N94" s="7">
        <f>M94*Parameters!$B$45</f>
        <v>7.2890074185973743</v>
      </c>
      <c r="O94" s="9">
        <f>EXP(-Parameters!$B$46/2*N94^2)</f>
        <v>0.58628294013235793</v>
      </c>
      <c r="P94" s="7">
        <f>MAX((Parameters!$B$62 + Parameters!$B$31*'6states,BAU'!A94 - '6states,BAU'!M94 + Parameters!$B$47/Parameters!$B$45)/Parameters!B$62,1)</f>
        <v>1</v>
      </c>
      <c r="Q94" s="7">
        <f>Parameters!B$61*EXP(-Parameters!B$60*A94)</f>
        <v>4.4018416291186274E-2</v>
      </c>
      <c r="R94" s="7">
        <f>(1-Parameters!B$61)*P94^-Parameters!B$63</f>
        <v>0.5</v>
      </c>
      <c r="S94" s="7">
        <f>Parameters!B$61*EXP(-Parameters!B$60*A94)+(1-Parameters!B$61)*P94^-Parameters!B$63</f>
        <v>0.5440184162911863</v>
      </c>
      <c r="T94" s="7">
        <f>1-S94/Parameters!$B$12</f>
        <v>0.72799079185440685</v>
      </c>
      <c r="U94" s="7">
        <f t="shared" si="34"/>
        <v>3.6763461311381387</v>
      </c>
      <c r="V94" s="7">
        <f>(Parameters!$B$19*(F94+Parameters!$B$20)^T94+Parameters!$B$18*G94^T94)^(1/T94)</f>
        <v>0.58118249653175336</v>
      </c>
      <c r="W94" s="7">
        <f>(Parameters!$B$10*H94^Parameters!$B$9+Parameters!$B$11*V94^Parameters!$B$9)^(Parameters!$B$7/Parameters!$B$9)*O94</f>
        <v>0.90962868386863349</v>
      </c>
      <c r="X94" s="7">
        <f>W94 - D94 - E94 - LN(1+EXP(Parameters!$B$21*C94))/Parameters!$B$21 - IF(C94&gt;0, 0,Parameters!$B$6*C94^2/F94)</f>
        <v>0.54086514654729689</v>
      </c>
      <c r="Y94" s="7">
        <f>EXP(-Parameters!$B$55*A94)</f>
        <v>0.25691756610368538</v>
      </c>
      <c r="Z94" s="7">
        <f>IF(X94&gt;0,X94^(1-Parameters!$B$52)/(1-Parameters!$B$52)*Y94*Parameters!$B$65,-10+X94*1000)</f>
        <v>-0.91021629479629451</v>
      </c>
      <c r="AC94" s="23">
        <f t="shared" si="35"/>
        <v>34.163948666538495</v>
      </c>
      <c r="AD94" s="23">
        <f t="shared" si="35"/>
        <v>1.4957017722868011</v>
      </c>
      <c r="AE94" s="23">
        <f t="shared" si="36"/>
        <v>0</v>
      </c>
      <c r="AF94" s="23">
        <f t="shared" si="37"/>
        <v>504.39081081983932</v>
      </c>
      <c r="AG94" s="23">
        <f t="shared" si="38"/>
        <v>25.109351891332732</v>
      </c>
      <c r="AH94" s="23">
        <f t="shared" si="39"/>
        <v>331.11412653526719</v>
      </c>
      <c r="AI94" s="23">
        <f t="shared" si="40"/>
        <v>814.89707426785765</v>
      </c>
      <c r="AJ94" s="23">
        <f t="shared" si="41"/>
        <v>518.23809032096585</v>
      </c>
      <c r="AK94" s="23">
        <f t="shared" si="42"/>
        <v>308.14432926163124</v>
      </c>
      <c r="AL94" s="9">
        <f t="shared" si="51"/>
        <v>6.4392858255377661E-3</v>
      </c>
      <c r="AM94" s="9">
        <f t="shared" si="51"/>
        <v>-4.5319567002630734E-3</v>
      </c>
      <c r="AN94" s="9">
        <f t="shared" si="54"/>
        <v>6.4265291371023991E-3</v>
      </c>
      <c r="AO94" s="9">
        <f t="shared" si="54"/>
        <v>-4.6049982203514974E-3</v>
      </c>
      <c r="AP94" s="23"/>
      <c r="AQ94" s="25">
        <f t="shared" si="32"/>
        <v>518.23809032096585</v>
      </c>
      <c r="AR94" s="4"/>
      <c r="AS94" s="4"/>
      <c r="AT94" s="4"/>
      <c r="AU94" s="16"/>
      <c r="AV94" s="16"/>
      <c r="AX94" s="13">
        <f>1-W94/'6states,ExoDamages'!T94</f>
        <v>0.37679755033966034</v>
      </c>
      <c r="AY94" s="21">
        <f>-Y94*W94*X94^(-Parameters!B$52)*Parameters!B$46*Parameters!B$45*N94</f>
        <v>-4.7098112298277857E-5</v>
      </c>
      <c r="AZ94" s="7">
        <f>1000*EXP(-(Parameters!$B$54)*'6states,BAU'!A94)*AQ94*Parameters!B$46*Parameters!B$45*N94</f>
        <v>1.9346783068693023</v>
      </c>
      <c r="BA94" s="7">
        <f>SUM(AZ94:AZ$204)*EXP(Parameters!$B$54*A94)</f>
        <v>1462.7243302191389</v>
      </c>
      <c r="BB94" s="43">
        <f t="shared" si="53"/>
        <v>0.40540007566790937</v>
      </c>
      <c r="BC94" s="30">
        <f>IF(C94&lt;0,Parameters!$B$6*AC94^2/AF94,0)</f>
        <v>0</v>
      </c>
      <c r="BD94" s="30">
        <f>Parameters!$B$5*AD94^2/AG94</f>
        <v>8.9095242334553848E-2</v>
      </c>
      <c r="BE94" s="30">
        <f t="shared" si="43"/>
        <v>0</v>
      </c>
      <c r="BF94" s="30">
        <f t="shared" si="44"/>
        <v>5.9567518060993391E-2</v>
      </c>
      <c r="BH94" s="5"/>
      <c r="BI94" s="5"/>
      <c r="BJ94" s="5"/>
      <c r="BM94">
        <f>-EXP(-Parameters!B$42*'6states,BAU'!A94)*(-Parameters!B$37/Parameters!B$38/Parameters!E$25*(EXP(-Parameters!B$38*Parameters!E$25*'6states,BAU'!I94/('6states,BAU'!F94+'6states,BAU'!I94))-EXP(-Parameters!B$38*Parameters!E$25))+Parameters!B$37*'6states,BAU'!F94/('6states,BAU'!F94+'6states,BAU'!I94)*EXP(-Parameters!B$38*Parameters!E$25*'6states,BAU'!I94/('6states,BAU'!F94+'6states,BAU'!I94)))</f>
        <v>-2.4295489664513292</v>
      </c>
      <c r="BN94">
        <f>-J94*K94*EXP(-Parameters!B$42*'6states,BAU'!A94)*(-Parameters!B$37/Parameters!B$38/Parameters!E$25*(EXP(-Parameters!B$38*Parameters!E$25*'6states,BAU'!I94/('6states,BAU'!F94+'6states,BAU'!I94))-EXP(-Parameters!B$38*Parameters!E$25)) + Parameters!B$37*'6states,BAU'!F94/('6states,BAU'!F94+'6states,BAU'!I94)*EXP(-Parameters!B$38*Parameters!E$25*'6states,BAU'!I94/('6states,BAU'!F94+'6states,BAU'!I94)))</f>
        <v>-1384.1744868468188</v>
      </c>
      <c r="BO94" s="7">
        <f t="shared" si="33"/>
        <v>0</v>
      </c>
      <c r="BU94">
        <f>EXP(-Parameters!$B$56*A94)*BH94*BN94</f>
        <v>0</v>
      </c>
      <c r="BV94">
        <f>-EXP((Parameters!$B$56)*F94)*SUM(BU94:BU102)</f>
        <v>0</v>
      </c>
      <c r="BW94">
        <f>X94^-Parameters!B$52/(1-2*Parameters!B$5*'6states,BAU'!D94/'6states,BAU'!G94)</f>
        <v>2.6026784643405159</v>
      </c>
      <c r="BX94">
        <f t="shared" si="45"/>
        <v>1.0378825805080656</v>
      </c>
      <c r="BY94">
        <f>$X94^-Parameters!$B$52/(1-2*Parameters!$B$5*'6states,BAU'!$E94/'6states,BAU'!$H94)</f>
        <v>2.6507640599016358</v>
      </c>
      <c r="BZ94">
        <f t="shared" si="46"/>
        <v>1.0374423464223925</v>
      </c>
      <c r="CA94" s="7">
        <f>($X94^-Parameters!$B$52*(1/(1+EXP(-C94)) + IF(C94&lt;0,2*Parameters!$B$6*C94/F94,0)) + BS94*(1/(1+EXP((C94-Parameters!$B$22)*Parameters!$B$21))))/(1-IF(C94&gt;0,2*Parameters!$B$5*C94/F94,0))</f>
        <v>1.3656646833457915</v>
      </c>
      <c r="CB94">
        <f t="shared" si="47"/>
        <v>1.0374242153457811</v>
      </c>
      <c r="CC94" s="7">
        <f t="shared" si="48"/>
        <v>4.9265217105642689E-2</v>
      </c>
    </row>
    <row r="95" spans="1:84" x14ac:dyDescent="0.3">
      <c r="A95">
        <f>A94+Parameters!$B$65</f>
        <v>91</v>
      </c>
      <c r="B95">
        <v>2116</v>
      </c>
      <c r="C95" s="74">
        <v>5.9977015058810902E-2</v>
      </c>
      <c r="D95" s="69">
        <v>2.61557194187893E-3</v>
      </c>
      <c r="E95" s="75">
        <v>0.30618472429347698</v>
      </c>
      <c r="F95" s="7">
        <f>MAX((1-Parameters!$B$4)^Parameters!B$65*F94 + C94*Parameters!B$65 - IF(C94&gt;0,Parameters!$B$5,0)*C94^2/F94*Parameters!B$65, 0.0001)</f>
        <v>0.88554066660979869</v>
      </c>
      <c r="G95" s="7">
        <f>(1-Parameters!$B$4)^Parameters!B$65*G94+D94*Parameters!B$65-Parameters!$B$5*D94^2/G94*Parameters!B$65</f>
        <v>4.3769512584318437E-2</v>
      </c>
      <c r="H95" s="7">
        <f>(1-Parameters!$B$4)^Parameters!B$65*H94+E94*Parameters!B$65-Parameters!$B$5*E94^2/H94*Parameters!B$65</f>
        <v>4.532478665177841</v>
      </c>
      <c r="I95" s="7">
        <f>I94 *(1-Parameters!$B$4)-C94*(C94&lt;0)*Parameters!B$65</f>
        <v>0</v>
      </c>
      <c r="J95" s="23">
        <f>J94*(1+Parameters!$B$51)^Parameters!B$65</f>
        <v>10.620246772973491</v>
      </c>
      <c r="K95" s="23">
        <f>K94*(1+Parameters!$B$53)^Parameters!B$65</f>
        <v>54.876749430478455</v>
      </c>
      <c r="L95" s="23">
        <f>J95*K95*EXP(-Parameters!$B$42*'6states,BAU'!A95)*(Parameters!$B$37/Parameters!$B$38*('6states,BAU'!F95+'6states,BAU'!I95)/Parameters!$E$25*(EXP(-Parameters!$B$38*Parameters!$E$25*'6states,BAU'!I95/('6states,BAU'!F95+'6states,BAU'!I95))-EXP(-Parameters!$B$38*Parameters!$E$25))  +  Parameters!$B$39*'6states,BAU'!F95)</f>
        <v>189.18485302252972</v>
      </c>
      <c r="M95" s="8">
        <f>M94+L95*Parameters!B$65</f>
        <v>12337.53055068482</v>
      </c>
      <c r="N95" s="7">
        <f>M95*Parameters!$B$45</f>
        <v>7.4025183304108912</v>
      </c>
      <c r="O95" s="9">
        <f>EXP(-Parameters!$B$46/2*N95^2)</f>
        <v>0.57653879921983542</v>
      </c>
      <c r="P95" s="7">
        <f>MAX((Parameters!$B$62 + Parameters!$B$31*'6states,BAU'!A95 - '6states,BAU'!M95 + Parameters!$B$47/Parameters!$B$45)/Parameters!B$62,1)</f>
        <v>1</v>
      </c>
      <c r="Q95" s="7">
        <f>Parameters!B$61*EXP(-Parameters!B$60*A95)</f>
        <v>4.2845820331124176E-2</v>
      </c>
      <c r="R95" s="7">
        <f>(1-Parameters!B$61)*P95^-Parameters!B$63</f>
        <v>0.5</v>
      </c>
      <c r="S95" s="7">
        <f>Parameters!B$61*EXP(-Parameters!B$60*A95)+(1-Parameters!B$61)*P95^-Parameters!B$63</f>
        <v>0.54284582033112416</v>
      </c>
      <c r="T95" s="7">
        <f>1-S95/Parameters!$B$12</f>
        <v>0.72857708983443792</v>
      </c>
      <c r="U95" s="7">
        <f t="shared" si="34"/>
        <v>3.6842873705466563</v>
      </c>
      <c r="V95" s="7">
        <f>(Parameters!$B$19*(F95+Parameters!$B$20)^T95+Parameters!$B$18*G95^T95)^(1/T95)</f>
        <v>0.58126794569738816</v>
      </c>
      <c r="W95" s="7">
        <f>(Parameters!$B$10*H95^Parameters!$B$9+Parameters!$B$11*V95^Parameters!$B$9)^(Parameters!$B$7/Parameters!$B$9)*O95</f>
        <v>0.89453794334108117</v>
      </c>
      <c r="X95" s="7">
        <f>W95 - D95 - E95 - LN(1+EXP(Parameters!$B$21*C95))/Parameters!$B$21 - IF(C95&gt;0, 0,Parameters!$B$6*C95^2/F95)</f>
        <v>0.52576063199579648</v>
      </c>
      <c r="Y95" s="7">
        <f>EXP(-Parameters!$B$55*A95)</f>
        <v>0.2530672538717339</v>
      </c>
      <c r="Z95" s="7">
        <f>IF(X95&gt;0,X95^(1-Parameters!$B$52)/(1-Parameters!$B$52)*Y95*Parameters!$B$65,-10+X95*1000)</f>
        <v>-0.90550757081097433</v>
      </c>
      <c r="AC95" s="23">
        <f t="shared" si="35"/>
        <v>34.954881533079245</v>
      </c>
      <c r="AD95" s="23">
        <f t="shared" si="35"/>
        <v>1.5243674144165829</v>
      </c>
      <c r="AE95" s="23">
        <f t="shared" si="36"/>
        <v>0</v>
      </c>
      <c r="AF95" s="23">
        <f t="shared" si="37"/>
        <v>516.09719262816589</v>
      </c>
      <c r="AG95" s="23">
        <f t="shared" si="38"/>
        <v>25.509074195260645</v>
      </c>
      <c r="AH95" s="23">
        <f t="shared" si="39"/>
        <v>338.76564482086059</v>
      </c>
      <c r="AI95" s="23">
        <f t="shared" si="40"/>
        <v>833.72804330527504</v>
      </c>
      <c r="AJ95" s="23">
        <f t="shared" si="41"/>
        <v>521.34084708402577</v>
      </c>
      <c r="AK95" s="23">
        <f t="shared" si="42"/>
        <v>306.41572589348362</v>
      </c>
      <c r="AL95" s="9">
        <f t="shared" si="51"/>
        <v>5.9692744140811271E-3</v>
      </c>
      <c r="AM95" s="9">
        <f t="shared" si="51"/>
        <v>-5.6255134459783918E-3</v>
      </c>
      <c r="AN95" s="9">
        <f t="shared" si="54"/>
        <v>5.9565769133060444E-3</v>
      </c>
      <c r="AO95" s="9">
        <f t="shared" si="54"/>
        <v>-5.7126461727230902E-3</v>
      </c>
      <c r="AP95" s="23"/>
      <c r="AQ95" s="25">
        <f t="shared" si="32"/>
        <v>521.34084708402577</v>
      </c>
      <c r="AR95" s="4"/>
      <c r="AS95" s="4"/>
      <c r="AT95" s="4"/>
      <c r="AU95" s="16"/>
      <c r="AV95" s="16"/>
      <c r="AX95" s="13">
        <f>1-W95/'6states,ExoDamages'!T95</f>
        <v>0.38705935463002117</v>
      </c>
      <c r="AY95" s="21">
        <f>-Y95*W95*X95^(-Parameters!B$52)*Parameters!B$46*Parameters!B$45*N95</f>
        <v>-4.8139062941759641E-5</v>
      </c>
      <c r="AZ95" s="7">
        <f>1000*EXP(-(Parameters!$B$54)*'6states,BAU'!A95)*AQ95*Parameters!B$46*Parameters!B$45*N95</f>
        <v>1.9083962209751133</v>
      </c>
      <c r="BA95" s="7">
        <f>SUM(AZ95:AZ$204)*EXP(Parameters!$B$54*A95)</f>
        <v>1467.7942857245807</v>
      </c>
      <c r="BB95" s="43">
        <f t="shared" si="53"/>
        <v>0.41225452093937009</v>
      </c>
      <c r="BC95" s="30">
        <f>IF(C95&lt;0,Parameters!$B$6*AC95^2/AF95,0)</f>
        <v>0</v>
      </c>
      <c r="BD95" s="30">
        <f>Parameters!$B$5*AD95^2/AG95</f>
        <v>9.1092918400261652E-2</v>
      </c>
      <c r="BE95" s="30">
        <f t="shared" si="43"/>
        <v>0</v>
      </c>
      <c r="BF95" s="30">
        <f t="shared" si="44"/>
        <v>5.9757849412653184E-2</v>
      </c>
      <c r="BH95" s="5"/>
      <c r="BI95" s="5"/>
      <c r="BJ95" s="5"/>
      <c r="BM95">
        <f>-EXP(-Parameters!B$42*'6states,BAU'!A95)*(-Parameters!B$37/Parameters!B$38/Parameters!E$25*(EXP(-Parameters!B$38*Parameters!E$25*'6states,BAU'!I95/('6states,BAU'!F95+'6states,BAU'!I95))-EXP(-Parameters!B$38*Parameters!E$25))+Parameters!B$37*'6states,BAU'!F95/('6states,BAU'!F95+'6states,BAU'!I95)*EXP(-Parameters!B$38*Parameters!E$25*'6states,BAU'!I95/('6states,BAU'!F95+'6states,BAU'!I95)))</f>
        <v>-2.4053745503206012</v>
      </c>
      <c r="BN95">
        <f>-J95*K95*EXP(-Parameters!B$42*'6states,BAU'!A95)*(-Parameters!B$37/Parameters!B$38/Parameters!E$25*(EXP(-Parameters!B$38*Parameters!E$25*'6states,BAU'!I95/('6states,BAU'!F95+'6states,BAU'!I95))-EXP(-Parameters!B$38*Parameters!E$25)) + Parameters!B$37*'6states,BAU'!F95/('6states,BAU'!F95+'6states,BAU'!I95)*EXP(-Parameters!B$38*Parameters!E$25*'6states,BAU'!I95/('6states,BAU'!F95+'6states,BAU'!I95)))</f>
        <v>-1401.8634032836669</v>
      </c>
      <c r="BO95" s="7">
        <f t="shared" si="33"/>
        <v>0</v>
      </c>
      <c r="BU95">
        <f>EXP(-Parameters!$B$56*A95)*BH95*BN95</f>
        <v>0</v>
      </c>
      <c r="BV95">
        <f>-EXP((Parameters!$B$56)*F95)*SUM(BU95:BU103)</f>
        <v>0</v>
      </c>
      <c r="BW95">
        <f>X95^-Parameters!B$52/(1-2*Parameters!B$5*'6states,BAU'!D95/'6states,BAU'!G95)</f>
        <v>2.7052941716204271</v>
      </c>
      <c r="BX95">
        <f t="shared" si="45"/>
        <v>1.0394269629098856</v>
      </c>
      <c r="BY95">
        <f>$X95^-Parameters!$B$52/(1-2*Parameters!$B$5*'6states,BAU'!$E95/'6states,BAU'!$H95)</f>
        <v>2.7540620159911686</v>
      </c>
      <c r="BZ95">
        <f t="shared" si="46"/>
        <v>1.0389691250353552</v>
      </c>
      <c r="CA95" s="7">
        <f>($X95^-Parameters!$B$52*(1/(1+EXP(-C95)) + IF(C95&lt;0,2*Parameters!$B$6*C95/F95,0)) + BS95*(1/(1+EXP((C95-Parameters!$B$22)*Parameters!$B$21))))/(1-IF(C95&gt;0,2*Parameters!$B$5*C95/F95,0))</f>
        <v>1.4188904770555304</v>
      </c>
      <c r="CB95">
        <f t="shared" si="47"/>
        <v>1.0389742770380055</v>
      </c>
      <c r="CC95" s="7">
        <f t="shared" si="48"/>
        <v>5.32257937097389E-2</v>
      </c>
    </row>
    <row r="96" spans="1:84" x14ac:dyDescent="0.3">
      <c r="A96">
        <f>A95+Parameters!$B$65</f>
        <v>92</v>
      </c>
      <c r="B96">
        <v>2117</v>
      </c>
      <c r="C96" s="74">
        <v>5.9978091275947901E-2</v>
      </c>
      <c r="D96" s="69">
        <v>2.6050856879330899E-3</v>
      </c>
      <c r="E96" s="75">
        <v>0.30624915116430701</v>
      </c>
      <c r="F96" s="7">
        <f>MAX((1-Parameters!$B$4)^Parameters!B$65*F95 + C95*Parameters!B$65 - IF(C95&gt;0,Parameters!$B$5,0)*C95^2/F95*Parameters!B$65, 0.0001)</f>
        <v>0.88575497482354371</v>
      </c>
      <c r="G96" s="7">
        <f>(1-Parameters!$B$4)^Parameters!B$65*G95+D95*Parameters!B$65-Parameters!$B$5*D95^2/G95*Parameters!B$65</f>
        <v>4.3475681230412982E-2</v>
      </c>
      <c r="H96" s="7">
        <f>(1-Parameters!$B$4)^Parameters!B$65*H95+E95*Parameters!B$65-Parameters!$B$5*E95^2/H95*Parameters!B$65</f>
        <v>4.5328866366049745</v>
      </c>
      <c r="I96" s="7">
        <f>I95 *(1-Parameters!$B$4)-C95*(C95&lt;0)*Parameters!B$65</f>
        <v>0</v>
      </c>
      <c r="J96" s="23">
        <f>J95*(1+Parameters!$B$51)^Parameters!B$65</f>
        <v>10.651045488615113</v>
      </c>
      <c r="K96" s="23">
        <f>K95*(1+Parameters!$B$53)^Parameters!B$65</f>
        <v>55.974284419088022</v>
      </c>
      <c r="L96" s="23">
        <f>J96*K96*EXP(-Parameters!$B$42*'6states,BAU'!A96)*(Parameters!$B$37/Parameters!$B$38*('6states,BAU'!F96+'6states,BAU'!I96)/Parameters!$E$25*(EXP(-Parameters!$B$38*Parameters!$E$25*'6states,BAU'!I96/('6states,BAU'!F96+'6states,BAU'!I96))-EXP(-Parameters!$B$38*Parameters!$E$25))  +  Parameters!$B$39*'6states,BAU'!F96)</f>
        <v>191.64889092852954</v>
      </c>
      <c r="M96" s="8">
        <f>M95+L96*Parameters!B$65</f>
        <v>12529.179441613349</v>
      </c>
      <c r="N96" s="7">
        <f>M96*Parameters!$B$45</f>
        <v>7.5175076649680088</v>
      </c>
      <c r="O96" s="9">
        <f>EXP(-Parameters!$B$46/2*N96^2)</f>
        <v>0.56668320031609909</v>
      </c>
      <c r="P96" s="7">
        <f>MAX((Parameters!$B$62 + Parameters!$B$31*'6states,BAU'!A96 - '6states,BAU'!M96 + Parameters!$B$47/Parameters!$B$45)/Parameters!B$62,1)</f>
        <v>1</v>
      </c>
      <c r="Q96" s="7">
        <f>Parameters!B$61*EXP(-Parameters!B$60*A96)</f>
        <v>4.1704460871631696E-2</v>
      </c>
      <c r="R96" s="7">
        <f>(1-Parameters!B$61)*P96^-Parameters!B$63</f>
        <v>0.5</v>
      </c>
      <c r="S96" s="7">
        <f>Parameters!B$61*EXP(-Parameters!B$60*A96)+(1-Parameters!B$61)*P96^-Parameters!B$63</f>
        <v>0.54170446087163171</v>
      </c>
      <c r="T96" s="7">
        <f>1-S96/Parameters!$B$12</f>
        <v>0.72914776956418414</v>
      </c>
      <c r="U96" s="7">
        <f t="shared" si="34"/>
        <v>3.6920500835121279</v>
      </c>
      <c r="V96" s="7">
        <f>(Parameters!$B$19*(F96+Parameters!$B$20)^T96+Parameters!$B$18*G96^T96)^(1/T96)</f>
        <v>0.58135392593093949</v>
      </c>
      <c r="W96" s="7">
        <f>(Parameters!$B$10*H96^Parameters!$B$9+Parameters!$B$11*V96^Parameters!$B$9)^(Parameters!$B$7/Parameters!$B$9)*O96</f>
        <v>0.87927269458771962</v>
      </c>
      <c r="X96" s="7">
        <f>W96 - D96 - E96 - LN(1+EXP(Parameters!$B$21*C96))/Parameters!$B$21 - IF(C96&gt;0, 0,Parameters!$B$6*C96^2/F96)</f>
        <v>0.51044036640843038</v>
      </c>
      <c r="Y96" s="7">
        <f>EXP(-Parameters!$B$55*A96)</f>
        <v>0.24927464460072962</v>
      </c>
      <c r="Z96" s="7">
        <f>IF(X96&gt;0,X96^(1-Parameters!$B$52)/(1-Parameters!$B$52)*Y96*Parameters!$B$65,-10+X96*1000)</f>
        <v>-0.90121685865693157</v>
      </c>
      <c r="AC96" s="23">
        <f t="shared" si="35"/>
        <v>35.758017327452322</v>
      </c>
      <c r="AD96" s="23">
        <f t="shared" si="35"/>
        <v>1.5531120978830664</v>
      </c>
      <c r="AE96" s="23">
        <f t="shared" si="36"/>
        <v>0</v>
      </c>
      <c r="AF96" s="23">
        <f t="shared" si="37"/>
        <v>528.0735192438284</v>
      </c>
      <c r="AG96" s="23">
        <f t="shared" si="38"/>
        <v>25.919533777883331</v>
      </c>
      <c r="AH96" s="23">
        <f t="shared" si="39"/>
        <v>346.59428659006505</v>
      </c>
      <c r="AI96" s="23">
        <f t="shared" si="40"/>
        <v>852.99492672088297</v>
      </c>
      <c r="AJ96" s="23">
        <f t="shared" si="41"/>
        <v>524.20888327321109</v>
      </c>
      <c r="AK96" s="23">
        <f t="shared" si="42"/>
        <v>304.31671095847668</v>
      </c>
      <c r="AL96" s="9">
        <f t="shared" si="51"/>
        <v>5.4861921905668964E-3</v>
      </c>
      <c r="AM96" s="9">
        <f t="shared" si="51"/>
        <v>-6.8737898072477321E-3</v>
      </c>
      <c r="AN96" s="9">
        <f t="shared" si="54"/>
        <v>5.4737936701425129E-3</v>
      </c>
      <c r="AO96" s="9">
        <f t="shared" si="54"/>
        <v>-6.8856174793287652E-3</v>
      </c>
      <c r="AP96" s="23"/>
      <c r="AQ96" s="25">
        <f t="shared" si="32"/>
        <v>524.20888327321109</v>
      </c>
      <c r="AR96" s="4"/>
      <c r="AS96" s="4"/>
      <c r="AT96" s="4"/>
      <c r="AU96" s="16"/>
      <c r="AV96" s="16"/>
      <c r="AX96" s="13">
        <f>1-W96/'6states,ExoDamages'!T96</f>
        <v>0.39744558042849798</v>
      </c>
      <c r="AY96" s="21">
        <f>-Y96*W96*X96^(-Parameters!B$52)*Parameters!B$46*Parameters!B$45*N96</f>
        <v>-4.9260306966295413E-5</v>
      </c>
      <c r="AZ96" s="7">
        <f>1000*EXP(-(Parameters!$B$54)*'6states,BAU'!A96)*AQ96*Parameters!B$46*Parameters!B$45*N96</f>
        <v>1.8814896025799928</v>
      </c>
      <c r="BA96" s="7">
        <f>SUM(AZ96:AZ$204)*EXP(Parameters!$B$54*A96)</f>
        <v>1472.0236836462491</v>
      </c>
      <c r="BB96" s="43">
        <f t="shared" si="53"/>
        <v>0.41947433418380975</v>
      </c>
      <c r="BC96" s="30">
        <f>IF(C96&lt;0,Parameters!$B$6*AC96^2/AF96,0)</f>
        <v>0</v>
      </c>
      <c r="BD96" s="30">
        <f>Parameters!$B$5*AD96^2/AG96</f>
        <v>9.3063293856349746E-2</v>
      </c>
      <c r="BE96" s="30">
        <f t="shared" si="43"/>
        <v>0</v>
      </c>
      <c r="BF96" s="30">
        <f t="shared" si="44"/>
        <v>5.992052600916413E-2</v>
      </c>
      <c r="BH96" s="5"/>
      <c r="BI96" s="5"/>
      <c r="BJ96" s="5"/>
      <c r="BM96">
        <f>-EXP(-Parameters!B$42*'6states,BAU'!A96)*(-Parameters!B$37/Parameters!B$38/Parameters!E$25*(EXP(-Parameters!B$38*Parameters!E$25*'6states,BAU'!I96/('6states,BAU'!F96+'6states,BAU'!I96))-EXP(-Parameters!B$38*Parameters!E$25))+Parameters!B$37*'6states,BAU'!F96/('6states,BAU'!F96+'6states,BAU'!I96)*EXP(-Parameters!B$38*Parameters!E$25*'6states,BAU'!I96/('6states,BAU'!F96+'6states,BAU'!I96)))</f>
        <v>-2.3814406736493909</v>
      </c>
      <c r="BN96">
        <f>-J96*K96*EXP(-Parameters!B$42*'6states,BAU'!A96)*(-Parameters!B$37/Parameters!B$38/Parameters!E$25*(EXP(-Parameters!B$38*Parameters!E$25*'6states,BAU'!I96/('6states,BAU'!F96+'6states,BAU'!I96))-EXP(-Parameters!B$38*Parameters!E$25)) + Parameters!B$37*'6states,BAU'!F96/('6states,BAU'!F96+'6states,BAU'!I96)*EXP(-Parameters!B$38*Parameters!E$25*'6states,BAU'!I96/('6states,BAU'!F96+'6states,BAU'!I96)))</f>
        <v>-1419.7783734208847</v>
      </c>
      <c r="BO96" s="7">
        <f t="shared" si="33"/>
        <v>0</v>
      </c>
      <c r="BU96">
        <f>EXP(-Parameters!$B$56*A96)*BH96*BN96</f>
        <v>0</v>
      </c>
      <c r="BV96">
        <f>-EXP((Parameters!$B$56)*F96)*SUM(BU96:BU104)</f>
        <v>0</v>
      </c>
      <c r="BW96">
        <f>X96^-Parameters!B$52/(1-2*Parameters!B$5*'6states,BAU'!D96/'6states,BAU'!G96)</f>
        <v>2.8165218557021876</v>
      </c>
      <c r="BX96">
        <f t="shared" si="45"/>
        <v>1.0411148204319447</v>
      </c>
      <c r="BY96">
        <f>$X96^-Parameters!$B$52/(1-2*Parameters!$B$5*'6states,BAU'!$E96/'6states,BAU'!$H96)</f>
        <v>2.8662891770685621</v>
      </c>
      <c r="BZ96">
        <f t="shared" si="46"/>
        <v>1.0407496855284153</v>
      </c>
      <c r="CA96" s="7">
        <f>($X96^-Parameters!$B$52*(1/(1+EXP(-C96)) + IF(C96&lt;0,2*Parameters!$B$6*C96/F96,0)) + BS96*(1/(1+EXP((C96-Parameters!$B$22)*Parameters!$B$21))))/(1-IF(C96&gt;0,2*Parameters!$B$5*C96/F96,0))</f>
        <v>1.4766309878959691</v>
      </c>
      <c r="CB96">
        <f t="shared" si="47"/>
        <v>1.0406941281051243</v>
      </c>
      <c r="CC96" s="7">
        <f t="shared" si="48"/>
        <v>5.7740510840438741E-2</v>
      </c>
    </row>
    <row r="97" spans="1:81" x14ac:dyDescent="0.3">
      <c r="A97">
        <f>A96+Parameters!$B$65</f>
        <v>93</v>
      </c>
      <c r="B97">
        <v>2118</v>
      </c>
      <c r="C97" s="74">
        <v>5.9994855514489701E-2</v>
      </c>
      <c r="D97" s="69">
        <v>2.5962422323264601E-3</v>
      </c>
      <c r="E97" s="75">
        <v>0.30624801447822803</v>
      </c>
      <c r="F97" s="7">
        <f>MAX((1-Parameters!$B$4)^Parameters!B$65*F96 + C96*Parameters!B$65 - IF(C96&gt;0,Parameters!$B$5,0)*C96^2/F96*Parameters!B$65, 0.0001)</f>
        <v>0.88595771636706189</v>
      </c>
      <c r="G97" s="7">
        <f>(1-Parameters!$B$4)^Parameters!B$65*G96+D96*Parameters!B$65-Parameters!$B$5*D96^2/G96*Parameters!B$65</f>
        <v>4.3190048464233209E-2</v>
      </c>
      <c r="H97" s="7">
        <f>(1-Parameters!$B$4)^Parameters!B$65*H96+E96*Parameters!B$65-Parameters!$B$5*E96^2/H96*Parameters!B$65</f>
        <v>4.5333265304478338</v>
      </c>
      <c r="I97" s="7">
        <f>I96 *(1-Parameters!$B$4)-C96*(C96&lt;0)*Parameters!B$65</f>
        <v>0</v>
      </c>
      <c r="J97" s="23">
        <f>J96*(1+Parameters!$B$51)^Parameters!B$65</f>
        <v>10.681933520532095</v>
      </c>
      <c r="K97" s="23">
        <f>K96*(1+Parameters!$B$53)^Parameters!B$65</f>
        <v>57.09377010746978</v>
      </c>
      <c r="L97" s="23">
        <f>J97*K97*EXP(-Parameters!$B$42*'6states,BAU'!A97)*(Parameters!$B$37/Parameters!$B$38*('6states,BAU'!F97+'6states,BAU'!I97)/Parameters!$E$25*(EXP(-Parameters!$B$38*Parameters!$E$25*'6states,BAU'!I97/('6states,BAU'!F97+'6states,BAU'!I97))-EXP(-Parameters!$B$38*Parameters!$E$25))  +  Parameters!$B$39*'6states,BAU'!F97)</f>
        <v>194.14247569039657</v>
      </c>
      <c r="M97" s="8">
        <f>M96+L97*Parameters!B$65</f>
        <v>12723.321917303745</v>
      </c>
      <c r="N97" s="7">
        <f>M97*Parameters!$B$45</f>
        <v>7.6339931503822465</v>
      </c>
      <c r="O97" s="9">
        <f>EXP(-Parameters!$B$46/2*N97^2)</f>
        <v>0.55672025145584336</v>
      </c>
      <c r="P97" s="7">
        <f>MAX((Parameters!$B$62 + Parameters!$B$31*'6states,BAU'!A97 - '6states,BAU'!M97 + Parameters!$B$47/Parameters!$B$45)/Parameters!B$62,1)</f>
        <v>1</v>
      </c>
      <c r="Q97" s="7">
        <f>Parameters!B$61*EXP(-Parameters!B$60*A97)</f>
        <v>4.0593505811114546E-2</v>
      </c>
      <c r="R97" s="7">
        <f>(1-Parameters!B$61)*P97^-Parameters!B$63</f>
        <v>0.5</v>
      </c>
      <c r="S97" s="7">
        <f>Parameters!B$61*EXP(-Parameters!B$60*A97)+(1-Parameters!B$61)*P97^-Parameters!B$63</f>
        <v>0.54059350581111454</v>
      </c>
      <c r="T97" s="7">
        <f>1-S97/Parameters!$B$12</f>
        <v>0.72970324709444268</v>
      </c>
      <c r="U97" s="7">
        <f t="shared" si="34"/>
        <v>3.6996374882439067</v>
      </c>
      <c r="V97" s="7">
        <f>(Parameters!$B$19*(F97+Parameters!$B$20)^T97+Parameters!$B$18*G97^T97)^(1/T97)</f>
        <v>0.58143438933261649</v>
      </c>
      <c r="W97" s="7">
        <f>(Parameters!$B$10*H97^Parameters!$B$9+Parameters!$B$11*V97^Parameters!$B$9)^(Parameters!$B$7/Parameters!$B$9)*O97</f>
        <v>0.8638410459178435</v>
      </c>
      <c r="X97" s="7">
        <f>W97 - D97 - E97 - LN(1+EXP(Parameters!$B$21*C97))/Parameters!$B$21 - IF(C97&gt;0, 0,Parameters!$B$6*C97^2/F97)</f>
        <v>0.49500193364195433</v>
      </c>
      <c r="Y97" s="7">
        <f>EXP(-Parameters!$B$55*A97)</f>
        <v>0.24553887352140147</v>
      </c>
      <c r="Z97" s="7">
        <f>IF(X97&gt;0,X97^(1-Parameters!$B$52)/(1-Parameters!$B$52)*Y97*Parameters!$B$65,-10+X97*1000)</f>
        <v>-0.89730440817886681</v>
      </c>
      <c r="AC97" s="23">
        <f t="shared" si="35"/>
        <v>36.589173926542024</v>
      </c>
      <c r="AD97" s="23">
        <f t="shared" si="35"/>
        <v>1.5833750707355889</v>
      </c>
      <c r="AE97" s="23">
        <f t="shared" si="36"/>
        <v>0</v>
      </c>
      <c r="AF97" s="23">
        <f t="shared" si="37"/>
        <v>540.32067746020869</v>
      </c>
      <c r="AG97" s="23">
        <f t="shared" si="38"/>
        <v>26.340395048904547</v>
      </c>
      <c r="AH97" s="23">
        <f t="shared" si="39"/>
        <v>354.60047058577885</v>
      </c>
      <c r="AI97" s="23">
        <f t="shared" si="40"/>
        <v>872.69875507283473</v>
      </c>
      <c r="AJ97" s="23">
        <f t="shared" si="41"/>
        <v>526.83234258877928</v>
      </c>
      <c r="AK97" s="23">
        <f t="shared" si="42"/>
        <v>301.88774835245363</v>
      </c>
      <c r="AL97" s="9">
        <f t="shared" si="51"/>
        <v>4.9921253312446012E-3</v>
      </c>
      <c r="AM97" s="9">
        <f t="shared" si="51"/>
        <v>-8.0137173774694759E-3</v>
      </c>
      <c r="AN97" s="9">
        <f t="shared" si="54"/>
        <v>4.9778008083171347E-3</v>
      </c>
      <c r="AO97" s="9">
        <f t="shared" si="54"/>
        <v>-8.1207668937269169E-3</v>
      </c>
      <c r="AP97" s="23"/>
      <c r="AQ97" s="25">
        <f t="shared" si="32"/>
        <v>526.83234258877928</v>
      </c>
      <c r="AR97" s="4"/>
      <c r="AS97" s="4"/>
      <c r="AT97" s="4"/>
      <c r="AU97" s="16"/>
      <c r="AV97" s="16"/>
      <c r="AX97" s="13">
        <f>1-W97/'6states,ExoDamages'!T97</f>
        <v>0.40795040588351228</v>
      </c>
      <c r="AY97" s="21">
        <f>-Y97*W97*X97^(-Parameters!B$52)*Parameters!B$46*Parameters!B$45*N97</f>
        <v>-5.045844469645741E-5</v>
      </c>
      <c r="AZ97" s="7">
        <f>1000*EXP(-(Parameters!$B$54)*'6states,BAU'!A97)*AQ97*Parameters!B$46*Parameters!B$45*N97</f>
        <v>1.8539756472484139</v>
      </c>
      <c r="BA97" s="7">
        <f>SUM(AZ97:AZ$204)*EXP(Parameters!$B$54*A97)</f>
        <v>1475.38605353599</v>
      </c>
      <c r="BB97" s="43">
        <f t="shared" si="53"/>
        <v>0.42697567332326436</v>
      </c>
      <c r="BC97" s="30">
        <f>IF(C97&lt;0,Parameters!$B$6*AC97^2/AF97,0)</f>
        <v>0</v>
      </c>
      <c r="BD97" s="30">
        <f>Parameters!$B$5*AD97^2/AG97</f>
        <v>9.5179917004745013E-2</v>
      </c>
      <c r="BE97" s="30">
        <f t="shared" si="43"/>
        <v>0</v>
      </c>
      <c r="BF97" s="30">
        <f t="shared" si="44"/>
        <v>6.0112047210979049E-2</v>
      </c>
      <c r="BH97" s="5"/>
      <c r="BI97" s="5"/>
      <c r="BJ97" s="5"/>
      <c r="BM97">
        <f>-EXP(-Parameters!B$42*'6states,BAU'!A97)*(-Parameters!B$37/Parameters!B$38/Parameters!E$25*(EXP(-Parameters!B$38*Parameters!E$25*'6states,BAU'!I97/('6states,BAU'!F97+'6states,BAU'!I97))-EXP(-Parameters!B$38*Parameters!E$25))+Parameters!B$37*'6states,BAU'!F97/('6states,BAU'!F97+'6states,BAU'!I97)*EXP(-Parameters!B$38*Parameters!E$25*'6states,BAU'!I97/('6states,BAU'!F97+'6states,BAU'!I97)))</f>
        <v>-2.3577449430300863</v>
      </c>
      <c r="BN97">
        <f>-J97*K97*EXP(-Parameters!B$42*'6states,BAU'!A97)*(-Parameters!B$37/Parameters!B$38/Parameters!E$25*(EXP(-Parameters!B$38*Parameters!E$25*'6states,BAU'!I97/('6states,BAU'!F97+'6states,BAU'!I97))-EXP(-Parameters!B$38*Parameters!E$25)) + Parameters!B$37*'6states,BAU'!F97/('6states,BAU'!F97+'6states,BAU'!I97)*EXP(-Parameters!B$38*Parameters!E$25*'6states,BAU'!I97/('6states,BAU'!F97+'6states,BAU'!I97)))</f>
        <v>-1437.9222860886409</v>
      </c>
      <c r="BO97" s="7">
        <f t="shared" si="33"/>
        <v>0</v>
      </c>
      <c r="BU97">
        <f>EXP(-Parameters!$B$56*A97)*BH97*BN97</f>
        <v>0</v>
      </c>
      <c r="BV97">
        <f>-EXP((Parameters!$B$56)*F97)*SUM(BU97:BU105)</f>
        <v>0</v>
      </c>
      <c r="BW97">
        <f>X97^-Parameters!B$52/(1-2*Parameters!B$5*'6states,BAU'!D97/'6states,BAU'!G97)</f>
        <v>2.9370316553757849</v>
      </c>
      <c r="BX97">
        <f t="shared" si="45"/>
        <v>1.0427867440224614</v>
      </c>
      <c r="BY97">
        <f>$X97^-Parameters!$B$52/(1-2*Parameters!$B$5*'6states,BAU'!$E97/'6states,BAU'!$H97)</f>
        <v>2.9875805613841653</v>
      </c>
      <c r="BZ97">
        <f t="shared" si="46"/>
        <v>1.0423165203587907</v>
      </c>
      <c r="CA97" s="7">
        <f>($X97^-Parameters!$B$52*(1/(1+EXP(-C97)) + IF(C97&lt;0,2*Parameters!$B$6*C97/F97,0)) + BS97*(1/(1+EXP((C97-Parameters!$B$22)*Parameters!$B$21))))/(1-IF(C97&gt;0,2*Parameters!$B$5*C97/F97,0))</f>
        <v>1.5391658138049993</v>
      </c>
      <c r="CB97">
        <f t="shared" si="47"/>
        <v>1.0423496638101406</v>
      </c>
      <c r="CC97" s="7">
        <f t="shared" si="48"/>
        <v>6.2534825909030145E-2</v>
      </c>
    </row>
    <row r="98" spans="1:81" x14ac:dyDescent="0.3">
      <c r="A98">
        <f>A97+Parameters!$B$65</f>
        <v>94</v>
      </c>
      <c r="B98">
        <v>2119</v>
      </c>
      <c r="C98" s="74">
        <v>6.0020164679422602E-2</v>
      </c>
      <c r="D98" s="69">
        <v>2.5888504310127599E-3</v>
      </c>
      <c r="E98" s="75">
        <v>0.30626492779774001</v>
      </c>
      <c r="F98" s="7">
        <f>MAX((1-Parameters!$B$4)^Parameters!B$65*F97 + C97*Parameters!B$65 - IF(C97&gt;0,Parameters!$B$5,0)*C97^2/F97*Parameters!B$65, 0.0001)</f>
        <v>0.8861631289554398</v>
      </c>
      <c r="G98" s="7">
        <f>(1-Parameters!$B$4)^Parameters!B$65*G97+D97*Parameters!B$65-Parameters!$B$5*D97^2/G97*Parameters!B$65</f>
        <v>4.291357121251866E-2</v>
      </c>
      <c r="H98" s="7">
        <f>(1-Parameters!$B$4)^Parameters!B$65*H97+E97*Parameters!B$65-Parameters!$B$5*E97^2/H97*Parameters!B$65</f>
        <v>4.5337397795917314</v>
      </c>
      <c r="I98" s="7">
        <f>I97 *(1-Parameters!$B$4)-C97*(C97&lt;0)*Parameters!B$65</f>
        <v>0</v>
      </c>
      <c r="J98" s="23">
        <f>J97*(1+Parameters!$B$51)^Parameters!B$65</f>
        <v>10.712911127741636</v>
      </c>
      <c r="K98" s="23">
        <f>K97*(1+Parameters!$B$53)^Parameters!B$65</f>
        <v>58.235645509619175</v>
      </c>
      <c r="L98" s="23">
        <f>J98*K98*EXP(-Parameters!$B$42*'6states,BAU'!A98)*(Parameters!$B$37/Parameters!$B$38*('6states,BAU'!F98+'6states,BAU'!I98)/Parameters!$E$25*(EXP(-Parameters!$B$38*Parameters!$E$25*'6states,BAU'!I98/('6states,BAU'!F98+'6states,BAU'!I98))-EXP(-Parameters!$B$38*Parameters!$E$25))  +  Parameters!$B$39*'6states,BAU'!F98)</f>
        <v>196.66908751236372</v>
      </c>
      <c r="M98" s="8">
        <f>M97+L98*Parameters!B$65</f>
        <v>12919.991004816109</v>
      </c>
      <c r="N98" s="7">
        <f>M98*Parameters!$B$45</f>
        <v>7.7519946028896651</v>
      </c>
      <c r="O98" s="9">
        <f>EXP(-Parameters!$B$46/2*N98^2)</f>
        <v>0.54665418782143016</v>
      </c>
      <c r="P98" s="7">
        <f>MAX((Parameters!$B$62 + Parameters!$B$31*'6states,BAU'!A98 - '6states,BAU'!M98 + Parameters!$B$47/Parameters!$B$45)/Parameters!B$62,1)</f>
        <v>1</v>
      </c>
      <c r="Q98" s="7">
        <f>Parameters!B$61*EXP(-Parameters!B$60*A98)</f>
        <v>3.9512145214131843E-2</v>
      </c>
      <c r="R98" s="7">
        <f>(1-Parameters!B$61)*P98^-Parameters!B$63</f>
        <v>0.5</v>
      </c>
      <c r="S98" s="7">
        <f>Parameters!B$61*EXP(-Parameters!B$60*A98)+(1-Parameters!B$61)*P98^-Parameters!B$63</f>
        <v>0.53951214521413182</v>
      </c>
      <c r="T98" s="7">
        <f>1-S98/Parameters!$B$12</f>
        <v>0.73024392739293409</v>
      </c>
      <c r="U98" s="7">
        <f t="shared" si="34"/>
        <v>3.7070527841522494</v>
      </c>
      <c r="V98" s="7">
        <f>(Parameters!$B$19*(F98+Parameters!$B$20)^T98+Parameters!$B$18*G98^T98)^(1/T98)</f>
        <v>0.58151882227795559</v>
      </c>
      <c r="W98" s="7">
        <f>(Parameters!$B$10*H98^Parameters!$B$9+Parameters!$B$11*V98^Parameters!$B$9)^(Parameters!$B$7/Parameters!$B$9)*O98</f>
        <v>0.8482474838934162</v>
      </c>
      <c r="X98" s="7">
        <f>W98 - D98 - E98 - LN(1+EXP(Parameters!$B$21*C98))/Parameters!$B$21 - IF(C98&gt;0, 0,Parameters!$B$6*C98^2/F98)</f>
        <v>0.47937354093478035</v>
      </c>
      <c r="Y98" s="7">
        <f>EXP(-Parameters!$B$55*A98)</f>
        <v>0.24185908882440066</v>
      </c>
      <c r="Z98" s="7">
        <f>IF(X98&gt;0,X98^(1-Parameters!$B$52)/(1-Parameters!$B$52)*Y98*Parameters!$B$65,-10+X98*1000)</f>
        <v>-0.89383724512982332</v>
      </c>
      <c r="AC98" s="23">
        <f t="shared" si="35"/>
        <v>37.444977893663179</v>
      </c>
      <c r="AD98" s="23">
        <f t="shared" si="35"/>
        <v>1.6151146481693683</v>
      </c>
      <c r="AE98" s="23">
        <f t="shared" si="36"/>
        <v>0</v>
      </c>
      <c r="AF98" s="23">
        <f t="shared" si="37"/>
        <v>552.85351100164723</v>
      </c>
      <c r="AG98" s="23">
        <f t="shared" si="38"/>
        <v>26.772631064469788</v>
      </c>
      <c r="AH98" s="23">
        <f t="shared" si="39"/>
        <v>362.79406364928639</v>
      </c>
      <c r="AI98" s="23">
        <f t="shared" si="40"/>
        <v>892.86381140872777</v>
      </c>
      <c r="AJ98" s="23">
        <f t="shared" si="41"/>
        <v>529.1989525919098</v>
      </c>
      <c r="AK98" s="23">
        <f t="shared" si="42"/>
        <v>299.06835042830096</v>
      </c>
      <c r="AL98" s="9">
        <f t="shared" si="51"/>
        <v>4.4820905892821727E-3</v>
      </c>
      <c r="AM98" s="9">
        <f t="shared" si="51"/>
        <v>-9.3831100656851518E-3</v>
      </c>
      <c r="AN98" s="9">
        <f t="shared" si="54"/>
        <v>4.4680969281486686E-3</v>
      </c>
      <c r="AO98" s="9">
        <f t="shared" si="54"/>
        <v>-9.4628437787298118E-3</v>
      </c>
      <c r="AP98" s="23"/>
      <c r="AQ98" s="25">
        <f t="shared" si="32"/>
        <v>529.19895259190992</v>
      </c>
      <c r="AR98" s="4"/>
      <c r="AS98" s="4"/>
      <c r="AT98" s="4"/>
      <c r="AU98" s="16"/>
      <c r="AV98" s="16"/>
      <c r="AX98" s="13">
        <f>1-W98/'6states,ExoDamages'!T98</f>
        <v>0.41857050763330372</v>
      </c>
      <c r="AY98" s="21">
        <f>-Y98*W98*X98^(-Parameters!B$52)*Parameters!B$46*Parameters!B$45*N98</f>
        <v>-5.1753030010050906E-5</v>
      </c>
      <c r="AZ98" s="7">
        <f>1000*EXP(-(Parameters!$B$54)*'6states,BAU'!A98)*AQ98*Parameters!B$46*Parameters!B$45*N98</f>
        <v>1.8258644455678639</v>
      </c>
      <c r="BA98" s="7">
        <f>SUM(AZ98:AZ$204)*EXP(Parameters!$B$54*A98)</f>
        <v>1477.8556550231638</v>
      </c>
      <c r="BB98" s="43">
        <f t="shared" si="53"/>
        <v>0.43486594409341633</v>
      </c>
      <c r="BC98" s="30">
        <f>IF(C98&lt;0,Parameters!$B$6*AC98^2/AF98,0)</f>
        <v>0</v>
      </c>
      <c r="BD98" s="30">
        <f>Parameters!$B$5*AD98^2/AG98</f>
        <v>9.7435150114668925E-2</v>
      </c>
      <c r="BE98" s="30">
        <f t="shared" si="43"/>
        <v>0</v>
      </c>
      <c r="BF98" s="30">
        <f t="shared" si="44"/>
        <v>6.0327079706140728E-2</v>
      </c>
      <c r="BH98" s="5"/>
      <c r="BI98" s="5"/>
      <c r="BJ98" s="5"/>
      <c r="BM98">
        <f>-EXP(-Parameters!B$42*'6states,BAU'!A98)*(-Parameters!B$37/Parameters!B$38/Parameters!E$25*(EXP(-Parameters!B$38*Parameters!E$25*'6states,BAU'!I98/('6states,BAU'!F98+'6states,BAU'!I98))-EXP(-Parameters!B$38*Parameters!E$25))+Parameters!B$37*'6states,BAU'!F98/('6states,BAU'!F98+'6states,BAU'!I98)*EXP(-Parameters!B$38*Parameters!E$25*'6states,BAU'!I98/('6states,BAU'!F98+'6states,BAU'!I98)))</f>
        <v>-2.3342849888698787</v>
      </c>
      <c r="BN98">
        <f>-J98*K98*EXP(-Parameters!B$42*'6states,BAU'!A98)*(-Parameters!B$37/Parameters!B$38/Parameters!E$25*(EXP(-Parameters!B$38*Parameters!E$25*'6states,BAU'!I98/('6states,BAU'!F98+'6states,BAU'!I98))-EXP(-Parameters!B$38*Parameters!E$25)) + Parameters!B$37*'6states,BAU'!F98/('6states,BAU'!F98+'6states,BAU'!I98)*EXP(-Parameters!B$38*Parameters!E$25*'6states,BAU'!I98/('6states,BAU'!F98+'6states,BAU'!I98)))</f>
        <v>-1456.2980670346151</v>
      </c>
      <c r="BO98" s="7">
        <f t="shared" si="33"/>
        <v>0</v>
      </c>
      <c r="BU98">
        <f>EXP(-Parameters!$B$56*A98)*BH98*BN98</f>
        <v>0</v>
      </c>
      <c r="BV98">
        <f>-EXP((Parameters!$B$56)*F98)*SUM(BU98:BU106)</f>
        <v>0</v>
      </c>
      <c r="BW98">
        <f>X98^-Parameters!B$52/(1-2*Parameters!B$5*'6states,BAU'!D98/'6states,BAU'!G98)</f>
        <v>3.0685295231067919</v>
      </c>
      <c r="BX98">
        <f t="shared" si="45"/>
        <v>1.0447723699165177</v>
      </c>
      <c r="BY98">
        <f>$X98^-Parameters!$B$52/(1-2*Parameters!$B$5*'6states,BAU'!$E98/'6states,BAU'!$H98)</f>
        <v>3.1197982937669888</v>
      </c>
      <c r="BZ98">
        <f t="shared" si="46"/>
        <v>1.0442557881423509</v>
      </c>
      <c r="CA98" s="7">
        <f>($X98^-Parameters!$B$52*(1/(1+EXP(-C98)) + IF(C98&lt;0,2*Parameters!$B$6*C98/F98,0)) + BS98*(1/(1+EXP((C98-Parameters!$B$22)*Parameters!$B$21))))/(1-IF(C98&gt;0,2*Parameters!$B$5*C98/F98,0))</f>
        <v>1.6073593906966601</v>
      </c>
      <c r="CB98">
        <f t="shared" si="47"/>
        <v>1.0443055428336718</v>
      </c>
      <c r="CC98" s="7">
        <f t="shared" si="48"/>
        <v>6.8193576891660834E-2</v>
      </c>
    </row>
    <row r="99" spans="1:81" x14ac:dyDescent="0.3">
      <c r="A99">
        <f>A98+Parameters!$B$65</f>
        <v>95</v>
      </c>
      <c r="B99">
        <v>2120</v>
      </c>
      <c r="C99" s="74">
        <v>6.00306801533384E-2</v>
      </c>
      <c r="D99" s="69">
        <v>2.5789471284494801E-3</v>
      </c>
      <c r="E99" s="75">
        <v>0.30626640799529598</v>
      </c>
      <c r="F99" s="7">
        <f>MAX((1-Parameters!$B$4)^Parameters!B$65*F98 + C98*Parameters!B$65 - IF(C98&gt;0,Parameters!$B$5,0)*C98^2/F98*Parameters!B$65, 0.0001)</f>
        <v>0.88637844431545021</v>
      </c>
      <c r="G99" s="7">
        <f>(1-Parameters!$B$4)^Parameters!B$65*G98+D98*Parameters!B$65-Parameters!$B$5*D98^2/G98*Parameters!B$65</f>
        <v>4.2646980227965009E-2</v>
      </c>
      <c r="H99" s="7">
        <f>(1-Parameters!$B$4)^Parameters!B$65*H98+E98*Parameters!B$65-Parameters!$B$5*E98^2/H98*Parameters!B$65</f>
        <v>4.5341435494305493</v>
      </c>
      <c r="I99" s="7">
        <f>I98 *(1-Parameters!$B$4)-C98*(C98&lt;0)*Parameters!B$65</f>
        <v>0</v>
      </c>
      <c r="J99" s="23">
        <f>J98*(1+Parameters!$B$51)^Parameters!B$65</f>
        <v>10.743978570012086</v>
      </c>
      <c r="K99" s="23">
        <f>K98*(1+Parameters!$B$53)^Parameters!B$65</f>
        <v>59.40035841981156</v>
      </c>
      <c r="L99" s="23">
        <f>J99*K99*EXP(-Parameters!$B$42*'6states,BAU'!A99)*(Parameters!$B$37/Parameters!$B$38*('6states,BAU'!F99+'6states,BAU'!I99)/Parameters!$E$25*(EXP(-Parameters!$B$38*Parameters!$E$25*'6states,BAU'!I99/('6states,BAU'!F99+'6states,BAU'!I99))-EXP(-Parameters!$B$38*Parameters!$E$25))  +  Parameters!$B$39*'6states,BAU'!F99)</f>
        <v>199.23079633828465</v>
      </c>
      <c r="M99" s="8">
        <f>M98+L99*Parameters!B$65</f>
        <v>13119.221801154394</v>
      </c>
      <c r="N99" s="7">
        <f>M99*Parameters!$B$45</f>
        <v>7.8715330806926351</v>
      </c>
      <c r="O99" s="9">
        <f>EXP(-Parameters!$B$46/2*N99^2)</f>
        <v>0.5364894497534316</v>
      </c>
      <c r="P99" s="7">
        <f>MAX((Parameters!$B$62 + Parameters!$B$31*'6states,BAU'!A99 - '6states,BAU'!M99 + Parameters!$B$47/Parameters!$B$45)/Parameters!B$62,1)</f>
        <v>1</v>
      </c>
      <c r="Q99" s="7">
        <f>Parameters!B$61*EXP(-Parameters!B$60*A99)</f>
        <v>3.8459590720917251E-2</v>
      </c>
      <c r="R99" s="7">
        <f>(1-Parameters!B$61)*P99^-Parameters!B$63</f>
        <v>0.5</v>
      </c>
      <c r="S99" s="7">
        <f>Parameters!B$61*EXP(-Parameters!B$60*A99)+(1-Parameters!B$61)*P99^-Parameters!B$63</f>
        <v>0.5384595907209172</v>
      </c>
      <c r="T99" s="7">
        <f>1-S99/Parameters!$B$12</f>
        <v>0.73077020463954145</v>
      </c>
      <c r="U99" s="7">
        <f t="shared" si="34"/>
        <v>3.7142991497696203</v>
      </c>
      <c r="V99" s="7">
        <f>(Parameters!$B$19*(F99+Parameters!$B$20)^T99+Parameters!$B$18*G99^T99)^(1/T99)</f>
        <v>0.58161223777931848</v>
      </c>
      <c r="W99" s="7">
        <f>(Parameters!$B$10*H99^Parameters!$B$9+Parameters!$B$11*V99^Parameters!$B$9)^(Parameters!$B$7/Parameters!$B$9)*O99</f>
        <v>0.83250008881210846</v>
      </c>
      <c r="X99" s="7">
        <f>W99 - D99 - E99 - LN(1+EXP(Parameters!$B$21*C99))/Parameters!$B$21 - IF(C99&gt;0, 0,Parameters!$B$6*C99^2/F99)</f>
        <v>0.46362405348472313</v>
      </c>
      <c r="Y99" s="7">
        <f>EXP(-Parameters!$B$55*A99)</f>
        <v>0.23823445146607616</v>
      </c>
      <c r="Z99" s="7">
        <f>IF(X99&gt;0,X99^(1-Parameters!$B$52)/(1-Parameters!$B$52)*Y99*Parameters!$B$65,-10+X99*1000)</f>
        <v>-0.89079636354127512</v>
      </c>
      <c r="AC99" s="23">
        <f t="shared" si="35"/>
        <v>38.311350631407912</v>
      </c>
      <c r="AD99" s="23">
        <f t="shared" si="35"/>
        <v>1.6458742004174347</v>
      </c>
      <c r="AE99" s="23">
        <f t="shared" si="36"/>
        <v>0</v>
      </c>
      <c r="AF99" s="23">
        <f t="shared" si="37"/>
        <v>565.68333534702765</v>
      </c>
      <c r="AG99" s="23">
        <f t="shared" si="38"/>
        <v>27.217139781039549</v>
      </c>
      <c r="AH99" s="23">
        <f t="shared" si="39"/>
        <v>371.18270717847435</v>
      </c>
      <c r="AI99" s="23">
        <f t="shared" si="40"/>
        <v>913.5089017905276</v>
      </c>
      <c r="AJ99" s="23">
        <f t="shared" si="41"/>
        <v>531.29837479253058</v>
      </c>
      <c r="AK99" s="23">
        <f t="shared" si="42"/>
        <v>295.88309892271087</v>
      </c>
      <c r="AL99" s="9">
        <f t="shared" si="51"/>
        <v>3.9593215164108742E-3</v>
      </c>
      <c r="AM99" s="9">
        <f t="shared" si="51"/>
        <v>-1.0707703772253829E-2</v>
      </c>
      <c r="AN99" s="9">
        <f t="shared" si="54"/>
        <v>3.9450768327974114E-3</v>
      </c>
      <c r="AO99" s="9">
        <f t="shared" si="54"/>
        <v>-1.0850794291727616E-2</v>
      </c>
      <c r="AP99" s="23"/>
      <c r="AQ99" s="25">
        <f t="shared" si="32"/>
        <v>531.29837479253058</v>
      </c>
      <c r="AR99" s="4"/>
      <c r="AS99" s="4"/>
      <c r="AT99" s="4"/>
      <c r="AU99" s="16"/>
      <c r="AV99" s="16"/>
      <c r="AX99" s="13">
        <f>1-W99/'6states,ExoDamages'!T99</f>
        <v>0.4293001461945869</v>
      </c>
      <c r="AY99" s="21">
        <f>-Y99*W99*X99^(-Parameters!B$52)*Parameters!B$46*Parameters!B$45*N99</f>
        <v>-5.3146105018506684E-5</v>
      </c>
      <c r="AZ99" s="7">
        <f>1000*EXP(-(Parameters!$B$54)*'6states,BAU'!A99)*AQ99*Parameters!B$46*Parameters!B$45*N99</f>
        <v>1.7971741792442737</v>
      </c>
      <c r="BA99" s="7">
        <f>SUM(AZ99:AZ$204)*EXP(Parameters!$B$54*A99)</f>
        <v>1479.4078060361069</v>
      </c>
      <c r="BB99" s="43">
        <f t="shared" si="53"/>
        <v>0.44309428939933426</v>
      </c>
      <c r="BC99" s="30">
        <f>IF(C99&lt;0,Parameters!$B$6*AC99^2/AF99,0)</f>
        <v>0</v>
      </c>
      <c r="BD99" s="30">
        <f>Parameters!$B$5*AD99^2/AG99</f>
        <v>9.9529263743093593E-2</v>
      </c>
      <c r="BE99" s="30">
        <f t="shared" si="43"/>
        <v>0</v>
      </c>
      <c r="BF99" s="30">
        <f t="shared" si="44"/>
        <v>6.0471975147219935E-2</v>
      </c>
      <c r="BH99" s="5"/>
      <c r="BI99" s="5"/>
      <c r="BJ99" s="5"/>
      <c r="BM99">
        <f>-EXP(-Parameters!B$42*'6states,BAU'!A99)*(-Parameters!B$37/Parameters!B$38/Parameters!E$25*(EXP(-Parameters!B$38*Parameters!E$25*'6states,BAU'!I99/('6states,BAU'!F99+'6states,BAU'!I99))-EXP(-Parameters!B$38*Parameters!E$25))+Parameters!B$37*'6states,BAU'!F99/('6states,BAU'!F99+'6states,BAU'!I99)*EXP(-Parameters!B$38*Parameters!E$25*'6states,BAU'!I99/('6states,BAU'!F99+'6states,BAU'!I99)))</f>
        <v>-2.3110584651538022</v>
      </c>
      <c r="BN99">
        <f>-J99*K99*EXP(-Parameters!B$42*'6states,BAU'!A99)*(-Parameters!B$37/Parameters!B$38/Parameters!E$25*(EXP(-Parameters!B$38*Parameters!E$25*'6states,BAU'!I99/('6states,BAU'!F99+'6states,BAU'!I99))-EXP(-Parameters!B$38*Parameters!E$25)) + Parameters!B$37*'6states,BAU'!F99/('6states,BAU'!F99+'6states,BAU'!I99)*EXP(-Parameters!B$38*Parameters!E$25*'6states,BAU'!I99/('6states,BAU'!F99+'6states,BAU'!I99)))</f>
        <v>-1474.9086793957786</v>
      </c>
      <c r="BO99" s="7">
        <f t="shared" si="33"/>
        <v>0</v>
      </c>
      <c r="BU99">
        <f>EXP(-Parameters!$B$56*A99)*BH99*BN99</f>
        <v>0</v>
      </c>
      <c r="BV99">
        <f>-EXP((Parameters!$B$56)*F99)*SUM(BU99:BU107)</f>
        <v>0</v>
      </c>
      <c r="BW99">
        <f>X99^-Parameters!B$52/(1-2*Parameters!B$5*'6states,BAU'!D99/'6states,BAU'!G99)</f>
        <v>3.2111410857618958</v>
      </c>
      <c r="BX99">
        <f t="shared" si="45"/>
        <v>1.0464755387169011</v>
      </c>
      <c r="BY99">
        <f>$X99^-Parameters!$B$52/(1-2*Parameters!$B$5*'6states,BAU'!$E99/'6states,BAU'!$H99)</f>
        <v>3.2636737427263367</v>
      </c>
      <c r="BZ99">
        <f t="shared" si="46"/>
        <v>1.046116907380453</v>
      </c>
      <c r="CA99" s="7">
        <f>($X99^-Parameters!$B$52*(1/(1+EXP(-C99)) + IF(C99&lt;0,2*Parameters!$B$6*C99/F99,0)) + BS99*(1/(1+EXP((C99-Parameters!$B$22)*Parameters!$B$21))))/(1-IF(C99&gt;0,2*Parameters!$B$5*C99/F99,0))</f>
        <v>1.6814986793244056</v>
      </c>
      <c r="CB99">
        <f t="shared" si="47"/>
        <v>1.0461248984246219</v>
      </c>
      <c r="CC99" s="7">
        <f t="shared" si="48"/>
        <v>7.4139288627745437E-2</v>
      </c>
    </row>
    <row r="100" spans="1:81" x14ac:dyDescent="0.3">
      <c r="A100">
        <f>A99+Parameters!$B$65</f>
        <v>96</v>
      </c>
      <c r="B100">
        <v>2121</v>
      </c>
      <c r="C100" s="74">
        <v>6.0021861989758798E-2</v>
      </c>
      <c r="D100" s="69">
        <v>2.5694611947842901E-3</v>
      </c>
      <c r="E100" s="75">
        <v>0.30635127093395698</v>
      </c>
      <c r="F100" s="7">
        <f>MAX((1-Parameters!$B$4)^Parameters!B$65*F99 + C99*Parameters!B$65 - IF(C99&gt;0,Parameters!$B$5,0)*C99^2/F99*Parameters!B$65, 0.0001)</f>
        <v>0.88659029509909149</v>
      </c>
      <c r="G100" s="7">
        <f>(1-Parameters!$B$4)^Parameters!B$65*G99+D99*Parameters!B$65-Parameters!$B$5*D99^2/G99*Parameters!B$65</f>
        <v>4.2387478273417899E-2</v>
      </c>
      <c r="H100" s="7">
        <f>(1-Parameters!$B$4)^Parameters!B$65*H99+E99*Parameters!B$65-Parameters!$B$5*E99^2/H99*Parameters!B$65</f>
        <v>4.53452504474836</v>
      </c>
      <c r="I100" s="7">
        <f>I99 *(1-Parameters!$B$4)-C99*(C99&lt;0)*Parameters!B$65</f>
        <v>0</v>
      </c>
      <c r="J100" s="23">
        <f>J99*(1+Parameters!$B$51)^Parameters!B$65</f>
        <v>10.775136107865119</v>
      </c>
      <c r="K100" s="23">
        <f>K99*(1+Parameters!$B$53)^Parameters!B$65</f>
        <v>60.588365588207793</v>
      </c>
      <c r="L100" s="23">
        <f>J100*K100*EXP(-Parameters!$B$42*'6states,BAU'!A100)*(Parameters!$B$37/Parameters!$B$38*('6states,BAU'!F100+'6states,BAU'!I100)/Parameters!$E$25*(EXP(-Parameters!$B$38*Parameters!$E$25*'6states,BAU'!I100/('6states,BAU'!F100+'6states,BAU'!I100))-EXP(-Parameters!$B$38*Parameters!$E$25))  +  Parameters!$B$39*'6states,BAU'!F100)</f>
        <v>201.82507205354833</v>
      </c>
      <c r="M100" s="8">
        <f>M99+L100*Parameters!B$65</f>
        <v>13321.046873207943</v>
      </c>
      <c r="N100" s="7">
        <f>M100*Parameters!$B$45</f>
        <v>7.9926281239247645</v>
      </c>
      <c r="O100" s="9">
        <f>EXP(-Parameters!$B$46/2*N100^2)</f>
        <v>0.52623092141292882</v>
      </c>
      <c r="P100" s="7">
        <f>MAX((Parameters!$B$62 + Parameters!$B$31*'6states,BAU'!A100 - '6states,BAU'!M100 + Parameters!$B$47/Parameters!$B$45)/Parameters!B$62,1)</f>
        <v>1</v>
      </c>
      <c r="Q100" s="7">
        <f>Parameters!B$61*EXP(-Parameters!B$60*A100)</f>
        <v>3.7435074972629871E-2</v>
      </c>
      <c r="R100" s="7">
        <f>(1-Parameters!B$61)*P100^-Parameters!B$63</f>
        <v>0.5</v>
      </c>
      <c r="S100" s="7">
        <f>Parameters!B$61*EXP(-Parameters!B$60*A100)+(1-Parameters!B$61)*P100^-Parameters!B$63</f>
        <v>0.53743507497262988</v>
      </c>
      <c r="T100" s="7">
        <f>1-S100/Parameters!$B$12</f>
        <v>0.73128246251368512</v>
      </c>
      <c r="U100" s="7">
        <f t="shared" si="34"/>
        <v>3.7213797408028402</v>
      </c>
      <c r="V100" s="7">
        <f>(Parameters!$B$19*(F100+Parameters!$B$20)^T100+Parameters!$B$18*G100^T100)^(1/T100)</f>
        <v>0.58170471802856472</v>
      </c>
      <c r="W100" s="7">
        <f>(Parameters!$B$10*H100^Parameters!$B$9+Parameters!$B$11*V100^Parameters!$B$9)^(Parameters!$B$7/Parameters!$B$9)*O100</f>
        <v>0.81660512357300252</v>
      </c>
      <c r="X100" s="7">
        <f>W100 - D100 - E100 - LN(1+EXP(Parameters!$B$21*C100))/Parameters!$B$21 - IF(C100&gt;0, 0,Parameters!$B$6*C100^2/F100)</f>
        <v>0.4476625294040677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-0.88827188064918083</v>
      </c>
      <c r="AC100" s="23">
        <f t="shared" si="35"/>
        <v>39.185145699754486</v>
      </c>
      <c r="AD100" s="23">
        <f t="shared" si="35"/>
        <v>1.6774673085727818</v>
      </c>
      <c r="AE100" s="23">
        <f t="shared" si="36"/>
        <v>0</v>
      </c>
      <c r="AF100" s="23">
        <f t="shared" si="37"/>
        <v>578.80859969612277</v>
      </c>
      <c r="AG100" s="23">
        <f t="shared" si="38"/>
        <v>27.672575573754418</v>
      </c>
      <c r="AH100" s="23">
        <f t="shared" si="39"/>
        <v>379.76469530507325</v>
      </c>
      <c r="AI100" s="23">
        <f t="shared" si="40"/>
        <v>934.62982794654897</v>
      </c>
      <c r="AJ100" s="23">
        <f t="shared" si="41"/>
        <v>533.11892843034252</v>
      </c>
      <c r="AK100" s="23">
        <f t="shared" si="42"/>
        <v>292.25553585811895</v>
      </c>
      <c r="AL100" s="9">
        <f t="shared" si="51"/>
        <v>3.4207550132387965E-3</v>
      </c>
      <c r="AM100" s="9">
        <f t="shared" si="51"/>
        <v>-1.2335897870992873E-2</v>
      </c>
      <c r="AN100" s="9">
        <f t="shared" si="54"/>
        <v>3.4074223343512956E-3</v>
      </c>
      <c r="AO100" s="9">
        <f t="shared" si="54"/>
        <v>-1.2347654301389E-2</v>
      </c>
      <c r="AP100" s="23"/>
      <c r="AQ100" s="25">
        <f t="shared" si="32"/>
        <v>533.11892843034252</v>
      </c>
      <c r="AR100" s="4"/>
      <c r="AS100" s="4"/>
      <c r="AT100" s="4"/>
      <c r="AU100" s="16"/>
      <c r="AV100" s="16"/>
      <c r="AX100" s="13">
        <f>1-W100/'6states,ExoDamages'!T100</f>
        <v>0.44013483558694055</v>
      </c>
      <c r="AY100" s="21">
        <f>-Y100*W100*X100^(-Parameters!B$52)*Parameters!B$46*Parameters!B$45*N100</f>
        <v>-5.4665362128051354E-5</v>
      </c>
      <c r="AZ100" s="7">
        <f>1000*EXP(-(Parameters!$B$54)*'6states,BAU'!A100)*AQ100*Parameters!B$46*Parameters!B$45*N100</f>
        <v>1.7679188683121012</v>
      </c>
      <c r="BA100" s="7">
        <f>SUM(AZ100:AZ$204)*EXP(Parameters!$B$54*A100)</f>
        <v>1480.0188208241993</v>
      </c>
      <c r="BB100" s="43">
        <f t="shared" si="53"/>
        <v>0.45180048896119557</v>
      </c>
      <c r="BC100" s="30">
        <f>IF(C100&lt;0,Parameters!$B$6*AC100^2/AF100,0)</f>
        <v>0</v>
      </c>
      <c r="BD100" s="30">
        <f>Parameters!$B$5*AD100^2/AG100</f>
        <v>0.10168538753578125</v>
      </c>
      <c r="BE100" s="30">
        <f t="shared" si="43"/>
        <v>0</v>
      </c>
      <c r="BF100" s="30">
        <f t="shared" si="44"/>
        <v>6.0618401930167536E-2</v>
      </c>
      <c r="BH100" s="5"/>
      <c r="BI100" s="5"/>
      <c r="BJ100" s="5"/>
      <c r="BM100">
        <f>-EXP(-Parameters!B$42*'6states,BAU'!A100)*(-Parameters!B$37/Parameters!B$38/Parameters!E$25*(EXP(-Parameters!B$38*Parameters!E$25*'6states,BAU'!I100/('6states,BAU'!F100+'6states,BAU'!I100))-EXP(-Parameters!B$38*Parameters!E$25))+Parameters!B$37*'6states,BAU'!F100/('6states,BAU'!F100+'6states,BAU'!I100)*EXP(-Parameters!B$38*Parameters!E$25*'6states,BAU'!I100/('6states,BAU'!F100+'6states,BAU'!I100)))</f>
        <v>-2.2880630492101295</v>
      </c>
      <c r="BN100">
        <f>-J100*K100*EXP(-Parameters!B$42*'6states,BAU'!A100)*(-Parameters!B$37/Parameters!B$38/Parameters!E$25*(EXP(-Parameters!B$38*Parameters!E$25*'6states,BAU'!I100/('6states,BAU'!F100+'6states,BAU'!I100))-EXP(-Parameters!B$38*Parameters!E$25)) + Parameters!B$37*'6states,BAU'!F100/('6states,BAU'!F100+'6states,BAU'!I100)*EXP(-Parameters!B$38*Parameters!E$25*'6states,BAU'!I100/('6states,BAU'!F100+'6states,BAU'!I100)))</f>
        <v>-1493.7571241762096</v>
      </c>
      <c r="BO100" s="7">
        <f t="shared" si="33"/>
        <v>0</v>
      </c>
      <c r="BU100">
        <f>EXP(-Parameters!$B$56*A100)*BH100*BN100</f>
        <v>0</v>
      </c>
      <c r="BV100">
        <f>-EXP((Parameters!$B$56)*F100)*SUM(BU100:BU108)</f>
        <v>0</v>
      </c>
      <c r="BW100">
        <f>X100^-Parameters!B$52/(1-2*Parameters!B$5*'6states,BAU'!D100/'6states,BAU'!G100)</f>
        <v>3.3677871498184691</v>
      </c>
      <c r="BX100">
        <f t="shared" si="45"/>
        <v>1.0487820559336796</v>
      </c>
      <c r="BY100">
        <f>$X100^-Parameters!$B$52/(1-2*Parameters!$B$5*'6states,BAU'!$E100/'6states,BAU'!$H100)</f>
        <v>3.421845257827635</v>
      </c>
      <c r="BZ100">
        <f t="shared" si="46"/>
        <v>1.0484642545701177</v>
      </c>
      <c r="CA100" s="7">
        <f>($X100^-Parameters!$B$52*(1/(1+EXP(-C100)) + IF(C100&lt;0,2*Parameters!$B$6*C100/F100,0)) + BS100*(1/(1+EXP((C100-Parameters!$B$22)*Parameters!$B$21))))/(1-IF(C100&gt;0,2*Parameters!$B$5*C100/F100,0))</f>
        <v>1.7628240360117566</v>
      </c>
      <c r="CB100">
        <f t="shared" si="47"/>
        <v>1.0483648055673918</v>
      </c>
      <c r="CC100" s="7">
        <f t="shared" si="48"/>
        <v>8.132535668735108E-2</v>
      </c>
    </row>
    <row r="101" spans="1:81" x14ac:dyDescent="0.3">
      <c r="A101">
        <f>A100+Parameters!$B$65</f>
        <v>97</v>
      </c>
      <c r="B101">
        <v>2122</v>
      </c>
      <c r="C101" s="74">
        <v>6.0042499526352003E-2</v>
      </c>
      <c r="D101" s="69">
        <v>2.5611090470857301E-3</v>
      </c>
      <c r="E101" s="75">
        <v>0.30635758281797498</v>
      </c>
      <c r="F101" s="7">
        <f>MAX((1-Parameters!$B$4)^Parameters!B$65*F100 + C100*Parameters!B$65 - IF(C100&gt;0,Parameters!$B$5,0)*C100^2/F100*Parameters!B$65, 0.0001)</f>
        <v>0.88678216784722663</v>
      </c>
      <c r="G101" s="7">
        <f>(1-Parameters!$B$4)^Parameters!B$65*G100+D100*Parameters!B$65-Parameters!$B$5*D100^2/G100*Parameters!B$65</f>
        <v>4.2135010453354806E-2</v>
      </c>
      <c r="H101" s="7">
        <f>(1-Parameters!$B$4)^Parameters!B$65*H100+E100*Parameters!B$65-Parameters!$B$5*E100^2/H100*Parameters!B$65</f>
        <v>4.5349576823509965</v>
      </c>
      <c r="I101" s="7">
        <f>I100 *(1-Parameters!$B$4)-C100*(C100&lt;0)*Parameters!B$65</f>
        <v>0</v>
      </c>
      <c r="J101" s="23">
        <f>J100*(1+Parameters!$B$51)^Parameters!B$65</f>
        <v>10.806384002577927</v>
      </c>
      <c r="K101" s="23">
        <f>K100*(1+Parameters!$B$53)^Parameters!B$65</f>
        <v>61.800132899971949</v>
      </c>
      <c r="L101" s="23">
        <f>J101*K101*EXP(-Parameters!$B$42*'6states,BAU'!A101)*(Parameters!$B$37/Parameters!$B$38*('6states,BAU'!F101+'6states,BAU'!I101)/Parameters!$E$25*(EXP(-Parameters!$B$38*Parameters!$E$25*'6states,BAU'!I101/('6states,BAU'!F101+'6states,BAU'!I101))-EXP(-Parameters!$B$38*Parameters!$E$25))  +  Parameters!$B$39*'6states,BAU'!F101)</f>
        <v>204.44851139491956</v>
      </c>
      <c r="M101" s="8">
        <f>M100+L101*Parameters!B$65</f>
        <v>13525.495384602862</v>
      </c>
      <c r="N101" s="7">
        <f>M101*Parameters!$B$45</f>
        <v>8.1152972307617173</v>
      </c>
      <c r="O101" s="9">
        <f>EXP(-Parameters!$B$46/2*N101^2)</f>
        <v>0.51588397476375913</v>
      </c>
      <c r="P101" s="7">
        <f>MAX((Parameters!$B$62 + Parameters!$B$31*'6states,BAU'!A101 - '6states,BAU'!M101 + Parameters!$B$47/Parameters!$B$45)/Parameters!B$62,1)</f>
        <v>1</v>
      </c>
      <c r="Q101" s="7">
        <f>Parameters!B$61*EXP(-Parameters!B$60*A101)</f>
        <v>3.6437851051915653E-2</v>
      </c>
      <c r="R101" s="7">
        <f>(1-Parameters!B$61)*P101^-Parameters!B$63</f>
        <v>0.5</v>
      </c>
      <c r="S101" s="7">
        <f>Parameters!B$61*EXP(-Parameters!B$60*A101)+(1-Parameters!B$61)*P101^-Parameters!B$63</f>
        <v>0.53643785105191566</v>
      </c>
      <c r="T101" s="7">
        <f>1-S101/Parameters!$B$12</f>
        <v>0.73178107447404217</v>
      </c>
      <c r="U101" s="7">
        <f t="shared" si="34"/>
        <v>3.7282976883121601</v>
      </c>
      <c r="V101" s="7">
        <f>(Parameters!$B$19*(F101+Parameters!$B$20)^T101+Parameters!$B$18*G101^T101)^(1/T101)</f>
        <v>0.58178606916829623</v>
      </c>
      <c r="W101" s="7">
        <f>(Parameters!$B$10*H101^Parameters!$B$9+Parameters!$B$11*V101^Parameters!$B$9)^(Parameters!$B$7/Parameters!$B$9)*O101</f>
        <v>0.80057347487052821</v>
      </c>
      <c r="X101" s="7">
        <f>W101 - D101 - E101 - LN(1+EXP(Parameters!$B$21*C101))/Parameters!$B$21 - IF(C101&gt;0, 0,Parameters!$B$6*C101^2/F101)</f>
        <v>0.43161228342899205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-0.88621276114245384</v>
      </c>
      <c r="AC101" s="23">
        <f t="shared" si="35"/>
        <v>40.098540763947547</v>
      </c>
      <c r="AD101" s="23">
        <f t="shared" si="35"/>
        <v>1.7104007384037956</v>
      </c>
      <c r="AE101" s="23">
        <f t="shared" si="36"/>
        <v>0</v>
      </c>
      <c r="AF101" s="23">
        <f t="shared" si="37"/>
        <v>592.22502705033924</v>
      </c>
      <c r="AG101" s="23">
        <f t="shared" si="38"/>
        <v>28.139275472895285</v>
      </c>
      <c r="AH101" s="23">
        <f t="shared" si="39"/>
        <v>388.53766239699917</v>
      </c>
      <c r="AI101" s="23">
        <f t="shared" si="40"/>
        <v>956.22076787613003</v>
      </c>
      <c r="AJ101" s="23">
        <f t="shared" si="41"/>
        <v>534.65176116696932</v>
      </c>
      <c r="AK101" s="23">
        <f t="shared" si="42"/>
        <v>288.24620690053143</v>
      </c>
      <c r="AL101" s="9">
        <f t="shared" si="51"/>
        <v>2.871091713810614E-3</v>
      </c>
      <c r="AM101" s="9">
        <f t="shared" si="51"/>
        <v>-1.3813542372236753E-2</v>
      </c>
      <c r="AN101" s="9">
        <f t="shared" si="54"/>
        <v>2.8551593524417385E-3</v>
      </c>
      <c r="AO101" s="9">
        <f t="shared" si="54"/>
        <v>-1.3976992678510668E-2</v>
      </c>
      <c r="AP101" s="23"/>
      <c r="AQ101" s="25">
        <f t="shared" si="32"/>
        <v>534.65176116696921</v>
      </c>
      <c r="AR101" s="4"/>
      <c r="AS101" s="4"/>
      <c r="AT101" s="4"/>
      <c r="AU101" s="16"/>
      <c r="AV101" s="16"/>
      <c r="AX101" s="13">
        <f>1-W101/'6states,ExoDamages'!T101</f>
        <v>0.4510669178657003</v>
      </c>
      <c r="AY101" s="21">
        <f>-Y101*W101*X101^(-Parameters!B$52)*Parameters!B$46*Parameters!B$45*N101</f>
        <v>-5.6307362272389165E-5</v>
      </c>
      <c r="AZ101" s="7">
        <f>1000*EXP(-(Parameters!$B$54)*'6states,BAU'!A101)*AQ101*Parameters!B$46*Parameters!B$45*N101</f>
        <v>1.7381222453992444</v>
      </c>
      <c r="BA101" s="7">
        <f>SUM(AZ101:AZ$204)*EXP(Parameters!$B$54*A101)</f>
        <v>1479.6662794475783</v>
      </c>
      <c r="BB101" s="43">
        <f t="shared" si="53"/>
        <v>0.46087111673426667</v>
      </c>
      <c r="BC101" s="30">
        <f>IF(C101&lt;0,Parameters!$B$6*AC101^2/AF101,0)</f>
        <v>0</v>
      </c>
      <c r="BD101" s="30">
        <f>Parameters!$B$5*AD101^2/AG101</f>
        <v>0.10396396626310307</v>
      </c>
      <c r="BE101" s="30">
        <f t="shared" si="43"/>
        <v>0</v>
      </c>
      <c r="BF101" s="30">
        <f t="shared" si="44"/>
        <v>6.0783396503982921E-2</v>
      </c>
      <c r="BH101" s="5"/>
      <c r="BI101" s="5"/>
      <c r="BJ101" s="5"/>
      <c r="BM101">
        <f>-EXP(-Parameters!B$42*'6states,BAU'!A101)*(-Parameters!B$37/Parameters!B$38/Parameters!E$25*(EXP(-Parameters!B$38*Parameters!E$25*'6states,BAU'!I101/('6states,BAU'!F101+'6states,BAU'!I101))-EXP(-Parameters!B$38*Parameters!E$25))+Parameters!B$37*'6states,BAU'!F101/('6states,BAU'!F101+'6states,BAU'!I101)*EXP(-Parameters!B$38*Parameters!E$25*'6states,BAU'!I101/('6states,BAU'!F101+'6states,BAU'!I101)))</f>
        <v>-2.2652964414781032</v>
      </c>
      <c r="BN101">
        <f>-J101*K101*EXP(-Parameters!B$42*'6states,BAU'!A101)*(-Parameters!B$37/Parameters!B$38/Parameters!E$25*(EXP(-Parameters!B$38*Parameters!E$25*'6states,BAU'!I101/('6states,BAU'!F101+'6states,BAU'!I101))-EXP(-Parameters!B$38*Parameters!E$25)) + Parameters!B$37*'6states,BAU'!F101/('6states,BAU'!F101+'6states,BAU'!I101)*EXP(-Parameters!B$38*Parameters!E$25*'6states,BAU'!I101/('6states,BAU'!F101+'6states,BAU'!I101)))</f>
        <v>-1512.8464407310109</v>
      </c>
      <c r="BO101" s="7">
        <f t="shared" si="33"/>
        <v>0</v>
      </c>
    </row>
    <row r="102" spans="1:81" x14ac:dyDescent="0.3">
      <c r="A102">
        <f>A101+Parameters!$B$65</f>
        <v>98</v>
      </c>
      <c r="B102">
        <v>2123</v>
      </c>
      <c r="C102" s="74">
        <v>6.0063770656374298E-2</v>
      </c>
      <c r="D102" s="69">
        <v>2.5532127389253098E-3</v>
      </c>
      <c r="E102" s="75">
        <v>0.30635739129183798</v>
      </c>
      <c r="F102" s="7">
        <f>MAX((1-Parameters!$B$4)^Parameters!B$65*F101 + C101*Parameters!B$65 - IF(C101&gt;0,Parameters!$B$5,0)*C101^2/F101*Parameters!B$65, 0.0001)</f>
        <v>0.88698069436132654</v>
      </c>
      <c r="G102" s="7">
        <f>(1-Parameters!$B$4)^Parameters!B$65*G101+D101*Parameters!B$65-Parameters!$B$5*D101^2/G101*Parameters!B$65</f>
        <v>4.1890154436225575E-2</v>
      </c>
      <c r="H102" s="7">
        <f>(1-Parameters!$B$4)^Parameters!B$65*H101+E101*Parameters!B$65-Parameters!$B$5*E101^2/H101*Parameters!B$65</f>
        <v>4.5353705406533225</v>
      </c>
      <c r="I102" s="7">
        <f>I101 *(1-Parameters!$B$4)-C101*(C101&lt;0)*Parameters!B$65</f>
        <v>0</v>
      </c>
      <c r="J102" s="23">
        <f>J101*(1+Parameters!$B$51)^Parameters!B$65</f>
        <v>10.837722516185401</v>
      </c>
      <c r="K102" s="23">
        <f>K101*(1+Parameters!$B$53)^Parameters!B$65</f>
        <v>63.036135557971392</v>
      </c>
      <c r="L102" s="23">
        <f>J102*K102*EXP(-Parameters!$B$42*'6states,BAU'!A102)*(Parameters!$B$37/Parameters!$B$38*('6states,BAU'!F102+'6states,BAU'!I102)/Parameters!$E$25*(EXP(-Parameters!$B$38*Parameters!$E$25*'6states,BAU'!I102/('6states,BAU'!F102+'6states,BAU'!I102))-EXP(-Parameters!$B$38*Parameters!$E$25))  +  Parameters!$B$39*'6states,BAU'!F102)</f>
        <v>207.10759566293095</v>
      </c>
      <c r="M102" s="8">
        <f>M101+L102*Parameters!B$65</f>
        <v>13732.602980265792</v>
      </c>
      <c r="N102" s="7">
        <f>M102*Parameters!$B$45</f>
        <v>8.2395617881594738</v>
      </c>
      <c r="O102" s="9">
        <f>EXP(-Parameters!$B$46/2*N102^2)</f>
        <v>0.50545396974409562</v>
      </c>
      <c r="P102" s="7">
        <f>MAX((Parameters!$B$62 + Parameters!$B$31*'6states,BAU'!A102 - '6states,BAU'!M102 + Parameters!$B$47/Parameters!$B$45)/Parameters!B$62,1)</f>
        <v>1</v>
      </c>
      <c r="Q102" s="7">
        <f>Parameters!B$61*EXP(-Parameters!B$60*A102)</f>
        <v>3.5467191938371473E-2</v>
      </c>
      <c r="R102" s="7">
        <f>(1-Parameters!B$61)*P102^-Parameters!B$63</f>
        <v>0.5</v>
      </c>
      <c r="S102" s="7">
        <f>Parameters!B$61*EXP(-Parameters!B$60*A102)+(1-Parameters!B$61)*P102^-Parameters!B$63</f>
        <v>0.53546719193837145</v>
      </c>
      <c r="T102" s="7">
        <f>1-S102/Parameters!$B$12</f>
        <v>0.73226640403081422</v>
      </c>
      <c r="U102" s="7">
        <f t="shared" si="34"/>
        <v>3.7350560970132896</v>
      </c>
      <c r="V102" s="7">
        <f>(Parameters!$B$19*(F102+Parameters!$B$20)^T102+Parameters!$B$18*G102^T102)^(1/T102)</f>
        <v>0.58187322679636644</v>
      </c>
      <c r="W102" s="7">
        <f>(Parameters!$B$10*H102^Parameters!$B$9+Parameters!$B$11*V102^Parameters!$B$9)^(Parameters!$B$7/Parameters!$B$9)*O102</f>
        <v>0.78441148570427999</v>
      </c>
      <c r="X102" s="7">
        <f>W102 - D102 - E102 - LN(1+EXP(Parameters!$B$21*C102))/Parameters!$B$21 - IF(C102&gt;0, 0,Parameters!$B$6*C102^2/F102)</f>
        <v>0.41543711096733782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-0.88467983858827004</v>
      </c>
      <c r="AC102" s="23">
        <f t="shared" si="35"/>
        <v>41.033654821259894</v>
      </c>
      <c r="AD102" s="23">
        <f t="shared" si="35"/>
        <v>1.7442736123524771</v>
      </c>
      <c r="AE102" s="23">
        <f t="shared" si="36"/>
        <v>0</v>
      </c>
      <c r="AF102" s="23">
        <f t="shared" si="37"/>
        <v>605.95695621186474</v>
      </c>
      <c r="AG102" s="23">
        <f t="shared" si="38"/>
        <v>28.618019128023711</v>
      </c>
      <c r="AH102" s="23">
        <f t="shared" si="39"/>
        <v>397.51725336545911</v>
      </c>
      <c r="AI102" s="23">
        <f t="shared" si="40"/>
        <v>978.3202248968521</v>
      </c>
      <c r="AJ102" s="23">
        <f t="shared" si="41"/>
        <v>535.88494013079696</v>
      </c>
      <c r="AK102" s="23">
        <f t="shared" si="42"/>
        <v>283.81340074203405</v>
      </c>
      <c r="AL102" s="9">
        <f t="shared" si="51"/>
        <v>2.30385283901402E-3</v>
      </c>
      <c r="AM102" s="9">
        <f t="shared" si="51"/>
        <v>-1.5498017425776389E-2</v>
      </c>
      <c r="AN102" s="9">
        <f t="shared" si="54"/>
        <v>2.2886453760724733E-3</v>
      </c>
      <c r="AO102" s="9">
        <f t="shared" si="54"/>
        <v>-1.5686063834208851E-2</v>
      </c>
      <c r="AP102" s="23"/>
      <c r="AQ102" s="25">
        <f t="shared" si="32"/>
        <v>535.88494013079696</v>
      </c>
      <c r="AR102" s="4"/>
      <c r="AS102" s="4"/>
      <c r="AT102" s="4"/>
      <c r="AU102" s="16"/>
      <c r="AV102" s="16"/>
      <c r="AX102" s="13">
        <f>1-W102/'6states,ExoDamages'!T102</f>
        <v>0.46209190352225993</v>
      </c>
      <c r="AY102" s="21">
        <f>-Y102*W102*X102^(-Parameters!B$52)*Parameters!B$46*Parameters!B$45*N102</f>
        <v>-5.8095735162437076E-5</v>
      </c>
      <c r="AZ102" s="7">
        <f>1000*EXP(-(Parameters!$B$54)*'6states,BAU'!A102)*AQ102*Parameters!B$46*Parameters!B$45*N102</f>
        <v>1.7077992406717544</v>
      </c>
      <c r="BA102" s="7">
        <f>SUM(AZ102:AZ$204)*EXP(Parameters!$B$54*A102)</f>
        <v>1478.3289007667954</v>
      </c>
      <c r="BB102" s="43">
        <f t="shared" si="53"/>
        <v>0.47038369709216554</v>
      </c>
      <c r="BC102" s="30">
        <f>IF(C102&lt;0,Parameters!$B$6*AC102^2/AF102,0)</f>
        <v>0</v>
      </c>
      <c r="BD102" s="30">
        <f>Parameters!$B$5*AD102^2/AG102</f>
        <v>0.10631380254302271</v>
      </c>
      <c r="BE102" s="30">
        <f t="shared" si="43"/>
        <v>0</v>
      </c>
      <c r="BF102" s="30">
        <f t="shared" si="44"/>
        <v>6.0950186822833825E-2</v>
      </c>
      <c r="BH102" s="5"/>
      <c r="BI102" s="5"/>
      <c r="BJ102" s="5"/>
      <c r="BM102">
        <f>-EXP(-Parameters!B$42*'6states,BAU'!A102)*(-Parameters!B$37/Parameters!B$38/Parameters!E$25*(EXP(-Parameters!B$38*Parameters!E$25*'6states,BAU'!I102/('6states,BAU'!F102+'6states,BAU'!I102))-EXP(-Parameters!B$38*Parameters!E$25))+Parameters!B$37*'6states,BAU'!F102/('6states,BAU'!F102+'6states,BAU'!I102)*EXP(-Parameters!B$38*Parameters!E$25*'6states,BAU'!I102/('6states,BAU'!F102+'6states,BAU'!I102)))</f>
        <v>-2.2427563652779781</v>
      </c>
      <c r="BN102">
        <f>-J102*K102*EXP(-Parameters!B$42*'6states,BAU'!A102)*(-Parameters!B$37/Parameters!B$38/Parameters!E$25*(EXP(-Parameters!B$38*Parameters!E$25*'6states,BAU'!I102/('6states,BAU'!F102+'6states,BAU'!I102))-EXP(-Parameters!B$38*Parameters!E$25)) + Parameters!B$37*'6states,BAU'!F102/('6states,BAU'!F102+'6states,BAU'!I102)*EXP(-Parameters!B$38*Parameters!E$25*'6states,BAU'!I102/('6states,BAU'!F102+'6states,BAU'!I102)))</f>
        <v>-1532.179707256415</v>
      </c>
      <c r="BO102" s="7">
        <f t="shared" si="33"/>
        <v>0</v>
      </c>
    </row>
    <row r="103" spans="1:81" x14ac:dyDescent="0.3">
      <c r="A103">
        <f>A102+Parameters!$B$65</f>
        <v>99</v>
      </c>
      <c r="B103">
        <v>2124</v>
      </c>
      <c r="C103" s="74">
        <v>6.0034602101864197E-2</v>
      </c>
      <c r="D103" s="69">
        <v>2.5437894181121602E-3</v>
      </c>
      <c r="E103" s="75">
        <v>0.30649287424087801</v>
      </c>
      <c r="F103" s="7">
        <f>MAX((1-Parameters!$B$4)^Parameters!B$65*F102 + C102*Parameters!B$65 - IF(C102&gt;0,Parameters!$B$5,0)*C102^2/F102*Parameters!B$65, 0.0001)</f>
        <v>0.88718603428244591</v>
      </c>
      <c r="G103" s="7">
        <f>(1-Parameters!$B$4)^Parameters!B$65*G102+D102*Parameters!B$65-Parameters!$B$5*D102^2/G102*Parameters!B$65</f>
        <v>4.165285766767636E-2</v>
      </c>
      <c r="H103" s="7">
        <f>(1-Parameters!$B$4)^Parameters!B$65*H102+E102*Parameters!B$65-Parameters!$B$5*E102^2/H102*Parameters!B$65</f>
        <v>4.5357591484795039</v>
      </c>
      <c r="I103" s="7">
        <f>I102 *(1-Parameters!$B$4)-C102*(C102&lt;0)*Parameters!B$65</f>
        <v>0</v>
      </c>
      <c r="J103" s="23">
        <f>J102*(1+Parameters!$B$51)^Parameters!B$65</f>
        <v>10.869151911482337</v>
      </c>
      <c r="K103" s="23">
        <f>K102*(1+Parameters!$B$53)^Parameters!B$65</f>
        <v>64.296858269130823</v>
      </c>
      <c r="L103" s="23">
        <f>J103*K103*EXP(-Parameters!$B$42*'6states,BAU'!A103)*(Parameters!$B$37/Parameters!$B$38*('6states,BAU'!F103+'6states,BAU'!I103)/Parameters!$E$25*(EXP(-Parameters!$B$38*Parameters!$E$25*'6states,BAU'!I103/('6states,BAU'!F103+'6states,BAU'!I103))-EXP(-Parameters!$B$38*Parameters!$E$25))  +  Parameters!$B$39*'6states,BAU'!F103)</f>
        <v>209.80286506386031</v>
      </c>
      <c r="M103" s="8">
        <f>M102+L103*Parameters!B$65</f>
        <v>13942.405845329653</v>
      </c>
      <c r="N103" s="7">
        <f>M103*Parameters!$B$45</f>
        <v>8.3654435071977904</v>
      </c>
      <c r="O103" s="9">
        <f>EXP(-Parameters!$B$46/2*N103^2)</f>
        <v>0.4949465594370876</v>
      </c>
      <c r="P103" s="7">
        <f>MAX((Parameters!$B$62 + Parameters!$B$31*'6states,BAU'!A103 - '6states,BAU'!M103 + Parameters!$B$47/Parameters!$B$45)/Parameters!B$62,1)</f>
        <v>1</v>
      </c>
      <c r="Q103" s="7">
        <f>Parameters!B$61*EXP(-Parameters!B$60*A103)</f>
        <v>3.4522389978515207E-2</v>
      </c>
      <c r="R103" s="7">
        <f>(1-Parameters!B$61)*P103^-Parameters!B$63</f>
        <v>0.5</v>
      </c>
      <c r="S103" s="7">
        <f>Parameters!B$61*EXP(-Parameters!B$60*A103)+(1-Parameters!B$61)*P103^-Parameters!B$63</f>
        <v>0.5345223899785152</v>
      </c>
      <c r="T103" s="7">
        <f>1-S103/Parameters!$B$12</f>
        <v>0.7327388050107424</v>
      </c>
      <c r="U103" s="7">
        <f t="shared" si="34"/>
        <v>3.7416580436983917</v>
      </c>
      <c r="V103" s="7">
        <f>(Parameters!$B$19*(F103+Parameters!$B$20)^T103+Parameters!$B$18*G103^T103)^(1/T103)</f>
        <v>0.58196633478304138</v>
      </c>
      <c r="W103" s="7">
        <f>(Parameters!$B$10*H103^Parameters!$B$9+Parameters!$B$11*V103^Parameters!$B$9)^(Parameters!$B$7/Parameters!$B$9)*O103</f>
        <v>0.76812776665948568</v>
      </c>
      <c r="X103" s="7">
        <f>W103 - D103 - E103 - LN(1+EXP(Parameters!$B$21*C103))/Parameters!$B$21 - IF(C103&gt;0, 0,Parameters!$B$6*C103^2/F103)</f>
        <v>0.39905650084838895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-0.88377782032531971</v>
      </c>
      <c r="AC103" s="23">
        <f t="shared" si="35"/>
        <v>41.955320956657154</v>
      </c>
      <c r="AD103" s="23">
        <f t="shared" si="35"/>
        <v>1.7777331363328848</v>
      </c>
      <c r="AE103" s="23">
        <f t="shared" si="36"/>
        <v>0</v>
      </c>
      <c r="AF103" s="23">
        <f t="shared" si="37"/>
        <v>620.01201829283104</v>
      </c>
      <c r="AG103" s="23">
        <f t="shared" si="38"/>
        <v>29.109196213945665</v>
      </c>
      <c r="AH103" s="23">
        <f t="shared" si="39"/>
        <v>406.70852320071776</v>
      </c>
      <c r="AI103" s="23">
        <f t="shared" si="40"/>
        <v>1000.9406397246106</v>
      </c>
      <c r="AJ103" s="23">
        <f t="shared" si="41"/>
        <v>536.80787175431715</v>
      </c>
      <c r="AK103" s="23">
        <f t="shared" si="42"/>
        <v>278.88156141231087</v>
      </c>
      <c r="AL103" s="9">
        <f t="shared" si="51"/>
        <v>1.7207756797343876E-3</v>
      </c>
      <c r="AM103" s="9">
        <f t="shared" si="51"/>
        <v>-1.75298019512935E-2</v>
      </c>
      <c r="AN103" s="9">
        <f t="shared" si="54"/>
        <v>1.7067667172611322E-3</v>
      </c>
      <c r="AO103" s="9">
        <f t="shared" si="54"/>
        <v>-1.7488515838398479E-2</v>
      </c>
      <c r="AP103" s="23"/>
      <c r="AQ103" s="25">
        <f t="shared" si="32"/>
        <v>536.80787175431715</v>
      </c>
      <c r="AR103" s="4"/>
      <c r="AS103" s="4"/>
      <c r="AT103" s="4"/>
      <c r="AU103" s="16"/>
      <c r="AV103" s="16"/>
      <c r="AX103" s="13">
        <f>1-W103/'6states,ExoDamages'!T103</f>
        <v>0.47320375135110559</v>
      </c>
      <c r="AY103" s="21">
        <f>-Y103*W103*X103^(-Parameters!B$52)*Parameters!B$46*Parameters!B$45*N103</f>
        <v>-6.0068459650839433E-5</v>
      </c>
      <c r="AZ103" s="7">
        <f>1000*EXP(-(Parameters!$B$54)*'6states,BAU'!A103)*AQ103*Parameters!B$46*Parameters!B$45*N103</f>
        <v>1.6769698673830633</v>
      </c>
      <c r="BA103" s="7">
        <f>SUM(AZ103:AZ$204)*EXP(Parameters!$B$54*A103)</f>
        <v>1475.9869605266895</v>
      </c>
      <c r="BB103" s="43">
        <f t="shared" si="53"/>
        <v>0.48048160967531489</v>
      </c>
      <c r="BC103" s="30">
        <f>IF(C103&lt;0,Parameters!$B$6*AC103^2/AF103,0)</f>
        <v>0</v>
      </c>
      <c r="BD103" s="30">
        <f>Parameters!$B$5*AD103^2/AG103</f>
        <v>0.10856827102982315</v>
      </c>
      <c r="BE103" s="30">
        <f t="shared" si="43"/>
        <v>0</v>
      </c>
      <c r="BF103" s="30">
        <f t="shared" si="44"/>
        <v>6.1071186001391768E-2</v>
      </c>
      <c r="BH103" s="5"/>
      <c r="BI103" s="5"/>
      <c r="BJ103" s="5"/>
      <c r="BM103">
        <f>-EXP(-Parameters!B$42*'6states,BAU'!A103)*(-Parameters!B$37/Parameters!B$38/Parameters!E$25*(EXP(-Parameters!B$38*Parameters!E$25*'6states,BAU'!I103/('6states,BAU'!F103+'6states,BAU'!I103))-EXP(-Parameters!B$38*Parameters!E$25))+Parameters!B$37*'6states,BAU'!F103/('6states,BAU'!F103+'6states,BAU'!I103)*EXP(-Parameters!B$38*Parameters!E$25*'6states,BAU'!I103/('6states,BAU'!F103+'6states,BAU'!I103)))</f>
        <v>-2.2204405665833509</v>
      </c>
      <c r="BN103">
        <f>-J103*K103*EXP(-Parameters!B$42*'6states,BAU'!A103)*(-Parameters!B$37/Parameters!B$38/Parameters!E$25*(EXP(-Parameters!B$38*Parameters!E$25*'6states,BAU'!I103/('6states,BAU'!F103+'6states,BAU'!I103))-EXP(-Parameters!B$38*Parameters!E$25)) + Parameters!B$37*'6states,BAU'!F103/('6states,BAU'!F103+'6states,BAU'!I103)*EXP(-Parameters!B$38*Parameters!E$25*'6states,BAU'!I103/('6states,BAU'!F103+'6states,BAU'!I103)))</f>
        <v>-1551.7600412861461</v>
      </c>
      <c r="BO103" s="7">
        <f t="shared" si="33"/>
        <v>0</v>
      </c>
    </row>
    <row r="104" spans="1:81" s="89" customFormat="1" x14ac:dyDescent="0.3">
      <c r="A104" s="89">
        <f>A103+Parameters!$B$65</f>
        <v>100</v>
      </c>
      <c r="B104" s="89">
        <v>2125</v>
      </c>
      <c r="C104" s="90">
        <v>6.0067116065433801E-2</v>
      </c>
      <c r="D104" s="91">
        <v>2.5365617091818002E-3</v>
      </c>
      <c r="E104" s="92">
        <v>0.30646994257184701</v>
      </c>
      <c r="F104" s="93">
        <f>MAX((1-Parameters!$B$4)^Parameters!B$65*F103 + C103*Parameters!B$65 - IF(C103&gt;0,Parameters!$B$5,0)*C103^2/F103*Parameters!B$65, 0.0001)</f>
        <v>0.8873541797055029</v>
      </c>
      <c r="G104" s="93">
        <f>(1-Parameters!$B$4)^Parameters!B$65*G103+D103*Parameters!B$65-Parameters!$B$5*D103^2/G103*Parameters!B$65</f>
        <v>4.1421330101789784E-2</v>
      </c>
      <c r="H104" s="93">
        <f>(1-Parameters!$B$4)^Parameters!B$65*H103+E103*Parameters!B$65-Parameters!$B$5*E103^2/H103*Parameters!B$65</f>
        <v>4.5362422629957289</v>
      </c>
      <c r="I104" s="93">
        <f>I103 *(1-Parameters!$B$4)-C103*(C103&lt;0)*Parameters!B$65</f>
        <v>0</v>
      </c>
      <c r="J104" s="64">
        <f>J103*(1+Parameters!$B$51)^Parameters!B$65</f>
        <v>10.900672452025635</v>
      </c>
      <c r="K104" s="64">
        <f>K103*(1+Parameters!$B$53)^Parameters!B$65</f>
        <v>65.582795434513443</v>
      </c>
      <c r="L104" s="64">
        <f>J104*K104*EXP(-Parameters!$B$42*'6states,BAU'!A104)*(Parameters!$B$37/Parameters!$B$38*('6states,BAU'!F104+'6states,BAU'!I104)/Parameters!$E$25*(EXP(-Parameters!$B$38*Parameters!$E$25*'6states,BAU'!I104/('6states,BAU'!F104+'6states,BAU'!I104))-EXP(-Parameters!$B$38*Parameters!$E$25))  +  Parameters!$B$39*'6states,BAU'!F104)</f>
        <v>212.52429073348912</v>
      </c>
      <c r="M104" s="95">
        <f>M103+L104*Parameters!B$65</f>
        <v>14154.930136063142</v>
      </c>
      <c r="N104" s="93">
        <f>M104*Parameters!$B$45</f>
        <v>8.4929580816378838</v>
      </c>
      <c r="O104" s="94">
        <f>EXP(-Parameters!$B$46/2*N104^2)</f>
        <v>0.48436821504900118</v>
      </c>
      <c r="P104" s="93">
        <f>MAX((Parameters!$B$62 + Parameters!$B$31*'6states,BAU'!A104 - '6states,BAU'!M104 + Parameters!$B$47/Parameters!$B$45)/Parameters!B$62,1)</f>
        <v>1</v>
      </c>
      <c r="Q104" s="93">
        <f>Parameters!B$61*EXP(-Parameters!B$60*A104)</f>
        <v>3.3602756369874878E-2</v>
      </c>
      <c r="R104" s="93">
        <f>(1-Parameters!B$61)*P104^-Parameters!B$63</f>
        <v>0.5</v>
      </c>
      <c r="S104" s="93">
        <f>Parameters!B$61*EXP(-Parameters!B$60*A104)+(1-Parameters!B$61)*P104^-Parameters!B$63</f>
        <v>0.53360275636987486</v>
      </c>
      <c r="T104" s="93">
        <f>1-S104/Parameters!$B$12</f>
        <v>0.73319862181506257</v>
      </c>
      <c r="U104" s="93">
        <f t="shared" si="34"/>
        <v>3.748106575772014</v>
      </c>
      <c r="V104" s="93">
        <f>(Parameters!$B$19*(F104+Parameters!$B$20)^T104+Parameters!$B$18*G104^T104)^(1/T104)</f>
        <v>0.58203707287733097</v>
      </c>
      <c r="W104" s="93">
        <f>(Parameters!$B$10*H104^Parameters!$B$9+Parameters!$B$11*V104^Parameters!$B$9)^(Parameters!$B$7/Parameters!$B$9)*O104</f>
        <v>0.75173540228924629</v>
      </c>
      <c r="X104" s="93">
        <f>W104 - D104 - E104 - LN(1+EXP(Parameters!$B$21*C104))/Parameters!$B$21 - IF(C104&gt;0, 0,Parameters!$B$6*C104^2/F104)</f>
        <v>0.38266178189302902</v>
      </c>
      <c r="Y104" s="93">
        <f>EXP(-Parameters!$B$55*A104)</f>
        <v>0.22090997795937814</v>
      </c>
      <c r="Z104" s="93">
        <f>IF(X104&gt;0,X104^(1-Parameters!$B$52)/(1-Parameters!$B$52)*Y104*Parameters!$B$65,-10+X104*1000)</f>
        <v>-0.88340938078379416</v>
      </c>
      <c r="AC104" s="23">
        <f t="shared" si="35"/>
        <v>42.941775336262523</v>
      </c>
      <c r="AD104" s="23">
        <f t="shared" si="35"/>
        <v>1.8133792693425572</v>
      </c>
      <c r="AE104" s="64">
        <f t="shared" si="36"/>
        <v>0</v>
      </c>
      <c r="AF104" s="64">
        <f t="shared" si="37"/>
        <v>634.36646079525804</v>
      </c>
      <c r="AG104" s="64">
        <f t="shared" si="38"/>
        <v>29.611966877560782</v>
      </c>
      <c r="AH104" s="64">
        <f t="shared" si="39"/>
        <v>416.09630789744324</v>
      </c>
      <c r="AI104" s="64">
        <f t="shared" si="40"/>
        <v>1024.0446925877957</v>
      </c>
      <c r="AJ104" s="64">
        <f t="shared" si="41"/>
        <v>537.4130617866648</v>
      </c>
      <c r="AK104" s="64">
        <f t="shared" si="42"/>
        <v>273.56359592699664</v>
      </c>
      <c r="AL104" s="94">
        <f t="shared" si="51"/>
        <v>1.126751634564549E-3</v>
      </c>
      <c r="AM104" s="94">
        <f t="shared" si="51"/>
        <v>-1.9253059550744744E-2</v>
      </c>
      <c r="AN104" s="9">
        <f t="shared" ref="AN104:AO119" si="55">AVERAGE(AL102:AL106)</f>
        <v>1.1082159205306752E-3</v>
      </c>
      <c r="AO104" s="9">
        <f t="shared" si="55"/>
        <v>-1.9526923293598307E-2</v>
      </c>
      <c r="AP104" s="64"/>
      <c r="AQ104" s="96">
        <f t="shared" si="32"/>
        <v>537.4130617866648</v>
      </c>
      <c r="AR104" s="97"/>
      <c r="AS104" s="97"/>
      <c r="AT104" s="97"/>
      <c r="AU104" s="88"/>
      <c r="AV104" s="88"/>
      <c r="AX104" s="98">
        <f>1-W104/'6states,ExoDamages'!T104</f>
        <v>0.48439344391681705</v>
      </c>
      <c r="AY104" s="99">
        <f>-Y104*W104*X104^(-Parameters!B$52)*Parameters!B$46*Parameters!B$45*N104</f>
        <v>-6.2213731892830869E-5</v>
      </c>
      <c r="AZ104" s="93">
        <f>1000*EXP(-(Parameters!$B$54)*'6states,BAU'!A104)*AQ104*Parameters!B$46*Parameters!B$45*N104</f>
        <v>1.6456628853630417</v>
      </c>
      <c r="BA104" s="93">
        <f>SUM(AZ104:AZ$204)*EXP(Parameters!$B$54*A104)</f>
        <v>1472.6223128245417</v>
      </c>
      <c r="BB104" s="43">
        <f t="shared" si="53"/>
        <v>0.49096213803757194</v>
      </c>
      <c r="BC104" s="30">
        <f>IF(C104&lt;0,Parameters!$B$6*AC104^2/AF104,0)</f>
        <v>0</v>
      </c>
      <c r="BD104" s="30">
        <f>Parameters!$B$5*AD104^2/AG104</f>
        <v>0.11104782023017772</v>
      </c>
      <c r="BE104" s="30">
        <f t="shared" si="43"/>
        <v>0</v>
      </c>
      <c r="BF104" s="30">
        <f t="shared" si="44"/>
        <v>6.1238055440237957E-2</v>
      </c>
      <c r="BG104" s="93"/>
      <c r="BH104" s="100"/>
      <c r="BI104" s="100"/>
      <c r="BJ104" s="100"/>
      <c r="BM104" s="89">
        <f>-EXP(-Parameters!B$42*'6states,BAU'!A104)*(-Parameters!B$37/Parameters!B$38/Parameters!E$25*(EXP(-Parameters!B$38*Parameters!E$25*'6states,BAU'!I104/('6states,BAU'!F104+'6states,BAU'!I104))-EXP(-Parameters!B$38*Parameters!E$25))+Parameters!B$37*'6states,BAU'!F104/('6states,BAU'!F104+'6states,BAU'!I104)*EXP(-Parameters!B$38*Parameters!E$25*'6states,BAU'!I104/('6states,BAU'!F104+'6states,BAU'!I104)))</f>
        <v>-2.1983468137957547</v>
      </c>
      <c r="BN104" s="89">
        <f>-J104*K104*EXP(-Parameters!B$42*'6states,BAU'!A104)*(-Parameters!B$37/Parameters!B$38/Parameters!E$25*(EXP(-Parameters!B$38*Parameters!E$25*'6states,BAU'!I104/('6states,BAU'!F104+'6states,BAU'!I104))-EXP(-Parameters!B$38*Parameters!E$25)) + Parameters!B$37*'6states,BAU'!F104/('6states,BAU'!F104+'6states,BAU'!I104)*EXP(-Parameters!B$38*Parameters!E$25*'6states,BAU'!I104/('6states,BAU'!F104+'6states,BAU'!I104)))</f>
        <v>-1571.5906001941346</v>
      </c>
      <c r="BO104" s="93">
        <f t="shared" si="33"/>
        <v>0</v>
      </c>
      <c r="CA104" s="93"/>
    </row>
    <row r="105" spans="1:81" x14ac:dyDescent="0.3">
      <c r="A105">
        <f>A104+Parameters!$B$65</f>
        <v>101</v>
      </c>
      <c r="B105">
        <v>2126</v>
      </c>
      <c r="C105" s="74">
        <v>6.0107568582118999E-2</v>
      </c>
      <c r="D105" s="69">
        <v>2.5297900107253499E-3</v>
      </c>
      <c r="E105" s="75">
        <v>0.30643025789435602</v>
      </c>
      <c r="F105" s="7">
        <f>MAX((1-Parameters!$B$4)^Parameters!B$65*F104 + C104*Parameters!B$65 - IF(C104&gt;0,Parameters!$B$5,0)*C104^2/F104*Parameters!B$65, 0.0001)</f>
        <v>0.88754063183897558</v>
      </c>
      <c r="G105" s="7">
        <f>(1-Parameters!$B$4)^Parameters!B$65*G104+D104*Parameters!B$65-Parameters!$B$5*D104^2/G104*Parameters!B$65</f>
        <v>4.1197156040994554E-2</v>
      </c>
      <c r="H105" s="7">
        <f>(1-Parameters!$B$4)^Parameters!B$65*H104+E104*Parameters!B$65-Parameters!$B$5*E104^2/H104*Parameters!B$65</f>
        <v>4.5366773622879721</v>
      </c>
      <c r="I105" s="7">
        <f>I104 *(1-Parameters!$B$4)-C104*(C104&lt;0)*Parameters!B$65</f>
        <v>0</v>
      </c>
      <c r="J105" s="23">
        <f>J104*(1+Parameters!$B$51)^Parameters!B$65</f>
        <v>10.932284402136508</v>
      </c>
      <c r="K105" s="23">
        <f>K104*(1+Parameters!$B$53)^Parameters!B$65</f>
        <v>66.894451343203713</v>
      </c>
      <c r="L105" s="23">
        <f>J105*K105*EXP(-Parameters!$B$42*'6states,BAU'!A105)*(Parameters!$B$37/Parameters!$B$38*('6states,BAU'!F105+'6states,BAU'!I105)/Parameters!$E$25*(EXP(-Parameters!$B$38*Parameters!$E$25*'6states,BAU'!I105/('6states,BAU'!F105+'6states,BAU'!I105))-EXP(-Parameters!$B$38*Parameters!$E$25))  +  Parameters!$B$39*'6states,BAU'!F105)</f>
        <v>215.28544977835509</v>
      </c>
      <c r="M105" s="8">
        <f>M104+L105*Parameters!B$65</f>
        <v>14370.215585841497</v>
      </c>
      <c r="N105" s="7">
        <f>M105*Parameters!$B$45</f>
        <v>8.6221293515048973</v>
      </c>
      <c r="O105" s="9">
        <f>EXP(-Parameters!$B$46/2*N105^2)</f>
        <v>0.47372504413124344</v>
      </c>
      <c r="P105" s="7">
        <f>MAX((Parameters!$B$62 + Parameters!$B$31*'6states,BAU'!A105 - '6states,BAU'!M105 + Parameters!$B$47/Parameters!$B$45)/Parameters!B$62,1)</f>
        <v>1</v>
      </c>
      <c r="Q105" s="8"/>
      <c r="R105" s="8"/>
      <c r="S105" s="7">
        <f>Parameters!B$61*EXP(-Parameters!B$60*A105)+(1-Parameters!B$61)*P105^-Parameters!B$63</f>
        <v>0.53270762065882127</v>
      </c>
      <c r="T105" s="7">
        <f>1-S105/Parameters!$B$12</f>
        <v>0.73364618967058937</v>
      </c>
      <c r="U105" s="7">
        <f t="shared" si="34"/>
        <v>3.754404709897933</v>
      </c>
      <c r="V105" s="7">
        <f>(Parameters!$B$19*(F105+Parameters!$B$20)^T105+Parameters!$B$18*G105^T105)^(1/T105)</f>
        <v>0.5821209035294348</v>
      </c>
      <c r="W105" s="7">
        <f>(Parameters!$B$10*H105^Parameters!$B$9+Parameters!$B$11*V105^Parameters!$B$9)^(Parameters!$B$7/Parameters!$B$9)*O105</f>
        <v>0.73524026333401304</v>
      </c>
      <c r="X105" s="7">
        <f>W105 - D105 - E105 - LN(1+EXP(Parameters!$B$21*C105))/Parameters!$B$21 - IF(C105&gt;0, 0,Parameters!$B$6*C105^2/F105)</f>
        <v>0.36617264679765815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-0.88368885258447416</v>
      </c>
      <c r="AC105" s="23">
        <f t="shared" si="35"/>
        <v>43.95721591071289</v>
      </c>
      <c r="AD105" s="23">
        <f t="shared" si="35"/>
        <v>1.8500586254507023</v>
      </c>
      <c r="AE105" s="23">
        <f t="shared" si="36"/>
        <v>0</v>
      </c>
      <c r="AF105" s="23">
        <f t="shared" si="37"/>
        <v>649.06660015661237</v>
      </c>
      <c r="AG105" s="23">
        <f t="shared" si="38"/>
        <v>30.127857867470684</v>
      </c>
      <c r="AH105" s="23">
        <f t="shared" si="39"/>
        <v>425.71035305851257</v>
      </c>
      <c r="AI105" s="23">
        <f t="shared" si="40"/>
        <v>1047.7055896797233</v>
      </c>
      <c r="AJ105" s="23">
        <f t="shared" si="41"/>
        <v>537.68794453011719</v>
      </c>
      <c r="AK105" s="23">
        <f t="shared" si="42"/>
        <v>267.78541331099763</v>
      </c>
      <c r="AL105" s="9">
        <f t="shared" si="51"/>
        <v>5.1136171918209072E-4</v>
      </c>
      <c r="AM105" s="9">
        <f t="shared" si="51"/>
        <v>-2.1348157891941E-2</v>
      </c>
      <c r="AN105" s="9">
        <f t="shared" si="55"/>
        <v>4.9455077273456998E-4</v>
      </c>
      <c r="AO105" s="9">
        <f t="shared" si="55"/>
        <v>-2.1675531759265176E-2</v>
      </c>
      <c r="AP105" s="23"/>
      <c r="AQ105" s="25">
        <f t="shared" si="32"/>
        <v>537.68794453011719</v>
      </c>
      <c r="AR105" s="4"/>
      <c r="AS105" s="4"/>
      <c r="AT105" s="4"/>
      <c r="AU105" s="16"/>
      <c r="AV105" s="16"/>
      <c r="AY105" s="21">
        <f>-Y105*W105*X105^(-Parameters!B$52)*Parameters!B$46*Parameters!B$45*N105</f>
        <v>-6.4576223801613187E-5</v>
      </c>
      <c r="AZ105" s="7">
        <f>1000*EXP(-(Parameters!$B$54)*'6states,BAU'!A105)*AQ105*Parameters!B$46*Parameters!B$45*N105</f>
        <v>1.6138931314005949</v>
      </c>
      <c r="BA105" s="93">
        <f>SUM(AZ105:AZ$204)*EXP(Parameters!$B$54*A105)</f>
        <v>1468.2182607359935</v>
      </c>
      <c r="BB105" s="43">
        <f t="shared" si="53"/>
        <v>0.50196872354844946</v>
      </c>
      <c r="BC105" s="30">
        <f>IF(C105&lt;0,Parameters!$B$6*AC105^2/AF105,0)</f>
        <v>0</v>
      </c>
      <c r="BD105" s="30">
        <f>Parameters!$B$5*AD105^2/AG105</f>
        <v>0.11360638159741453</v>
      </c>
      <c r="BE105" s="30">
        <f t="shared" si="43"/>
        <v>0</v>
      </c>
      <c r="BF105" s="30">
        <f t="shared" si="44"/>
        <v>6.1406908967405444E-2</v>
      </c>
      <c r="BH105" s="5"/>
      <c r="BI105" s="5"/>
      <c r="BJ105" s="5"/>
      <c r="BM105">
        <f>-EXP(-Parameters!B$42*'6states,BAU'!A105)*(-Parameters!B$37/Parameters!B$38/Parameters!E$25*(EXP(-Parameters!B$38*Parameters!E$25*'6states,BAU'!I105/('6states,BAU'!F105+'6states,BAU'!I105))-EXP(-Parameters!B$38*Parameters!E$25))+Parameters!B$37*'6states,BAU'!F105/('6states,BAU'!F105+'6states,BAU'!I105)*EXP(-Parameters!B$38*Parameters!E$25*'6states,BAU'!I105/('6states,BAU'!F105+'6states,BAU'!I105)))</f>
        <v>-2.1764728975215002</v>
      </c>
      <c r="BN105">
        <f>-J105*K105*EXP(-Parameters!B$42*'6states,BAU'!A105)*(-Parameters!B$37/Parameters!B$38/Parameters!E$25*(EXP(-Parameters!B$38*Parameters!E$25*'6states,BAU'!I105/('6states,BAU'!F105+'6states,BAU'!I105))-EXP(-Parameters!B$38*Parameters!E$25)) + Parameters!B$37*'6states,BAU'!F105/('6states,BAU'!F105+'6states,BAU'!I105)*EXP(-Parameters!B$38*Parameters!E$25*'6states,BAU'!I105/('6states,BAU'!F105+'6states,BAU'!I105)))</f>
        <v>-1591.6745817036463</v>
      </c>
      <c r="BO105" s="7">
        <f t="shared" si="33"/>
        <v>0</v>
      </c>
    </row>
    <row r="106" spans="1:81" x14ac:dyDescent="0.3">
      <c r="A106">
        <f>A105+Parameters!$B$65</f>
        <v>102</v>
      </c>
      <c r="B106">
        <v>2127</v>
      </c>
      <c r="C106" s="74">
        <v>6.0065014840921499E-2</v>
      </c>
      <c r="D106" s="69">
        <v>2.5206908249940999E-3</v>
      </c>
      <c r="E106" s="75">
        <v>0.30660216911501897</v>
      </c>
      <c r="F106" s="7">
        <f>MAX((1-Parameters!$B$4)^Parameters!B$65*F105 + C105*Parameters!B$65 - IF(C105&gt;0,Parameters!$B$5,0)*C105^2/F105*Parameters!B$65, 0.0001)</f>
        <v>0.8877511854948128</v>
      </c>
      <c r="G106" s="7">
        <f>(1-Parameters!$B$4)^Parameters!B$65*G105+D105*Parameters!B$65-Parameters!$B$5*D105^2/G105*Parameters!B$65</f>
        <v>4.0980298351846078E-2</v>
      </c>
      <c r="H106" s="7">
        <f>(1-Parameters!$B$4)^Parameters!B$65*H105+E105*Parameters!B$65-Parameters!$B$5*E105^2/H105*Parameters!B$65</f>
        <v>4.5370527562891061</v>
      </c>
      <c r="I106" s="7">
        <f>I105 *(1-Parameters!$B$4)-C105*(C105&lt;0)*Parameters!B$65</f>
        <v>0</v>
      </c>
      <c r="J106" s="23">
        <f>J105*(1+Parameters!$B$51)^Parameters!B$65</f>
        <v>10.963988026902703</v>
      </c>
      <c r="K106" s="23">
        <f>K105*(1+Parameters!$B$53)^Parameters!B$65</f>
        <v>68.232340370067789</v>
      </c>
      <c r="L106" s="23">
        <f>J106*K106*EXP(-Parameters!$B$42*'6states,BAU'!A106)*(Parameters!$B$37/Parameters!$B$38*('6states,BAU'!F106+'6states,BAU'!I106)/Parameters!$E$25*(EXP(-Parameters!$B$38*Parameters!$E$25*'6states,BAU'!I106/('6states,BAU'!F106+'6states,BAU'!I106))-EXP(-Parameters!$B$38*Parameters!$E$25))  +  Parameters!$B$39*'6states,BAU'!F106)</f>
        <v>218.08839361495581</v>
      </c>
      <c r="M106" s="8">
        <f>M105+L106*Parameters!B$65</f>
        <v>14588.303979456454</v>
      </c>
      <c r="N106" s="7">
        <f>M106*Parameters!$B$45</f>
        <v>8.752982387673871</v>
      </c>
      <c r="O106" s="9">
        <f>EXP(-Parameters!$B$46/2*N106^2)</f>
        <v>0.46302337425264173</v>
      </c>
      <c r="P106" s="7">
        <f>MAX((Parameters!$B$62 + Parameters!$B$31*'6states,BAU'!A106 - '6states,BAU'!M106 + Parameters!$B$47/Parameters!$B$45)/Parameters!B$62,1)</f>
        <v>1</v>
      </c>
      <c r="Q106" s="8"/>
      <c r="R106" s="8"/>
      <c r="S106" s="7">
        <f>Parameters!B$61*EXP(-Parameters!B$60*A106)+(1-Parameters!B$61)*P106^-Parameters!B$63</f>
        <v>0.53183633025177723</v>
      </c>
      <c r="T106" s="7">
        <f>1-S106/Parameters!$B$12</f>
        <v>0.73408183487411138</v>
      </c>
      <c r="U106" s="7">
        <f t="shared" si="34"/>
        <v>3.7605554307528744</v>
      </c>
      <c r="V106" s="7">
        <f>(Parameters!$B$19*(F106+Parameters!$B$20)^T106+Parameters!$B$18*G106^T106)^(1/T106)</f>
        <v>0.58222147539486202</v>
      </c>
      <c r="W106" s="7">
        <f>(Parameters!$B$10*H106^Parameters!$B$9+Parameters!$B$11*V106^Parameters!$B$9)^(Parameters!$B$7/Parameters!$B$9)*O106</f>
        <v>0.71865200504407989</v>
      </c>
      <c r="X106" s="7">
        <f>W106 - D106 - E106 - LN(1+EXP(Parameters!$B$21*C106))/Parameters!$B$21 - IF(C106&gt;0, 0,Parameters!$B$6*C106^2/F106)</f>
        <v>0.34946413021335931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-0.88479097218089475</v>
      </c>
      <c r="AC106" s="23">
        <f t="shared" si="35"/>
        <v>44.934551280956654</v>
      </c>
      <c r="AD106" s="23">
        <f t="shared" si="35"/>
        <v>1.8857251836050097</v>
      </c>
      <c r="AE106" s="23">
        <f t="shared" si="36"/>
        <v>0</v>
      </c>
      <c r="AF106" s="23">
        <f t="shared" si="37"/>
        <v>664.1253860503457</v>
      </c>
      <c r="AG106" s="23">
        <f t="shared" si="38"/>
        <v>30.65730230279388</v>
      </c>
      <c r="AH106" s="23">
        <f t="shared" si="39"/>
        <v>435.55904901202064</v>
      </c>
      <c r="AI106" s="23">
        <f t="shared" si="40"/>
        <v>1071.9439802366198</v>
      </c>
      <c r="AJ106" s="23">
        <f t="shared" si="41"/>
        <v>537.62253217350758</v>
      </c>
      <c r="AK106" s="23">
        <f t="shared" si="42"/>
        <v>261.43361358547196</v>
      </c>
      <c r="AL106" s="9">
        <f t="shared" si="51"/>
        <v>-1.2166226984167139E-4</v>
      </c>
      <c r="AM106" s="9">
        <f t="shared" si="51"/>
        <v>-2.4005579648235909E-2</v>
      </c>
      <c r="AN106" s="9">
        <f t="shared" si="55"/>
        <v>-1.358227282928226E-4</v>
      </c>
      <c r="AO106" s="9">
        <f t="shared" si="55"/>
        <v>-2.3956757322530643E-2</v>
      </c>
      <c r="AP106" s="23"/>
      <c r="AQ106" s="25">
        <f t="shared" si="32"/>
        <v>537.62253217350758</v>
      </c>
      <c r="AR106" s="4"/>
      <c r="AS106" s="4"/>
      <c r="AT106" s="4"/>
      <c r="AU106" s="16"/>
      <c r="AV106" s="16"/>
      <c r="AY106" s="21">
        <f>-Y106*W106*X106^(-Parameters!B$52)*Parameters!B$46*Parameters!B$45*N106</f>
        <v>-6.7224584353914722E-5</v>
      </c>
      <c r="AZ106" s="7">
        <f>1000*EXP(-(Parameters!$B$54)*'6states,BAU'!A106)*AQ106*Parameters!B$46*Parameters!B$45*N106</f>
        <v>1.5816839961022608</v>
      </c>
      <c r="BA106" s="93">
        <f>SUM(AZ106:AZ$204)*EXP(Parameters!$B$54*A106)</f>
        <v>1462.7601852749688</v>
      </c>
      <c r="BB106" s="43">
        <f t="shared" si="53"/>
        <v>0.51372273672052127</v>
      </c>
      <c r="BC106" s="30">
        <f>IF(C106&lt;0,Parameters!$B$6*AC106^2/AF106,0)</f>
        <v>0</v>
      </c>
      <c r="BD106" s="30">
        <f>Parameters!$B$5*AD106^2/AG106</f>
        <v>0.1159906189057634</v>
      </c>
      <c r="BE106" s="30">
        <f t="shared" si="43"/>
        <v>0</v>
      </c>
      <c r="BF106" s="30">
        <f t="shared" si="44"/>
        <v>6.1509821215846465E-2</v>
      </c>
      <c r="BH106" s="5"/>
      <c r="BI106" s="5"/>
      <c r="BJ106" s="5"/>
      <c r="BM106">
        <f>-EXP(-Parameters!B$42*'6states,BAU'!A106)*(-Parameters!B$37/Parameters!B$38/Parameters!E$25*(EXP(-Parameters!B$38*Parameters!E$25*'6states,BAU'!I106/('6states,BAU'!F106+'6states,BAU'!I106))-EXP(-Parameters!B$38*Parameters!E$25))+Parameters!B$37*'6states,BAU'!F106/('6states,BAU'!F106+'6states,BAU'!I106)*EXP(-Parameters!B$38*Parameters!E$25*'6states,BAU'!I106/('6states,BAU'!F106+'6states,BAU'!I106)))</f>
        <v>-2.1548166303507319</v>
      </c>
      <c r="BN106">
        <f>-J106*K106*EXP(-Parameters!B$42*'6states,BAU'!A106)*(-Parameters!B$37/Parameters!B$38/Parameters!E$25*(EXP(-Parameters!B$38*Parameters!E$25*'6states,BAU'!I106/('6states,BAU'!F106+'6states,BAU'!I106))-EXP(-Parameters!B$38*Parameters!E$25)) + Parameters!B$37*'6states,BAU'!F106/('6states,BAU'!F106+'6states,BAU'!I106)*EXP(-Parameters!B$38*Parameters!E$25*'6states,BAU'!I106/('6states,BAU'!F106+'6states,BAU'!I106)))</f>
        <v>-1612.0152244029266</v>
      </c>
      <c r="BO106" s="7">
        <f t="shared" si="33"/>
        <v>0</v>
      </c>
    </row>
    <row r="107" spans="1:81" x14ac:dyDescent="0.3">
      <c r="A107">
        <f>A106+Parameters!$B$65</f>
        <v>103</v>
      </c>
      <c r="B107">
        <v>2128</v>
      </c>
      <c r="C107" s="74">
        <v>6.0139473511432603E-2</v>
      </c>
      <c r="D107" s="69">
        <v>2.5145554446029902E-3</v>
      </c>
      <c r="E107" s="75">
        <v>0.30655930152010602</v>
      </c>
      <c r="F107" s="7">
        <f>MAX((1-Parameters!$B$4)^Parameters!B$65*F106 + C106*Parameters!B$65 - IF(C106&gt;0,Parameters!$B$5,0)*C106^2/F106*Parameters!B$65, 0.0001)</f>
        <v>0.88791266745072517</v>
      </c>
      <c r="G107" s="7">
        <f>(1-Parameters!$B$4)^Parameters!B$65*G106+D106*Parameters!B$65-Parameters!$B$5*D106^2/G106*Parameters!B$65</f>
        <v>4.0768281168523247E-2</v>
      </c>
      <c r="H107" s="7">
        <f>(1-Parameters!$B$4)^Parameters!B$65*H106+E106*Parameters!B$65-Parameters!$B$5*E106^2/H106*Parameters!B$65</f>
        <v>4.5375549336527197</v>
      </c>
      <c r="I107" s="7">
        <f>I106 *(1-Parameters!$B$4)-C106*(C106&lt;0)*Parameters!B$65</f>
        <v>0</v>
      </c>
      <c r="J107" s="23">
        <f>J106*(1+Parameters!$B$51)^Parameters!B$65</f>
        <v>10.99578359218072</v>
      </c>
      <c r="K107" s="23">
        <f>K106*(1+Parameters!$B$53)^Parameters!B$65</f>
        <v>69.596987177469146</v>
      </c>
      <c r="L107" s="23">
        <f>J107*K107*EXP(-Parameters!$B$42*'6states,BAU'!A107)*(Parameters!$B$37/Parameters!$B$38*('6states,BAU'!F107+'6states,BAU'!I107)/Parameters!$E$25*(EXP(-Parameters!$B$38*Parameters!$E$25*'6states,BAU'!I107/('6states,BAU'!F107+'6states,BAU'!I107))-EXP(-Parameters!$B$38*Parameters!$E$25))  +  Parameters!$B$39*'6states,BAU'!F107)</f>
        <v>220.9156092044592</v>
      </c>
      <c r="M107" s="8">
        <f>M106+L107*Parameters!B$65</f>
        <v>14809.219588660913</v>
      </c>
      <c r="N107" s="7">
        <f>M107*Parameters!$B$45</f>
        <v>8.8855317531965472</v>
      </c>
      <c r="O107" s="9">
        <f>EXP(-Parameters!$B$46/2*N107^2)</f>
        <v>0.45227070249310902</v>
      </c>
      <c r="P107" s="7">
        <f>MAX((Parameters!$B$62 + Parameters!$B$31*'6states,BAU'!A107 - '6states,BAU'!M107 + Parameters!$B$47/Parameters!$B$45)/Parameters!B$62,1)</f>
        <v>1</v>
      </c>
      <c r="Q107" s="8"/>
      <c r="R107" s="8"/>
      <c r="S107" s="7">
        <f>Parameters!B$61*EXP(-Parameters!B$60*A107)+(1-Parameters!B$61)*P107^-Parameters!B$63</f>
        <v>0.53098824993944871</v>
      </c>
      <c r="T107" s="7">
        <f>1-S107/Parameters!$B$12</f>
        <v>0.73450587503027565</v>
      </c>
      <c r="U107" s="7">
        <f t="shared" si="34"/>
        <v>3.7665616898831003</v>
      </c>
      <c r="V107" s="7">
        <f>(Parameters!$B$19*(F107+Parameters!$B$20)^T107+Parameters!$B$18*G107^T107)^(1/T107)</f>
        <v>0.58229193310473004</v>
      </c>
      <c r="W107" s="7">
        <f>(Parameters!$B$10*H107^Parameters!$B$9+Parameters!$B$11*V107^Parameters!$B$9)^(Parameters!$B$7/Parameters!$B$9)*O107</f>
        <v>0.70198661626879311</v>
      </c>
      <c r="X107" s="7">
        <f>W107 - D107 - E107 - LN(1+EXP(Parameters!$B$21*C107))/Parameters!$B$21 - IF(C107&gt;0, 0,Parameters!$B$6*C107^2/F107)</f>
        <v>0.33277328574396525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-0.8865878773621545</v>
      </c>
      <c r="AC107" s="23">
        <f t="shared" si="35"/>
        <v>46.023139949926481</v>
      </c>
      <c r="AD107" s="23">
        <f t="shared" si="35"/>
        <v>1.9243224188986789</v>
      </c>
      <c r="AE107" s="23">
        <f t="shared" si="36"/>
        <v>0</v>
      </c>
      <c r="AF107" s="23">
        <f t="shared" si="37"/>
        <v>679.49595451029086</v>
      </c>
      <c r="AG107" s="23">
        <f t="shared" si="38"/>
        <v>31.198881536271067</v>
      </c>
      <c r="AH107" s="23">
        <f t="shared" si="39"/>
        <v>445.6125330711069</v>
      </c>
      <c r="AI107" s="23">
        <f t="shared" si="40"/>
        <v>1096.6863699125713</v>
      </c>
      <c r="AJ107" s="23">
        <f t="shared" si="41"/>
        <v>537.21169137558661</v>
      </c>
      <c r="AK107" s="23">
        <f t="shared" si="42"/>
        <v>254.66254702878186</v>
      </c>
      <c r="AL107" s="9">
        <f t="shared" si="51"/>
        <v>-7.6447289996650625E-4</v>
      </c>
      <c r="AM107" s="9">
        <f t="shared" si="51"/>
        <v>-2.6241059754110729E-2</v>
      </c>
      <c r="AN107" s="9">
        <f t="shared" si="55"/>
        <v>-7.8433466702882977E-4</v>
      </c>
      <c r="AO107" s="9">
        <f t="shared" si="55"/>
        <v>-2.6525927745573875E-2</v>
      </c>
      <c r="AP107" s="23"/>
      <c r="AQ107" s="25">
        <f t="shared" si="32"/>
        <v>537.21169137558661</v>
      </c>
      <c r="AR107" s="4"/>
      <c r="AS107" s="4"/>
      <c r="AT107" s="4"/>
      <c r="AU107" s="16"/>
      <c r="AV107" s="16"/>
      <c r="AY107" s="21">
        <f>-Y107*W107*X107^(-Parameters!B$52)*Parameters!B$46*Parameters!B$45*N107</f>
        <v>-7.014568188985998E-5</v>
      </c>
      <c r="AZ107" s="7">
        <f>1000*EXP(-(Parameters!$B$54)*'6states,BAU'!A107)*AQ107*Parameters!B$46*Parameters!B$45*N107</f>
        <v>1.5490710807054022</v>
      </c>
      <c r="BA107" s="93">
        <f>SUM(AZ107:AZ$204)*EXP(Parameters!$B$54*A107)</f>
        <v>1456.2354505848473</v>
      </c>
      <c r="BB107" s="43">
        <f t="shared" si="53"/>
        <v>0.52595494261498654</v>
      </c>
      <c r="BC107" s="30">
        <f>IF(C107&lt;0,Parameters!$B$6*AC107^2/AF107,0)</f>
        <v>0</v>
      </c>
      <c r="BD107" s="30">
        <f>Parameters!$B$5*AD107^2/AG107</f>
        <v>0.11869068984319278</v>
      </c>
      <c r="BE107" s="30">
        <f t="shared" si="43"/>
        <v>0</v>
      </c>
      <c r="BF107" s="30">
        <f t="shared" si="44"/>
        <v>6.1679211694223982E-2</v>
      </c>
      <c r="BH107" s="5"/>
      <c r="BI107" s="5"/>
      <c r="BJ107" s="5"/>
      <c r="BM107">
        <f>-EXP(-Parameters!B$42*'6states,BAU'!A107)*(-Parameters!B$37/Parameters!B$38/Parameters!E$25*(EXP(-Parameters!B$38*Parameters!E$25*'6states,BAU'!I107/('6states,BAU'!F107+'6states,BAU'!I107))-EXP(-Parameters!B$38*Parameters!E$25))+Parameters!B$37*'6states,BAU'!F107/('6states,BAU'!F107+'6states,BAU'!I107)*EXP(-Parameters!B$38*Parameters!E$25*'6states,BAU'!I107/('6states,BAU'!F107+'6states,BAU'!I107)))</f>
        <v>-2.1333758466386841</v>
      </c>
      <c r="BN107">
        <f>-J107*K107*EXP(-Parameters!B$42*'6states,BAU'!A107)*(-Parameters!B$37/Parameters!B$38/Parameters!E$25*(EXP(-Parameters!B$38*Parameters!E$25*'6states,BAU'!I107/('6states,BAU'!F107+'6states,BAU'!I107))-EXP(-Parameters!B$38*Parameters!E$25)) + Parameters!B$37*'6states,BAU'!F107/('6states,BAU'!F107+'6states,BAU'!I107)*EXP(-Parameters!B$38*Parameters!E$25*'6states,BAU'!I107/('6states,BAU'!F107+'6states,BAU'!I107)))</f>
        <v>-1632.6158082674269</v>
      </c>
      <c r="BO107" s="7">
        <f t="shared" si="33"/>
        <v>0</v>
      </c>
    </row>
    <row r="108" spans="1:81" x14ac:dyDescent="0.3">
      <c r="A108">
        <f>A107+Parameters!$B$65</f>
        <v>104</v>
      </c>
      <c r="B108">
        <v>2129</v>
      </c>
      <c r="C108" s="74">
        <v>6.0125319772062299E-2</v>
      </c>
      <c r="D108" s="69">
        <v>2.50806320741078E-3</v>
      </c>
      <c r="E108" s="75">
        <v>0.30659054078335501</v>
      </c>
      <c r="F108" s="7">
        <f>MAX((1-Parameters!$B$4)^Parameters!B$65*F107 + C107*Parameters!B$65 - IF(C107&gt;0,Parameters!$B$5,0)*C107^2/F107*Parameters!B$65, 0.0001)</f>
        <v>0.88812910984613969</v>
      </c>
      <c r="G108" s="7">
        <f>(1-Parameters!$B$4)^Parameters!B$65*G107+D107*Parameters!B$65-Parameters!$B$5*D107^2/G107*Parameters!B$65</f>
        <v>4.0563415930041591E-2</v>
      </c>
      <c r="H108" s="7">
        <f>(1-Parameters!$B$4)^Parameters!B$65*H107+E107*Parameters!B$65-Parameters!$B$5*E107^2/H107*Parameters!B$65</f>
        <v>4.5379907422203258</v>
      </c>
      <c r="I108" s="7">
        <f>I107 *(1-Parameters!$B$4)-C107*(C107&lt;0)*Parameters!B$65</f>
        <v>0</v>
      </c>
      <c r="J108" s="23">
        <f>J107*(1+Parameters!$B$51)^Parameters!B$65</f>
        <v>11.027671364598042</v>
      </c>
      <c r="K108" s="23">
        <f>K107*(1+Parameters!$B$53)^Parameters!B$65</f>
        <v>70.988926921018532</v>
      </c>
      <c r="L108" s="23">
        <f>J108*K108*EXP(-Parameters!$B$42*'6states,BAU'!A108)*(Parameters!$B$37/Parameters!$B$38*('6states,BAU'!F108+'6states,BAU'!I108)/Parameters!$E$25*(EXP(-Parameters!$B$38*Parameters!$E$25*'6states,BAU'!I108/('6states,BAU'!F108+'6states,BAU'!I108))-EXP(-Parameters!$B$38*Parameters!$E$25))  +  Parameters!$B$39*'6states,BAU'!F108)</f>
        <v>223.79331743673282</v>
      </c>
      <c r="M108" s="8">
        <f>M107+L108*Parameters!B$65</f>
        <v>15033.012906097647</v>
      </c>
      <c r="N108" s="7">
        <f>M108*Parameters!$B$45</f>
        <v>9.0198077436585873</v>
      </c>
      <c r="O108" s="9">
        <f>EXP(-Parameters!$B$46/2*N108^2)</f>
        <v>0.44147355274608618</v>
      </c>
      <c r="P108" s="7">
        <f>MAX((Parameters!$B$62 + Parameters!$B$31*'6states,BAU'!A108 - '6states,BAU'!M108 + Parameters!$B$47/Parameters!$B$45)/Parameters!B$62,1)</f>
        <v>1</v>
      </c>
      <c r="Q108" s="8"/>
      <c r="R108" s="8"/>
      <c r="S108" s="7">
        <f>Parameters!B$61*EXP(-Parameters!B$60*A108)+(1-Parameters!B$61)*P108^-Parameters!B$63</f>
        <v>0.53016276143372831</v>
      </c>
      <c r="T108" s="7">
        <f>1-S108/Parameters!$B$12</f>
        <v>0.73491861928313584</v>
      </c>
      <c r="U108" s="7">
        <f t="shared" si="34"/>
        <v>3.7724264046598925</v>
      </c>
      <c r="V108" s="7">
        <f>(Parameters!$B$19*(F108+Parameters!$B$20)^T108+Parameters!$B$18*G108^T108)^(1/T108)</f>
        <v>0.58239831802617081</v>
      </c>
      <c r="W108" s="7">
        <f>(Parameters!$B$10*H108^Parameters!$B$9+Parameters!$B$11*V108^Parameters!$B$9)^(Parameters!$B$7/Parameters!$B$9)*O108</f>
        <v>0.68525074094984784</v>
      </c>
      <c r="X108" s="7">
        <f>W108 - D108 - E108 - LN(1+EXP(Parameters!$B$21*C108))/Parameters!$B$21 - IF(C108&gt;0, 0,Parameters!$B$6*C108^2/F108)</f>
        <v>0.3160268171381263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-0.8892267591097599</v>
      </c>
      <c r="AC108" s="23">
        <f t="shared" si="35"/>
        <v>47.068659047382639</v>
      </c>
      <c r="AD108" s="23">
        <f t="shared" si="35"/>
        <v>1.9634186134300833</v>
      </c>
      <c r="AE108" s="23">
        <f t="shared" si="36"/>
        <v>0</v>
      </c>
      <c r="AF108" s="23">
        <f t="shared" si="37"/>
        <v>695.26526295212318</v>
      </c>
      <c r="AG108" s="23">
        <f t="shared" si="38"/>
        <v>31.754768231527184</v>
      </c>
      <c r="AH108" s="23">
        <f t="shared" si="39"/>
        <v>455.92618824923881</v>
      </c>
      <c r="AI108" s="23">
        <f t="shared" si="40"/>
        <v>1122.0690605202221</v>
      </c>
      <c r="AJ108" s="23">
        <f t="shared" si="41"/>
        <v>536.44344196439033</v>
      </c>
      <c r="AK108" s="23">
        <f t="shared" si="42"/>
        <v>247.39924148587684</v>
      </c>
      <c r="AL108" s="9">
        <f t="shared" si="51"/>
        <v>-1.4310918254025751E-3</v>
      </c>
      <c r="AM108" s="9">
        <f t="shared" si="51"/>
        <v>-2.8935929767620827E-2</v>
      </c>
      <c r="AN108" s="9">
        <f t="shared" si="55"/>
        <v>-1.4499391760308456E-3</v>
      </c>
      <c r="AO108" s="9">
        <f t="shared" si="55"/>
        <v>-2.9537737855691758E-2</v>
      </c>
      <c r="AP108" s="23"/>
      <c r="AQ108" s="25">
        <f t="shared" si="32"/>
        <v>536.44344196439033</v>
      </c>
      <c r="AR108" s="4"/>
      <c r="AS108" s="4"/>
      <c r="AT108" s="4"/>
      <c r="AU108" s="16"/>
      <c r="AV108" s="16"/>
      <c r="AY108" s="21">
        <f>-Y108*W108*X108^(-Parameters!B$52)*Parameters!B$46*Parameters!B$45*N108</f>
        <v>-7.3409240820803974E-5</v>
      </c>
      <c r="AZ108" s="7">
        <f>1000*EXP(-(Parameters!$B$54)*'6states,BAU'!A108)*AQ108*Parameters!B$46*Parameters!B$45*N108</f>
        <v>1.5160724371568521</v>
      </c>
      <c r="BA108" s="93">
        <f>SUM(AZ108:AZ$204)*EXP(Parameters!$B$54*A108)</f>
        <v>1448.6331141504825</v>
      </c>
      <c r="BB108" s="43">
        <f t="shared" si="53"/>
        <v>0.53881579646456867</v>
      </c>
      <c r="BC108" s="30">
        <f>IF(C108&lt;0,Parameters!$B$6*AC108^2/AF108,0)</f>
        <v>0</v>
      </c>
      <c r="BD108" s="30">
        <f>Parameters!$B$5*AD108^2/AG108</f>
        <v>0.12139948947057112</v>
      </c>
      <c r="BE108" s="30">
        <f t="shared" si="43"/>
        <v>0</v>
      </c>
      <c r="BF108" s="30">
        <f t="shared" si="44"/>
        <v>6.1830670566215509E-2</v>
      </c>
      <c r="BH108" s="5"/>
      <c r="BI108" s="5"/>
      <c r="BJ108" s="5"/>
      <c r="BM108">
        <f>-EXP(-Parameters!B$42*'6states,BAU'!A108)*(-Parameters!B$37/Parameters!B$38/Parameters!E$25*(EXP(-Parameters!B$38*Parameters!E$25*'6states,BAU'!I108/('6states,BAU'!F108+'6states,BAU'!I108))-EXP(-Parameters!B$38*Parameters!E$25))+Parameters!B$37*'6states,BAU'!F108/('6states,BAU'!F108+'6states,BAU'!I108)*EXP(-Parameters!B$38*Parameters!E$25*'6states,BAU'!I108/('6states,BAU'!F108+'6states,BAU'!I108)))</f>
        <v>-2.1121484022891202</v>
      </c>
      <c r="BN108">
        <f>-J108*K108*EXP(-Parameters!B$42*'6states,BAU'!A108)*(-Parameters!B$37/Parameters!B$38/Parameters!E$25*(EXP(-Parameters!B$38*Parameters!E$25*'6states,BAU'!I108/('6states,BAU'!F108+'6states,BAU'!I108))-EXP(-Parameters!B$38*Parameters!E$25)) + Parameters!B$37*'6states,BAU'!F108/('6states,BAU'!F108+'6states,BAU'!I108)*EXP(-Parameters!B$38*Parameters!E$25*'6states,BAU'!I108/('6states,BAU'!F108+'6states,BAU'!I108)))</f>
        <v>-1653.4796551887114</v>
      </c>
      <c r="BO108" s="7">
        <f t="shared" si="33"/>
        <v>0</v>
      </c>
    </row>
    <row r="109" spans="1:81" x14ac:dyDescent="0.3">
      <c r="A109">
        <f>A108+Parameters!$B$65</f>
        <v>105</v>
      </c>
      <c r="B109">
        <v>2130</v>
      </c>
      <c r="C109" s="74">
        <v>6.0131490637866498E-2</v>
      </c>
      <c r="D109" s="69">
        <v>2.5014843671490798E-3</v>
      </c>
      <c r="E109" s="75">
        <v>0.30664771381670197</v>
      </c>
      <c r="F109" s="7">
        <f>MAX((1-Parameters!$B$4)^Parameters!B$65*F108 + C108*Parameters!B$65 - IF(C108&gt;0,Parameters!$B$5,0)*C108^2/F108*Parameters!B$65, 0.0001)</f>
        <v>0.88832069357843568</v>
      </c>
      <c r="G109" s="7">
        <f>(1-Parameters!$B$4)^Parameters!B$65*G108+D108*Parameters!B$65-Parameters!$B$5*D108^2/G108*Parameters!B$65</f>
        <v>4.0364965045516094E-2</v>
      </c>
      <c r="H109" s="7">
        <f>(1-Parameters!$B$4)^Parameters!B$65*H108+E108*Parameters!B$65-Parameters!$B$5*E108^2/H108*Parameters!B$65</f>
        <v>4.5384281458250673</v>
      </c>
      <c r="I109" s="7">
        <f>I108 *(1-Parameters!$B$4)-C108*(C108&lt;0)*Parameters!B$65</f>
        <v>0</v>
      </c>
      <c r="J109" s="23">
        <f>J108*(1+Parameters!$B$51)^Parameters!B$65</f>
        <v>11.059651611555376</v>
      </c>
      <c r="K109" s="23">
        <f>K108*(1+Parameters!$B$53)^Parameters!B$65</f>
        <v>72.408705459438906</v>
      </c>
      <c r="L109" s="23">
        <f>J109*K109*EXP(-Parameters!$B$42*'6states,BAU'!A109)*(Parameters!$B$37/Parameters!$B$38*('6states,BAU'!F109+'6states,BAU'!I109)/Parameters!$E$25*(EXP(-Parameters!$B$38*Parameters!$E$25*'6states,BAU'!I109/('6states,BAU'!F109+'6states,BAU'!I109))-EXP(-Parameters!$B$38*Parameters!$E$25))  +  Parameters!$B$39*'6states,BAU'!F109)</f>
        <v>226.70215402608403</v>
      </c>
      <c r="M109" s="8">
        <f>M108+L109*Parameters!B$65</f>
        <v>15259.715060123732</v>
      </c>
      <c r="N109" s="7">
        <f>M109*Parameters!$B$45</f>
        <v>9.1558290360742376</v>
      </c>
      <c r="O109" s="9">
        <f>EXP(-Parameters!$B$46/2*N109^2)</f>
        <v>0.43063969471266977</v>
      </c>
      <c r="P109" s="7">
        <f>MAX((Parameters!$B$62 + Parameters!$B$31*'6states,BAU'!A109 - '6states,BAU'!M109 + Parameters!$B$47/Parameters!$B$45)/Parameters!B$62,1)</f>
        <v>1</v>
      </c>
      <c r="Q109" s="8"/>
      <c r="R109" s="8"/>
      <c r="S109" s="7">
        <f>Parameters!B$61*EXP(-Parameters!B$60*A109)+(1-Parameters!B$61)*P109^-Parameters!B$63</f>
        <v>0.52935926291693614</v>
      </c>
      <c r="T109" s="7">
        <f>1-S109/Parameters!$B$12</f>
        <v>0.73532036854153193</v>
      </c>
      <c r="U109" s="7">
        <f t="shared" si="34"/>
        <v>3.7781524573299627</v>
      </c>
      <c r="V109" s="7">
        <f>(Parameters!$B$19*(F109+Parameters!$B$20)^T109+Parameters!$B$18*G109^T109)^(1/T109)</f>
        <v>0.58249071031059063</v>
      </c>
      <c r="W109" s="7">
        <f>(Parameters!$B$10*H109^Parameters!$B$9+Parameters!$B$11*V109^Parameters!$B$9)^(Parameters!$B$7/Parameters!$B$9)*O109</f>
        <v>0.66845600175195263</v>
      </c>
      <c r="X109" s="7">
        <f>W109 - D109 - E109 - LN(1+EXP(Parameters!$B$21*C109))/Parameters!$B$21 - IF(C109&gt;0, 0,Parameters!$B$6*C109^2/F109)</f>
        <v>0.29917531288143212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-0.89286138496885736</v>
      </c>
      <c r="AC109" s="23">
        <f t="shared" si="35"/>
        <v>48.15420304403716</v>
      </c>
      <c r="AD109" s="23">
        <f t="shared" si="35"/>
        <v>2.0032263436244571</v>
      </c>
      <c r="AE109" s="23">
        <f t="shared" si="36"/>
        <v>0</v>
      </c>
      <c r="AF109" s="23">
        <f t="shared" si="37"/>
        <v>711.38058599629016</v>
      </c>
      <c r="AG109" s="23">
        <f t="shared" si="38"/>
        <v>32.324871744377063</v>
      </c>
      <c r="AH109" s="23">
        <f t="shared" si="39"/>
        <v>466.46733081148875</v>
      </c>
      <c r="AI109" s="23">
        <f t="shared" si="40"/>
        <v>1148.0116148995896</v>
      </c>
      <c r="AJ109" s="23">
        <f t="shared" si="41"/>
        <v>535.30963049331899</v>
      </c>
      <c r="AK109" s="23">
        <f t="shared" si="42"/>
        <v>239.58409494647748</v>
      </c>
      <c r="AL109" s="9">
        <f t="shared" si="51"/>
        <v>-2.1158080591154871E-3</v>
      </c>
      <c r="AM109" s="9">
        <f t="shared" si="51"/>
        <v>-3.2098911665960905E-2</v>
      </c>
      <c r="AN109" s="9">
        <f t="shared" si="55"/>
        <v>-2.1294238546136768E-3</v>
      </c>
      <c r="AO109" s="9">
        <f t="shared" si="55"/>
        <v>-3.2384599104308798E-2</v>
      </c>
      <c r="AP109" s="23"/>
      <c r="AQ109" s="25">
        <f t="shared" si="32"/>
        <v>535.30963049331899</v>
      </c>
      <c r="AR109" s="4"/>
      <c r="AS109" s="4"/>
      <c r="AT109" s="4"/>
      <c r="AU109" s="16"/>
      <c r="AV109" s="16"/>
      <c r="AY109" s="21">
        <f>-Y109*W109*X109^(-Parameters!B$52)*Parameters!B$46*Parameters!B$45*N109</f>
        <v>-7.7098182572561154E-5</v>
      </c>
      <c r="AZ109" s="7">
        <f>1000*EXP(-(Parameters!$B$54)*'6states,BAU'!A109)*AQ109*Parameters!B$46*Parameters!B$45*N109</f>
        <v>1.4827151531593836</v>
      </c>
      <c r="BA109" s="93">
        <f>SUM(AZ109:AZ$204)*EXP(Parameters!$B$54*A109)</f>
        <v>1439.9447311362171</v>
      </c>
      <c r="BB109" s="43">
        <f t="shared" si="53"/>
        <v>0.55243828741737955</v>
      </c>
      <c r="BC109" s="30">
        <f>IF(C109&lt;0,Parameters!$B$6*AC109^2/AF109,0)</f>
        <v>0</v>
      </c>
      <c r="BD109" s="30">
        <f>Parameters!$B$5*AD109^2/AG109</f>
        <v>0.12414328556428258</v>
      </c>
      <c r="BE109" s="30">
        <f t="shared" si="43"/>
        <v>0</v>
      </c>
      <c r="BF109" s="30">
        <f t="shared" si="44"/>
        <v>6.1971671827991702E-2</v>
      </c>
      <c r="BH109" s="5"/>
      <c r="BI109" s="5"/>
      <c r="BJ109" s="5"/>
      <c r="BM109">
        <f>-EXP(-Parameters!B$42*'6states,BAU'!A109)*(-Parameters!B$37/Parameters!B$38/Parameters!E$25*(EXP(-Parameters!B$38*Parameters!E$25*'6states,BAU'!I109/('6states,BAU'!F109+'6states,BAU'!I109))-EXP(-Parameters!B$38*Parameters!E$25))+Parameters!B$37*'6states,BAU'!F109/('6states,BAU'!F109+'6states,BAU'!I109)*EXP(-Parameters!B$38*Parameters!E$25*'6states,BAU'!I109/('6states,BAU'!F109+'6states,BAU'!I109)))</f>
        <v>-2.0911321745399141</v>
      </c>
      <c r="BN109">
        <f>-J109*K109*EXP(-Parameters!B$42*'6states,BAU'!A109)*(-Parameters!B$37/Parameters!B$38/Parameters!E$25*(EXP(-Parameters!B$38*Parameters!E$25*'6states,BAU'!I109/('6states,BAU'!F109+'6states,BAU'!I109))-EXP(-Parameters!B$38*Parameters!E$25)) + Parameters!B$37*'6states,BAU'!F109/('6states,BAU'!F109+'6states,BAU'!I109)*EXP(-Parameters!B$38*Parameters!E$25*'6states,BAU'!I109/('6states,BAU'!F109+'6states,BAU'!I109)))</f>
        <v>-1674.6101295101164</v>
      </c>
      <c r="BO109" s="7">
        <f t="shared" si="33"/>
        <v>0</v>
      </c>
    </row>
    <row r="110" spans="1:81" x14ac:dyDescent="0.3">
      <c r="A110">
        <f>A109+Parameters!$B$65</f>
        <v>106</v>
      </c>
      <c r="B110">
        <v>2131</v>
      </c>
      <c r="C110" s="74">
        <v>5.9966993958008599E-2</v>
      </c>
      <c r="D110" s="69">
        <v>2.4965910587284698E-3</v>
      </c>
      <c r="E110" s="75">
        <v>0.30714765064803101</v>
      </c>
      <c r="F110" s="7">
        <f>MAX((1-Parameters!$B$4)^Parameters!B$65*F109 + C109*Parameters!B$65 - IF(C109&gt;0,Parameters!$B$5,0)*C109^2/F109*Parameters!B$65, 0.0001)</f>
        <v>0.88850644004067658</v>
      </c>
      <c r="G110" s="7">
        <f>(1-Parameters!$B$4)^Parameters!B$65*G109+D109*Parameters!B$65-Parameters!$B$5*D109^2/G109*Parameters!B$65</f>
        <v>4.0172471943018401E-2</v>
      </c>
      <c r="H110" s="7">
        <f>(1-Parameters!$B$4)^Parameters!B$65*H109+E109*Parameters!B$65-Parameters!$B$5*E109^2/H109*Parameters!B$65</f>
        <v>4.5388894808054498</v>
      </c>
      <c r="I110" s="7">
        <f>I109 *(1-Parameters!$B$4)-C109*(C109&lt;0)*Parameters!B$65</f>
        <v>0</v>
      </c>
      <c r="J110" s="23">
        <f>J109*(1+Parameters!$B$51)^Parameters!B$65</f>
        <v>11.091724601228885</v>
      </c>
      <c r="K110" s="23">
        <f>K109*(1+Parameters!$B$53)^Parameters!B$65</f>
        <v>73.85687956862769</v>
      </c>
      <c r="L110" s="23">
        <f>J110*K110*EXP(-Parameters!$B$42*'6states,BAU'!A110)*(Parameters!$B$37/Parameters!$B$38*('6states,BAU'!F110+'6states,BAU'!I110)/Parameters!$E$25*(EXP(-Parameters!$B$38*Parameters!$E$25*'6states,BAU'!I110/('6states,BAU'!F110+'6states,BAU'!I110))-EXP(-Parameters!$B$38*Parameters!$E$25))  +  Parameters!$B$39*'6states,BAU'!F110)</f>
        <v>229.64727988891337</v>
      </c>
      <c r="M110" s="8">
        <f>M109+L110*Parameters!B$65</f>
        <v>15489.362340012645</v>
      </c>
      <c r="N110" s="7">
        <f>M110*Parameters!$B$45</f>
        <v>9.2936174040075858</v>
      </c>
      <c r="O110" s="9">
        <f>EXP(-Parameters!$B$46/2*N110^2)</f>
        <v>0.41977693717931625</v>
      </c>
      <c r="P110" s="7">
        <f>MAX((Parameters!$B$62 + Parameters!$B$31*'6states,BAU'!A110 - '6states,BAU'!M110 + Parameters!$B$47/Parameters!$B$45)/Parameters!B$62,1)</f>
        <v>1</v>
      </c>
      <c r="Q110" s="8"/>
      <c r="R110" s="8"/>
      <c r="S110" s="7">
        <f>Parameters!B$61*EXP(-Parameters!B$60*A110)+(1-Parameters!B$61)*P110^-Parameters!B$63</f>
        <v>0.52857716860306836</v>
      </c>
      <c r="T110" s="7">
        <f>1-S110/Parameters!$B$12</f>
        <v>0.73571141569846588</v>
      </c>
      <c r="U110" s="7">
        <f t="shared" si="34"/>
        <v>3.783742694156901</v>
      </c>
      <c r="V110" s="7">
        <f>(Parameters!$B$19*(F110+Parameters!$B$20)^T110+Parameters!$B$18*G110^T110)^(1/T110)</f>
        <v>0.58258069436624671</v>
      </c>
      <c r="W110" s="7">
        <f>(Parameters!$B$10*H110^Parameters!$B$9+Parameters!$B$11*V110^Parameters!$B$9)^(Parameters!$B$7/Parameters!$B$9)*O110</f>
        <v>0.65161603609746388</v>
      </c>
      <c r="X110" s="7">
        <f>W110 - D110 - E110 - LN(1+EXP(Parameters!$B$21*C110))/Parameters!$B$21 - IF(C110&gt;0, 0,Parameters!$B$6*C110^2/F110)</f>
        <v>0.282004800381424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-0.89786373895088345</v>
      </c>
      <c r="AC110" s="23">
        <f t="shared" si="35"/>
        <v>49.124971529733749</v>
      </c>
      <c r="AD110" s="23">
        <f t="shared" si="35"/>
        <v>2.0452078149407495</v>
      </c>
      <c r="AE110" s="23">
        <f t="shared" si="36"/>
        <v>0</v>
      </c>
      <c r="AF110" s="23">
        <f t="shared" si="37"/>
        <v>727.86462502268125</v>
      </c>
      <c r="AG110" s="23">
        <f t="shared" si="38"/>
        <v>32.909295767963862</v>
      </c>
      <c r="AH110" s="23">
        <f t="shared" si="39"/>
        <v>477.25020274577702</v>
      </c>
      <c r="AI110" s="23">
        <f t="shared" si="40"/>
        <v>1174.5490836672368</v>
      </c>
      <c r="AJ110" s="23">
        <f t="shared" si="41"/>
        <v>533.80396629554332</v>
      </c>
      <c r="AK110" s="23">
        <f t="shared" si="42"/>
        <v>231.01837987220915</v>
      </c>
      <c r="AL110" s="9">
        <f t="shared" si="51"/>
        <v>-2.8166608258279879E-3</v>
      </c>
      <c r="AM110" s="9">
        <f t="shared" si="51"/>
        <v>-3.6407208442530425E-2</v>
      </c>
      <c r="AN110" s="9">
        <f t="shared" si="55"/>
        <v>-2.8306958379291204E-3</v>
      </c>
      <c r="AO110" s="9">
        <f t="shared" si="55"/>
        <v>-3.5738229665639311E-2</v>
      </c>
      <c r="AP110" s="23"/>
      <c r="AQ110" s="25">
        <f t="shared" si="32"/>
        <v>533.80396629554332</v>
      </c>
      <c r="AR110" s="4"/>
      <c r="AS110" s="4"/>
      <c r="AT110" s="4"/>
      <c r="AU110" s="16"/>
      <c r="AV110" s="16"/>
      <c r="AY110" s="21">
        <f>-Y110*W110*X110^(-Parameters!B$52)*Parameters!B$46*Parameters!B$45*N110</f>
        <v>-8.1385275297175689E-5</v>
      </c>
      <c r="AZ110" s="7">
        <f>1000*EXP(-(Parameters!$B$54)*'6states,BAU'!A110)*AQ110*Parameters!B$46*Parameters!B$45*N110</f>
        <v>1.449031559747094</v>
      </c>
      <c r="BA110" s="93">
        <f>SUM(AZ110:AZ$204)*EXP(Parameters!$B$54*A110)</f>
        <v>1430.1642106661379</v>
      </c>
      <c r="BB110" s="43">
        <f t="shared" si="53"/>
        <v>0.56722243651088466</v>
      </c>
      <c r="BC110" s="30">
        <f>IF(C110&lt;0,Parameters!$B$6*AC110^2/AF110,0)</f>
        <v>0</v>
      </c>
      <c r="BD110" s="30">
        <f>Parameters!$B$5*AD110^2/AG110</f>
        <v>0.12710314543912571</v>
      </c>
      <c r="BE110" s="30">
        <f t="shared" si="43"/>
        <v>0</v>
      </c>
      <c r="BF110" s="30">
        <f t="shared" si="44"/>
        <v>6.2146811933049426E-2</v>
      </c>
      <c r="BH110" s="5"/>
      <c r="BI110" s="5"/>
      <c r="BJ110" s="5"/>
      <c r="BM110">
        <f>-EXP(-Parameters!B$42*'6states,BAU'!A110)*(-Parameters!B$37/Parameters!B$38/Parameters!E$25*(EXP(-Parameters!B$38*Parameters!E$25*'6states,BAU'!I110/('6states,BAU'!F110+'6states,BAU'!I110))-EXP(-Parameters!B$38*Parameters!E$25))+Parameters!B$37*'6states,BAU'!F110/('6states,BAU'!F110+'6states,BAU'!I110)*EXP(-Parameters!B$38*Parameters!E$25*'6states,BAU'!I110/('6states,BAU'!F110+'6states,BAU'!I110)))</f>
        <v>-2.0703250617507778</v>
      </c>
      <c r="BN110">
        <f>-J110*K110*EXP(-Parameters!B$42*'6states,BAU'!A110)*(-Parameters!B$37/Parameters!B$38/Parameters!E$25*(EXP(-Parameters!B$38*Parameters!E$25*'6states,BAU'!I110/('6states,BAU'!F110+'6states,BAU'!I110))-EXP(-Parameters!B$38*Parameters!E$25)) + Parameters!B$37*'6states,BAU'!F110/('6states,BAU'!F110+'6states,BAU'!I110)*EXP(-Parameters!B$38*Parameters!E$25*'6states,BAU'!I110/('6states,BAU'!F110+'6states,BAU'!I110)))</f>
        <v>-1696.010638569262</v>
      </c>
      <c r="BO110" s="7">
        <f t="shared" si="33"/>
        <v>0</v>
      </c>
    </row>
    <row r="111" spans="1:81" x14ac:dyDescent="0.3">
      <c r="A111">
        <f>A110+Parameters!$B$65</f>
        <v>107</v>
      </c>
      <c r="B111">
        <v>2132</v>
      </c>
      <c r="C111" s="74">
        <v>6.0143422328104101E-2</v>
      </c>
      <c r="D111" s="69">
        <v>2.4879083972211601E-3</v>
      </c>
      <c r="E111" s="75">
        <v>0.30678991772631897</v>
      </c>
      <c r="F111" s="7">
        <f>MAX((1-Parameters!$B$4)^Parameters!B$65*F110 + C110*Parameters!B$65 - IF(C110&gt;0,Parameters!$B$5,0)*C110^2/F110*Parameters!B$65, 0.0001)</f>
        <v>0.88853909214503568</v>
      </c>
      <c r="G111" s="7">
        <f>(1-Parameters!$B$4)^Parameters!B$65*G110+D110*Parameters!B$65-Parameters!$B$5*D110^2/G110*Parameters!B$65</f>
        <v>3.9987059341530483E-2</v>
      </c>
      <c r="H111" s="7">
        <f>(1-Parameters!$B$4)^Parameters!B$65*H110+E110*Parameters!B$65-Parameters!$B$5*E110^2/H110*Parameters!B$65</f>
        <v>4.5397562339563038</v>
      </c>
      <c r="I111" s="7">
        <f>I110 *(1-Parameters!$B$4)-C110*(C110&lt;0)*Parameters!B$65</f>
        <v>0</v>
      </c>
      <c r="J111" s="23">
        <f>J110*(1+Parameters!$B$51)^Parameters!B$65</f>
        <v>11.123890602572446</v>
      </c>
      <c r="K111" s="23">
        <f>K110*(1+Parameters!$B$53)^Parameters!B$65</f>
        <v>75.334017160000244</v>
      </c>
      <c r="L111" s="23">
        <f>J111*K111*EXP(-Parameters!$B$42*'6states,BAU'!A111)*(Parameters!$B$37/Parameters!$B$38*('6states,BAU'!F111+'6states,BAU'!I111)/Parameters!$E$25*(EXP(-Parameters!$B$38*Parameters!$E$25*'6states,BAU'!I111/('6states,BAU'!F111+'6states,BAU'!I111))-EXP(-Parameters!$B$38*Parameters!$E$25))  +  Parameters!$B$39*'6states,BAU'!F111)</f>
        <v>232.59058109668376</v>
      </c>
      <c r="M111" s="8">
        <f>M110+L111*Parameters!B$65</f>
        <v>15721.952921109329</v>
      </c>
      <c r="N111" s="7">
        <f>M111*Parameters!$B$45</f>
        <v>9.4331717526655972</v>
      </c>
      <c r="O111" s="9">
        <f>EXP(-Parameters!$B$46/2*N111^2)</f>
        <v>0.4088951431117398</v>
      </c>
      <c r="P111" s="7">
        <f>MAX((Parameters!$B$62 + Parameters!$B$31*'6states,BAU'!A111 - '6states,BAU'!M111 + Parameters!$B$47/Parameters!$B$45)/Parameters!B$62,1)</f>
        <v>1</v>
      </c>
      <c r="Q111" s="8"/>
      <c r="R111" s="8"/>
      <c r="S111" s="7">
        <f>Parameters!B$61*EXP(-Parameters!B$60*A111)+(1-Parameters!B$61)*P111^-Parameters!B$63</f>
        <v>0.527815908310733</v>
      </c>
      <c r="T111" s="7">
        <f>1-S111/Parameters!$B$12</f>
        <v>0.7360920458446335</v>
      </c>
      <c r="U111" s="7">
        <f t="shared" si="34"/>
        <v>3.7891999246498091</v>
      </c>
      <c r="V111" s="7">
        <f>(Parameters!$B$19*(F111+Parameters!$B$20)^T111+Parameters!$B$18*G111^T111)^(1/T111)</f>
        <v>0.5825775844078398</v>
      </c>
      <c r="W111" s="7">
        <f>(Parameters!$B$10*H111^Parameters!$B$9+Parameters!$B$11*V111^Parameters!$B$9)^(Parameters!$B$7/Parameters!$B$9)*O111</f>
        <v>0.6347542846462686</v>
      </c>
      <c r="X111" s="7">
        <f>W111 - D111 - E111 - LN(1+EXP(Parameters!$B$21*C111))/Parameters!$B$21 - IF(C111&gt;0, 0,Parameters!$B$6*C111^2/F111)</f>
        <v>0.26533303614599579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-0.90347345474615937</v>
      </c>
      <c r="AC111" s="23">
        <f t="shared" si="35"/>
        <v>50.400630899743646</v>
      </c>
      <c r="AD111" s="23">
        <f t="shared" si="35"/>
        <v>2.084885561660542</v>
      </c>
      <c r="AE111" s="23">
        <f t="shared" si="36"/>
        <v>0</v>
      </c>
      <c r="AF111" s="23">
        <f t="shared" si="37"/>
        <v>744.60230378790516</v>
      </c>
      <c r="AG111" s="23">
        <f t="shared" si="38"/>
        <v>33.509450254493927</v>
      </c>
      <c r="AH111" s="23">
        <f t="shared" si="39"/>
        <v>488.20430673236291</v>
      </c>
      <c r="AI111" s="23">
        <f t="shared" si="40"/>
        <v>1201.5079675520776</v>
      </c>
      <c r="AJ111" s="23">
        <f t="shared" si="41"/>
        <v>531.92876584174712</v>
      </c>
      <c r="AK111" s="23">
        <f t="shared" si="42"/>
        <v>222.35103861147749</v>
      </c>
      <c r="AL111" s="9">
        <f t="shared" si="51"/>
        <v>-3.5190856627558276E-3</v>
      </c>
      <c r="AM111" s="9">
        <f t="shared" si="51"/>
        <v>-3.8239885891321101E-2</v>
      </c>
      <c r="AN111" s="9">
        <f t="shared" si="55"/>
        <v>-3.5516121213422735E-3</v>
      </c>
      <c r="AO111" s="9">
        <f t="shared" si="55"/>
        <v>-3.9681786838790423E-2</v>
      </c>
      <c r="AP111" s="23"/>
      <c r="AQ111" s="25">
        <f t="shared" si="32"/>
        <v>531.92876584174724</v>
      </c>
      <c r="AR111" s="4"/>
      <c r="AS111" s="4"/>
      <c r="AT111" s="4"/>
      <c r="AU111" s="16"/>
      <c r="AV111" s="16"/>
      <c r="AY111" s="21">
        <f>-Y111*W111*X111^(-Parameters!B$52)*Parameters!B$46*Parameters!B$45*N111</f>
        <v>-8.6060290044387284E-5</v>
      </c>
      <c r="AZ111" s="7">
        <f>1000*EXP(-(Parameters!$B$54)*'6states,BAU'!A111)*AQ111*Parameters!B$46*Parameters!B$45*N111</f>
        <v>1.4150726620392899</v>
      </c>
      <c r="BA111" s="93">
        <f>SUM(AZ111:AZ$204)*EXP(Parameters!$B$54*A111)</f>
        <v>1419.2877667912026</v>
      </c>
      <c r="BB111" s="43">
        <f t="shared" si="53"/>
        <v>0.5819909489189391</v>
      </c>
      <c r="BC111" s="30">
        <f>IF(C111&lt;0,Parameters!$B$6*AC111^2/AF111,0)</f>
        <v>0</v>
      </c>
      <c r="BD111" s="30">
        <f>Parameters!$B$5*AD111^2/AG111</f>
        <v>0.129717073010998</v>
      </c>
      <c r="BE111" s="30">
        <f t="shared" si="43"/>
        <v>0</v>
      </c>
      <c r="BF111" s="30">
        <f t="shared" si="44"/>
        <v>6.2217838425473418E-2</v>
      </c>
      <c r="BH111" s="5"/>
      <c r="BI111" s="5"/>
      <c r="BJ111" s="5"/>
      <c r="BM111">
        <f>-EXP(-Parameters!B$42*'6states,BAU'!A111)*(-Parameters!B$37/Parameters!B$38/Parameters!E$25*(EXP(-Parameters!B$38*Parameters!E$25*'6states,BAU'!I111/('6states,BAU'!F111+'6states,BAU'!I111))-EXP(-Parameters!B$38*Parameters!E$25))+Parameters!B$37*'6states,BAU'!F111/('6states,BAU'!F111+'6states,BAU'!I111)*EXP(-Parameters!B$38*Parameters!E$25*'6states,BAU'!I111/('6states,BAU'!F111+'6states,BAU'!I111)))</f>
        <v>-2.0497249831930939</v>
      </c>
      <c r="BN111">
        <f>-J111*K111*EXP(-Parameters!B$42*'6states,BAU'!A111)*(-Parameters!B$37/Parameters!B$38/Parameters!E$25*(EXP(-Parameters!B$38*Parameters!E$25*'6states,BAU'!I111/('6states,BAU'!F111+'6states,BAU'!I111))-EXP(-Parameters!B$38*Parameters!E$25)) + Parameters!B$37*'6states,BAU'!F111/('6states,BAU'!F111+'6states,BAU'!I111)*EXP(-Parameters!B$38*Parameters!E$25*'6states,BAU'!I111/('6states,BAU'!F111+'6states,BAU'!I111)))</f>
        <v>-1717.6846332474895</v>
      </c>
      <c r="BO111" s="7">
        <f t="shared" si="33"/>
        <v>0</v>
      </c>
    </row>
    <row r="112" spans="1:81" x14ac:dyDescent="0.3">
      <c r="A112">
        <f>A111+Parameters!$B$65</f>
        <v>108</v>
      </c>
      <c r="B112">
        <v>2133</v>
      </c>
      <c r="C112" s="74">
        <v>6.0227370388373697E-2</v>
      </c>
      <c r="D112" s="69">
        <v>2.48285224639128E-3</v>
      </c>
      <c r="E112" s="75">
        <v>0.306694914153405</v>
      </c>
      <c r="F112" s="7">
        <f>MAX((1-Parameters!$B$4)^Parameters!B$65*F111 + C111*Parameters!B$65 - IF(C111&gt;0,Parameters!$B$5,0)*C111^2/F111*Parameters!B$65, 0.0001)</f>
        <v>0.88872241840139765</v>
      </c>
      <c r="G112" s="7">
        <f>(1-Parameters!$B$4)^Parameters!B$65*G111+D111*Parameters!B$65-Parameters!$B$5*D111^2/G111*Parameters!B$65</f>
        <v>3.9804989423493697E-2</v>
      </c>
      <c r="H112" s="7">
        <f>(1-Parameters!$B$4)^Parameters!B$65*H111+E111*Parameters!B$65-Parameters!$B$5*E111^2/H111*Parameters!B$65</f>
        <v>4.5402630820394014</v>
      </c>
      <c r="I112" s="7">
        <f>I111 *(1-Parameters!$B$4)-C111*(C111&lt;0)*Parameters!B$65</f>
        <v>0</v>
      </c>
      <c r="J112" s="23">
        <f>J111*(1+Parameters!$B$51)^Parameters!B$65</f>
        <v>11.156149885319905</v>
      </c>
      <c r="K112" s="23">
        <f>K111*(1+Parameters!$B$53)^Parameters!B$65</f>
        <v>76.840697503200246</v>
      </c>
      <c r="L112" s="23">
        <f>J112*K112*EXP(-Parameters!$B$42*'6states,BAU'!A112)*(Parameters!$B$37/Parameters!$B$38*('6states,BAU'!F112+'6states,BAU'!I112)/Parameters!$E$25*(EXP(-Parameters!$B$38*Parameters!$E$25*'6states,BAU'!I112/('6states,BAU'!F112+'6states,BAU'!I112))-EXP(-Parameters!$B$38*Parameters!$E$25))  +  Parameters!$B$39*'6states,BAU'!F112)</f>
        <v>235.6115507732556</v>
      </c>
      <c r="M112" s="8">
        <f>M111+L112*Parameters!B$65</f>
        <v>15957.564471882584</v>
      </c>
      <c r="N112" s="7">
        <f>M112*Parameters!$B$45</f>
        <v>9.5745386831295498</v>
      </c>
      <c r="O112" s="9">
        <f>EXP(-Parameters!$B$46/2*N112^2)</f>
        <v>0.39800070613243371</v>
      </c>
      <c r="P112" s="7">
        <f>MAX((Parameters!$B$62 + Parameters!$B$31*'6states,BAU'!A112 - '6states,BAU'!M112 + Parameters!$B$47/Parameters!$B$45)/Parameters!B$62,1)</f>
        <v>1</v>
      </c>
      <c r="Q112" s="8"/>
      <c r="R112" s="8"/>
      <c r="S112" s="7">
        <f>Parameters!B$61*EXP(-Parameters!B$60*A112)+(1-Parameters!B$61)*P112^-Parameters!B$63</f>
        <v>0.52707492704746217</v>
      </c>
      <c r="T112" s="7">
        <f>1-S112/Parameters!$B$12</f>
        <v>0.73646253647626891</v>
      </c>
      <c r="U112" s="7">
        <f t="shared" si="34"/>
        <v>3.794526920875338</v>
      </c>
      <c r="V112" s="7">
        <f>(Parameters!$B$19*(F112+Parameters!$B$20)^T112+Parameters!$B$18*G112^T112)^(1/T112)</f>
        <v>0.58266774606030136</v>
      </c>
      <c r="W112" s="7">
        <f>(Parameters!$B$10*H112^Parameters!$B$9+Parameters!$B$11*V112^Parameters!$B$9)^(Parameters!$B$7/Parameters!$B$9)*O112</f>
        <v>0.61786420942766462</v>
      </c>
      <c r="X112" s="7">
        <f>W112 - D112 - E112 - LN(1+EXP(Parameters!$B$21*C112))/Parameters!$B$21 - IF(C112&gt;0, 0,Parameters!$B$6*C112^2/F112)</f>
        <v>0.24845907259207539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-0.91063704511799293</v>
      </c>
      <c r="AC112" s="23">
        <f t="shared" si="35"/>
        <v>51.629692751241848</v>
      </c>
      <c r="AD112" s="23">
        <f t="shared" si="35"/>
        <v>2.1284159975986268</v>
      </c>
      <c r="AE112" s="23">
        <f t="shared" si="36"/>
        <v>0</v>
      </c>
      <c r="AF112" s="23">
        <f t="shared" si="37"/>
        <v>761.85403924031039</v>
      </c>
      <c r="AG112" s="23">
        <f t="shared" si="38"/>
        <v>34.122681442823399</v>
      </c>
      <c r="AH112" s="23">
        <f t="shared" si="39"/>
        <v>499.4897919527827</v>
      </c>
      <c r="AI112" s="23">
        <f t="shared" si="40"/>
        <v>1229.282405882584</v>
      </c>
      <c r="AJ112" s="23">
        <f t="shared" si="41"/>
        <v>529.66183130746947</v>
      </c>
      <c r="AK112" s="23">
        <f t="shared" si="42"/>
        <v>212.99063028100659</v>
      </c>
      <c r="AL112" s="9">
        <f t="shared" si="51"/>
        <v>-4.2708328165437237E-3</v>
      </c>
      <c r="AM112" s="9">
        <f t="shared" si="51"/>
        <v>-4.3009212560763288E-2</v>
      </c>
      <c r="AN112" s="9">
        <f t="shared" si="55"/>
        <v>-4.28995779974084E-3</v>
      </c>
      <c r="AO112" s="9">
        <f t="shared" si="55"/>
        <v>-4.3854316552332406E-2</v>
      </c>
      <c r="AP112" s="23"/>
      <c r="AQ112" s="25">
        <f t="shared" si="32"/>
        <v>529.66183130746947</v>
      </c>
      <c r="AR112" s="4"/>
      <c r="AS112" s="4"/>
      <c r="AT112" s="4"/>
      <c r="AU112" s="16"/>
      <c r="AV112" s="16"/>
      <c r="AY112" s="21">
        <f>-Y112*W112*X112^(-Parameters!B$52)*Parameters!B$46*Parameters!B$45*N112</f>
        <v>-9.152014572477577E-5</v>
      </c>
      <c r="AZ112" s="7">
        <f>1000*EXP(-(Parameters!$B$54)*'6states,BAU'!A112)*AQ112*Parameters!B$46*Parameters!B$45*N112</f>
        <v>1.3808303424943911</v>
      </c>
      <c r="BA112" s="93">
        <f>SUM(AZ112:AZ$204)*EXP(Parameters!$B$54*A112)</f>
        <v>1407.3132323207994</v>
      </c>
      <c r="BB112" s="43">
        <f t="shared" si="53"/>
        <v>0.59787430822438248</v>
      </c>
      <c r="BC112" s="30">
        <f>IF(C112&lt;0,Parameters!$B$6*AC112^2/AF112,0)</f>
        <v>0</v>
      </c>
      <c r="BD112" s="30">
        <f>Parameters!$B$5*AD112^2/AG112</f>
        <v>0.13276080505058108</v>
      </c>
      <c r="BE112" s="30">
        <f t="shared" si="43"/>
        <v>0</v>
      </c>
      <c r="BF112" s="30">
        <f t="shared" si="44"/>
        <v>6.2375402740990342E-2</v>
      </c>
      <c r="BH112" s="5"/>
      <c r="BI112" s="5"/>
      <c r="BJ112" s="5"/>
      <c r="BM112">
        <f>-EXP(-Parameters!B$42*'6states,BAU'!A112)*(-Parameters!B$37/Parameters!B$38/Parameters!E$25*(EXP(-Parameters!B$38*Parameters!E$25*'6states,BAU'!I112/('6states,BAU'!F112+'6states,BAU'!I112))-EXP(-Parameters!B$38*Parameters!E$25))+Parameters!B$37*'6states,BAU'!F112/('6states,BAU'!F112+'6states,BAU'!I112)*EXP(-Parameters!B$38*Parameters!E$25*'6states,BAU'!I112/('6states,BAU'!F112+'6states,BAU'!I112)))</f>
        <v>-2.029329878841839</v>
      </c>
      <c r="BN112">
        <f>-J112*K112*EXP(-Parameters!B$42*'6states,BAU'!A112)*(-Parameters!B$37/Parameters!B$38/Parameters!E$25*(EXP(-Parameters!B$38*Parameters!E$25*'6states,BAU'!I112/('6states,BAU'!F112+'6states,BAU'!I112))-EXP(-Parameters!B$38*Parameters!E$25)) + Parameters!B$37*'6states,BAU'!F112/('6states,BAU'!F112+'6states,BAU'!I112)*EXP(-Parameters!B$38*Parameters!E$25*'6states,BAU'!I112/('6states,BAU'!F112+'6states,BAU'!I112)))</f>
        <v>-1739.6356085263274</v>
      </c>
      <c r="BO112" s="7">
        <f t="shared" si="33"/>
        <v>0</v>
      </c>
    </row>
    <row r="113" spans="1:67" x14ac:dyDescent="0.3">
      <c r="A113">
        <f>A112+Parameters!$B$65</f>
        <v>109</v>
      </c>
      <c r="B113">
        <v>2134</v>
      </c>
      <c r="C113" s="74">
        <v>6.0142325066441502E-2</v>
      </c>
      <c r="D113" s="69">
        <v>2.47427883240956E-3</v>
      </c>
      <c r="E113" s="75">
        <v>0.30699846337887199</v>
      </c>
      <c r="F113" s="7">
        <f>MAX((1-Parameters!$B$4)^Parameters!B$65*F112 + C112*Parameters!B$65 - IF(C112&gt;0,Parameters!$B$5,0)*C112^2/F112*Parameters!B$65, 0.0001)</f>
        <v>0.8889676311266953</v>
      </c>
      <c r="G113" s="7">
        <f>(1-Parameters!$B$4)^Parameters!B$65*G112+D112*Parameters!B$65-Parameters!$B$5*D112^2/G112*Parameters!B$65</f>
        <v>3.9629238926332203E-2</v>
      </c>
      <c r="H113" s="7">
        <f>(1-Parameters!$B$4)^Parameters!B$65*H112+E112*Parameters!B$65-Parameters!$B$5*E112^2/H112*Parameters!B$65</f>
        <v>4.5406581972244027</v>
      </c>
      <c r="I113" s="7">
        <f>I112 *(1-Parameters!$B$4)-C112*(C112&lt;0)*Parameters!B$65</f>
        <v>0</v>
      </c>
      <c r="J113" s="23">
        <f>J112*(1+Parameters!$B$51)^Parameters!B$65</f>
        <v>11.188502719987332</v>
      </c>
      <c r="K113" s="23">
        <f>K112*(1+Parameters!$B$53)^Parameters!B$65</f>
        <v>78.377511453264248</v>
      </c>
      <c r="L113" s="23">
        <f>J113*K113*EXP(-Parameters!$B$42*'6states,BAU'!A113)*(Parameters!$B$37/Parameters!$B$38*('6states,BAU'!F113+'6states,BAU'!I113)/Parameters!$E$25*(EXP(-Parameters!$B$38*Parameters!$E$25*'6states,BAU'!I113/('6states,BAU'!F113+'6states,BAU'!I113))-EXP(-Parameters!$B$38*Parameters!$E$25))  +  Parameters!$B$39*'6states,BAU'!F113)</f>
        <v>238.68836428441512</v>
      </c>
      <c r="M113" s="8">
        <f>M112+L113*Parameters!B$65</f>
        <v>16196.252836166999</v>
      </c>
      <c r="N113" s="7">
        <f>M113*Parameters!$B$45</f>
        <v>9.7177517017001982</v>
      </c>
      <c r="O113" s="9">
        <f>EXP(-Parameters!$B$46/2*N113^2)</f>
        <v>0.38710135683927277</v>
      </c>
      <c r="P113" s="7">
        <f>MAX((Parameters!$B$62 + Parameters!$B$31*'6states,BAU'!A113 - '6states,BAU'!M113 + Parameters!$B$47/Parameters!$B$45)/Parameters!B$62,1)</f>
        <v>1</v>
      </c>
      <c r="Q113" s="8"/>
      <c r="R113" s="8"/>
      <c r="S113" s="7">
        <f>Parameters!B$61*EXP(-Parameters!B$60*A113)+(1-Parameters!B$61)*P113^-Parameters!B$63</f>
        <v>0.52635368460509857</v>
      </c>
      <c r="T113" s="7">
        <f>1-S113/Parameters!$B$12</f>
        <v>0.73682315769745066</v>
      </c>
      <c r="U113" s="7">
        <f t="shared" si="34"/>
        <v>3.7997264168493796</v>
      </c>
      <c r="V113" s="7">
        <f>(Parameters!$B$19*(F113+Parameters!$B$20)^T113+Parameters!$B$18*G113^T113)^(1/T113)</f>
        <v>0.58279796599649558</v>
      </c>
      <c r="W113" s="7">
        <f>(Parameters!$B$10*H113^Parameters!$B$9+Parameters!$B$11*V113^Parameters!$B$9)^(Parameters!$B$7/Parameters!$B$9)*O113</f>
        <v>0.60096374233302785</v>
      </c>
      <c r="X113" s="7">
        <f>W113 - D113 - E113 - LN(1+EXP(Parameters!$B$21*C113))/Parameters!$B$21 - IF(C113&gt;0, 0,Parameters!$B$6*C113^2/F113)</f>
        <v>0.23134867500666018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-0.91967252471926786</v>
      </c>
      <c r="AC113" s="23">
        <f t="shared" si="35"/>
        <v>52.740428698391945</v>
      </c>
      <c r="AD113" s="23">
        <f t="shared" si="35"/>
        <v>2.1697619138680562</v>
      </c>
      <c r="AE113" s="23">
        <f t="shared" si="36"/>
        <v>0</v>
      </c>
      <c r="AF113" s="23">
        <f t="shared" si="37"/>
        <v>779.55971793276615</v>
      </c>
      <c r="AG113" s="23">
        <f t="shared" si="38"/>
        <v>34.751949607149214</v>
      </c>
      <c r="AH113" s="23">
        <f t="shared" si="39"/>
        <v>511.07127197443208</v>
      </c>
      <c r="AI113" s="23">
        <f t="shared" si="40"/>
        <v>1257.785309954025</v>
      </c>
      <c r="AJ113" s="23">
        <f t="shared" si="41"/>
        <v>527.00133172136407</v>
      </c>
      <c r="AK113" s="23">
        <f t="shared" si="42"/>
        <v>202.87589954623192</v>
      </c>
      <c r="AL113" s="9">
        <f t="shared" si="51"/>
        <v>-5.0356732424683415E-3</v>
      </c>
      <c r="AM113" s="9">
        <f t="shared" si="51"/>
        <v>-4.8653715633376393E-2</v>
      </c>
      <c r="AN113" s="9">
        <f t="shared" si="55"/>
        <v>-5.0496968543781049E-3</v>
      </c>
      <c r="AO113" s="9">
        <f t="shared" si="55"/>
        <v>-4.8600899410486065E-2</v>
      </c>
      <c r="AP113" s="23"/>
      <c r="AQ113" s="25">
        <f t="shared" si="32"/>
        <v>527.00133172136407</v>
      </c>
      <c r="AR113" s="4"/>
      <c r="AS113" s="4"/>
      <c r="AT113" s="4"/>
      <c r="AU113" s="16"/>
      <c r="AV113" s="16"/>
      <c r="AY113" s="21">
        <f>-Y113*W113*X113^(-Parameters!B$52)*Parameters!B$46*Parameters!B$45*N113</f>
        <v>-9.7993127054784305E-5</v>
      </c>
      <c r="AZ113" s="7">
        <f>1000*EXP(-(Parameters!$B$54)*'6states,BAU'!A113)*AQ113*Parameters!B$46*Parameters!B$45*N113</f>
        <v>1.3463487155957461</v>
      </c>
      <c r="BA113" s="93">
        <f>SUM(AZ113:AZ$204)*EXP(Parameters!$B$54*A113)</f>
        <v>1394.2427656096947</v>
      </c>
      <c r="BB113" s="43">
        <f t="shared" si="53"/>
        <v>0.61503721645972198</v>
      </c>
      <c r="BC113" s="30">
        <f>IF(C113&lt;0,Parameters!$B$6*AC113^2/AF113,0)</f>
        <v>0</v>
      </c>
      <c r="BD113" s="30">
        <f>Parameters!$B$5*AD113^2/AG113</f>
        <v>0.1354705798118406</v>
      </c>
      <c r="BE113" s="30">
        <f t="shared" si="43"/>
        <v>0</v>
      </c>
      <c r="BF113" s="30">
        <f t="shared" si="44"/>
        <v>6.2435688886406826E-2</v>
      </c>
      <c r="BH113" s="5"/>
      <c r="BI113" s="5"/>
      <c r="BJ113" s="5"/>
      <c r="BM113">
        <f>-EXP(-Parameters!B$42*'6states,BAU'!A113)*(-Parameters!B$37/Parameters!B$38/Parameters!E$25*(EXP(-Parameters!B$38*Parameters!E$25*'6states,BAU'!I113/('6states,BAU'!F113+'6states,BAU'!I113))-EXP(-Parameters!B$38*Parameters!E$25))+Parameters!B$37*'6states,BAU'!F113/('6states,BAU'!F113+'6states,BAU'!I113)*EXP(-Parameters!B$38*Parameters!E$25*'6states,BAU'!I113/('6states,BAU'!F113+'6states,BAU'!I113)))</f>
        <v>-2.0091377091695821</v>
      </c>
      <c r="BN113">
        <f>-J113*K113*EXP(-Parameters!B$42*'6states,BAU'!A113)*(-Parameters!B$37/Parameters!B$38/Parameters!E$25*(EXP(-Parameters!B$38*Parameters!E$25*'6states,BAU'!I113/('6states,BAU'!F113+'6states,BAU'!I113))-EXP(-Parameters!B$38*Parameters!E$25)) + Parameters!B$37*'6states,BAU'!F113/('6states,BAU'!F113+'6states,BAU'!I113)*EXP(-Parameters!B$38*Parameters!E$25*'6states,BAU'!I113/('6states,BAU'!F113+'6states,BAU'!I113)))</f>
        <v>-1761.8671040510619</v>
      </c>
      <c r="BO113" s="7">
        <f t="shared" si="33"/>
        <v>0</v>
      </c>
    </row>
    <row r="114" spans="1:67" x14ac:dyDescent="0.3">
      <c r="A114">
        <f>A113+Parameters!$B$65</f>
        <v>110</v>
      </c>
      <c r="B114">
        <v>2135</v>
      </c>
      <c r="C114" s="74">
        <v>6.0256275152674399E-2</v>
      </c>
      <c r="D114" s="69">
        <v>2.47061805258042E-3</v>
      </c>
      <c r="E114" s="75">
        <v>0.30685704373610501</v>
      </c>
      <c r="F114" s="7">
        <f>MAX((1-Parameters!$B$4)^Parameters!B$65*F113 + C113*Parameters!B$65 - IF(C113&gt;0,Parameters!$B$5,0)*C113^2/F113*Parameters!B$65, 0.0001)</f>
        <v>0.88912501596429272</v>
      </c>
      <c r="G114" s="7">
        <f>(1-Parameters!$B$4)^Parameters!B$65*G113+D113*Parameters!B$65-Parameters!$B$5*D113^2/G113*Parameters!B$65</f>
        <v>3.9456355326876927E-2</v>
      </c>
      <c r="H114" s="7">
        <f>(1-Parameters!$B$4)^Parameters!B$65*H113+E113*Parameters!B$65-Parameters!$B$5*E113^2/H113*Parameters!B$65</f>
        <v>4.5412927854024812</v>
      </c>
      <c r="I114" s="7">
        <f>I113 *(1-Parameters!$B$4)-C113*(C113&lt;0)*Parameters!B$65</f>
        <v>0</v>
      </c>
      <c r="J114" s="23">
        <f>J113*(1+Parameters!$B$51)^Parameters!B$65</f>
        <v>11.220949377875295</v>
      </c>
      <c r="K114" s="23">
        <f>K113*(1+Parameters!$B$53)^Parameters!B$65</f>
        <v>79.945061682329538</v>
      </c>
      <c r="L114" s="23">
        <f>J114*K114*EXP(-Parameters!$B$42*'6states,BAU'!A114)*(Parameters!$B$37/Parameters!$B$38*('6states,BAU'!F114+'6states,BAU'!I114)/Parameters!$E$25*(EXP(-Parameters!$B$38*Parameters!$E$25*'6states,BAU'!I114/('6states,BAU'!F114+'6states,BAU'!I114))-EXP(-Parameters!$B$38*Parameters!$E$25))  +  Parameters!$B$39*'6states,BAU'!F114)</f>
        <v>241.78145580764061</v>
      </c>
      <c r="M114" s="8">
        <f>M113+L114*Parameters!B$65</f>
        <v>16438.03429197464</v>
      </c>
      <c r="N114" s="7">
        <f>M114*Parameters!$B$45</f>
        <v>9.8628205751847826</v>
      </c>
      <c r="O114" s="9">
        <f>EXP(-Parameters!$B$46/2*N114^2)</f>
        <v>0.37620688589517387</v>
      </c>
      <c r="P114" s="7">
        <f>MAX((Parameters!$B$62 + Parameters!$B$31*'6states,BAU'!A114 - '6states,BAU'!M114 + Parameters!$B$47/Parameters!$B$45)/Parameters!B$62,1)</f>
        <v>1</v>
      </c>
      <c r="Q114" s="8"/>
      <c r="R114" s="8"/>
      <c r="S114" s="7">
        <f>Parameters!B$61*EXP(-Parameters!B$60*A114)+(1-Parameters!B$61)*P114^-Parameters!B$63</f>
        <v>0.52565165516595957</v>
      </c>
      <c r="T114" s="7">
        <f>1-S114/Parameters!$B$12</f>
        <v>0.73717417241702021</v>
      </c>
      <c r="U114" s="7">
        <f t="shared" si="34"/>
        <v>3.8048011080048001</v>
      </c>
      <c r="V114" s="7">
        <f>(Parameters!$B$19*(F114+Parameters!$B$20)^T114+Parameters!$B$18*G114^T114)^(1/T114)</f>
        <v>0.58287318580945957</v>
      </c>
      <c r="W114" s="7">
        <f>(Parameters!$B$10*H114^Parameters!$B$9+Parameters!$B$11*V114^Parameters!$B$9)^(Parameters!$B$7/Parameters!$B$9)*O114</f>
        <v>0.58407455477102266</v>
      </c>
      <c r="X114" s="7">
        <f>W114 - D114 - E114 - LN(1+EXP(Parameters!$B$21*C114))/Parameters!$B$21 - IF(C114&gt;0, 0,Parameters!$B$6*C114^2/F114)</f>
        <v>0.21449061778265302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-0.93019910256199445</v>
      </c>
      <c r="AC114" s="23">
        <f t="shared" si="35"/>
        <v>54.053463466708102</v>
      </c>
      <c r="AD114" s="23">
        <f t="shared" si="35"/>
        <v>2.2162913705995648</v>
      </c>
      <c r="AE114" s="23">
        <f t="shared" si="36"/>
        <v>0</v>
      </c>
      <c r="AF114" s="23">
        <f t="shared" si="37"/>
        <v>797.59803349923891</v>
      </c>
      <c r="AG114" s="23">
        <f t="shared" si="38"/>
        <v>35.394697992647757</v>
      </c>
      <c r="AH114" s="23">
        <f t="shared" si="39"/>
        <v>522.87192288348763</v>
      </c>
      <c r="AI114" s="23">
        <f t="shared" si="40"/>
        <v>1286.8276102656109</v>
      </c>
      <c r="AJ114" s="23">
        <f t="shared" si="41"/>
        <v>523.94962231162776</v>
      </c>
      <c r="AK114" s="23">
        <f t="shared" si="42"/>
        <v>192.4108442297516</v>
      </c>
      <c r="AL114" s="9">
        <f t="shared" si="51"/>
        <v>-5.8075364511083194E-3</v>
      </c>
      <c r="AM114" s="9">
        <f t="shared" si="51"/>
        <v>-5.2961560233670824E-2</v>
      </c>
      <c r="AN114" s="9">
        <f t="shared" si="55"/>
        <v>-5.8324660868391831E-3</v>
      </c>
      <c r="AO114" s="9">
        <f t="shared" si="55"/>
        <v>-5.443287505320047E-2</v>
      </c>
      <c r="AP114" s="23"/>
      <c r="AQ114" s="25">
        <f t="shared" si="32"/>
        <v>523.94962231162776</v>
      </c>
      <c r="AR114" s="4"/>
      <c r="AS114" s="4"/>
      <c r="AT114" s="4"/>
      <c r="AU114" s="16"/>
      <c r="AV114" s="16"/>
      <c r="AY114" s="21">
        <f>-Y114*W114*X114^(-Parameters!B$52)*Parameters!B$46*Parameters!B$45*N114</f>
        <v>-1.0545140908404963E-4</v>
      </c>
      <c r="AZ114" s="7">
        <f>1000*EXP(-(Parameters!$B$54)*'6states,BAU'!A114)*AQ114*Parameters!B$46*Parameters!B$45*N114</f>
        <v>1.3116772233785117</v>
      </c>
      <c r="BA114" s="93">
        <f>SUM(AZ114:AZ$204)*EXP(Parameters!$B$54*A114)</f>
        <v>1380.0808329364336</v>
      </c>
      <c r="BB114" s="43">
        <f t="shared" si="53"/>
        <v>0.63276842643187814</v>
      </c>
      <c r="BC114" s="30">
        <f>IF(C114&lt;0,Parameters!$B$6*AC114^2/AF114,0)</f>
        <v>0</v>
      </c>
      <c r="BD114" s="30">
        <f>Parameters!$B$5*AD114^2/AG114</f>
        <v>0.13877636250532255</v>
      </c>
      <c r="BE114" s="30">
        <f t="shared" si="43"/>
        <v>0</v>
      </c>
      <c r="BF114" s="30">
        <f t="shared" si="44"/>
        <v>6.2616479198662367E-2</v>
      </c>
      <c r="BH114" s="5"/>
      <c r="BI114" s="5"/>
      <c r="BJ114" s="5"/>
      <c r="BM114">
        <f>-EXP(-Parameters!B$42*'6states,BAU'!A114)*(-Parameters!B$37/Parameters!B$38/Parameters!E$25*(EXP(-Parameters!B$38*Parameters!E$25*'6states,BAU'!I114/('6states,BAU'!F114+'6states,BAU'!I114))-EXP(-Parameters!B$38*Parameters!E$25))+Parameters!B$37*'6states,BAU'!F114/('6states,BAU'!F114+'6states,BAU'!I114)*EXP(-Parameters!B$38*Parameters!E$25*'6states,BAU'!I114/('6states,BAU'!F114+'6states,BAU'!I114)))</f>
        <v>-1.9891464549425291</v>
      </c>
      <c r="BN114">
        <f>-J114*K114*EXP(-Parameters!B$42*'6states,BAU'!A114)*(-Parameters!B$37/Parameters!B$38/Parameters!E$25*(EXP(-Parameters!B$38*Parameters!E$25*'6states,BAU'!I114/('6states,BAU'!F114+'6states,BAU'!I114))-EXP(-Parameters!B$38*Parameters!E$25)) + Parameters!B$37*'6states,BAU'!F114/('6states,BAU'!F114+'6states,BAU'!I114)*EXP(-Parameters!B$38*Parameters!E$25*'6states,BAU'!I114/('6states,BAU'!F114+'6states,BAU'!I114)))</f>
        <v>-1784.3827047015161</v>
      </c>
      <c r="BO114" s="7">
        <f t="shared" si="33"/>
        <v>0</v>
      </c>
    </row>
    <row r="115" spans="1:67" x14ac:dyDescent="0.3">
      <c r="A115">
        <f>A114+Parameters!$B$65</f>
        <v>111</v>
      </c>
      <c r="B115">
        <v>2136</v>
      </c>
      <c r="C115" s="74">
        <v>6.0208119922973598E-2</v>
      </c>
      <c r="D115" s="69">
        <v>2.4634167113725802E-3</v>
      </c>
      <c r="E115" s="75">
        <v>0.30709153474669598</v>
      </c>
      <c r="F115" s="7">
        <f>MAX((1-Parameters!$B$4)^Parameters!B$65*F114 + C114*Parameters!B$65 - IF(C114&gt;0,Parameters!$B$5,0)*C114^2/F114*Parameters!B$65, 0.0001)</f>
        <v>0.88937174135656882</v>
      </c>
      <c r="G115" s="7">
        <f>(1-Parameters!$B$4)^Parameters!B$65*G114+D114*Parameters!B$65-Parameters!$B$5*D114^2/G114*Parameters!B$65</f>
        <v>3.9290467225499545E-2</v>
      </c>
      <c r="H115" s="7">
        <f>(1-Parameters!$B$4)^Parameters!B$65*H114+E114*Parameters!B$65-Parameters!$B$5*E114^2/H114*Parameters!B$65</f>
        <v>4.5417680547681334</v>
      </c>
      <c r="I115" s="7">
        <f>I114 *(1-Parameters!$B$4)-C114*(C114&lt;0)*Parameters!B$65</f>
        <v>0</v>
      </c>
      <c r="J115" s="23">
        <f>J114*(1+Parameters!$B$51)^Parameters!B$65</f>
        <v>11.253490131071132</v>
      </c>
      <c r="K115" s="23">
        <f>K114*(1+Parameters!$B$53)^Parameters!B$65</f>
        <v>81.543962915976124</v>
      </c>
      <c r="L115" s="23">
        <f>J115*K115*EXP(-Parameters!$B$42*'6states,BAU'!A115)*(Parameters!$B$37/Parameters!$B$38*('6states,BAU'!F115+'6states,BAU'!I115)/Parameters!$E$25*(EXP(-Parameters!$B$38*Parameters!$E$25*'6states,BAU'!I115/('6states,BAU'!F115+'6states,BAU'!I115))-EXP(-Parameters!$B$38*Parameters!$E$25))  +  Parameters!$B$39*'6states,BAU'!F115)</f>
        <v>244.93922712665488</v>
      </c>
      <c r="M115" s="8">
        <f>M114+L115*Parameters!B$65</f>
        <v>16682.973519101295</v>
      </c>
      <c r="N115" s="7">
        <f>M115*Parameters!$B$45</f>
        <v>10.009784111460776</v>
      </c>
      <c r="O115" s="9">
        <f>EXP(-Parameters!$B$46/2*N115^2)</f>
        <v>0.36532512499341002</v>
      </c>
      <c r="P115" s="7">
        <f>MAX((Parameters!$B$62 + Parameters!$B$31*'6states,BAU'!A115 - '6states,BAU'!M115 + Parameters!$B$47/Parameters!$B$45)/Parameters!B$62,1)</f>
        <v>1</v>
      </c>
      <c r="Q115" s="8"/>
      <c r="R115" s="8"/>
      <c r="S115" s="7">
        <f>Parameters!B$61*EXP(-Parameters!B$60*A115)+(1-Parameters!B$61)*P115^-Parameters!B$63</f>
        <v>0.52496832691949258</v>
      </c>
      <c r="T115" s="7">
        <f>1-S115/Parameters!$B$12</f>
        <v>0.73751583654025366</v>
      </c>
      <c r="U115" s="7">
        <f t="shared" si="34"/>
        <v>3.8097536507316052</v>
      </c>
      <c r="V115" s="7">
        <f>(Parameters!$B$19*(F115+Parameters!$B$20)^T115+Parameters!$B$18*G115^T115)^(1/T115)</f>
        <v>0.58300605805069461</v>
      </c>
      <c r="W115" s="7">
        <f>(Parameters!$B$10*H115^Parameters!$B$9+Parameters!$B$11*V115^Parameters!$B$9)^(Parameters!$B$7/Parameters!$B$9)*O115</f>
        <v>0.56720163083512787</v>
      </c>
      <c r="X115" s="7">
        <f>W115 - D115 - E115 - LN(1+EXP(Parameters!$B$21*C115))/Parameters!$B$21 - IF(C115&gt;0, 0,Parameters!$B$6*C115^2/F115)</f>
        <v>0.19743855940639182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-0.94321301284129777</v>
      </c>
      <c r="AC115" s="23">
        <f t="shared" si="35"/>
        <v>55.250233033060347</v>
      </c>
      <c r="AD115" s="23">
        <f t="shared" si="35"/>
        <v>2.2605646470109577</v>
      </c>
      <c r="AE115" s="23">
        <f t="shared" si="36"/>
        <v>0</v>
      </c>
      <c r="AF115" s="23">
        <f t="shared" si="37"/>
        <v>816.13569774032317</v>
      </c>
      <c r="AG115" s="23">
        <f t="shared" si="38"/>
        <v>36.05506155920267</v>
      </c>
      <c r="AH115" s="23">
        <f t="shared" si="39"/>
        <v>534.99794725687752</v>
      </c>
      <c r="AI115" s="23">
        <f t="shared" si="40"/>
        <v>1316.6706794447318</v>
      </c>
      <c r="AJ115" s="23">
        <f t="shared" si="41"/>
        <v>520.49494852960925</v>
      </c>
      <c r="AK115" s="23">
        <f t="shared" si="42"/>
        <v>181.18031971220071</v>
      </c>
      <c r="AL115" s="9">
        <f t="shared" si="51"/>
        <v>-6.6153560990143134E-3</v>
      </c>
      <c r="AM115" s="9">
        <f t="shared" si="51"/>
        <v>-6.0140122733298718E-2</v>
      </c>
      <c r="AN115" s="9">
        <f t="shared" si="55"/>
        <v>-6.6326424824614703E-3</v>
      </c>
      <c r="AO115" s="9">
        <f t="shared" si="55"/>
        <v>-6.079688883063987E-2</v>
      </c>
      <c r="AP115" s="23"/>
      <c r="AQ115" s="25">
        <f t="shared" si="32"/>
        <v>520.49494852960925</v>
      </c>
      <c r="AR115" s="4"/>
      <c r="AS115" s="4"/>
      <c r="AT115" s="4"/>
      <c r="AU115" s="16"/>
      <c r="AV115" s="16"/>
      <c r="AY115" s="21">
        <f>-Y115*W115*X115^(-Parameters!B$52)*Parameters!B$46*Parameters!B$45*N115</f>
        <v>-1.1448678086385964E-4</v>
      </c>
      <c r="AZ115" s="7">
        <f>1000*EXP(-(Parameters!$B$54)*'6states,BAU'!A115)*AQ115*Parameters!B$46*Parameters!B$45*N115</f>
        <v>1.2768321417824842</v>
      </c>
      <c r="BA115" s="93">
        <f>SUM(AZ115:AZ$204)*EXP(Parameters!$B$54*A115)</f>
        <v>1364.8340021900624</v>
      </c>
      <c r="BB115" s="43">
        <f t="shared" si="53"/>
        <v>0.65190763086596892</v>
      </c>
      <c r="BC115" s="30">
        <f>IF(C115&lt;0,Parameters!$B$6*AC115^2/AF115,0)</f>
        <v>0</v>
      </c>
      <c r="BD115" s="30">
        <f>Parameters!$B$5*AD115^2/AG115</f>
        <v>0.14173190399147895</v>
      </c>
      <c r="BE115" s="30">
        <f t="shared" si="43"/>
        <v>0</v>
      </c>
      <c r="BF115" s="30">
        <f t="shared" si="44"/>
        <v>6.2697567255545927E-2</v>
      </c>
      <c r="BH115" s="5"/>
      <c r="BI115" s="5"/>
      <c r="BJ115" s="5"/>
      <c r="BM115">
        <f>-EXP(-Parameters!B$42*'6states,BAU'!A115)*(-Parameters!B$37/Parameters!B$38/Parameters!E$25*(EXP(-Parameters!B$38*Parameters!E$25*'6states,BAU'!I115/('6states,BAU'!F115+'6states,BAU'!I115))-EXP(-Parameters!B$38*Parameters!E$25))+Parameters!B$37*'6states,BAU'!F115/('6states,BAU'!F115+'6states,BAU'!I115)*EXP(-Parameters!B$38*Parameters!E$25*'6states,BAU'!I115/('6states,BAU'!F115+'6states,BAU'!I115)))</f>
        <v>-1.9693541170185982</v>
      </c>
      <c r="BN115">
        <f>-J115*K115*EXP(-Parameters!B$42*'6states,BAU'!A115)*(-Parameters!B$37/Parameters!B$38/Parameters!E$25*(EXP(-Parameters!B$38*Parameters!E$25*'6states,BAU'!I115/('6states,BAU'!F115+'6states,BAU'!I115))-EXP(-Parameters!B$38*Parameters!E$25)) + Parameters!B$37*'6states,BAU'!F115/('6states,BAU'!F115+'6states,BAU'!I115)*EXP(-Parameters!B$38*Parameters!E$25*'6states,BAU'!I115/('6states,BAU'!F115+'6states,BAU'!I115)))</f>
        <v>-1807.186041170118</v>
      </c>
      <c r="BO115" s="7">
        <f t="shared" si="33"/>
        <v>0</v>
      </c>
    </row>
    <row r="116" spans="1:67" x14ac:dyDescent="0.3">
      <c r="A116">
        <f>A115+Parameters!$B$65</f>
        <v>112</v>
      </c>
      <c r="B116">
        <v>2137</v>
      </c>
      <c r="C116" s="74">
        <v>6.0166639652050699E-2</v>
      </c>
      <c r="D116" s="69">
        <v>2.4563334051765102E-3</v>
      </c>
      <c r="E116" s="75">
        <v>0.30731547535356601</v>
      </c>
      <c r="F116" s="7">
        <f>MAX((1-Parameters!$B$4)^Parameters!B$65*F115 + C115*Parameters!B$65 - IF(C115&gt;0,Parameters!$B$5,0)*C115^2/F115*Parameters!B$65, 0.0001)</f>
        <v>0.88956244791289241</v>
      </c>
      <c r="G116" s="7">
        <f>(1-Parameters!$B$4)^Parameters!B$65*G115+D115*Parameters!B$65-Parameters!$B$5*D115^2/G115*Parameters!B$65</f>
        <v>3.9128063313448487E-2</v>
      </c>
      <c r="H116" s="7">
        <f>(1-Parameters!$B$4)^Parameters!B$65*H115+E115*Parameters!B$65-Parameters!$B$5*E115^2/H115*Parameters!B$65</f>
        <v>4.5424183923395853</v>
      </c>
      <c r="I116" s="7">
        <f>I115 *(1-Parameters!$B$4)-C115*(C115&lt;0)*Parameters!B$65</f>
        <v>0</v>
      </c>
      <c r="J116" s="23">
        <f>J115*(1+Parameters!$B$51)^Parameters!B$65</f>
        <v>11.286125252451237</v>
      </c>
      <c r="K116" s="23">
        <f>K115*(1+Parameters!$B$53)^Parameters!B$65</f>
        <v>83.174842174295648</v>
      </c>
      <c r="L116" s="23">
        <f>J116*K116*EXP(-Parameters!$B$42*'6states,BAU'!A116)*(Parameters!$B$37/Parameters!$B$38*('6states,BAU'!F116+'6states,BAU'!I116)/Parameters!$E$25*(EXP(-Parameters!$B$38*Parameters!$E$25*'6states,BAU'!I116/('6states,BAU'!F116+'6states,BAU'!I116))-EXP(-Parameters!$B$38*Parameters!$E$25))  +  Parameters!$B$39*'6states,BAU'!F116)</f>
        <v>248.12259607913978</v>
      </c>
      <c r="M116" s="8">
        <f>M115+L116*Parameters!B$65</f>
        <v>16931.096115180433</v>
      </c>
      <c r="N116" s="7">
        <f>M116*Parameters!$B$45</f>
        <v>10.158657669108258</v>
      </c>
      <c r="O116" s="9">
        <f>EXP(-Parameters!$B$46/2*N116^2)</f>
        <v>0.35446588468456441</v>
      </c>
      <c r="P116" s="7">
        <f>MAX((Parameters!$B$62 + Parameters!$B$31*'6states,BAU'!A116 - '6states,BAU'!M116 + Parameters!$B$47/Parameters!$B$45)/Parameters!B$62,1)</f>
        <v>1</v>
      </c>
      <c r="Q116" s="8"/>
      <c r="R116" s="8"/>
      <c r="S116" s="7">
        <f>Parameters!B$61*EXP(-Parameters!B$60*A116)+(1-Parameters!B$61)*P116^-Parameters!B$63</f>
        <v>0.52430320168914279</v>
      </c>
      <c r="T116" s="7">
        <f>1-S116/Parameters!$B$12</f>
        <v>0.73784839915542855</v>
      </c>
      <c r="U116" s="7">
        <f t="shared" si="34"/>
        <v>3.814586661986076</v>
      </c>
      <c r="V116" s="7">
        <f>(Parameters!$B$19*(F116+Parameters!$B$20)^T116+Parameters!$B$18*G116^T116)^(1/T116)</f>
        <v>0.58310417194495234</v>
      </c>
      <c r="W116" s="7">
        <f>(Parameters!$B$10*H116^Parameters!$B$9+Parameters!$B$11*V116^Parameters!$B$9)^(Parameters!$B$7/Parameters!$B$9)*O116</f>
        <v>0.55036598721141017</v>
      </c>
      <c r="X116" s="7">
        <f>W116 - D116 - E116 - LN(1+EXP(Parameters!$B$21*C116))/Parameters!$B$21 - IF(C116&gt;0, 0,Parameters!$B$6*C116^2/F116)</f>
        <v>0.18042753875232589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-0.95884219879888499</v>
      </c>
      <c r="AC116" s="23">
        <f t="shared" si="35"/>
        <v>56.479729453150654</v>
      </c>
      <c r="AD116" s="23">
        <f t="shared" si="35"/>
        <v>2.3058134370377297</v>
      </c>
      <c r="AE116" s="23">
        <f t="shared" si="36"/>
        <v>0</v>
      </c>
      <c r="AF116" s="23">
        <f t="shared" si="37"/>
        <v>835.05156146924912</v>
      </c>
      <c r="AG116" s="23">
        <f t="shared" si="38"/>
        <v>36.730361588242651</v>
      </c>
      <c r="AH116" s="23">
        <f t="shared" si="39"/>
        <v>547.37253177030061</v>
      </c>
      <c r="AI116" s="23">
        <f t="shared" si="40"/>
        <v>1347.1254740522181</v>
      </c>
      <c r="AJ116" s="23">
        <f t="shared" si="41"/>
        <v>516.64048777996106</v>
      </c>
      <c r="AK116" s="23">
        <f t="shared" si="42"/>
        <v>169.37124349243743</v>
      </c>
      <c r="AL116" s="9">
        <f t="shared" si="51"/>
        <v>-7.4329318250612175E-3</v>
      </c>
      <c r="AM116" s="9">
        <f t="shared" si="51"/>
        <v>-6.7399764104893123E-2</v>
      </c>
      <c r="AN116" s="9">
        <f t="shared" si="55"/>
        <v>-7.4547584614618858E-3</v>
      </c>
      <c r="AO116" s="9">
        <f t="shared" si="55"/>
        <v>-6.8198825529155196E-2</v>
      </c>
      <c r="AP116" s="23"/>
      <c r="AQ116" s="25">
        <f t="shared" si="32"/>
        <v>516.64048777996106</v>
      </c>
      <c r="AR116" s="4"/>
      <c r="AS116" s="4"/>
      <c r="AT116" s="4"/>
      <c r="AU116" s="16"/>
      <c r="AV116" s="16"/>
      <c r="AY116" s="21">
        <f>-Y116*W116*X116^(-Parameters!B$52)*Parameters!B$46*Parameters!B$45*N116</f>
        <v>-1.2541445016674515E-4</v>
      </c>
      <c r="AZ116" s="7">
        <f>1000*EXP(-(Parameters!$B$54)*'6states,BAU'!A116)*AQ116*Parameters!B$46*Parameters!B$45*N116</f>
        <v>1.2418627593716343</v>
      </c>
      <c r="BA116" s="93">
        <f>SUM(AZ116:AZ$204)*EXP(Parameters!$B$54*A116)</f>
        <v>1348.5126321286486</v>
      </c>
      <c r="BB116" s="43">
        <f t="shared" si="53"/>
        <v>0.67216807907260823</v>
      </c>
      <c r="BC116" s="30">
        <f>IF(C116&lt;0,Parameters!$B$6*AC116^2/AF116,0)</f>
        <v>0</v>
      </c>
      <c r="BD116" s="30">
        <f>Parameters!$B$5*AD116^2/AG116</f>
        <v>0.14475151826780933</v>
      </c>
      <c r="BE116" s="30">
        <f t="shared" si="43"/>
        <v>0</v>
      </c>
      <c r="BF116" s="30">
        <f t="shared" si="44"/>
        <v>6.2776769335584709E-2</v>
      </c>
      <c r="BH116" s="5"/>
      <c r="BI116" s="5"/>
      <c r="BJ116" s="5"/>
      <c r="BM116">
        <f>-EXP(-Parameters!B$42*'6states,BAU'!A116)*(-Parameters!B$37/Parameters!B$38/Parameters!E$25*(EXP(-Parameters!B$38*Parameters!E$25*'6states,BAU'!I116/('6states,BAU'!F116+'6states,BAU'!I116))-EXP(-Parameters!B$38*Parameters!E$25))+Parameters!B$37*'6states,BAU'!F116/('6states,BAU'!F116+'6states,BAU'!I116)*EXP(-Parameters!B$38*Parameters!E$25*'6states,BAU'!I116/('6states,BAU'!F116+'6states,BAU'!I116)))</f>
        <v>-1.9497587161475025</v>
      </c>
      <c r="BN116">
        <f>-J116*K116*EXP(-Parameters!B$42*'6states,BAU'!A116)*(-Parameters!B$37/Parameters!B$38/Parameters!E$25*(EXP(-Parameters!B$38*Parameters!E$25*'6states,BAU'!I116/('6states,BAU'!F116+'6states,BAU'!I116))-EXP(-Parameters!B$38*Parameters!E$25)) + Parameters!B$37*'6states,BAU'!F116/('6states,BAU'!F116+'6states,BAU'!I116)*EXP(-Parameters!B$38*Parameters!E$25*'6states,BAU'!I116/('6states,BAU'!F116+'6states,BAU'!I116)))</f>
        <v>-1830.2807905473569</v>
      </c>
      <c r="BO116" s="7">
        <f t="shared" si="33"/>
        <v>0</v>
      </c>
    </row>
    <row r="117" spans="1:67" x14ac:dyDescent="0.3">
      <c r="A117">
        <f>A116+Parameters!$B$65</f>
        <v>113</v>
      </c>
      <c r="B117">
        <v>2138</v>
      </c>
      <c r="C117" s="74">
        <v>6.0287916861532301E-2</v>
      </c>
      <c r="D117" s="69">
        <v>2.4530758701413399E-3</v>
      </c>
      <c r="E117" s="75">
        <v>0.30717961037809899</v>
      </c>
      <c r="F117" s="7">
        <f>MAX((1-Parameters!$B$4)^Parameters!B$65*F116 + C116*Parameters!B$65 - IF(C116&gt;0,Parameters!$B$5,0)*C116^2/F116*Parameters!B$65, 0.0001)</f>
        <v>0.88970616563536165</v>
      </c>
      <c r="G117" s="7">
        <f>(1-Parameters!$B$4)^Parameters!B$65*G116+D116*Parameters!B$65-Parameters!$B$5*D116^2/G116*Parameters!B$65</f>
        <v>3.8969040860621029E-2</v>
      </c>
      <c r="H117" s="7">
        <f>(1-Parameters!$B$4)^Parameters!B$65*H116+E116*Parameters!B$65-Parameters!$B$5*E116^2/H116*Parameters!B$65</f>
        <v>4.5432244468807133</v>
      </c>
      <c r="I117" s="7">
        <f>I116 *(1-Parameters!$B$4)-C116*(C116&lt;0)*Parameters!B$65</f>
        <v>0</v>
      </c>
      <c r="J117" s="23">
        <f>J116*(1+Parameters!$B$51)^Parameters!B$65</f>
        <v>11.318855015683344</v>
      </c>
      <c r="K117" s="23">
        <f>K116*(1+Parameters!$B$53)^Parameters!B$65</f>
        <v>84.838339017781564</v>
      </c>
      <c r="L117" s="23">
        <f>J117*K117*EXP(-Parameters!$B$42*'6states,BAU'!A117)*(Parameters!$B$37/Parameters!$B$38*('6states,BAU'!F117+'6states,BAU'!I117)/Parameters!$E$25*(EXP(-Parameters!$B$38*Parameters!$E$25*'6states,BAU'!I117/('6states,BAU'!F117+'6states,BAU'!I117))-EXP(-Parameters!$B$38*Parameters!$E$25))  +  Parameters!$B$39*'6states,BAU'!F117)</f>
        <v>251.334052419758</v>
      </c>
      <c r="M117" s="8">
        <f>M116+L117*Parameters!B$65</f>
        <v>17182.430167600192</v>
      </c>
      <c r="N117" s="7">
        <f>M117*Parameters!$B$45</f>
        <v>10.309458100560114</v>
      </c>
      <c r="O117" s="9">
        <f>EXP(-Parameters!$B$46/2*N117^2)</f>
        <v>0.34363902805820307</v>
      </c>
      <c r="P117" s="7">
        <f>MAX((Parameters!$B$62 + Parameters!$B$31*'6states,BAU'!A117 - '6states,BAU'!M117 + Parameters!$B$47/Parameters!$B$45)/Parameters!B$62,1)</f>
        <v>1</v>
      </c>
      <c r="Q117" s="8"/>
      <c r="R117" s="8"/>
      <c r="S117" s="7">
        <f>Parameters!B$61*EXP(-Parameters!B$60*A117)+(1-Parameters!B$61)*P117^-Parameters!B$63</f>
        <v>0.52365579456916045</v>
      </c>
      <c r="T117" s="7">
        <f>1-S117/Parameters!$B$12</f>
        <v>0.73817210271541978</v>
      </c>
      <c r="U117" s="7">
        <f t="shared" si="34"/>
        <v>3.8193027189654356</v>
      </c>
      <c r="V117" s="7">
        <f>(Parameters!$B$19*(F117+Parameters!$B$20)^T117+Parameters!$B$18*G117^T117)^(1/T117)</f>
        <v>0.58317311507036695</v>
      </c>
      <c r="W117" s="7">
        <f>(Parameters!$B$10*H117^Parameters!$B$9+Parameters!$B$11*V117^Parameters!$B$9)^(Parameters!$B$7/Parameters!$B$9)*O117</f>
        <v>0.5335823106071842</v>
      </c>
      <c r="X117" s="7">
        <f>W117 - D117 - E117 - LN(1+EXP(Parameters!$B$21*C117))/Parameters!$B$21 - IF(C117&gt;0, 0,Parameters!$B$6*C117^2/F117)</f>
        <v>0.16366170745084591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-0.97726828272586275</v>
      </c>
      <c r="AC117" s="23">
        <f t="shared" si="35"/>
        <v>57.8928502946303</v>
      </c>
      <c r="AD117" s="23">
        <f t="shared" si="35"/>
        <v>2.3556221794433556</v>
      </c>
      <c r="AE117" s="23">
        <f t="shared" si="36"/>
        <v>0</v>
      </c>
      <c r="AF117" s="23">
        <f t="shared" si="37"/>
        <v>854.36068344572095</v>
      </c>
      <c r="AG117" s="23">
        <f t="shared" si="38"/>
        <v>37.420912284145629</v>
      </c>
      <c r="AH117" s="23">
        <f t="shared" si="39"/>
        <v>560.00531456684121</v>
      </c>
      <c r="AI117" s="23">
        <f t="shared" si="40"/>
        <v>1378.2157142919857</v>
      </c>
      <c r="AJ117" s="23">
        <f t="shared" si="41"/>
        <v>512.38461097923414</v>
      </c>
      <c r="AK117" s="23">
        <f t="shared" si="42"/>
        <v>157.15989574124731</v>
      </c>
      <c r="AL117" s="9">
        <f t="shared" si="51"/>
        <v>-8.2717147946551606E-3</v>
      </c>
      <c r="AM117" s="9">
        <f t="shared" si="51"/>
        <v>-7.4829281447960305E-2</v>
      </c>
      <c r="AN117" s="9">
        <f t="shared" si="55"/>
        <v>-8.3012665398761957E-3</v>
      </c>
      <c r="AO117" s="9">
        <f t="shared" si="55"/>
        <v>-7.735102023426102E-2</v>
      </c>
      <c r="AP117" s="23"/>
      <c r="AQ117" s="25">
        <f t="shared" si="32"/>
        <v>512.38461097923414</v>
      </c>
      <c r="AR117" s="4"/>
      <c r="AS117" s="4"/>
      <c r="AT117" s="4"/>
      <c r="AU117" s="16"/>
      <c r="AV117" s="16"/>
      <c r="AY117" s="21">
        <f>-Y117*W117*X117^(-Parameters!B$52)*Parameters!B$46*Parameters!B$45*N117</f>
        <v>-1.386498294235051E-4</v>
      </c>
      <c r="AZ117" s="7">
        <f>1000*EXP(-(Parameters!$B$54)*'6states,BAU'!A117)*AQ117*Parameters!B$46*Parameters!B$45*N117</f>
        <v>1.2068047746521682</v>
      </c>
      <c r="BA117" s="93">
        <f>SUM(AZ117:AZ$204)*EXP(Parameters!$B$54*A117)</f>
        <v>1331.1294136992979</v>
      </c>
      <c r="BB117" s="43">
        <f t="shared" si="53"/>
        <v>0.69327748644595333</v>
      </c>
      <c r="BC117" s="30">
        <f>IF(C117&lt;0,Parameters!$B$6*AC117^2/AF117,0)</f>
        <v>0</v>
      </c>
      <c r="BD117" s="30">
        <f>Parameters!$B$5*AD117^2/AG117</f>
        <v>0.14828488974696719</v>
      </c>
      <c r="BE117" s="30">
        <f t="shared" si="43"/>
        <v>0</v>
      </c>
      <c r="BF117" s="30">
        <f t="shared" si="44"/>
        <v>6.2949351997529407E-2</v>
      </c>
      <c r="BH117" s="5"/>
      <c r="BI117" s="5"/>
      <c r="BJ117" s="5"/>
      <c r="BM117">
        <f>-EXP(-Parameters!B$42*'6states,BAU'!A117)*(-Parameters!B$37/Parameters!B$38/Parameters!E$25*(EXP(-Parameters!B$38*Parameters!E$25*'6states,BAU'!I117/('6states,BAU'!F117+'6states,BAU'!I117))-EXP(-Parameters!B$38*Parameters!E$25))+Parameters!B$37*'6states,BAU'!F117/('6states,BAU'!F117+'6states,BAU'!I117)*EXP(-Parameters!B$38*Parameters!E$25*'6states,BAU'!I117/('6states,BAU'!F117+'6states,BAU'!I117)))</f>
        <v>-1.930358292772826</v>
      </c>
      <c r="BN117">
        <f>-J117*K117*EXP(-Parameters!B$42*'6states,BAU'!A117)*(-Parameters!B$37/Parameters!B$38/Parameters!E$25*(EXP(-Parameters!B$38*Parameters!E$25*'6states,BAU'!I117/('6states,BAU'!F117+'6states,BAU'!I117))-EXP(-Parameters!B$38*Parameters!E$25)) + Parameters!B$37*'6states,BAU'!F117/('6states,BAU'!F117+'6states,BAU'!I117)*EXP(-Parameters!B$38*Parameters!E$25*'6states,BAU'!I117/('6states,BAU'!F117+'6states,BAU'!I117)))</f>
        <v>-1853.6706769147265</v>
      </c>
      <c r="BO117" s="7">
        <f t="shared" si="33"/>
        <v>0</v>
      </c>
    </row>
    <row r="118" spans="1:67" x14ac:dyDescent="0.3">
      <c r="A118">
        <f>A117+Parameters!$B$65</f>
        <v>114</v>
      </c>
      <c r="B118">
        <v>2139</v>
      </c>
      <c r="C118" s="74">
        <v>6.03251391607919E-2</v>
      </c>
      <c r="D118" s="69">
        <v>2.4483490077043999E-3</v>
      </c>
      <c r="E118" s="75">
        <v>0.307230642731596</v>
      </c>
      <c r="F118" s="7">
        <f>MAX((1-Parameters!$B$4)^Parameters!B$65*F117 + C117*Parameters!B$65 - IF(C117&gt;0,Parameters!$B$5,0)*C117^2/F117*Parameters!B$65, 0.0001)</f>
        <v>0.88994635873079264</v>
      </c>
      <c r="G118" s="7">
        <f>(1-Parameters!$B$4)^Parameters!B$65*G117+D117*Parameters!B$65-Parameters!$B$5*D117^2/G117*Parameters!B$65</f>
        <v>3.8816544524203141E-2</v>
      </c>
      <c r="H118" s="7">
        <f>(1-Parameters!$B$4)^Parameters!B$65*H117+E117*Parameters!B$65-Parameters!$B$5*E117^2/H117*Parameters!B$65</f>
        <v>4.5438660008440506</v>
      </c>
      <c r="I118" s="7">
        <f>I117 *(1-Parameters!$B$4)-C117*(C117&lt;0)*Parameters!B$65</f>
        <v>0</v>
      </c>
      <c r="J118" s="23">
        <f>J117*(1+Parameters!$B$51)^Parameters!B$65</f>
        <v>11.351679695228825</v>
      </c>
      <c r="K118" s="23">
        <f>K117*(1+Parameters!$B$53)^Parameters!B$65</f>
        <v>86.535105798137195</v>
      </c>
      <c r="L118" s="23">
        <f>J118*K118*EXP(-Parameters!$B$42*'6states,BAU'!A118)*(Parameters!$B$37/Parameters!$B$38*('6states,BAU'!F118+'6states,BAU'!I118)/Parameters!$E$25*(EXP(-Parameters!$B$38*Parameters!$E$25*'6states,BAU'!I118/('6states,BAU'!F118+'6states,BAU'!I118))-EXP(-Parameters!$B$38*Parameters!$E$25))  +  Parameters!$B$39*'6states,BAU'!F118)</f>
        <v>254.61466978342057</v>
      </c>
      <c r="M118" s="8">
        <f>M117+L118*Parameters!B$65</f>
        <v>17437.044837383612</v>
      </c>
      <c r="N118" s="7">
        <f>M118*Parameters!$B$45</f>
        <v>10.462226902430166</v>
      </c>
      <c r="O118" s="9">
        <f>EXP(-Parameters!$B$46/2*N118^2)</f>
        <v>0.33285283381980618</v>
      </c>
      <c r="P118" s="7">
        <f>MAX((Parameters!$B$62 + Parameters!$B$31*'6states,BAU'!A118 - '6states,BAU'!M118 + Parameters!$B$47/Parameters!$B$45)/Parameters!B$62,1)</f>
        <v>1</v>
      </c>
      <c r="Q118" s="8"/>
      <c r="R118" s="8"/>
      <c r="S118" s="7">
        <f>Parameters!B$61*EXP(-Parameters!B$60*A118)+(1-Parameters!B$61)*P118^-Parameters!B$63</f>
        <v>0.52302563357108267</v>
      </c>
      <c r="T118" s="7">
        <f>1-S118/Parameters!$B$12</f>
        <v>0.73848718321445861</v>
      </c>
      <c r="U118" s="7">
        <f t="shared" si="34"/>
        <v>3.8239043588447492</v>
      </c>
      <c r="V118" s="7">
        <f>(Parameters!$B$19*(F118+Parameters!$B$20)^T118+Parameters!$B$18*G118^T118)^(1/T118)</f>
        <v>0.5833040369682766</v>
      </c>
      <c r="W118" s="7">
        <f>(Parameters!$B$10*H118^Parameters!$B$9+Parameters!$B$11*V118^Parameters!$B$9)^(Parameters!$B$7/Parameters!$B$9)*O118</f>
        <v>0.51685825026108867</v>
      </c>
      <c r="X118" s="7">
        <f>W118 - D118 - E118 - LN(1+EXP(Parameters!$B$21*C118))/Parameters!$B$21 - IF(C118&gt;0, 0,Parameters!$B$6*C118^2/F118)</f>
        <v>0.14685411931494777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-0.99983258820841325</v>
      </c>
      <c r="AC118" s="23">
        <f t="shared" si="35"/>
        <v>59.258518516163399</v>
      </c>
      <c r="AD118" s="23">
        <f t="shared" si="35"/>
        <v>2.4050592675860623</v>
      </c>
      <c r="AE118" s="23">
        <f t="shared" si="36"/>
        <v>0</v>
      </c>
      <c r="AF118" s="23">
        <f t="shared" si="37"/>
        <v>874.21104221035966</v>
      </c>
      <c r="AG118" s="23">
        <f t="shared" si="38"/>
        <v>38.130221569650125</v>
      </c>
      <c r="AH118" s="23">
        <f t="shared" si="39"/>
        <v>572.99052362076191</v>
      </c>
      <c r="AI118" s="23">
        <f t="shared" si="40"/>
        <v>1410.1733023825966</v>
      </c>
      <c r="AJ118" s="23">
        <f t="shared" si="41"/>
        <v>507.71957793070885</v>
      </c>
      <c r="AK118" s="23">
        <f t="shared" si="42"/>
        <v>144.25756276175764</v>
      </c>
      <c r="AL118" s="9">
        <f t="shared" si="51"/>
        <v>-9.146253137470417E-3</v>
      </c>
      <c r="AM118" s="9">
        <f t="shared" si="51"/>
        <v>-8.5663399125952999E-2</v>
      </c>
      <c r="AN118" s="9">
        <f t="shared" si="55"/>
        <v>-9.1692777513960877E-3</v>
      </c>
      <c r="AO118" s="9">
        <f t="shared" si="55"/>
        <v>-8.8404650780306154E-2</v>
      </c>
      <c r="AP118" s="23"/>
      <c r="AQ118" s="25">
        <f t="shared" si="32"/>
        <v>507.71957793070879</v>
      </c>
      <c r="AR118" s="4"/>
      <c r="AS118" s="4"/>
      <c r="AT118" s="4"/>
      <c r="AU118" s="16"/>
      <c r="AV118" s="16"/>
      <c r="AY118" s="21">
        <f>-Y118*W118*X118^(-Parameters!B$52)*Parameters!B$46*Parameters!B$45*N118</f>
        <v>-1.5540038649027222E-4</v>
      </c>
      <c r="AZ118" s="7">
        <f>1000*EXP(-(Parameters!$B$54)*'6states,BAU'!A118)*AQ118*Parameters!B$46*Parameters!B$45*N118</f>
        <v>1.1716810687623802</v>
      </c>
      <c r="BA118" s="93">
        <f>SUM(AZ118:AZ$204)*EXP(Parameters!$B$54*A118)</f>
        <v>1312.7000992881619</v>
      </c>
      <c r="BB118" s="43">
        <f t="shared" si="53"/>
        <v>0.71587157738739071</v>
      </c>
      <c r="BC118" s="30">
        <f>IF(C118&lt;0,Parameters!$B$6*AC118^2/AF118,0)</f>
        <v>0</v>
      </c>
      <c r="BD118" s="30">
        <f>Parameters!$B$5*AD118^2/AG118</f>
        <v>0.15169883212023205</v>
      </c>
      <c r="BE118" s="30">
        <f t="shared" si="43"/>
        <v>0</v>
      </c>
      <c r="BF118" s="30">
        <f t="shared" si="44"/>
        <v>6.3074883086973108E-2</v>
      </c>
      <c r="BH118" s="5"/>
      <c r="BI118" s="5"/>
      <c r="BJ118" s="5"/>
      <c r="BM118">
        <f>-EXP(-Parameters!B$42*'6states,BAU'!A118)*(-Parameters!B$37/Parameters!B$38/Parameters!E$25*(EXP(-Parameters!B$38*Parameters!E$25*'6states,BAU'!I118/('6states,BAU'!F118+'6states,BAU'!I118))-EXP(-Parameters!B$38*Parameters!E$25))+Parameters!B$37*'6states,BAU'!F118/('6states,BAU'!F118+'6states,BAU'!I118)*EXP(-Parameters!B$38*Parameters!E$25*'6states,BAU'!I118/('6states,BAU'!F118+'6states,BAU'!I118)))</f>
        <v>-1.9111509068360641</v>
      </c>
      <c r="BN118">
        <f>-J118*K118*EXP(-Parameters!B$42*'6states,BAU'!A118)*(-Parameters!B$37/Parameters!B$38/Parameters!E$25*(EXP(-Parameters!B$38*Parameters!E$25*'6states,BAU'!I118/('6states,BAU'!F118+'6states,BAU'!I118))-EXP(-Parameters!B$38*Parameters!E$25)) + Parameters!B$37*'6states,BAU'!F118/('6states,BAU'!F118+'6states,BAU'!I118)*EXP(-Parameters!B$38*Parameters!E$25*'6states,BAU'!I118/('6states,BAU'!F118+'6states,BAU'!I118)))</f>
        <v>-1877.3594719452396</v>
      </c>
      <c r="BO118" s="7">
        <f t="shared" si="33"/>
        <v>0</v>
      </c>
    </row>
    <row r="119" spans="1:67" x14ac:dyDescent="0.3">
      <c r="A119">
        <f>A118+Parameters!$B$65</f>
        <v>115</v>
      </c>
      <c r="B119">
        <v>2140</v>
      </c>
      <c r="C119" s="79">
        <v>6.0342300240818297E-2</v>
      </c>
      <c r="D119" s="70">
        <v>2.44294112250252E-3</v>
      </c>
      <c r="E119" s="80">
        <v>0.30736285658588403</v>
      </c>
      <c r="F119" s="7">
        <f>MAX((1-Parameters!$B$4)^Parameters!B$65*F118 + C118*Parameters!B$65 - IF(C118&gt;0,Parameters!$B$5,0)*C118^2/F118*Parameters!B$65, 0.0001)</f>
        <v>0.89020472388038385</v>
      </c>
      <c r="G119" s="7">
        <f>(1-Parameters!$B$4)^Parameters!B$65*G118+D118*Parameters!B$65-Parameters!$B$5*D118^2/G118*Parameters!B$65</f>
        <v>3.8668903553918103E-2</v>
      </c>
      <c r="H119" s="7">
        <f>(1-Parameters!$B$4)^Parameters!B$65*H118+E118*Parameters!B$65-Parameters!$B$5*E118^2/H118*Parameters!B$65</f>
        <v>4.5445142653828023</v>
      </c>
      <c r="I119" s="7">
        <f>I118 *(1-Parameters!$B$4)-C118*(C118&lt;0)*Parameters!B$65</f>
        <v>0</v>
      </c>
      <c r="J119" s="23">
        <f>J118*(1+Parameters!$B$51)^Parameters!B$65</f>
        <v>11.384599566344987</v>
      </c>
      <c r="K119" s="23">
        <f>K118*(1+Parameters!$B$53)^Parameters!B$65</f>
        <v>88.265807914099938</v>
      </c>
      <c r="L119" s="23">
        <f>J119*K119*EXP(-Parameters!$B$42*'6states,BAU'!A119)*(Parameters!$B$37/Parameters!$B$38*('6states,BAU'!F119+'6states,BAU'!I119)/Parameters!$E$25*(EXP(-Parameters!$B$38*Parameters!$E$25*'6states,BAU'!I119/('6states,BAU'!F119+'6states,BAU'!I119))-EXP(-Parameters!$B$38*Parameters!$E$25))  +  Parameters!$B$39*'6states,BAU'!F119)</f>
        <v>257.94335514170348</v>
      </c>
      <c r="M119" s="8">
        <f>M118+L119*Parameters!B$65</f>
        <v>17694.988192525314</v>
      </c>
      <c r="N119" s="7">
        <f>M119*Parameters!$B$45</f>
        <v>10.616992915515187</v>
      </c>
      <c r="O119" s="9">
        <f>EXP(-Parameters!$B$46/2*N119^2)</f>
        <v>0.32211668844477176</v>
      </c>
      <c r="P119" s="7">
        <f>MAX((Parameters!$B$62 + Parameters!$B$31*'6states,BAU'!A119 - '6states,BAU'!M119 + Parameters!$B$47/Parameters!$B$45)/Parameters!B$62,1)</f>
        <v>1</v>
      </c>
      <c r="Q119" s="8"/>
      <c r="R119" s="8"/>
      <c r="S119" s="7">
        <f>Parameters!B$61*EXP(-Parameters!B$60*A119)+(1-Parameters!B$61)*P119^-Parameters!B$63</f>
        <v>0.52241225927963342</v>
      </c>
      <c r="T119" s="7">
        <f>1-S119/Parameters!$B$12</f>
        <v>0.73879387036018329</v>
      </c>
      <c r="U119" s="7">
        <f t="shared" si="34"/>
        <v>3.828394078572825</v>
      </c>
      <c r="V119" s="7">
        <f>(Parameters!$B$19*(F119+Parameters!$B$20)^T119+Parameters!$B$18*G119^T119)^(1/T119)</f>
        <v>0.58344730633333253</v>
      </c>
      <c r="W119" s="7">
        <f>(Parameters!$B$10*H119^Parameters!$B$9+Parameters!$B$11*V119^Parameters!$B$9)^(Parameters!$B$7/Parameters!$B$9)*O119</f>
        <v>0.50021107143693855</v>
      </c>
      <c r="X119" s="7">
        <f>W119 - D119 - E119 - LN(1+EXP(Parameters!$B$21*C119))/Parameters!$B$21 - IF(C119&gt;0, 0,Parameters!$B$6*C119^2/F119)</f>
        <v>0.13006297344192158</v>
      </c>
      <c r="Y119" s="7">
        <f>EXP(-Parameters!$B$55*A119)</f>
        <v>0.17613579833694784</v>
      </c>
      <c r="Z119" s="7">
        <f>IF(X119&gt;0,X119^(1-Parameters!$B$52)/(1-Parameters!$B$52)*Y119*Parameters!$B$65,-10+X119*1000)</f>
        <v>-1.0276040337474108</v>
      </c>
      <c r="AC119" s="23">
        <f t="shared" si="35"/>
        <v>60.636220253819637</v>
      </c>
      <c r="AD119" s="23">
        <f t="shared" si="35"/>
        <v>2.454840391897652</v>
      </c>
      <c r="AE119" s="23">
        <f t="shared" si="36"/>
        <v>0</v>
      </c>
      <c r="AF119" s="23">
        <f t="shared" si="37"/>
        <v>894.54080293226889</v>
      </c>
      <c r="AG119" s="23">
        <f t="shared" si="38"/>
        <v>38.857255084932937</v>
      </c>
      <c r="AH119" s="23">
        <f t="shared" si="39"/>
        <v>586.28920727477339</v>
      </c>
      <c r="AI119" s="23">
        <f t="shared" si="40"/>
        <v>1442.9023753299373</v>
      </c>
      <c r="AJ119" s="23">
        <f t="shared" si="41"/>
        <v>502.64753879123913</v>
      </c>
      <c r="AK119" s="23">
        <f t="shared" si="42"/>
        <v>130.6964943831598</v>
      </c>
      <c r="AL119" s="9">
        <f t="shared" si="51"/>
        <v>-1.0040076843179868E-2</v>
      </c>
      <c r="AM119" s="9">
        <f t="shared" si="51"/>
        <v>-9.8722533759199926E-2</v>
      </c>
      <c r="AN119" s="9">
        <f t="shared" si="55"/>
        <v>-1.0060631168040679E-2</v>
      </c>
      <c r="AO119" s="9">
        <f t="shared" si="55"/>
        <v>-0.10205788296741022</v>
      </c>
      <c r="AP119" s="23"/>
      <c r="AQ119" s="25">
        <f t="shared" si="32"/>
        <v>502.64753879123919</v>
      </c>
      <c r="AR119" s="4"/>
      <c r="AS119" s="4"/>
      <c r="AT119" s="4"/>
      <c r="AU119" s="16"/>
      <c r="AV119" s="16"/>
      <c r="AY119" s="21">
        <f>-Y119*W119*X119^(-Parameters!B$52)*Parameters!B$46*Parameters!B$45*N119</f>
        <v>-1.7710968132597741E-4</v>
      </c>
      <c r="AZ119" s="7">
        <f>1000*EXP(-(Parameters!$B$54)*'6states,BAU'!A119)*AQ119*Parameters!B$46*Parameters!B$45*N119</f>
        <v>1.1365347514433863</v>
      </c>
      <c r="BA119" s="93">
        <f>SUM(AZ119:AZ$204)*EXP(Parameters!$B$54*A119)</f>
        <v>1293.244327984577</v>
      </c>
      <c r="BB119" s="43">
        <f t="shared" si="53"/>
        <v>0.73998381700327731</v>
      </c>
      <c r="BC119" s="30">
        <f>IF(C119&lt;0,Parameters!$B$6*AC119^2/AF119,0)</f>
        <v>0</v>
      </c>
      <c r="BD119" s="30">
        <f>Parameters!$B$5*AD119^2/AG119</f>
        <v>0.15508664563465055</v>
      </c>
      <c r="BE119" s="30">
        <f t="shared" si="43"/>
        <v>0</v>
      </c>
      <c r="BF119" s="30">
        <f t="shared" si="44"/>
        <v>6.3175857031896376E-2</v>
      </c>
      <c r="BH119" s="5"/>
      <c r="BI119" s="5"/>
      <c r="BJ119" s="5"/>
      <c r="BM119">
        <f>-EXP(-Parameters!B$42*'6states,BAU'!A119)*(-Parameters!B$37/Parameters!B$38/Parameters!E$25*(EXP(-Parameters!B$38*Parameters!E$25*'6states,BAU'!I119/('6states,BAU'!F119+'6states,BAU'!I119))-EXP(-Parameters!B$38*Parameters!E$25))+Parameters!B$37*'6states,BAU'!F119/('6states,BAU'!F119+'6states,BAU'!I119)*EXP(-Parameters!B$38*Parameters!E$25*'6states,BAU'!I119/('6states,BAU'!F119+'6states,BAU'!I119)))</f>
        <v>-1.8921346375826171</v>
      </c>
      <c r="BN119">
        <f>-J119*K119*EXP(-Parameters!B$42*'6states,BAU'!A119)*(-Parameters!B$37/Parameters!B$38/Parameters!E$25*(EXP(-Parameters!B$38*Parameters!E$25*'6states,BAU'!I119/('6states,BAU'!F119+'6states,BAU'!I119))-EXP(-Parameters!B$38*Parameters!E$25)) + Parameters!B$37*'6states,BAU'!F119/('6states,BAU'!F119+'6states,BAU'!I119)*EXP(-Parameters!B$38*Parameters!E$25*'6states,BAU'!I119/('6states,BAU'!F119+'6states,BAU'!I119)))</f>
        <v>-1901.3509955116169</v>
      </c>
      <c r="BO119" s="7">
        <f t="shared" si="33"/>
        <v>0</v>
      </c>
    </row>
    <row r="120" spans="1:67" x14ac:dyDescent="0.3">
      <c r="A120">
        <f>A119+Parameters!$B$65</f>
        <v>116</v>
      </c>
      <c r="B120">
        <v>2141</v>
      </c>
      <c r="C120" s="74">
        <v>6.0286707825428297E-2</v>
      </c>
      <c r="D120" s="69">
        <v>2.4368477198739901E-3</v>
      </c>
      <c r="E120" s="75">
        <v>0.307648007785219</v>
      </c>
      <c r="F120" s="7">
        <f>MAX((1-Parameters!$B$4)^Parameters!B$65*F119 + C119*Parameters!B$65 - IF(C119&gt;0,Parameters!$B$5,0)*C119^2/F119*Parameters!B$65, 0.0001)</f>
        <v>0.89046285955223037</v>
      </c>
      <c r="G120" s="7">
        <f>(1-Parameters!$B$4)^Parameters!B$65*G119+D119*Parameters!B$65-Parameters!$B$5*D119^2/G119*Parameters!B$65</f>
        <v>3.8525235743786621E-2</v>
      </c>
      <c r="H120" s="7">
        <f>(1-Parameters!$B$4)^Parameters!B$65*H119+E119*Parameters!B$65-Parameters!$B$5*E119^2/H119*Parameters!B$65</f>
        <v>4.5452390507773099</v>
      </c>
      <c r="I120" s="7">
        <f>I119 *(1-Parameters!$B$4)-C119*(C119&lt;0)*Parameters!B$65</f>
        <v>0</v>
      </c>
      <c r="J120" s="23">
        <f>J119*(1+Parameters!$B$51)^Parameters!B$65</f>
        <v>11.417614905087387</v>
      </c>
      <c r="K120" s="23">
        <f>K119*(1+Parameters!$B$53)^Parameters!B$65</f>
        <v>90.031124072381942</v>
      </c>
      <c r="L120" s="23">
        <f>J120*K120*EXP(-Parameters!$B$42*'6states,BAU'!A120)*(Parameters!$B$37/Parameters!$B$38*('6states,BAU'!F120+'6states,BAU'!I120)/Parameters!$E$25*(EXP(-Parameters!$B$38*Parameters!$E$25*'6states,BAU'!I120/('6states,BAU'!F120+'6states,BAU'!I120))-EXP(-Parameters!$B$38*Parameters!$E$25))  +  Parameters!$B$39*'6states,BAU'!F120)</f>
        <v>261.31546845844377</v>
      </c>
      <c r="M120" s="8">
        <f>M119+L120*Parameters!B$65</f>
        <v>17956.303660983758</v>
      </c>
      <c r="N120" s="7">
        <f>M120*Parameters!$B$45</f>
        <v>10.773782196590254</v>
      </c>
      <c r="O120" s="9">
        <f>EXP(-Parameters!$B$46/2*N120^2)</f>
        <v>0.31144032026740431</v>
      </c>
      <c r="P120" s="7">
        <f>MAX((Parameters!$B$62 + Parameters!$B$31*'6states,BAU'!A120 - '6states,BAU'!M120 + Parameters!$B$47/Parameters!$B$45)/Parameters!B$62,1)</f>
        <v>1</v>
      </c>
      <c r="Q120" s="8"/>
      <c r="R120" s="8"/>
      <c r="S120" s="7">
        <f>Parameters!B$61*EXP(-Parameters!B$60*A120)+(1-Parameters!B$61)*P120^-Parameters!B$63</f>
        <v>0.52181522451778939</v>
      </c>
      <c r="T120" s="7">
        <f>1-S120/Parameters!$B$12</f>
        <v>0.73909238774110531</v>
      </c>
      <c r="U120" s="7">
        <f t="shared" si="34"/>
        <v>3.8327743347239522</v>
      </c>
      <c r="V120" s="7">
        <f>(Parameters!$B$19*(F120+Parameters!$B$20)^T120+Parameters!$B$18*G120^T120)^(1/T120)</f>
        <v>0.58359099228351252</v>
      </c>
      <c r="W120" s="7">
        <f>(Parameters!$B$10*H120^Parameters!$B$9+Parameters!$B$11*V120^Parameters!$B$9)^(Parameters!$B$7/Parameters!$B$9)*O120</f>
        <v>0.48365716050356855</v>
      </c>
      <c r="X120" s="7">
        <f>W120 - D120 - E120 - LN(1+EXP(Parameters!$B$21*C120))/Parameters!$B$21 - IF(C120&gt;0, 0,Parameters!$B$6*C120^2/F120)</f>
        <v>0.11328559712646466</v>
      </c>
      <c r="Y120" s="7">
        <f>EXP(-Parameters!$B$55*A120)</f>
        <v>0.17349612745298973</v>
      </c>
      <c r="Z120" s="7">
        <f>IF(X120&gt;0,X120^(1-Parameters!$B$52)/(1-Parameters!$B$52)*Y120*Parameters!$B$65,-10+X120*1000)</f>
        <v>-1.0623328148511622</v>
      </c>
      <c r="AC120" s="23">
        <f t="shared" si="35"/>
        <v>61.971160891786504</v>
      </c>
      <c r="AD120" s="23">
        <f t="shared" si="35"/>
        <v>2.5049349610263163</v>
      </c>
      <c r="AE120" s="23">
        <f t="shared" si="36"/>
        <v>0</v>
      </c>
      <c r="AF120" s="23">
        <f t="shared" si="37"/>
        <v>915.34301885026707</v>
      </c>
      <c r="AG120" s="23">
        <f t="shared" si="38"/>
        <v>39.601657957265374</v>
      </c>
      <c r="AH120" s="23">
        <f t="shared" si="39"/>
        <v>599.89693553218933</v>
      </c>
      <c r="AI120" s="23">
        <f t="shared" si="40"/>
        <v>1476.3920305748916</v>
      </c>
      <c r="AJ120" s="23">
        <f t="shared" si="41"/>
        <v>497.17088212584486</v>
      </c>
      <c r="AK120" s="23">
        <f t="shared" si="42"/>
        <v>116.45087647803354</v>
      </c>
      <c r="AL120" s="9">
        <f t="shared" si="51"/>
        <v>-1.0955412156613775E-2</v>
      </c>
      <c r="AM120" s="9">
        <f t="shared" si="51"/>
        <v>-0.11540827546352439</v>
      </c>
      <c r="AN120" s="9">
        <f t="shared" ref="AN120:AO135" si="56">AVERAGE(AL118:AL122)</f>
        <v>-1.0976983816687458E-2</v>
      </c>
      <c r="AO120" s="9">
        <f t="shared" si="56"/>
        <v>-0.11966347683859002</v>
      </c>
      <c r="AP120" s="23"/>
      <c r="AQ120" s="25">
        <f t="shared" si="32"/>
        <v>497.17088212584486</v>
      </c>
      <c r="AR120" s="4"/>
      <c r="AS120" s="4"/>
      <c r="AT120" s="4"/>
      <c r="AU120" s="16"/>
      <c r="AV120" s="16"/>
      <c r="AY120" s="21">
        <f>-Y120*W120*X120^(-Parameters!B$52)*Parameters!B$46*Parameters!B$45*N120</f>
        <v>-2.0625622471165221E-4</v>
      </c>
      <c r="AZ120" s="7">
        <f>1000*EXP(-(Parameters!$B$54)*'6states,BAU'!A120)*AQ120*Parameters!B$46*Parameters!B$45*N120</f>
        <v>1.1014068475259173</v>
      </c>
      <c r="BA120" s="93">
        <f>SUM(AZ120:AZ$204)*EXP(Parameters!$B$54*A120)</f>
        <v>1272.7846605889813</v>
      </c>
      <c r="BB120" s="43">
        <f t="shared" si="53"/>
        <v>0.76577293499573562</v>
      </c>
      <c r="BC120" s="30">
        <f>IF(C120&lt;0,Parameters!$B$6*AC120^2/AF120,0)</f>
        <v>0</v>
      </c>
      <c r="BD120" s="30">
        <f>Parameters!$B$5*AD120^2/AG120</f>
        <v>0.15844536523554181</v>
      </c>
      <c r="BE120" s="30">
        <f t="shared" si="43"/>
        <v>0</v>
      </c>
      <c r="BF120" s="30">
        <f t="shared" si="44"/>
        <v>6.3253285095523568E-2</v>
      </c>
      <c r="BH120" s="5"/>
      <c r="BI120" s="5"/>
      <c r="BJ120" s="5"/>
      <c r="BM120">
        <f>-EXP(-Parameters!B$42*'6states,BAU'!A120)*(-Parameters!B$37/Parameters!B$38/Parameters!E$25*(EXP(-Parameters!B$38*Parameters!E$25*'6states,BAU'!I120/('6states,BAU'!F120+'6states,BAU'!I120))-EXP(-Parameters!B$38*Parameters!E$25))+Parameters!B$37*'6states,BAU'!F120/('6states,BAU'!F120+'6states,BAU'!I120)*EXP(-Parameters!B$38*Parameters!E$25*'6states,BAU'!I120/('6states,BAU'!F120+'6states,BAU'!I120)))</f>
        <v>-1.8733075833697128</v>
      </c>
      <c r="BN120">
        <f>-J120*K120*EXP(-Parameters!B$42*'6states,BAU'!A120)*(-Parameters!B$37/Parameters!B$38/Parameters!E$25*(EXP(-Parameters!B$38*Parameters!E$25*'6states,BAU'!I120/('6states,BAU'!F120+'6states,BAU'!I120))-EXP(-Parameters!B$38*Parameters!E$25)) + Parameters!B$37*'6states,BAU'!F120/('6states,BAU'!F120+'6states,BAU'!I120)*EXP(-Parameters!B$38*Parameters!E$25*'6states,BAU'!I120/('6states,BAU'!F120+'6states,BAU'!I120)))</f>
        <v>-1925.6491163022549</v>
      </c>
      <c r="BO120" s="7">
        <f t="shared" si="33"/>
        <v>0</v>
      </c>
    </row>
    <row r="121" spans="1:67" x14ac:dyDescent="0.3">
      <c r="A121">
        <f>A120+Parameters!$B$65</f>
        <v>117</v>
      </c>
      <c r="B121">
        <v>2142</v>
      </c>
      <c r="C121" s="74">
        <v>6.0302153851104698E-2</v>
      </c>
      <c r="D121" s="69">
        <v>2.43211041378692E-3</v>
      </c>
      <c r="E121" s="75">
        <v>0.30778645662885901</v>
      </c>
      <c r="F121" s="7">
        <f>MAX((1-Parameters!$B$4)^Parameters!B$65*F120 + C120*Parameters!B$65 - IF(C120&gt;0,Parameters!$B$5,0)*C120^2/F120*Parameters!B$65, 0.0001)</f>
        <v>0.89065788278549796</v>
      </c>
      <c r="G121" s="7">
        <f>(1-Parameters!$B$4)^Parameters!B$65*G120+D120*Parameters!B$65-Parameters!$B$5*D120^2/G120*Parameters!B$65</f>
        <v>3.8384707511816871E-2</v>
      </c>
      <c r="H121" s="7">
        <f>(1-Parameters!$B$4)^Parameters!B$65*H120+E120*Parameters!B$65-Parameters!$B$5*E120^2/H120*Parameters!B$65</f>
        <v>4.5461681297832559</v>
      </c>
      <c r="I121" s="7">
        <f>I120 *(1-Parameters!$B$4)-C120*(C120&lt;0)*Parameters!B$65</f>
        <v>0</v>
      </c>
      <c r="J121" s="23">
        <f>J120*(1+Parameters!$B$51)^Parameters!B$65</f>
        <v>11.450725988312138</v>
      </c>
      <c r="K121" s="23">
        <f>K120*(1+Parameters!$B$53)^Parameters!B$65</f>
        <v>91.831746553829589</v>
      </c>
      <c r="L121" s="23">
        <f>J121*K121*EXP(-Parameters!$B$42*'6states,BAU'!A121)*(Parameters!$B$37/Parameters!$B$38*('6states,BAU'!F121+'6states,BAU'!I121)/Parameters!$E$25*(EXP(-Parameters!$B$38*Parameters!$E$25*'6states,BAU'!I121/('6states,BAU'!F121+'6states,BAU'!I121))-EXP(-Parameters!$B$38*Parameters!$E$25))  +  Parameters!$B$39*'6states,BAU'!F121)</f>
        <v>264.71288574472504</v>
      </c>
      <c r="M121" s="8">
        <f>M120+L121*Parameters!B$65</f>
        <v>18221.016546728482</v>
      </c>
      <c r="N121" s="7">
        <f>M121*Parameters!$B$45</f>
        <v>10.932609928037088</v>
      </c>
      <c r="O121" s="9">
        <f>EXP(-Parameters!$B$46/2*N121^2)</f>
        <v>0.30083429030528169</v>
      </c>
      <c r="P121" s="7">
        <f>MAX((Parameters!$B$62 + Parameters!$B$31*'6states,BAU'!A121 - '6states,BAU'!M121 + Parameters!$B$47/Parameters!$B$45)/Parameters!B$62,1)</f>
        <v>1</v>
      </c>
      <c r="Q121" s="8"/>
      <c r="R121" s="8"/>
      <c r="S121" s="7">
        <f>Parameters!B$61*EXP(-Parameters!B$60*A121)+(1-Parameters!B$61)*P121^-Parameters!B$63</f>
        <v>0.52123409402076759</v>
      </c>
      <c r="T121" s="7">
        <f>1-S121/Parameters!$B$12</f>
        <v>0.7393829529896162</v>
      </c>
      <c r="U121" s="7">
        <f t="shared" si="34"/>
        <v>3.8370475434024733</v>
      </c>
      <c r="V121" s="7">
        <f>(Parameters!$B$19*(F121+Parameters!$B$20)^T121+Parameters!$B$18*G121^T121)^(1/T121)</f>
        <v>0.58369553020608012</v>
      </c>
      <c r="W121" s="7">
        <f>(Parameters!$B$10*H121^Parameters!$B$9+Parameters!$B$11*V121^Parameters!$B$9)^(Parameters!$B$7/Parameters!$B$9)*O121</f>
        <v>0.46721436607121181</v>
      </c>
      <c r="X121" s="7">
        <f>W121 - D121 - E121 - LN(1+EXP(Parameters!$B$21*C121))/Parameters!$B$21 - IF(C121&gt;0, 0,Parameters!$B$6*C121^2/F121)</f>
        <v>9.669364513109395E-2</v>
      </c>
      <c r="Y121" s="7">
        <f>EXP(-Parameters!$B$55*A121)</f>
        <v>0.17089601617270908</v>
      </c>
      <c r="Z121" s="7">
        <f>IF(X121&gt;0,X121^(1-Parameters!$B$52)/(1-Parameters!$B$52)*Y121*Parameters!$B$65,-10+X121*1000)</f>
        <v>-1.1060496384094347</v>
      </c>
      <c r="AC121" s="23">
        <f t="shared" si="35"/>
        <v>63.410136919956543</v>
      </c>
      <c r="AD121" s="23">
        <f t="shared" si="35"/>
        <v>2.5574617902285017</v>
      </c>
      <c r="AE121" s="23">
        <f t="shared" si="36"/>
        <v>0</v>
      </c>
      <c r="AF121" s="23">
        <f t="shared" si="37"/>
        <v>936.56253864027462</v>
      </c>
      <c r="AG121" s="23">
        <f t="shared" si="38"/>
        <v>40.36306174016044</v>
      </c>
      <c r="AH121" s="23">
        <f t="shared" si="39"/>
        <v>613.77929520267264</v>
      </c>
      <c r="AI121" s="23">
        <f t="shared" si="40"/>
        <v>1510.5575746360448</v>
      </c>
      <c r="AJ121" s="23">
        <f t="shared" si="41"/>
        <v>491.29467243736781</v>
      </c>
      <c r="AK121" s="23">
        <f t="shared" si="42"/>
        <v>101.67725173120056</v>
      </c>
      <c r="AL121" s="9">
        <f t="shared" si="51"/>
        <v>-1.1889698908284174E-2</v>
      </c>
      <c r="AM121" s="9">
        <f t="shared" si="51"/>
        <v>-0.13566592504041353</v>
      </c>
      <c r="AN121" s="9">
        <f t="shared" si="56"/>
        <v>-1.1917988214797859E-2</v>
      </c>
      <c r="AO121" s="9">
        <f t="shared" si="56"/>
        <v>-0.14371274427477337</v>
      </c>
      <c r="AP121" s="23"/>
      <c r="AQ121" s="25">
        <f t="shared" si="32"/>
        <v>491.29467243736781</v>
      </c>
      <c r="AR121" s="4"/>
      <c r="AS121" s="4"/>
      <c r="AT121" s="4"/>
      <c r="AU121" s="16"/>
      <c r="AV121" s="16"/>
      <c r="AY121" s="21">
        <f>-Y121*W121*X121^(-Parameters!B$52)*Parameters!B$46*Parameters!B$45*N121</f>
        <v>-2.4662214961991341E-4</v>
      </c>
      <c r="AZ121" s="7">
        <f>1000*EXP(-(Parameters!$B$54)*'6states,BAU'!A121)*AQ121*Parameters!B$46*Parameters!B$45*N121</f>
        <v>1.0663408987182912</v>
      </c>
      <c r="BA121" s="93">
        <f>SUM(AZ121:AZ$204)*EXP(Parameters!$B$54*A121)</f>
        <v>1251.3467206074665</v>
      </c>
      <c r="BB121" s="43">
        <f t="shared" si="53"/>
        <v>0.79304222601168195</v>
      </c>
      <c r="BC121" s="30">
        <f>IF(C121&lt;0,Parameters!$B$6*AC121^2/AF121,0)</f>
        <v>0</v>
      </c>
      <c r="BD121" s="30">
        <f>Parameters!$B$5*AD121^2/AG121</f>
        <v>0.16204446656163835</v>
      </c>
      <c r="BE121" s="30">
        <f t="shared" si="43"/>
        <v>0</v>
      </c>
      <c r="BF121" s="30">
        <f t="shared" si="44"/>
        <v>6.3361441872083701E-2</v>
      </c>
      <c r="BH121" s="5"/>
      <c r="BI121" s="5"/>
      <c r="BJ121" s="5"/>
      <c r="BM121">
        <f>-EXP(-Parameters!B$42*'6states,BAU'!A121)*(-Parameters!B$37/Parameters!B$38/Parameters!E$25*(EXP(-Parameters!B$38*Parameters!E$25*'6states,BAU'!I121/('6states,BAU'!F121+'6states,BAU'!I121))-EXP(-Parameters!B$38*Parameters!E$25))+Parameters!B$37*'6states,BAU'!F121/('6states,BAU'!F121+'6states,BAU'!I121)*EXP(-Parameters!B$38*Parameters!E$25*'6states,BAU'!I121/('6states,BAU'!F121+'6states,BAU'!I121)))</f>
        <v>-1.85466786147624</v>
      </c>
      <c r="BN121">
        <f>-J121*K121*EXP(-Parameters!B$42*'6states,BAU'!A121)*(-Parameters!B$37/Parameters!B$38/Parameters!E$25*(EXP(-Parameters!B$38*Parameters!E$25*'6states,BAU'!I121/('6states,BAU'!F121+'6states,BAU'!I121))-EXP(-Parameters!B$38*Parameters!E$25)) + Parameters!B$37*'6states,BAU'!F121/('6states,BAU'!F121+'6states,BAU'!I121)*EXP(-Parameters!B$38*Parameters!E$25*'6states,BAU'!I121/('6states,BAU'!F121+'6states,BAU'!I121)))</f>
        <v>-1950.2577524450551</v>
      </c>
      <c r="BO121" s="7">
        <f t="shared" si="33"/>
        <v>0</v>
      </c>
    </row>
    <row r="122" spans="1:67" x14ac:dyDescent="0.3">
      <c r="A122">
        <f>A121+Parameters!$B$65</f>
        <v>118</v>
      </c>
      <c r="B122">
        <v>2143</v>
      </c>
      <c r="C122" s="74">
        <v>6.0408438653143597E-2</v>
      </c>
      <c r="D122" s="69">
        <v>2.4291914579001399E-3</v>
      </c>
      <c r="E122" s="75">
        <v>0.30774031122863099</v>
      </c>
      <c r="F122" s="7">
        <f>MAX((1-Parameters!$B$4)^Parameters!B$65*F121 + C121*Parameters!B$65 - IF(C121&gt;0,Parameters!$B$5,0)*C121^2/F121*Parameters!B$65, 0.0001)</f>
        <v>0.89085488752163244</v>
      </c>
      <c r="G122" s="7">
        <f>(1-Parameters!$B$4)^Parameters!B$65*G121+D121*Parameters!B$65-Parameters!$B$5*D121^2/G121*Parameters!B$65</f>
        <v>3.8248317800500864E-2</v>
      </c>
      <c r="H122" s="7">
        <f>(1-Parameters!$B$4)^Parameters!B$65*H121+E121*Parameters!B$65-Parameters!$B$5*E121^2/H121*Parameters!B$65</f>
        <v>4.5471627317227448</v>
      </c>
      <c r="I122" s="7">
        <f>I121 *(1-Parameters!$B$4)-C121*(C121&lt;0)*Parameters!B$65</f>
        <v>0</v>
      </c>
      <c r="J122" s="23">
        <f>J121*(1+Parameters!$B$51)^Parameters!B$65</f>
        <v>11.483933093678242</v>
      </c>
      <c r="K122" s="23">
        <f>K121*(1+Parameters!$B$53)^Parameters!B$65</f>
        <v>93.668381484906178</v>
      </c>
      <c r="L122" s="23">
        <f>J122*K122*EXP(-Parameters!$B$42*'6states,BAU'!A122)*(Parameters!$B$37/Parameters!$B$38*('6states,BAU'!F122+'6states,BAU'!I122)/Parameters!$E$25*(EXP(-Parameters!$B$38*Parameters!$E$25*'6states,BAU'!I122/('6states,BAU'!F122+'6states,BAU'!I122))-EXP(-Parameters!$B$38*Parameters!$E$25))  +  Parameters!$B$39*'6states,BAU'!F122)</f>
        <v>268.15505715934296</v>
      </c>
      <c r="M122" s="8">
        <f>M121+L122*Parameters!B$65</f>
        <v>18489.171603887826</v>
      </c>
      <c r="N122" s="7">
        <f>M122*Parameters!$B$45</f>
        <v>11.093502962332694</v>
      </c>
      <c r="O122" s="9">
        <f>EXP(-Parameters!$B$46/2*N122^2)</f>
        <v>0.29030842979571503</v>
      </c>
      <c r="P122" s="7">
        <f>MAX((Parameters!$B$62 + Parameters!$B$31*'6states,BAU'!A122 - '6states,BAU'!M122 + Parameters!$B$47/Parameters!$B$45)/Parameters!B$62,1)</f>
        <v>1</v>
      </c>
      <c r="Q122" s="8"/>
      <c r="R122" s="8"/>
      <c r="S122" s="7">
        <f>Parameters!B$61*EXP(-Parameters!B$60*A122)+(1-Parameters!B$61)*P122^-Parameters!B$63</f>
        <v>0.52066844411869884</v>
      </c>
      <c r="T122" s="7">
        <f>1-S122/Parameters!$B$12</f>
        <v>0.73966577794065058</v>
      </c>
      <c r="U122" s="7">
        <f t="shared" si="34"/>
        <v>3.841216080197194</v>
      </c>
      <c r="V122" s="7">
        <f>(Parameters!$B$19*(F122+Parameters!$B$20)^T122+Parameters!$B$18*G122^T122)^(1/T122)</f>
        <v>0.58380204770426702</v>
      </c>
      <c r="W122" s="7">
        <f>(Parameters!$B$10*H122^Parameters!$B$9+Parameters!$B$11*V122^Parameters!$B$9)^(Parameters!$B$7/Parameters!$B$9)*O122</f>
        <v>0.4508958005463507</v>
      </c>
      <c r="X122" s="7">
        <f>W122 - D122 - E122 - LN(1+EXP(Parameters!$B$21*C122))/Parameters!$B$21 - IF(C122&gt;0, 0,Parameters!$B$6*C122^2/F122)</f>
        <v>8.0317859161763858E-2</v>
      </c>
      <c r="Y122" s="7">
        <f>EXP(-Parameters!$B$55*A122)</f>
        <v>0.16833487163346803</v>
      </c>
      <c r="Z122" s="7">
        <f>IF(X122&gt;0,X122^(1-Parameters!$B$52)/(1-Parameters!$B$52)*Y122*Parameters!$B$65,-10+X122*1000)</f>
        <v>-1.162577207744927</v>
      </c>
      <c r="AC122" s="23">
        <f t="shared" si="35"/>
        <v>64.980235430780596</v>
      </c>
      <c r="AD122" s="23">
        <f t="shared" si="35"/>
        <v>2.6130361313779447</v>
      </c>
      <c r="AE122" s="23">
        <f t="shared" si="36"/>
        <v>0</v>
      </c>
      <c r="AF122" s="23">
        <f t="shared" si="37"/>
        <v>958.27605573786514</v>
      </c>
      <c r="AG122" s="23">
        <f t="shared" si="38"/>
        <v>41.143005032435568</v>
      </c>
      <c r="AH122" s="23">
        <f t="shared" si="39"/>
        <v>627.98501915627548</v>
      </c>
      <c r="AI122" s="23">
        <f t="shared" si="40"/>
        <v>1545.5189428167976</v>
      </c>
      <c r="AJ122" s="23">
        <f t="shared" si="41"/>
        <v>485.02023769368606</v>
      </c>
      <c r="AK122" s="23">
        <f t="shared" si="42"/>
        <v>86.396429273645822</v>
      </c>
      <c r="AL122" s="9">
        <f t="shared" si="51"/>
        <v>-1.2853478037889055E-2</v>
      </c>
      <c r="AM122" s="9">
        <f t="shared" si="51"/>
        <v>-0.16285725080385927</v>
      </c>
      <c r="AN122" s="9">
        <f t="shared" si="56"/>
        <v>-1.288313769574465E-2</v>
      </c>
      <c r="AO122" s="9">
        <f t="shared" si="56"/>
        <v>-0.17771226576534679</v>
      </c>
      <c r="AP122" s="23"/>
      <c r="AQ122" s="25">
        <f t="shared" si="32"/>
        <v>485.02023769368606</v>
      </c>
      <c r="AR122" s="4"/>
      <c r="AS122" s="4"/>
      <c r="AT122" s="4"/>
      <c r="AU122" s="16"/>
      <c r="AV122" s="16"/>
      <c r="AY122" s="21">
        <f>-Y122*W122*X122^(-Parameters!B$52)*Parameters!B$46*Parameters!B$45*N122</f>
        <v>-3.056116648083161E-4</v>
      </c>
      <c r="AZ122" s="7">
        <f>1000*EXP(-(Parameters!$B$54)*'6states,BAU'!A122)*AQ122*Parameters!B$46*Parameters!B$45*N122</f>
        <v>1.0313711678184012</v>
      </c>
      <c r="BA122" s="93">
        <f>SUM(AZ122:AZ$204)*EXP(Parameters!$B$54*A122)</f>
        <v>1228.9590546031604</v>
      </c>
      <c r="BB122" s="43">
        <f t="shared" si="53"/>
        <v>0.82187046517320672</v>
      </c>
      <c r="BC122" s="30">
        <f>IF(C122&lt;0,Parameters!$B$6*AC122^2/AF122,0)</f>
        <v>0</v>
      </c>
      <c r="BD122" s="30">
        <f>Parameters!$B$5*AD122^2/AG122</f>
        <v>0.16595671168169937</v>
      </c>
      <c r="BE122" s="30">
        <f t="shared" si="43"/>
        <v>0</v>
      </c>
      <c r="BF122" s="30">
        <f t="shared" si="44"/>
        <v>6.3511066566915256E-2</v>
      </c>
      <c r="BH122" s="5"/>
      <c r="BI122" s="5"/>
      <c r="BJ122" s="5"/>
      <c r="BM122">
        <f>-EXP(-Parameters!B$42*'6states,BAU'!A122)*(-Parameters!B$37/Parameters!B$38/Parameters!E$25*(EXP(-Parameters!B$38*Parameters!E$25*'6states,BAU'!I122/('6states,BAU'!F122+'6states,BAU'!I122))-EXP(-Parameters!B$38*Parameters!E$25))+Parameters!B$37*'6states,BAU'!F122/('6states,BAU'!F122+'6states,BAU'!I122)*EXP(-Parameters!B$38*Parameters!E$25*'6states,BAU'!I122/('6states,BAU'!F122+'6states,BAU'!I122)))</f>
        <v>-1.8362136079144764</v>
      </c>
      <c r="BN122">
        <f>-J122*K122*EXP(-Parameters!B$42*'6states,BAU'!A122)*(-Parameters!B$37/Parameters!B$38/Parameters!E$25*(EXP(-Parameters!B$38*Parameters!E$25*'6states,BAU'!I122/('6states,BAU'!F122+'6states,BAU'!I122))-EXP(-Parameters!B$38*Parameters!E$25)) + Parameters!B$37*'6states,BAU'!F122/('6states,BAU'!F122+'6states,BAU'!I122)*EXP(-Parameters!B$38*Parameters!E$25*'6states,BAU'!I122/('6states,BAU'!F122+'6states,BAU'!I122)))</f>
        <v>-1975.1808721392365</v>
      </c>
      <c r="BO122" s="7">
        <f t="shared" si="33"/>
        <v>0</v>
      </c>
    </row>
    <row r="123" spans="1:67" x14ac:dyDescent="0.3">
      <c r="A123">
        <f>A122+Parameters!$B$65</f>
        <v>119</v>
      </c>
      <c r="B123">
        <v>2144</v>
      </c>
      <c r="C123" s="74">
        <v>6.0372452897774501E-2</v>
      </c>
      <c r="D123" s="69">
        <v>2.4236536132148999E-3</v>
      </c>
      <c r="E123" s="75">
        <v>0.308013000855557</v>
      </c>
      <c r="F123" s="7">
        <f>MAX((1-Parameters!$B$4)^Parameters!B$65*F122 + C122*Parameters!B$65 - IF(C122&gt;0,Parameters!$B$5,0)*C122^2/F122*Parameters!B$65, 0.0001)</f>
        <v>0.8911322867687852</v>
      </c>
      <c r="G123" s="7">
        <f>(1-Parameters!$B$4)^Parameters!B$65*G122+D122*Parameters!B$65-Parameters!$B$5*D122^2/G122*Parameters!B$65</f>
        <v>3.8117409528363025E-2</v>
      </c>
      <c r="H123" s="7">
        <f>(1-Parameters!$B$4)^Parameters!B$65*H122+E122*Parameters!B$65-Parameters!$B$5*E122^2/H122*Parameters!B$65</f>
        <v>4.5480594321470615</v>
      </c>
      <c r="I123" s="7">
        <f>I122 *(1-Parameters!$B$4)-C122*(C122&lt;0)*Parameters!B$65</f>
        <v>0</v>
      </c>
      <c r="J123" s="23">
        <f>J122*(1+Parameters!$B$51)^Parameters!B$65</f>
        <v>11.517236499649908</v>
      </c>
      <c r="K123" s="23">
        <f>K122*(1+Parameters!$B$53)^Parameters!B$65</f>
        <v>95.541749114604301</v>
      </c>
      <c r="L123" s="23">
        <f>J123*K123*EXP(-Parameters!$B$42*'6states,BAU'!A123)*(Parameters!$B$37/Parameters!$B$38*('6states,BAU'!F123+'6states,BAU'!I123)/Parameters!$E$25*(EXP(-Parameters!$B$38*Parameters!$E$25*'6states,BAU'!I123/('6states,BAU'!F123+'6states,BAU'!I123))-EXP(-Parameters!$B$38*Parameters!$E$25))  +  Parameters!$B$39*'6states,BAU'!F123)</f>
        <v>271.66648397220342</v>
      </c>
      <c r="M123" s="8">
        <f>M122+L123*Parameters!B$65</f>
        <v>18760.838087860029</v>
      </c>
      <c r="N123" s="7">
        <f>M123*Parameters!$B$45</f>
        <v>11.256502852716016</v>
      </c>
      <c r="O123" s="9">
        <f>EXP(-Parameters!$B$46/2*N123^2)</f>
        <v>0.27987169651703853</v>
      </c>
      <c r="P123" s="7">
        <f>MAX((Parameters!$B$62 + Parameters!$B$31*'6states,BAU'!A123 - '6states,BAU'!M123 + Parameters!$B$47/Parameters!$B$45)/Parameters!B$62,1)</f>
        <v>1</v>
      </c>
      <c r="Q123" s="8"/>
      <c r="R123" s="8"/>
      <c r="S123" s="7">
        <f>Parameters!B$61*EXP(-Parameters!B$60*A123)+(1-Parameters!B$61)*P123^-Parameters!B$63</f>
        <v>0.52011786242775304</v>
      </c>
      <c r="T123" s="7">
        <f>1-S123/Parameters!$B$12</f>
        <v>0.73994106878612342</v>
      </c>
      <c r="U123" s="7">
        <f t="shared" si="34"/>
        <v>3.8452822801828104</v>
      </c>
      <c r="V123" s="7">
        <f>(Parameters!$B$19*(F123+Parameters!$B$20)^T123+Parameters!$B$18*G123^T123)^(1/T123)</f>
        <v>0.58396018591673615</v>
      </c>
      <c r="W123" s="7">
        <f>(Parameters!$B$10*H123^Parameters!$B$9+Parameters!$B$11*V123^Parameters!$B$9)^(Parameters!$B$7/Parameters!$B$9)*O123</f>
        <v>0.43471322740953389</v>
      </c>
      <c r="X123" s="7">
        <f>W123 - D123 - E123 - LN(1+EXP(Parameters!$B$21*C123))/Parameters!$B$21 - IF(C123&gt;0, 0,Parameters!$B$6*C123^2/F123)</f>
        <v>6.3904119997587938E-2</v>
      </c>
      <c r="Y123" s="7">
        <f>EXP(-Parameters!$B$55*A123)</f>
        <v>0.16581210985760431</v>
      </c>
      <c r="Z123" s="7">
        <f>IF(X123&gt;0,X123^(1-Parameters!$B$52)/(1-Parameters!$B$52)*Y123*Parameters!$B$65,-10+X123*1000)</f>
        <v>-1.2405466507963794</v>
      </c>
      <c r="AC123" s="23">
        <f t="shared" si="35"/>
        <v>66.432453781138378</v>
      </c>
      <c r="AD123" s="23">
        <f t="shared" si="35"/>
        <v>2.6669324984031437</v>
      </c>
      <c r="AE123" s="23">
        <f t="shared" si="36"/>
        <v>0</v>
      </c>
      <c r="AF123" s="23">
        <f t="shared" si="37"/>
        <v>980.5814011547269</v>
      </c>
      <c r="AG123" s="23">
        <f t="shared" si="38"/>
        <v>41.943517700653928</v>
      </c>
      <c r="AH123" s="23">
        <f t="shared" si="39"/>
        <v>642.57631086525885</v>
      </c>
      <c r="AI123" s="23">
        <f t="shared" si="40"/>
        <v>1581.4292225981494</v>
      </c>
      <c r="AJ123" s="23">
        <f t="shared" si="41"/>
        <v>478.34840232237639</v>
      </c>
      <c r="AK123" s="23">
        <f t="shared" si="42"/>
        <v>70.318618747401857</v>
      </c>
      <c r="AL123" s="9">
        <f t="shared" si="51"/>
        <v>-1.3851275128022422E-2</v>
      </c>
      <c r="AM123" s="9">
        <f t="shared" si="51"/>
        <v>-0.20590973630686982</v>
      </c>
      <c r="AN123" s="9">
        <f t="shared" si="56"/>
        <v>-1.3874974395428907E-2</v>
      </c>
      <c r="AO123" s="9">
        <f t="shared" si="56"/>
        <v>-0.23185905996208173</v>
      </c>
      <c r="AP123" s="23"/>
      <c r="AQ123" s="25">
        <f t="shared" si="32"/>
        <v>478.34840232237639</v>
      </c>
      <c r="AR123" s="4"/>
      <c r="AS123" s="4"/>
      <c r="AT123" s="4"/>
      <c r="AU123" s="16"/>
      <c r="AV123" s="16"/>
      <c r="AY123" s="21">
        <f>-Y123*W123*X123^(-Parameters!B$52)*Parameters!B$46*Parameters!B$45*N123</f>
        <v>-4.0096451055798572E-4</v>
      </c>
      <c r="AZ123" s="7">
        <f>1000*EXP(-(Parameters!$B$54)*'6states,BAU'!A123)*AQ123*Parameters!B$46*Parameters!B$45*N123</f>
        <v>0.99653028090204376</v>
      </c>
      <c r="BA123" s="93">
        <f>SUM(AZ123:AZ$204)*EXP(Parameters!$B$54*A123)</f>
        <v>1205.6537090888467</v>
      </c>
      <c r="BB123" s="43">
        <f t="shared" si="53"/>
        <v>0.85299706562003275</v>
      </c>
      <c r="BC123" s="30">
        <f>IF(C123&lt;0,Parameters!$B$6*AC123^2/AF123,0)</f>
        <v>0</v>
      </c>
      <c r="BD123" s="30">
        <f>Parameters!$B$5*AD123^2/AG123</f>
        <v>0.16957397330858459</v>
      </c>
      <c r="BE123" s="30">
        <f t="shared" si="43"/>
        <v>0</v>
      </c>
      <c r="BF123" s="30">
        <f t="shared" si="44"/>
        <v>6.3583901508612969E-2</v>
      </c>
      <c r="BH123" s="5"/>
      <c r="BI123" s="5"/>
      <c r="BJ123" s="5"/>
      <c r="BM123">
        <f>-EXP(-Parameters!B$42*'6states,BAU'!A123)*(-Parameters!B$37/Parameters!B$38/Parameters!E$25*(EXP(-Parameters!B$38*Parameters!E$25*'6states,BAU'!I123/('6states,BAU'!F123+'6states,BAU'!I123))-EXP(-Parameters!B$38*Parameters!E$25))+Parameters!B$37*'6states,BAU'!F123/('6states,BAU'!F123+'6states,BAU'!I123)*EXP(-Parameters!B$38*Parameters!E$25*'6states,BAU'!I123/('6states,BAU'!F123+'6states,BAU'!I123)))</f>
        <v>-1.8179429772436875</v>
      </c>
      <c r="BN123">
        <f>-J123*K123*EXP(-Parameters!B$42*'6states,BAU'!A123)*(-Parameters!B$37/Parameters!B$38/Parameters!E$25*(EXP(-Parameters!B$38*Parameters!E$25*'6states,BAU'!I123/('6states,BAU'!F123+'6states,BAU'!I123))-EXP(-Parameters!B$38*Parameters!E$25)) + Parameters!B$37*'6states,BAU'!F123/('6states,BAU'!F123+'6states,BAU'!I123)*EXP(-Parameters!B$38*Parameters!E$25*'6states,BAU'!I123/('6states,BAU'!F123+'6states,BAU'!I123)))</f>
        <v>-2000.4224942952135</v>
      </c>
      <c r="BO123" s="7">
        <f t="shared" si="33"/>
        <v>0</v>
      </c>
    </row>
    <row r="124" spans="1:67" x14ac:dyDescent="0.3">
      <c r="A124">
        <f>A123+Parameters!$B$65</f>
        <v>120</v>
      </c>
      <c r="B124">
        <v>2145</v>
      </c>
      <c r="C124" s="74">
        <v>6.0421759336677303E-2</v>
      </c>
      <c r="D124" s="69">
        <v>2.4199399479310998E-3</v>
      </c>
      <c r="E124" s="75">
        <v>0.30809541031701099</v>
      </c>
      <c r="F124" s="7">
        <f>MAX((1-Parameters!$B$4)^Parameters!B$65*F123 + C123*Parameters!B$65 - IF(C123&gt;0,Parameters!$B$5,0)*C123^2/F123*Parameters!B$65, 0.0001)</f>
        <v>0.89136240434971714</v>
      </c>
      <c r="G124" s="7">
        <f>(1-Parameters!$B$4)^Parameters!B$65*G123+D123*Parameters!B$65-Parameters!$B$5*D123^2/G123*Parameters!B$65</f>
        <v>3.7989372729610241E-2</v>
      </c>
      <c r="H124" s="7">
        <f>(1-Parameters!$B$4)^Parameters!B$65*H123+E123*Parameters!B$65-Parameters!$B$5*E123^2/H123*Parameters!B$65</f>
        <v>4.5491396070890522</v>
      </c>
      <c r="I124" s="7">
        <f>I123 *(1-Parameters!$B$4)-C123*(C123&lt;0)*Parameters!B$65</f>
        <v>0</v>
      </c>
      <c r="J124" s="23">
        <f>J123*(1+Parameters!$B$51)^Parameters!B$65</f>
        <v>11.550636485498892</v>
      </c>
      <c r="K124" s="23">
        <f>K123*(1+Parameters!$B$53)^Parameters!B$65</f>
        <v>97.452584096896388</v>
      </c>
      <c r="L124" s="23">
        <f>J124*K124*EXP(-Parameters!$B$42*'6states,BAU'!A124)*(Parameters!$B$37/Parameters!$B$38*('6states,BAU'!F124+'6states,BAU'!I124)/Parameters!$E$25*(EXP(-Parameters!$B$38*Parameters!$E$25*'6states,BAU'!I124/('6states,BAU'!F124+'6states,BAU'!I124))-EXP(-Parameters!$B$38*Parameters!$E$25))  +  Parameters!$B$39*'6states,BAU'!F124)</f>
        <v>275.20926714210373</v>
      </c>
      <c r="M124" s="8">
        <f>M123+L124*Parameters!B$65</f>
        <v>19036.047355002134</v>
      </c>
      <c r="N124" s="7">
        <f>M124*Parameters!$B$45</f>
        <v>11.42162841300128</v>
      </c>
      <c r="O124" s="9">
        <f>EXP(-Parameters!$B$46/2*N124^2)</f>
        <v>0.26953456634780404</v>
      </c>
      <c r="P124" s="7">
        <f>MAX((Parameters!$B$62 + Parameters!$B$31*'6states,BAU'!A124 - '6states,BAU'!M124 + Parameters!$B$47/Parameters!$B$45)/Parameters!B$62,1)</f>
        <v>1</v>
      </c>
      <c r="Q124" s="8"/>
      <c r="R124" s="8"/>
      <c r="S124" s="7">
        <f>Parameters!B$61*EXP(-Parameters!B$60*A124)+(1-Parameters!B$61)*P124^-Parameters!B$63</f>
        <v>0.51958194754949349</v>
      </c>
      <c r="T124" s="7">
        <f>1-S124/Parameters!$B$12</f>
        <v>0.7402090262252532</v>
      </c>
      <c r="U124" s="7">
        <f t="shared" si="34"/>
        <v>3.8492484379655756</v>
      </c>
      <c r="V124" s="7">
        <f>(Parameters!$B$19*(F124+Parameters!$B$20)^T124+Parameters!$B$18*G124^T124)^(1/T124)</f>
        <v>0.58408898407735599</v>
      </c>
      <c r="W124" s="7">
        <f>(Parameters!$B$10*H124^Parameters!$B$9+Parameters!$B$11*V124^Parameters!$B$9)^(Parameters!$B$7/Parameters!$B$9)*O124</f>
        <v>0.41868645053203885</v>
      </c>
      <c r="X124" s="7">
        <f>W124 - D124 - E124 - LN(1+EXP(Parameters!$B$21*C124))/Parameters!$B$21 - IF(C124&gt;0, 0,Parameters!$B$6*C124^2/F124)</f>
        <v>4.774934088568647E-2</v>
      </c>
      <c r="Y124" s="7">
        <f>EXP(-Parameters!$B$55*A124)</f>
        <v>0.16332715561927577</v>
      </c>
      <c r="Z124" s="7">
        <f>IF(X124&gt;0,X124^(1-Parameters!$B$52)/(1-Parameters!$B$52)*Y124*Parameters!$B$65,-10+X124*1000)</f>
        <v>-1.3531681623274117</v>
      </c>
      <c r="AC124" s="23">
        <f t="shared" si="35"/>
        <v>68.013111324040622</v>
      </c>
      <c r="AD124" s="23">
        <f t="shared" si="35"/>
        <v>2.7239796868381276</v>
      </c>
      <c r="AE124" s="23">
        <f t="shared" si="36"/>
        <v>0</v>
      </c>
      <c r="AF124" s="23">
        <f t="shared" si="37"/>
        <v>1003.3526183720631</v>
      </c>
      <c r="AG124" s="23">
        <f t="shared" si="38"/>
        <v>42.762333718095611</v>
      </c>
      <c r="AH124" s="23">
        <f t="shared" si="39"/>
        <v>657.47355809092846</v>
      </c>
      <c r="AI124" s="23">
        <f t="shared" si="40"/>
        <v>1618.0924821995188</v>
      </c>
      <c r="AJ124" s="23">
        <f t="shared" si="41"/>
        <v>471.2899538596742</v>
      </c>
      <c r="AK124" s="23">
        <f t="shared" si="42"/>
        <v>53.748538158444632</v>
      </c>
      <c r="AL124" s="9">
        <f t="shared" si="51"/>
        <v>-1.4865824247913828E-2</v>
      </c>
      <c r="AM124" s="9">
        <f t="shared" si="51"/>
        <v>-0.268720141212067</v>
      </c>
      <c r="AN124" s="9">
        <f t="shared" si="56"/>
        <v>-1.4895185213727125E-2</v>
      </c>
      <c r="AO124" s="9">
        <f t="shared" si="56"/>
        <v>-0.33844020170857564</v>
      </c>
      <c r="AP124" s="23"/>
      <c r="AQ124" s="25">
        <f t="shared" si="32"/>
        <v>471.2899538596742</v>
      </c>
      <c r="AR124" s="4"/>
      <c r="AS124" s="4"/>
      <c r="AT124" s="4"/>
      <c r="AU124" s="16"/>
      <c r="AV124" s="16"/>
      <c r="AY124" s="21">
        <f>-Y124*W124*X124^(-Parameters!B$52)*Parameters!B$46*Parameters!B$45*N124</f>
        <v>-5.7202719400114568E-4</v>
      </c>
      <c r="AZ124" s="7">
        <f>1000*EXP(-(Parameters!$B$54)*'6states,BAU'!A124)*AQ124*Parameters!B$46*Parameters!B$45*N124</f>
        <v>0.96186729709077989</v>
      </c>
      <c r="BA124" s="93">
        <f>SUM(AZ124:AZ$204)*EXP(Parameters!$B$54*A124)</f>
        <v>1181.4663977014454</v>
      </c>
      <c r="BB124" s="43">
        <f t="shared" si="53"/>
        <v>0.88595441560207466</v>
      </c>
      <c r="BC124" s="30">
        <f>IF(C124&lt;0,Parameters!$B$6*AC124^2/AF124,0)</f>
        <v>0</v>
      </c>
      <c r="BD124" s="30">
        <f>Parameters!$B$5*AD124^2/AG124</f>
        <v>0.17351871820706588</v>
      </c>
      <c r="BE124" s="30">
        <f t="shared" si="43"/>
        <v>0</v>
      </c>
      <c r="BF124" s="30">
        <f t="shared" si="44"/>
        <v>6.3700444994315861E-2</v>
      </c>
      <c r="BH124" s="5"/>
      <c r="BI124" s="5"/>
      <c r="BJ124" s="5"/>
      <c r="BM124">
        <f>-EXP(-Parameters!B$42*'6states,BAU'!A124)*(-Parameters!B$37/Parameters!B$38/Parameters!E$25*(EXP(-Parameters!B$38*Parameters!E$25*'6states,BAU'!I124/('6states,BAU'!F124+'6states,BAU'!I124))-EXP(-Parameters!B$38*Parameters!E$25))+Parameters!B$37*'6states,BAU'!F124/('6states,BAU'!F124+'6states,BAU'!I124)*EXP(-Parameters!B$38*Parameters!E$25*'6states,BAU'!I124/('6states,BAU'!F124+'6states,BAU'!I124)))</f>
        <v>-1.7998541423855805</v>
      </c>
      <c r="BN124">
        <f>-J124*K124*EXP(-Parameters!B$42*'6states,BAU'!A124)*(-Parameters!B$37/Parameters!B$38/Parameters!E$25*(EXP(-Parameters!B$38*Parameters!E$25*'6states,BAU'!I124/('6states,BAU'!F124+'6states,BAU'!I124))-EXP(-Parameters!B$38*Parameters!E$25)) + Parameters!B$37*'6states,BAU'!F124/('6states,BAU'!F124+'6states,BAU'!I124)*EXP(-Parameters!B$38*Parameters!E$25*'6states,BAU'!I124/('6states,BAU'!F124+'6states,BAU'!I124)))</f>
        <v>-2025.9866891826568</v>
      </c>
      <c r="BO124" s="7">
        <f t="shared" si="33"/>
        <v>0</v>
      </c>
    </row>
    <row r="125" spans="1:67" x14ac:dyDescent="0.3">
      <c r="A125">
        <f>A124+Parameters!$B$65</f>
        <v>121</v>
      </c>
      <c r="B125">
        <v>2146</v>
      </c>
      <c r="C125" s="74">
        <v>6.0453813890673003E-2</v>
      </c>
      <c r="D125" s="69">
        <v>2.4160454575052901E-3</v>
      </c>
      <c r="E125" s="75">
        <v>0.30823236407844301</v>
      </c>
      <c r="F125" s="7">
        <f>MAX((1-Parameters!$B$4)^Parameters!B$65*F124 + C124*Parameters!B$65 - IF(C124&gt;0,Parameters!$B$5,0)*C124^2/F124*Parameters!B$65, 0.0001)</f>
        <v>0.89162172806311502</v>
      </c>
      <c r="G125" s="7">
        <f>(1-Parameters!$B$4)^Parameters!B$65*G124+D124*Parameters!B$65-Parameters!$B$5*D124^2/G124*Parameters!B$65</f>
        <v>3.7865629881306123E-2</v>
      </c>
      <c r="H125" s="7">
        <f>(1-Parameters!$B$4)^Parameters!B$65*H124+E124*Parameters!B$65-Parameters!$B$5*E124^2/H124*Parameters!B$65</f>
        <v>4.5502280405379372</v>
      </c>
      <c r="I125" s="7">
        <f>I124 *(1-Parameters!$B$4)-C124*(C124&lt;0)*Parameters!B$65</f>
        <v>0</v>
      </c>
      <c r="J125" s="23">
        <f>J124*(1+Parameters!$B$51)^Parameters!B$65</f>
        <v>11.584133331306838</v>
      </c>
      <c r="K125" s="23">
        <f>K124*(1+Parameters!$B$53)^Parameters!B$65</f>
        <v>99.401635778834319</v>
      </c>
      <c r="L125" s="23">
        <f>J125*K125*EXP(-Parameters!$B$42*'6states,BAU'!A125)*(Parameters!$B$37/Parameters!$B$38*('6states,BAU'!F125+'6states,BAU'!I125)/Parameters!$E$25*(EXP(-Parameters!$B$38*Parameters!$E$25*'6states,BAU'!I125/('6states,BAU'!F125+'6states,BAU'!I125))-EXP(-Parameters!$B$38*Parameters!$E$25))  +  Parameters!$B$39*'6states,BAU'!F125)</f>
        <v>278.80736557977974</v>
      </c>
      <c r="M125" s="8">
        <f>M124+L125*Parameters!B$65</f>
        <v>19314.854720581912</v>
      </c>
      <c r="N125" s="7">
        <f>M125*Parameters!$B$45</f>
        <v>11.588912832349147</v>
      </c>
      <c r="O125" s="9">
        <f>EXP(-Parameters!$B$46/2*N125^2)</f>
        <v>0.25930659539178724</v>
      </c>
      <c r="P125" s="7">
        <f>MAX((Parameters!$B$62 + Parameters!$B$31*'6states,BAU'!A125 - '6states,BAU'!M125 + Parameters!$B$47/Parameters!$B$45)/Parameters!B$62,1)</f>
        <v>1</v>
      </c>
      <c r="Q125" s="8"/>
      <c r="R125" s="8"/>
      <c r="S125" s="7">
        <f>Parameters!B$61*EXP(-Parameters!B$60*A125)+(1-Parameters!B$61)*P125^-Parameters!B$63</f>
        <v>0.5190603087782395</v>
      </c>
      <c r="T125" s="7">
        <f>1-S125/Parameters!$B$12</f>
        <v>0.74046984561088025</v>
      </c>
      <c r="U125" s="7">
        <f t="shared" si="34"/>
        <v>3.853116807770538</v>
      </c>
      <c r="V125" s="7">
        <f>(Parameters!$B$19*(F125+Parameters!$B$20)^T125+Parameters!$B$18*G125^T125)^(1/T125)</f>
        <v>0.58423693293543844</v>
      </c>
      <c r="W125" s="7">
        <f>(Parameters!$B$10*H125^Parameters!$B$9+Parameters!$B$11*V125^Parameters!$B$9)^(Parameters!$B$7/Parameters!$B$9)*O125</f>
        <v>0.40282784442834996</v>
      </c>
      <c r="X125" s="7">
        <f>W125 - D125 - E125 - LN(1+EXP(Parameters!$B$21*C125))/Parameters!$B$21 - IF(C125&gt;0, 0,Parameters!$B$6*C125^2/F125)</f>
        <v>3.1725620957423789E-2</v>
      </c>
      <c r="Y125" s="7">
        <f>EXP(-Parameters!$B$55*A125)</f>
        <v>0.16087944231330067</v>
      </c>
      <c r="Z125" s="7">
        <f>IF(X125&gt;0,X125^(1-Parameters!$B$52)/(1-Parameters!$B$52)*Y125*Parameters!$B$65,-10+X125*1000)</f>
        <v>-1.5379384747275837</v>
      </c>
      <c r="AC125" s="23">
        <f t="shared" si="35"/>
        <v>69.611466569422007</v>
      </c>
      <c r="AD125" s="23">
        <f t="shared" si="35"/>
        <v>2.7820323776343483</v>
      </c>
      <c r="AE125" s="23">
        <f t="shared" si="36"/>
        <v>0</v>
      </c>
      <c r="AF125" s="23">
        <f t="shared" si="37"/>
        <v>1026.6861943215085</v>
      </c>
      <c r="AG125" s="23">
        <f t="shared" si="38"/>
        <v>43.601583737619571</v>
      </c>
      <c r="AH125" s="23">
        <f t="shared" si="39"/>
        <v>672.73819645531989</v>
      </c>
      <c r="AI125" s="23">
        <f t="shared" si="40"/>
        <v>1655.6599193640416</v>
      </c>
      <c r="AJ125" s="23">
        <f t="shared" si="41"/>
        <v>463.84893228353843</v>
      </c>
      <c r="AK125" s="23">
        <f t="shared" si="42"/>
        <v>36.531475196349675</v>
      </c>
      <c r="AL125" s="9">
        <f t="shared" si="51"/>
        <v>-1.5914595655035058E-2</v>
      </c>
      <c r="AM125" s="9">
        <f t="shared" si="51"/>
        <v>-0.38614224644719908</v>
      </c>
      <c r="AN125" s="9">
        <f t="shared" si="56"/>
        <v>-1.5944133153438678E-2</v>
      </c>
      <c r="AO125" s="9">
        <f t="shared" si="56"/>
        <v>-1.1366529560467531</v>
      </c>
      <c r="AP125" s="23"/>
      <c r="AQ125" s="25">
        <f t="shared" si="32"/>
        <v>463.84893228353837</v>
      </c>
      <c r="AR125" s="4"/>
      <c r="AS125" s="4"/>
      <c r="AT125" s="4"/>
      <c r="AU125" s="16"/>
      <c r="AV125" s="16"/>
      <c r="AY125" s="21">
        <f>-Y125*W125*X125^(-Parameters!B$52)*Parameters!B$46*Parameters!B$45*N125</f>
        <v>-9.5522649843404175E-4</v>
      </c>
      <c r="AZ125" s="7">
        <f>1000*EXP(-(Parameters!$B$54)*'6states,BAU'!A125)*AQ125*Parameters!B$46*Parameters!B$45*N125</f>
        <v>0.92741575881134575</v>
      </c>
      <c r="BA125" s="93">
        <f>SUM(AZ125:AZ$204)*EXP(Parameters!$B$54*A125)</f>
        <v>1156.4354141874094</v>
      </c>
      <c r="BB125" s="43">
        <f t="shared" si="53"/>
        <v>0.92124273075822194</v>
      </c>
      <c r="BC125" s="30">
        <f>IF(C125&lt;0,Parameters!$B$6*AC125^2/AF125,0)</f>
        <v>0</v>
      </c>
      <c r="BD125" s="30">
        <f>Parameters!$B$5*AD125^2/AG125</f>
        <v>0.17750970232597277</v>
      </c>
      <c r="BE125" s="30">
        <f t="shared" si="43"/>
        <v>0</v>
      </c>
      <c r="BF125" s="30">
        <f t="shared" si="44"/>
        <v>6.3805764358829994E-2</v>
      </c>
      <c r="BH125" s="5"/>
      <c r="BI125" s="5"/>
      <c r="BJ125" s="5"/>
      <c r="BM125">
        <f>-EXP(-Parameters!B$42*'6states,BAU'!A125)*(-Parameters!B$37/Parameters!B$38/Parameters!E$25*(EXP(-Parameters!B$38*Parameters!E$25*'6states,BAU'!I125/('6states,BAU'!F125+'6states,BAU'!I125))-EXP(-Parameters!B$38*Parameters!E$25))+Parameters!B$37*'6states,BAU'!F125/('6states,BAU'!F125+'6states,BAU'!I125)*EXP(-Parameters!B$38*Parameters!E$25*'6states,BAU'!I125/('6states,BAU'!F125+'6states,BAU'!I125)))</f>
        <v>-1.781945294441595</v>
      </c>
      <c r="BN125">
        <f>-J125*K125*EXP(-Parameters!B$42*'6states,BAU'!A125)*(-Parameters!B$37/Parameters!B$38/Parameters!E$25*(EXP(-Parameters!B$38*Parameters!E$25*'6states,BAU'!I125/('6states,BAU'!F125+'6states,BAU'!I125))-EXP(-Parameters!B$38*Parameters!E$25)) + Parameters!B$37*'6states,BAU'!F125/('6states,BAU'!F125+'6states,BAU'!I125)*EXP(-Parameters!B$38*Parameters!E$25*'6states,BAU'!I125/('6states,BAU'!F125+'6states,BAU'!I125)))</f>
        <v>-2051.8775790868308</v>
      </c>
      <c r="BO125" s="7">
        <f t="shared" si="33"/>
        <v>0</v>
      </c>
    </row>
    <row r="126" spans="1:67" x14ac:dyDescent="0.3">
      <c r="A126">
        <f>A125+Parameters!$B$65</f>
        <v>122</v>
      </c>
      <c r="B126">
        <v>2147</v>
      </c>
      <c r="C126" s="74">
        <v>6.0510034339524101E-2</v>
      </c>
      <c r="D126" s="69">
        <v>2.4134287186986102E-3</v>
      </c>
      <c r="E126" s="75">
        <v>0.30833697573088098</v>
      </c>
      <c r="F126" s="7">
        <f>MAX((1-Parameters!$B$4)^Parameters!B$65*F125 + C125*Parameters!B$65 - IF(C125&gt;0,Parameters!$B$5,0)*C125^2/F125*Parameters!B$65, 0.0001)</f>
        <v>0.8918936405155895</v>
      </c>
      <c r="G126" s="7">
        <f>(1-Parameters!$B$4)^Parameters!B$65*G125+D125*Parameters!B$65-Parameters!$B$5*D125^2/G125*Parameters!B$65</f>
        <v>3.774576959213545E-2</v>
      </c>
      <c r="H126" s="7">
        <f>(1-Parameters!$B$4)^Parameters!B$65*H125+E125*Parameters!B$65-Parameters!$B$5*E125^2/H125*Parameters!B$65</f>
        <v>4.551371406172545</v>
      </c>
      <c r="I126" s="7">
        <f>I125 *(1-Parameters!$B$4)-C125*(C125&lt;0)*Parameters!B$65</f>
        <v>0</v>
      </c>
      <c r="J126" s="23">
        <f>J125*(1+Parameters!$B$51)^Parameters!B$65</f>
        <v>11.617727317967626</v>
      </c>
      <c r="K126" s="23">
        <f>K125*(1+Parameters!$B$53)^Parameters!B$65</f>
        <v>101.38966849441101</v>
      </c>
      <c r="L126" s="23">
        <f>J126*K126*EXP(-Parameters!$B$42*'6states,BAU'!A126)*(Parameters!$B$37/Parameters!$B$38*('6states,BAU'!F126+'6states,BAU'!I126)/Parameters!$E$25*(EXP(-Parameters!$B$38*Parameters!$E$25*'6states,BAU'!I126/('6states,BAU'!F126+'6states,BAU'!I126))-EXP(-Parameters!$B$38*Parameters!$E$25))  +  Parameters!$B$39*'6states,BAU'!F126)</f>
        <v>282.45646859218243</v>
      </c>
      <c r="M126" s="8">
        <f>M125+L126*Parameters!B$65</f>
        <v>19597.311189174095</v>
      </c>
      <c r="N126" s="7">
        <f>M126*Parameters!$B$45</f>
        <v>11.758386713504457</v>
      </c>
      <c r="O126" s="9">
        <f>EXP(-Parameters!$B$46/2*N126^2)</f>
        <v>0.24919749010025383</v>
      </c>
      <c r="P126" s="7">
        <f>MAX((Parameters!$B$62 + Parameters!$B$31*'6states,BAU'!A126 - '6states,BAU'!M126 + Parameters!$B$47/Parameters!$B$45)/Parameters!B$62,1)</f>
        <v>1</v>
      </c>
      <c r="Q126" s="8"/>
      <c r="R126" s="8"/>
      <c r="S126" s="7">
        <f>Parameters!B$61*EXP(-Parameters!B$60*A126)+(1-Parameters!B$61)*P126^-Parameters!B$63</f>
        <v>0.51855256581622444</v>
      </c>
      <c r="T126" s="7">
        <f>1-S126/Parameters!$B$12</f>
        <v>0.74072371709188778</v>
      </c>
      <c r="U126" s="7">
        <f t="shared" si="34"/>
        <v>3.8568896035677933</v>
      </c>
      <c r="V126" s="7">
        <f>(Parameters!$B$19*(F126+Parameters!$B$20)^T126+Parameters!$B$18*G126^T126)^(1/T126)</f>
        <v>0.58439348920963141</v>
      </c>
      <c r="W126" s="7">
        <f>(Parameters!$B$10*H126^Parameters!$B$9+Parameters!$B$11*V126^Parameters!$B$9)^(Parameters!$B$7/Parameters!$B$9)*O126</f>
        <v>0.38715305361706748</v>
      </c>
      <c r="X126" s="7">
        <f>W126 - D126 - E126 - LN(1+EXP(Parameters!$B$21*C126))/Parameters!$B$21 - IF(C126&gt;0, 0,Parameters!$B$6*C126^2/F126)</f>
        <v>1.5892614784399919E-2</v>
      </c>
      <c r="Y126" s="7">
        <f>EXP(-Parameters!$B$55*A126)</f>
        <v>0.15846841182596355</v>
      </c>
      <c r="Z126" s="7">
        <f>IF(X126&gt;0,X126^(1-Parameters!$B$52)/(1-Parameters!$B$52)*Y126*Parameters!$B$65,-10+X126*1000)</f>
        <v>-1.9295511079666574</v>
      </c>
      <c r="AC126" s="23">
        <f t="shared" si="35"/>
        <v>71.275829670687003</v>
      </c>
      <c r="AD126" s="23">
        <f t="shared" si="35"/>
        <v>2.8428199744706908</v>
      </c>
      <c r="AE126" s="23">
        <f t="shared" si="36"/>
        <v>0</v>
      </c>
      <c r="AF126" s="23">
        <f t="shared" si="37"/>
        <v>1050.5771464128056</v>
      </c>
      <c r="AG126" s="23">
        <f t="shared" si="38"/>
        <v>44.46140336233038</v>
      </c>
      <c r="AH126" s="23">
        <f t="shared" si="39"/>
        <v>688.36733034800238</v>
      </c>
      <c r="AI126" s="23">
        <f t="shared" si="40"/>
        <v>1694.1244077739946</v>
      </c>
      <c r="AJ126" s="23">
        <f t="shared" si="41"/>
        <v>456.03436532958818</v>
      </c>
      <c r="AK126" s="23">
        <f t="shared" si="42"/>
        <v>18.720189415837634</v>
      </c>
      <c r="AL126" s="9">
        <f t="shared" si="51"/>
        <v>-1.699075299977526E-2</v>
      </c>
      <c r="AM126" s="9">
        <f t="shared" si="51"/>
        <v>-0.66857163377288309</v>
      </c>
      <c r="AN126" s="9">
        <f t="shared" si="56"/>
        <v>-1.702135733082084E-2</v>
      </c>
      <c r="AO126" s="9" t="e">
        <f t="shared" si="56"/>
        <v>#NUM!</v>
      </c>
      <c r="AP126" s="23"/>
      <c r="AQ126" s="25">
        <f t="shared" si="32"/>
        <v>456.03436532958818</v>
      </c>
      <c r="AR126" s="4"/>
      <c r="AS126" s="4"/>
      <c r="AT126" s="4"/>
      <c r="AU126" s="16"/>
      <c r="AV126" s="16"/>
      <c r="AY126" s="21">
        <f>-Y126*W126*X126^(-Parameters!B$52)*Parameters!B$46*Parameters!B$45*N126</f>
        <v>-2.3329568697740654E-3</v>
      </c>
      <c r="AZ126" s="7">
        <f>1000*EXP(-(Parameters!$B$54)*'6states,BAU'!A126)*AQ126*Parameters!B$46*Parameters!B$45*N126</f>
        <v>0.89321660421243632</v>
      </c>
      <c r="BA126" s="93">
        <f>SUM(AZ126:AZ$204)*EXP(Parameters!$B$54*A126)</f>
        <v>1130.6025976381172</v>
      </c>
      <c r="BB126" s="43">
        <f t="shared" si="53"/>
        <v>0.95895004655269189</v>
      </c>
      <c r="BC126" s="30">
        <f>IF(C126&lt;0,Parameters!$B$6*AC126^2/AF126,0)</f>
        <v>0</v>
      </c>
      <c r="BD126" s="30">
        <f>Parameters!$B$5*AD126^2/AG126</f>
        <v>0.18176721371994842</v>
      </c>
      <c r="BE126" s="30">
        <f t="shared" si="43"/>
        <v>0</v>
      </c>
      <c r="BF126" s="30">
        <f t="shared" si="44"/>
        <v>6.3939051840168654E-2</v>
      </c>
      <c r="BH126" s="5"/>
      <c r="BI126" s="5"/>
      <c r="BJ126" s="5"/>
      <c r="BM126">
        <f>-EXP(-Parameters!B$42*'6states,BAU'!A126)*(-Parameters!B$37/Parameters!B$38/Parameters!E$25*(EXP(-Parameters!B$38*Parameters!E$25*'6states,BAU'!I126/('6states,BAU'!F126+'6states,BAU'!I126))-EXP(-Parameters!B$38*Parameters!E$25))+Parameters!B$37*'6states,BAU'!F126/('6states,BAU'!F126+'6states,BAU'!I126)*EXP(-Parameters!B$38*Parameters!E$25*'6states,BAU'!I126/('6states,BAU'!F126+'6states,BAU'!I126)))</f>
        <v>-1.7642146425120135</v>
      </c>
      <c r="BN126">
        <f>-J126*K126*EXP(-Parameters!B$42*'6states,BAU'!A126)*(-Parameters!B$37/Parameters!B$38/Parameters!E$25*(EXP(-Parameters!B$38*Parameters!E$25*'6states,BAU'!I126/('6states,BAU'!F126+'6states,BAU'!I126))-EXP(-Parameters!B$38*Parameters!E$25)) + Parameters!B$37*'6states,BAU'!F126/('6states,BAU'!F126+'6states,BAU'!I126)*EXP(-Parameters!B$38*Parameters!E$25*'6states,BAU'!I126/('6states,BAU'!F126+'6states,BAU'!I126)))</f>
        <v>-2078.0993389733253</v>
      </c>
      <c r="BO126" s="7">
        <f t="shared" si="33"/>
        <v>0</v>
      </c>
    </row>
    <row r="127" spans="1:67" x14ac:dyDescent="0.3">
      <c r="A127">
        <f>A126+Parameters!$B$65</f>
        <v>123</v>
      </c>
      <c r="B127">
        <v>2148</v>
      </c>
      <c r="C127" s="74">
        <v>6.0580315019249403E-2</v>
      </c>
      <c r="D127" s="69">
        <v>2.4097851793315802E-3</v>
      </c>
      <c r="E127" s="75">
        <v>0.30844229515827498</v>
      </c>
      <c r="F127" s="7">
        <f>MAX((1-Parameters!$B$4)^Parameters!B$65*F126 + C126*Parameters!B$65 - IF(C126&gt;0,Parameters!$B$5,0)*C126^2/F126*Parameters!B$65, 0.0001)</f>
        <v>0.89219829481043089</v>
      </c>
      <c r="G127" s="7">
        <f>(1-Parameters!$B$4)^Parameters!B$65*G126+D126*Parameters!B$65-Parameters!$B$5*D126^2/G126*Parameters!B$65</f>
        <v>3.7630677059531319E-2</v>
      </c>
      <c r="H127" s="7">
        <f>(1-Parameters!$B$4)^Parameters!B$65*H126+E126*Parameters!B$65-Parameters!$B$5*E126^2/H126*Parameters!B$65</f>
        <v>4.5525385393839972</v>
      </c>
      <c r="I127" s="7">
        <f>I126 *(1-Parameters!$B$4)-C126*(C126&lt;0)*Parameters!B$65</f>
        <v>0</v>
      </c>
      <c r="J127" s="23">
        <f>J126*(1+Parameters!$B$51)^Parameters!B$65</f>
        <v>11.65141872718973</v>
      </c>
      <c r="K127" s="23">
        <f>K126*(1+Parameters!$B$53)^Parameters!B$65</f>
        <v>103.41746186429923</v>
      </c>
      <c r="L127" s="23">
        <f>J127*K127*EXP(-Parameters!$B$42*'6states,BAU'!A127)*(Parameters!$B$37/Parameters!$B$38*('6states,BAU'!F127+'6states,BAU'!I127)/Parameters!$E$25*(EXP(-Parameters!$B$38*Parameters!$E$25*'6states,BAU'!I127/('6states,BAU'!F127+'6states,BAU'!I127))-EXP(-Parameters!$B$38*Parameters!$E$25))  +  Parameters!$B$39*'6states,BAU'!F127)</f>
        <v>286.16380703618938</v>
      </c>
      <c r="M127" s="8">
        <f>M126+L127*Parameters!B$65</f>
        <v>19883.474996210283</v>
      </c>
      <c r="N127" s="7">
        <f>M127*Parameters!$B$45</f>
        <v>11.930084997726169</v>
      </c>
      <c r="O127" s="9">
        <f>EXP(-Parameters!$B$46/2*N127^2)</f>
        <v>0.23921665606948792</v>
      </c>
      <c r="P127" s="7">
        <f>MAX((Parameters!$B$62 + Parameters!$B$31*'6states,BAU'!A127 - '6states,BAU'!M127 + Parameters!$B$47/Parameters!$B$45)/Parameters!B$62,1)</f>
        <v>1</v>
      </c>
      <c r="Q127" s="8"/>
      <c r="R127" s="8"/>
      <c r="S127" s="7">
        <f>Parameters!B$61*EXP(-Parameters!B$60*A127)+(1-Parameters!B$61)*P127^-Parameters!B$63</f>
        <v>0.51805834849634214</v>
      </c>
      <c r="T127" s="7">
        <f>1-S127/Parameters!$B$12</f>
        <v>0.74097082575182893</v>
      </c>
      <c r="U127" s="7">
        <f t="shared" si="34"/>
        <v>3.8605689992352694</v>
      </c>
      <c r="V127" s="7">
        <f>(Parameters!$B$19*(F127+Parameters!$B$20)^T127+Parameters!$B$18*G127^T127)^(1/T127)</f>
        <v>0.58457178254998776</v>
      </c>
      <c r="W127" s="7">
        <f>(Parameters!$B$10*H127^Parameters!$B$9+Parameters!$B$11*V127^Parameters!$B$9)^(Parameters!$B$7/Parameters!$B$9)*O127</f>
        <v>0.37167635200141697</v>
      </c>
      <c r="X127" s="7">
        <f>W127 - D127 - E127 - LN(1+EXP(Parameters!$B$21*C127))/Parameters!$B$21 - IF(C127&gt;0, 0,Parameters!$B$6*C127^2/F127)</f>
        <v>2.4395660190599383E-4</v>
      </c>
      <c r="Y127" s="7">
        <f>EXP(-Parameters!$B$55*A127)</f>
        <v>0.15609351440775748</v>
      </c>
      <c r="Z127" s="7">
        <f>IF(X127&gt;0,X127^(1-Parameters!$B$52)/(1-Parameters!$B$52)*Y127*Parameters!$B$65,-10+X127*1000)</f>
        <v>-8.1989344264686643</v>
      </c>
      <c r="AC127" s="23">
        <f t="shared" si="35"/>
        <v>72.996865586782945</v>
      </c>
      <c r="AD127" s="23">
        <f t="shared" si="35"/>
        <v>2.9036951156954962</v>
      </c>
      <c r="AE127" s="23">
        <f t="shared" si="36"/>
        <v>0</v>
      </c>
      <c r="AF127" s="23">
        <f t="shared" si="37"/>
        <v>1075.0633928255347</v>
      </c>
      <c r="AG127" s="23">
        <f t="shared" si="38"/>
        <v>45.343466345155342</v>
      </c>
      <c r="AH127" s="23">
        <f t="shared" si="39"/>
        <v>704.3857038886074</v>
      </c>
      <c r="AI127" s="23">
        <f t="shared" si="40"/>
        <v>1733.546844591647</v>
      </c>
      <c r="AJ127" s="23">
        <f t="shared" si="41"/>
        <v>447.8551935593652</v>
      </c>
      <c r="AK127" s="23">
        <f t="shared" si="42"/>
        <v>0.2939579840857815</v>
      </c>
      <c r="AL127" s="9">
        <f t="shared" si="51"/>
        <v>-1.809821773644682E-2</v>
      </c>
      <c r="AM127" s="9">
        <f t="shared" si="51"/>
        <v>-4.1539210224947469</v>
      </c>
      <c r="AN127" s="9">
        <f t="shared" si="56"/>
        <v>-1.8129381741362315E-2</v>
      </c>
      <c r="AO127" s="9" t="e">
        <f t="shared" si="56"/>
        <v>#NUM!</v>
      </c>
      <c r="AP127" s="23"/>
      <c r="AQ127" s="25">
        <f t="shared" si="32"/>
        <v>447.85519355936515</v>
      </c>
      <c r="AR127" s="4"/>
      <c r="AS127" s="4"/>
      <c r="AT127" s="4"/>
      <c r="AU127" s="16"/>
      <c r="AV127" s="16"/>
      <c r="AY127" s="21">
        <f>-Y127*W127*X127^(-Parameters!B$52)*Parameters!B$46*Parameters!B$45*N127</f>
        <v>-0.62902608792208758</v>
      </c>
      <c r="AZ127" s="7">
        <f>1000*EXP(-(Parameters!$B$54)*'6states,BAU'!A127)*AQ127*Parameters!B$46*Parameters!B$45*N127</f>
        <v>0.85930807683250843</v>
      </c>
      <c r="BA127" s="93">
        <f>SUM(AZ127:AZ$204)*EXP(Parameters!$B$54*A127)</f>
        <v>1104.0127816808449</v>
      </c>
      <c r="BB127" s="43">
        <f t="shared" si="53"/>
        <v>0.99934363151368832</v>
      </c>
      <c r="BC127" s="30">
        <f>IF(C127&lt;0,Parameters!$B$6*AC127^2/AF127,0)</f>
        <v>0</v>
      </c>
      <c r="BD127" s="30">
        <f>Parameters!$B$5*AD127^2/AG127</f>
        <v>0.18594620139390217</v>
      </c>
      <c r="BE127" s="30">
        <f t="shared" si="43"/>
        <v>0</v>
      </c>
      <c r="BF127" s="30">
        <f t="shared" si="44"/>
        <v>6.4037784266260375E-2</v>
      </c>
      <c r="BH127" s="5"/>
      <c r="BI127" s="5"/>
      <c r="BJ127" s="5"/>
      <c r="BM127">
        <f>-EXP(-Parameters!B$42*'6states,BAU'!A127)*(-Parameters!B$37/Parameters!B$38/Parameters!E$25*(EXP(-Parameters!B$38*Parameters!E$25*'6states,BAU'!I127/('6states,BAU'!F127+'6states,BAU'!I127))-EXP(-Parameters!B$38*Parameters!E$25))+Parameters!B$37*'6states,BAU'!F127/('6states,BAU'!F127+'6states,BAU'!I127)*EXP(-Parameters!B$38*Parameters!E$25*'6states,BAU'!I127/('6states,BAU'!F127+'6states,BAU'!I127)))</f>
        <v>-1.7466604135168671</v>
      </c>
      <c r="BN127">
        <f>-J127*K127*EXP(-Parameters!B$42*'6states,BAU'!A127)*(-Parameters!B$37/Parameters!B$38/Parameters!E$25*(EXP(-Parameters!B$38*Parameters!E$25*'6states,BAU'!I127/('6states,BAU'!F127+'6states,BAU'!I127))-EXP(-Parameters!B$38*Parameters!E$25)) + Parameters!B$37*'6states,BAU'!F127/('6states,BAU'!F127+'6states,BAU'!I127)*EXP(-Parameters!B$38*Parameters!E$25*'6states,BAU'!I127/('6states,BAU'!F127+'6states,BAU'!I127)))</f>
        <v>-2104.6561971612741</v>
      </c>
      <c r="BO127" s="7">
        <f t="shared" si="33"/>
        <v>0</v>
      </c>
    </row>
    <row r="128" spans="1:67" x14ac:dyDescent="0.3">
      <c r="A128">
        <f>A127+Parameters!$B$65</f>
        <v>124</v>
      </c>
      <c r="B128">
        <v>2149</v>
      </c>
      <c r="C128" s="74">
        <v>6.0618925364763501E-2</v>
      </c>
      <c r="D128" s="69">
        <v>2.4062931042262998E-3</v>
      </c>
      <c r="E128" s="75">
        <v>0.30863339680352098</v>
      </c>
      <c r="F128" s="7">
        <f>MAX((1-Parameters!$B$4)^Parameters!B$65*F127 + C127*Parameters!B$65 - IF(C127&gt;0,Parameters!$B$5,0)*C127^2/F127*Parameters!B$65, 0.0001)</f>
        <v>0.89254593024686424</v>
      </c>
      <c r="G128" s="7">
        <f>(1-Parameters!$B$4)^Parameters!B$65*G127+D127*Parameters!B$65-Parameters!$B$5*D127^2/G127*Parameters!B$65</f>
        <v>3.7519175348376316E-2</v>
      </c>
      <c r="H128" s="7">
        <f>(1-Parameters!$B$4)^Parameters!B$65*H127+E127*Parameters!B$65-Parameters!$B$5*E127^2/H127*Parameters!B$65</f>
        <v>4.5537286658371094</v>
      </c>
      <c r="I128" s="7">
        <f>I127 *(1-Parameters!$B$4)-C127*(C127&lt;0)*Parameters!B$65</f>
        <v>0</v>
      </c>
      <c r="J128" s="23">
        <f>J127*(1+Parameters!$B$51)^Parameters!B$65</f>
        <v>11.685207841498579</v>
      </c>
      <c r="K128" s="23">
        <f>K127*(1+Parameters!$B$53)^Parameters!B$65</f>
        <v>105.48581110158521</v>
      </c>
      <c r="L128" s="23">
        <f>J128*K128*EXP(-Parameters!$B$42*'6states,BAU'!A128)*(Parameters!$B$37/Parameters!$B$38*('6states,BAU'!F128+'6states,BAU'!I128)/Parameters!$E$25*(EXP(-Parameters!$B$38*Parameters!$E$25*'6states,BAU'!I128/('6states,BAU'!F128+'6states,BAU'!I128))-EXP(-Parameters!$B$38*Parameters!$E$25))  +  Parameters!$B$39*'6states,BAU'!F128)</f>
        <v>289.93373372151751</v>
      </c>
      <c r="M128" s="8">
        <f>M127+L128*Parameters!B$65</f>
        <v>20173.408729931802</v>
      </c>
      <c r="N128" s="7">
        <f>M128*Parameters!$B$45</f>
        <v>12.104045237959079</v>
      </c>
      <c r="O128" s="9">
        <f>EXP(-Parameters!$B$46/2*N128^2)</f>
        <v>0.22937329194055231</v>
      </c>
      <c r="P128" s="7">
        <f>MAX((Parameters!$B$62 + Parameters!$B$31*'6states,BAU'!A128 - '6states,BAU'!M128 + Parameters!$B$47/Parameters!$B$45)/Parameters!B$62,1)</f>
        <v>1</v>
      </c>
      <c r="Q128" s="8"/>
      <c r="R128" s="8"/>
      <c r="S128" s="7">
        <f>Parameters!B$61*EXP(-Parameters!B$60*A128)+(1-Parameters!B$61)*P128^-Parameters!B$63</f>
        <v>0.51757729651227868</v>
      </c>
      <c r="T128" s="7">
        <f>1-S128/Parameters!$B$12</f>
        <v>0.74121135174386066</v>
      </c>
      <c r="U128" s="7">
        <f t="shared" si="34"/>
        <v>3.8641571287556529</v>
      </c>
      <c r="V128" s="7">
        <f>(Parameters!$B$19*(F128+Parameters!$B$20)^T128+Parameters!$B$18*G128^T128)^(1/T128)</f>
        <v>0.58477750294437747</v>
      </c>
      <c r="W128" s="7">
        <f>(Parameters!$B$10*H128^Parameters!$B$9+Parameters!$B$11*V128^Parameters!$B$9)^(Parameters!$B$7/Parameters!$B$9)*O128</f>
        <v>0.3564120935925818</v>
      </c>
      <c r="X128" s="7">
        <f>W128 - D128 - E128 - LN(1+EXP(Parameters!$B$21*C128))/Parameters!$B$21 - IF(C128&gt;0, 0,Parameters!$B$6*C128^2/F128)</f>
        <v>-1.5246521722092732E-2</v>
      </c>
      <c r="Y128" s="7">
        <f>EXP(-Parameters!$B$55*A128)</f>
        <v>0.15375420854803312</v>
      </c>
      <c r="Z128" s="7">
        <f>IF(X128&gt;0,X128^(1-Parameters!$B$52)/(1-Parameters!$B$52)*Y128*Parameters!$B$65,-10+X128*1000)</f>
        <v>-25.24652172209273</v>
      </c>
      <c r="AC128" s="23">
        <f t="shared" si="35"/>
        <v>74.720319651053586</v>
      </c>
      <c r="AD128" s="23">
        <f t="shared" si="35"/>
        <v>2.9660537338794275</v>
      </c>
      <c r="AE128" s="23">
        <f t="shared" si="36"/>
        <v>0</v>
      </c>
      <c r="AF128" s="23">
        <f t="shared" si="37"/>
        <v>1100.1732018505713</v>
      </c>
      <c r="AG128" s="23">
        <f t="shared" si="38"/>
        <v>46.247022001881135</v>
      </c>
      <c r="AH128" s="23">
        <f t="shared" si="39"/>
        <v>720.81056669717304</v>
      </c>
      <c r="AI128" s="23">
        <f t="shared" si="40"/>
        <v>1773.9696824451855</v>
      </c>
      <c r="AJ128" s="23">
        <f t="shared" si="41"/>
        <v>439.32196752895766</v>
      </c>
      <c r="AK128" s="23">
        <f t="shared" si="42"/>
        <v>-18.793222904999045</v>
      </c>
      <c r="AL128" s="9">
        <f t="shared" si="51"/>
        <v>-1.9237396014933239E-2</v>
      </c>
      <c r="AM128" s="9" t="e">
        <f t="shared" si="51"/>
        <v>#NUM!</v>
      </c>
      <c r="AN128" s="9">
        <f t="shared" si="56"/>
        <v>-1.9267784601733062E-2</v>
      </c>
      <c r="AO128" s="9" t="e">
        <f t="shared" si="56"/>
        <v>#NUM!</v>
      </c>
      <c r="AP128" s="23"/>
      <c r="AQ128" s="25">
        <f t="shared" si="32"/>
        <v>439.32196752895771</v>
      </c>
      <c r="AR128" s="4"/>
      <c r="AS128" s="4"/>
      <c r="AT128" s="4"/>
      <c r="AU128" s="16"/>
      <c r="AV128" s="16"/>
      <c r="AY128" s="21" t="e">
        <f>-Y128*W128*X128^(-Parameters!B$52)*Parameters!B$46*Parameters!B$45*N128</f>
        <v>#NUM!</v>
      </c>
      <c r="AZ128" s="7">
        <f>1000*EXP(-(Parameters!$B$54)*'6states,BAU'!A128)*AQ128*Parameters!B$46*Parameters!B$45*N128</f>
        <v>0.82572885812625663</v>
      </c>
      <c r="BA128" s="93">
        <f>SUM(AZ128:AZ$204)*EXP(Parameters!$B$54*A128)</f>
        <v>1076.7138871762763</v>
      </c>
      <c r="BB128" s="43">
        <f t="shared" si="53"/>
        <v>1.0427777899628665</v>
      </c>
      <c r="BC128" s="30">
        <f>IF(C128&lt;0,Parameters!$B$6*AC128^2/AF128,0)</f>
        <v>0</v>
      </c>
      <c r="BD128" s="30">
        <f>Parameters!$B$5*AD128^2/AG128</f>
        <v>0.19022791893286123</v>
      </c>
      <c r="BE128" s="30">
        <f t="shared" si="43"/>
        <v>0</v>
      </c>
      <c r="BF128" s="30">
        <f t="shared" si="44"/>
        <v>6.4135021142740417E-2</v>
      </c>
      <c r="BH128" s="5"/>
      <c r="BI128" s="5"/>
      <c r="BJ128" s="5"/>
      <c r="BM128">
        <f>-EXP(-Parameters!B$42*'6states,BAU'!A128)*(-Parameters!B$37/Parameters!B$38/Parameters!E$25*(EXP(-Parameters!B$38*Parameters!E$25*'6states,BAU'!I128/('6states,BAU'!F128+'6states,BAU'!I128))-EXP(-Parameters!B$38*Parameters!E$25))+Parameters!B$37*'6states,BAU'!F128/('6states,BAU'!F128+'6states,BAU'!I128)*EXP(-Parameters!B$38*Parameters!E$25*'6states,BAU'!I128/('6states,BAU'!F128+'6states,BAU'!I128)))</f>
        <v>-1.7292808520186271</v>
      </c>
      <c r="BN128">
        <f>-J128*K128*EXP(-Parameters!B$42*'6states,BAU'!A128)*(-Parameters!B$37/Parameters!B$38/Parameters!E$25*(EXP(-Parameters!B$38*Parameters!E$25*'6states,BAU'!I128/('6states,BAU'!F128+'6states,BAU'!I128))-EXP(-Parameters!B$38*Parameters!E$25)) + Parameters!B$37*'6states,BAU'!F128/('6states,BAU'!F128+'6states,BAU'!I128)*EXP(-Parameters!B$38*Parameters!E$25*'6states,BAU'!I128/('6states,BAU'!F128+'6states,BAU'!I128)))</f>
        <v>-2131.552436005185</v>
      </c>
      <c r="BO128" s="7">
        <f t="shared" si="33"/>
        <v>0</v>
      </c>
    </row>
    <row r="129" spans="1:67" x14ac:dyDescent="0.3">
      <c r="A129">
        <f>A128+Parameters!$B$65</f>
        <v>125</v>
      </c>
      <c r="B129">
        <v>2150</v>
      </c>
      <c r="C129" s="74">
        <v>6.0665331041770201E-2</v>
      </c>
      <c r="D129" s="69">
        <v>2.4043963380333401E-3</v>
      </c>
      <c r="E129" s="75">
        <v>0.30883961775576402</v>
      </c>
      <c r="F129" s="7">
        <f>MAX((1-Parameters!$B$4)^Parameters!B$65*F128 + C128*Parameters!B$65 - IF(C128&gt;0,Parameters!$B$5,0)*C128^2/F128*Parameters!B$65, 0.0001)</f>
        <v>0.89290666896283732</v>
      </c>
      <c r="G129" s="7">
        <f>(1-Parameters!$B$4)^Parameters!B$65*G128+D128*Parameters!B$65-Parameters!$B$5*D128^2/G128*Parameters!B$65</f>
        <v>3.7411184664074566E-2</v>
      </c>
      <c r="H129" s="7">
        <f>(1-Parameters!$B$4)^Parameters!B$65*H128+E128*Parameters!B$65-Parameters!$B$5*E128^2/H128*Parameters!B$65</f>
        <v>4.5550146004046068</v>
      </c>
      <c r="I129" s="7">
        <f>I128 *(1-Parameters!$B$4)-C128*(C128&lt;0)*Parameters!B$65</f>
        <v>0</v>
      </c>
      <c r="J129" s="23">
        <f>J128*(1+Parameters!$B$51)^Parameters!B$65</f>
        <v>11.719094944238924</v>
      </c>
      <c r="K129" s="23">
        <f>K128*(1+Parameters!$B$53)^Parameters!B$65</f>
        <v>107.59552732361692</v>
      </c>
      <c r="L129" s="23">
        <f>J129*K129*EXP(-Parameters!$B$42*'6states,BAU'!A129)*(Parameters!$B$37/Parameters!$B$38*('6states,BAU'!F129+'6states,BAU'!I129)/Parameters!$E$25*(EXP(-Parameters!$B$38*Parameters!$E$25*'6states,BAU'!I129/('6states,BAU'!F129+'6states,BAU'!I129))-EXP(-Parameters!$B$38*Parameters!$E$25))  +  Parameters!$B$39*'6states,BAU'!F129)</f>
        <v>293.75759177154833</v>
      </c>
      <c r="M129" s="8">
        <f>M128+L129*Parameters!B$65</f>
        <v>20467.166321703349</v>
      </c>
      <c r="N129" s="7">
        <f>M129*Parameters!$B$45</f>
        <v>12.280299793022008</v>
      </c>
      <c r="O129" s="9">
        <f>EXP(-Parameters!$B$46/2*N129^2)</f>
        <v>0.21967679681373542</v>
      </c>
      <c r="P129" s="7">
        <f>MAX((Parameters!$B$62 + Parameters!$B$31*'6states,BAU'!A129 - '6states,BAU'!M129 + Parameters!$B$47/Parameters!$B$45)/Parameters!B$62,1)</f>
        <v>1</v>
      </c>
      <c r="Q129" s="8"/>
      <c r="R129" s="8"/>
      <c r="S129" s="7">
        <f>Parameters!B$61*EXP(-Parameters!B$60*A129)+(1-Parameters!B$61)*P129^-Parameters!B$63</f>
        <v>0.51710905915583305</v>
      </c>
      <c r="T129" s="7">
        <f>1-S129/Parameters!$B$12</f>
        <v>0.74144547042208342</v>
      </c>
      <c r="U129" s="7">
        <f t="shared" si="34"/>
        <v>3.8676560864451823</v>
      </c>
      <c r="V129" s="7">
        <f>(Parameters!$B$19*(F129+Parameters!$B$20)^T129+Parameters!$B$18*G129^T129)^(1/T129)</f>
        <v>0.58499205588997893</v>
      </c>
      <c r="W129" s="7">
        <f>(Parameters!$B$10*H129^Parameters!$B$9+Parameters!$B$11*V129^Parameters!$B$9)^(Parameters!$B$7/Parameters!$B$9)*O129</f>
        <v>0.34137557049182665</v>
      </c>
      <c r="X129" s="7">
        <f>W129 - D129 - E129 - LN(1+EXP(Parameters!$B$21*C129))/Parameters!$B$21 - IF(C129&gt;0, 0,Parameters!$B$6*C129^2/F129)</f>
        <v>-3.053377468532175E-2</v>
      </c>
      <c r="Y129" s="7">
        <f>EXP(-Parameters!$B$55*A129)</f>
        <v>0.15144996085152654</v>
      </c>
      <c r="Z129" s="7">
        <f>IF(X129&gt;0,X129^(1-Parameters!$B$52)/(1-Parameters!$B$52)*Y129*Parameters!$B$65,-10+X129*1000)</f>
        <v>-40.533774685321745</v>
      </c>
      <c r="AC129" s="23">
        <f t="shared" si="35"/>
        <v>76.494262697959272</v>
      </c>
      <c r="AD129" s="23">
        <f t="shared" si="35"/>
        <v>3.0317567209003862</v>
      </c>
      <c r="AE129" s="23">
        <f t="shared" si="36"/>
        <v>0</v>
      </c>
      <c r="AF129" s="23">
        <f t="shared" si="37"/>
        <v>1125.885841674128</v>
      </c>
      <c r="AG129" s="23">
        <f t="shared" si="38"/>
        <v>47.172593281740717</v>
      </c>
      <c r="AH129" s="23">
        <f t="shared" si="39"/>
        <v>737.62947025965116</v>
      </c>
      <c r="AI129" s="23">
        <f t="shared" si="40"/>
        <v>1815.3622845937889</v>
      </c>
      <c r="AJ129" s="23">
        <f t="shared" si="41"/>
        <v>430.4480354667084</v>
      </c>
      <c r="AK129" s="23">
        <f t="shared" si="42"/>
        <v>-38.500714359097756</v>
      </c>
      <c r="AL129" s="9">
        <f t="shared" si="51"/>
        <v>-2.0405946300621203E-2</v>
      </c>
      <c r="AM129" s="9" t="e">
        <f t="shared" si="51"/>
        <v>#NUM!</v>
      </c>
      <c r="AN129" s="9">
        <f t="shared" si="56"/>
        <v>-2.0437145626182131E-2</v>
      </c>
      <c r="AO129" s="9" t="e">
        <f t="shared" si="56"/>
        <v>#NUM!</v>
      </c>
      <c r="AP129" s="23"/>
      <c r="AQ129" s="25">
        <f t="shared" si="32"/>
        <v>430.4480354667084</v>
      </c>
      <c r="AR129" s="4"/>
      <c r="AS129" s="4"/>
      <c r="AT129" s="4"/>
      <c r="AU129" s="16"/>
      <c r="AV129" s="16"/>
      <c r="AY129" s="21" t="e">
        <f>-Y129*W129*X129^(-Parameters!B$52)*Parameters!B$46*Parameters!B$45*N129</f>
        <v>#NUM!</v>
      </c>
      <c r="AZ129" s="7">
        <f>1000*EXP(-(Parameters!$B$54)*'6states,BAU'!A129)*AQ129*Parameters!B$46*Parameters!B$45*N129</f>
        <v>0.79251951972841206</v>
      </c>
      <c r="BA129" s="93">
        <f>SUM(AZ129:AZ$204)*EXP(Parameters!$B$54*A129)</f>
        <v>1048.7567732934308</v>
      </c>
      <c r="BB129" s="43">
        <f t="shared" si="53"/>
        <v>1.0894433500316096</v>
      </c>
      <c r="BC129" s="30">
        <f>IF(C129&lt;0,Parameters!$B$6*AC129^2/AF129,0)</f>
        <v>0</v>
      </c>
      <c r="BD129" s="30">
        <f>Parameters!$B$5*AD129^2/AG129</f>
        <v>0.19484934313082319</v>
      </c>
      <c r="BE129" s="30">
        <f t="shared" si="43"/>
        <v>0</v>
      </c>
      <c r="BF129" s="30">
        <f t="shared" si="44"/>
        <v>6.426945202679582E-2</v>
      </c>
      <c r="BH129" s="5"/>
      <c r="BI129" s="5"/>
      <c r="BJ129" s="5"/>
      <c r="BM129">
        <f>-EXP(-Parameters!B$42*'6states,BAU'!A129)*(-Parameters!B$37/Parameters!B$38/Parameters!E$25*(EXP(-Parameters!B$38*Parameters!E$25*'6states,BAU'!I129/('6states,BAU'!F129+'6states,BAU'!I129))-EXP(-Parameters!B$38*Parameters!E$25))+Parameters!B$37*'6states,BAU'!F129/('6states,BAU'!F129+'6states,BAU'!I129)*EXP(-Parameters!B$38*Parameters!E$25*'6states,BAU'!I129/('6states,BAU'!F129+'6states,BAU'!I129)))</f>
        <v>-1.7120742200466617</v>
      </c>
      <c r="BN129">
        <f>-J129*K129*EXP(-Parameters!B$42*'6states,BAU'!A129)*(-Parameters!B$37/Parameters!B$38/Parameters!E$25*(EXP(-Parameters!B$38*Parameters!E$25*'6states,BAU'!I129/('6states,BAU'!F129+'6states,BAU'!I129))-EXP(-Parameters!B$38*Parameters!E$25)) + Parameters!B$37*'6states,BAU'!F129/('6states,BAU'!F129+'6states,BAU'!I129)*EXP(-Parameters!B$38*Parameters!E$25*'6states,BAU'!I129/('6states,BAU'!F129+'6states,BAU'!I129)))</f>
        <v>-2158.7923925854766</v>
      </c>
      <c r="BO129" s="7">
        <f t="shared" si="33"/>
        <v>0</v>
      </c>
    </row>
    <row r="130" spans="1:67" x14ac:dyDescent="0.3">
      <c r="A130">
        <f>A129+Parameters!$B$65</f>
        <v>126</v>
      </c>
      <c r="B130">
        <v>2151</v>
      </c>
      <c r="C130" s="74">
        <v>6.0694864764190899E-2</v>
      </c>
      <c r="D130" s="69">
        <v>2.4018142889438701E-3</v>
      </c>
      <c r="E130" s="75">
        <v>0.30913067205577299</v>
      </c>
      <c r="F130" s="7">
        <f>MAX((1-Parameters!$B$4)^Parameters!B$65*F129 + C129*Parameters!B$65 - IF(C129&gt;0,Parameters!$B$5,0)*C129^2/F129*Parameters!B$65, 0.0001)</f>
        <v>0.89328648287646339</v>
      </c>
      <c r="G130" s="7">
        <f>(1-Parameters!$B$4)^Parameters!B$65*G129+D129*Parameters!B$65-Parameters!$B$5*D129^2/G129*Parameters!B$65</f>
        <v>3.7307888251636986E-2</v>
      </c>
      <c r="H130" s="7">
        <f>(1-Parameters!$B$4)^Parameters!B$65*H129+E129*Parameters!B$65-Parameters!$B$5*E129^2/H129*Parameters!B$65</f>
        <v>4.556403820922613</v>
      </c>
      <c r="I130" s="7">
        <f>I129 *(1-Parameters!$B$4)-C129*(C129&lt;0)*Parameters!B$65</f>
        <v>0</v>
      </c>
      <c r="J130" s="23">
        <f>J129*(1+Parameters!$B$51)^Parameters!B$65</f>
        <v>11.753080319577215</v>
      </c>
      <c r="K130" s="23">
        <f>K129*(1+Parameters!$B$53)^Parameters!B$65</f>
        <v>109.74743787008926</v>
      </c>
      <c r="L130" s="23">
        <f>J130*K130*EXP(-Parameters!$B$42*'6states,BAU'!A130)*(Parameters!$B$37/Parameters!$B$38*('6states,BAU'!F130+'6states,BAU'!I130)/Parameters!$E$25*(EXP(-Parameters!$B$38*Parameters!$E$25*'6states,BAU'!I130/('6states,BAU'!F130+'6states,BAU'!I130))-EXP(-Parameters!$B$38*Parameters!$E$25))  +  Parameters!$B$39*'6states,BAU'!F130)</f>
        <v>297.63818882960118</v>
      </c>
      <c r="M130" s="8">
        <f>M129+L130*Parameters!B$65</f>
        <v>20764.804510532951</v>
      </c>
      <c r="N130" s="7">
        <f>M130*Parameters!$B$45</f>
        <v>12.45888270631977</v>
      </c>
      <c r="O130" s="9">
        <f>EXP(-Parameters!$B$46/2*N130^2)</f>
        <v>0.21013632949748615</v>
      </c>
      <c r="P130" s="7">
        <f>MAX((Parameters!$B$62 + Parameters!$B$31*'6states,BAU'!A130 - '6states,BAU'!M130 + Parameters!$B$47/Parameters!$B$45)/Parameters!B$62,1)</f>
        <v>1</v>
      </c>
      <c r="Q130" s="8"/>
      <c r="R130" s="8"/>
      <c r="S130" s="7">
        <f>Parameters!B$61*EXP(-Parameters!B$60*A130)+(1-Parameters!B$61)*P130^-Parameters!B$63</f>
        <v>0.51665329506123492</v>
      </c>
      <c r="T130" s="7">
        <f>1-S130/Parameters!$B$12</f>
        <v>0.7416733524693826</v>
      </c>
      <c r="U130" s="7">
        <f t="shared" si="34"/>
        <v>3.8710679272121085</v>
      </c>
      <c r="V130" s="7">
        <f>(Parameters!$B$19*(F130+Parameters!$B$20)^T130+Parameters!$B$18*G130^T130)^(1/T130)</f>
        <v>0.58521993041438281</v>
      </c>
      <c r="W130" s="7">
        <f>(Parameters!$B$10*H130^Parameters!$B$9+Parameters!$B$11*V130^Parameters!$B$9)^(Parameters!$B$7/Parameters!$B$9)*O130</f>
        <v>0.32658106756302235</v>
      </c>
      <c r="X130" s="7">
        <f>W130 - D130 - E130 - LN(1+EXP(Parameters!$B$21*C130))/Parameters!$B$21 - IF(C130&gt;0, 0,Parameters!$B$6*C130^2/F130)</f>
        <v>-4.5646283587099462E-2</v>
      </c>
      <c r="Y130" s="7">
        <f>EXP(-Parameters!$B$55*A130)</f>
        <v>0.14918024591673743</v>
      </c>
      <c r="Z130" s="7">
        <f>IF(X130&gt;0,X130^(1-Parameters!$B$52)/(1-Parameters!$B$52)*Y130*Parameters!$B$65,-10+X130*1000)</f>
        <v>-55.646283587099461</v>
      </c>
      <c r="AC130" s="23">
        <f t="shared" si="35"/>
        <v>78.288512656871617</v>
      </c>
      <c r="AD130" s="23">
        <f t="shared" si="35"/>
        <v>3.0980292828722953</v>
      </c>
      <c r="AE130" s="23">
        <f t="shared" si="36"/>
        <v>0</v>
      </c>
      <c r="AF130" s="23">
        <f t="shared" si="37"/>
        <v>1152.2238395717859</v>
      </c>
      <c r="AG130" s="23">
        <f t="shared" si="38"/>
        <v>48.122342688086064</v>
      </c>
      <c r="AH130" s="23">
        <f t="shared" si="39"/>
        <v>754.85789625369955</v>
      </c>
      <c r="AI130" s="23">
        <f t="shared" si="40"/>
        <v>1857.7627526248471</v>
      </c>
      <c r="AJ130" s="23">
        <f t="shared" si="41"/>
        <v>421.24726928276823</v>
      </c>
      <c r="AK130" s="23">
        <f t="shared" si="42"/>
        <v>-58.877792449685927</v>
      </c>
      <c r="AL130" s="9">
        <f t="shared" si="51"/>
        <v>-2.1606609956888789E-2</v>
      </c>
      <c r="AM130" s="9" t="e">
        <f t="shared" si="51"/>
        <v>#NUM!</v>
      </c>
      <c r="AN130" s="9">
        <f t="shared" si="56"/>
        <v>-2.1637505089043961E-2</v>
      </c>
      <c r="AO130" s="9" t="e">
        <f t="shared" si="56"/>
        <v>#NUM!</v>
      </c>
      <c r="AP130" s="23"/>
      <c r="AQ130" s="25">
        <f t="shared" si="32"/>
        <v>421.24726928276817</v>
      </c>
      <c r="AR130" s="4"/>
      <c r="AS130" s="4"/>
      <c r="AT130" s="4"/>
      <c r="AU130" s="16"/>
      <c r="AV130" s="16"/>
      <c r="AY130" s="21" t="e">
        <f>-Y130*W130*X130^(-Parameters!B$52)*Parameters!B$46*Parameters!B$45*N130</f>
        <v>#NUM!</v>
      </c>
      <c r="AZ130" s="7">
        <f>1000*EXP(-(Parameters!$B$54)*'6states,BAU'!A130)*AQ130*Parameters!B$46*Parameters!B$45*N130</f>
        <v>0.75971854520187798</v>
      </c>
      <c r="BA130" s="93">
        <f>SUM(AZ130:AZ$204)*EXP(Parameters!$B$54*A130)</f>
        <v>1020.1949258479184</v>
      </c>
      <c r="BB130" s="43">
        <f t="shared" si="53"/>
        <v>1.1397701461585086</v>
      </c>
      <c r="BC130" s="30">
        <f>IF(C130&lt;0,Parameters!$B$6*AC130^2/AF130,0)</f>
        <v>0</v>
      </c>
      <c r="BD130" s="30">
        <f>Parameters!$B$5*AD130^2/AG130</f>
        <v>0.19944551535539454</v>
      </c>
      <c r="BE130" s="30">
        <f t="shared" si="43"/>
        <v>0</v>
      </c>
      <c r="BF130" s="30">
        <f t="shared" si="44"/>
        <v>6.4378189211459408E-2</v>
      </c>
      <c r="BH130" s="5"/>
      <c r="BI130" s="5"/>
      <c r="BJ130" s="5"/>
      <c r="BM130">
        <f>-EXP(-Parameters!B$42*'6states,BAU'!A130)*(-Parameters!B$37/Parameters!B$38/Parameters!E$25*(EXP(-Parameters!B$38*Parameters!E$25*'6states,BAU'!I130/('6states,BAU'!F130+'6states,BAU'!I130))-EXP(-Parameters!B$38*Parameters!E$25))+Parameters!B$37*'6states,BAU'!F130/('6states,BAU'!F130+'6states,BAU'!I130)*EXP(-Parameters!B$38*Parameters!E$25*'6states,BAU'!I130/('6states,BAU'!F130+'6states,BAU'!I130)))</f>
        <v>-1.6950387969234342</v>
      </c>
      <c r="BN130">
        <f>-J130*K130*EXP(-Parameters!B$42*'6states,BAU'!A130)*(-Parameters!B$37/Parameters!B$38/Parameters!E$25*(EXP(-Parameters!B$38*Parameters!E$25*'6states,BAU'!I130/('6states,BAU'!F130+'6states,BAU'!I130))-EXP(-Parameters!B$38*Parameters!E$25)) + Parameters!B$37*'6states,BAU'!F130/('6states,BAU'!F130+'6states,BAU'!I130)*EXP(-Parameters!B$38*Parameters!E$25*'6states,BAU'!I130/('6states,BAU'!F130+'6states,BAU'!I130)))</f>
        <v>-2186.3804594078451</v>
      </c>
      <c r="BO130" s="7">
        <f t="shared" si="33"/>
        <v>0</v>
      </c>
    </row>
    <row r="131" spans="1:67" x14ac:dyDescent="0.3">
      <c r="A131">
        <f>A130+Parameters!$B$65</f>
        <v>127</v>
      </c>
      <c r="B131">
        <v>2152</v>
      </c>
      <c r="C131" s="74">
        <v>6.07070069807394E-2</v>
      </c>
      <c r="D131" s="69">
        <v>2.3979374610114501E-3</v>
      </c>
      <c r="E131" s="75">
        <v>0.30948729653205098</v>
      </c>
      <c r="F131" s="7">
        <f>MAX((1-Parameters!$B$4)^Parameters!B$65*F130 + C130*Parameters!B$65 - IF(C130&gt;0,Parameters!$B$5,0)*C130^2/F130*Parameters!B$65, 0.0001)</f>
        <v>0.8936696803107429</v>
      </c>
      <c r="G131" s="7">
        <f>(1-Parameters!$B$4)^Parameters!B$65*G130+D130*Parameters!B$65-Parameters!$B$5*D130^2/G130*Parameters!B$65</f>
        <v>3.7208411914808476E-2</v>
      </c>
      <c r="H131" s="7">
        <f>(1-Parameters!$B$4)^Parameters!B$65*H130+E130*Parameters!B$65-Parameters!$B$5*E130^2/H130*Parameters!B$65</f>
        <v>4.5579636234936443</v>
      </c>
      <c r="I131" s="7">
        <f>I130 *(1-Parameters!$B$4)-C130*(C130&lt;0)*Parameters!B$65</f>
        <v>0</v>
      </c>
      <c r="J131" s="23">
        <f>J130*(1+Parameters!$B$51)^Parameters!B$65</f>
        <v>11.787164252503988</v>
      </c>
      <c r="K131" s="23">
        <f>K130*(1+Parameters!$B$53)^Parameters!B$65</f>
        <v>111.94238662749105</v>
      </c>
      <c r="L131" s="23">
        <f>J131*K131*EXP(-Parameters!$B$42*'6states,BAU'!A131)*(Parameters!$B$37/Parameters!$B$38*('6states,BAU'!F131+'6states,BAU'!I131)/Parameters!$E$25*(EXP(-Parameters!$B$38*Parameters!$E$25*'6states,BAU'!I131/('6states,BAU'!F131+'6states,BAU'!I131))-EXP(-Parameters!$B$38*Parameters!$E$25))  +  Parameters!$B$39*'6states,BAU'!F131)</f>
        <v>301.57113661646525</v>
      </c>
      <c r="M131" s="8">
        <f>M130+L131*Parameters!B$65</f>
        <v>21066.375647149416</v>
      </c>
      <c r="N131" s="7">
        <f>M131*Parameters!$B$45</f>
        <v>12.639825388289649</v>
      </c>
      <c r="O131" s="9">
        <f>EXP(-Parameters!$B$46/2*N131^2)</f>
        <v>0.20076100308751241</v>
      </c>
      <c r="P131" s="7">
        <f>MAX((Parameters!$B$62 + Parameters!$B$31*'6states,BAU'!A131 - '6states,BAU'!M131 + Parameters!$B$47/Parameters!$B$45)/Parameters!B$62,1)</f>
        <v>1</v>
      </c>
      <c r="Q131" s="8"/>
      <c r="R131" s="8"/>
      <c r="S131" s="7">
        <f>Parameters!B$61*EXP(-Parameters!B$60*A131)+(1-Parameters!B$61)*P131^-Parameters!B$63</f>
        <v>0.51620967195627476</v>
      </c>
      <c r="T131" s="7">
        <f>1-S131/Parameters!$B$12</f>
        <v>0.74189516402186262</v>
      </c>
      <c r="U131" s="7">
        <f t="shared" si="34"/>
        <v>3.8743946668426794</v>
      </c>
      <c r="V131" s="7">
        <f>(Parameters!$B$19*(F131+Parameters!$B$20)^T131+Parameters!$B$18*G131^T131)^(1/T131)</f>
        <v>0.58545086023523529</v>
      </c>
      <c r="W131" s="7">
        <f>(Parameters!$B$10*H131^Parameters!$B$9+Parameters!$B$11*V131^Parameters!$B$9)^(Parameters!$B$7/Parameters!$B$9)*O131</f>
        <v>0.31204338170059193</v>
      </c>
      <c r="X131" s="7">
        <f>W131 - D131 - E131 - LN(1+EXP(Parameters!$B$21*C131))/Parameters!$B$21 - IF(C131&gt;0, 0,Parameters!$B$6*C131^2/F131)</f>
        <v>-6.0548859314274117E-2</v>
      </c>
      <c r="Y131" s="7">
        <f>EXP(-Parameters!$B$55*A131)</f>
        <v>0.14694454621613023</v>
      </c>
      <c r="Z131" s="7">
        <f>IF(X131&gt;0,X131^(1-Parameters!$B$52)/(1-Parameters!$B$52)*Y131*Parameters!$B$65,-10+X131*1000)</f>
        <v>-70.548859314274125</v>
      </c>
      <c r="AC131" s="23">
        <f t="shared" si="35"/>
        <v>80.101881782384481</v>
      </c>
      <c r="AD131" s="23">
        <f t="shared" si="35"/>
        <v>3.1640384294424471</v>
      </c>
      <c r="AE131" s="23">
        <f t="shared" si="36"/>
        <v>0</v>
      </c>
      <c r="AF131" s="23">
        <f t="shared" si="37"/>
        <v>1179.1822170950416</v>
      </c>
      <c r="AG131" s="23">
        <f t="shared" si="38"/>
        <v>49.095878066528144</v>
      </c>
      <c r="AH131" s="23">
        <f t="shared" si="39"/>
        <v>772.49263187751592</v>
      </c>
      <c r="AI131" s="23">
        <f t="shared" si="40"/>
        <v>1901.1631795885226</v>
      </c>
      <c r="AJ131" s="23">
        <f t="shared" si="41"/>
        <v>411.7360304039791</v>
      </c>
      <c r="AK131" s="23">
        <f t="shared" si="42"/>
        <v>-79.893208577866559</v>
      </c>
      <c r="AL131" s="9">
        <f t="shared" si="51"/>
        <v>-2.2837558122020596E-2</v>
      </c>
      <c r="AM131" s="9" t="e">
        <f t="shared" si="51"/>
        <v>#NUM!</v>
      </c>
      <c r="AN131" s="9">
        <f t="shared" si="56"/>
        <v>-2.2870885729453505E-2</v>
      </c>
      <c r="AO131" s="9" t="e">
        <f t="shared" si="56"/>
        <v>#NUM!</v>
      </c>
      <c r="AP131" s="23"/>
      <c r="AQ131" s="25">
        <f t="shared" si="32"/>
        <v>411.73603040397904</v>
      </c>
      <c r="AR131" s="4"/>
      <c r="AS131" s="4"/>
      <c r="AT131" s="4"/>
      <c r="AU131" s="16"/>
      <c r="AV131" s="16"/>
      <c r="AY131" s="21" t="e">
        <f>-Y131*W131*X131^(-Parameters!B$52)*Parameters!B$46*Parameters!B$45*N131</f>
        <v>#NUM!</v>
      </c>
      <c r="AZ131" s="7">
        <f>1000*EXP(-(Parameters!$B$54)*'6states,BAU'!A131)*AQ131*Parameters!B$46*Parameters!B$45*N131</f>
        <v>0.72736557607173524</v>
      </c>
      <c r="BA131" s="93">
        <f>SUM(AZ131:AZ$204)*EXP(Parameters!$B$54*A131)</f>
        <v>991.08441663563872</v>
      </c>
      <c r="BB131" s="43">
        <f t="shared" si="53"/>
        <v>1.1940398765813498</v>
      </c>
      <c r="BC131" s="30">
        <f>IF(C131&lt;0,Parameters!$B$6*AC131^2/AF131,0)</f>
        <v>0</v>
      </c>
      <c r="BD131" s="30">
        <f>Parameters!$B$5*AD131^2/AG131</f>
        <v>0.20390997324506296</v>
      </c>
      <c r="BE131" s="30">
        <f t="shared" si="43"/>
        <v>0</v>
      </c>
      <c r="BF131" s="30">
        <f t="shared" si="44"/>
        <v>6.4446111446565174E-2</v>
      </c>
      <c r="BH131" s="5"/>
      <c r="BI131" s="5"/>
      <c r="BJ131" s="5"/>
      <c r="BM131">
        <f>-EXP(-Parameters!B$42*'6states,BAU'!A131)*(-Parameters!B$37/Parameters!B$38/Parameters!E$25*(EXP(-Parameters!B$38*Parameters!E$25*'6states,BAU'!I131/('6states,BAU'!F131+'6states,BAU'!I131))-EXP(-Parameters!B$38*Parameters!E$25))+Parameters!B$37*'6states,BAU'!F131/('6states,BAU'!F131+'6states,BAU'!I131)*EXP(-Parameters!B$38*Parameters!E$25*'6states,BAU'!I131/('6states,BAU'!F131+'6states,BAU'!I131)))</f>
        <v>-1.6781728790924357</v>
      </c>
      <c r="BN131">
        <f>-J131*K131*EXP(-Parameters!B$42*'6states,BAU'!A131)*(-Parameters!B$37/Parameters!B$38/Parameters!E$25*(EXP(-Parameters!B$38*Parameters!E$25*'6states,BAU'!I131/('6states,BAU'!F131+'6states,BAU'!I131))-EXP(-Parameters!B$38*Parameters!E$25)) + Parameters!B$37*'6states,BAU'!F131/('6states,BAU'!F131+'6states,BAU'!I131)*EXP(-Parameters!B$38*Parameters!E$25*'6states,BAU'!I131/('6states,BAU'!F131+'6states,BAU'!I131)))</f>
        <v>-2214.3210851115628</v>
      </c>
      <c r="BO131" s="7">
        <f t="shared" si="33"/>
        <v>0</v>
      </c>
    </row>
    <row r="132" spans="1:67" x14ac:dyDescent="0.3">
      <c r="A132">
        <f>A131+Parameters!$B$65</f>
        <v>128</v>
      </c>
      <c r="B132">
        <v>2153</v>
      </c>
      <c r="C132" s="74">
        <v>6.0794465050762601E-2</v>
      </c>
      <c r="D132" s="69">
        <v>2.39653497402041E-3</v>
      </c>
      <c r="E132" s="75">
        <v>0.30969021253458101</v>
      </c>
      <c r="F132" s="7">
        <f>MAX((1-Parameters!$B$4)^Parameters!B$65*F131 + C131*Parameters!B$65 - IF(C131&gt;0,Parameters!$B$5,0)*C131^2/F131*Parameters!B$65, 0.0001)</f>
        <v>0.8940410356769144</v>
      </c>
      <c r="G132" s="7">
        <f>(1-Parameters!$B$4)^Parameters!B$65*G131+D131*Parameters!B$65-Parameters!$B$5*D131^2/G131*Parameters!B$65</f>
        <v>3.7111402521524235E-2</v>
      </c>
      <c r="H132" s="7">
        <f>(1-Parameters!$B$4)^Parameters!B$65*H131+E131*Parameters!B$65-Parameters!$B$5*E131^2/H131*Parameters!B$65</f>
        <v>4.559740714307746</v>
      </c>
      <c r="I132" s="7">
        <f>I131 *(1-Parameters!$B$4)-C131*(C131&lt;0)*Parameters!B$65</f>
        <v>0</v>
      </c>
      <c r="J132" s="23">
        <f>J131*(1+Parameters!$B$51)^Parameters!B$65</f>
        <v>11.821347028836248</v>
      </c>
      <c r="K132" s="23">
        <f>K131*(1+Parameters!$B$53)^Parameters!B$65</f>
        <v>114.18123436004088</v>
      </c>
      <c r="L132" s="23">
        <f>J132*K132*EXP(-Parameters!$B$42*'6states,BAU'!A132)*(Parameters!$B$37/Parameters!$B$38*('6states,BAU'!F132+'6states,BAU'!I132)/Parameters!$E$25*(EXP(-Parameters!$B$38*Parameters!$E$25*'6states,BAU'!I132/('6states,BAU'!F132+'6states,BAU'!I132))-EXP(-Parameters!$B$38*Parameters!$E$25))  +  Parameters!$B$39*'6states,BAU'!F132)</f>
        <v>305.55195041935838</v>
      </c>
      <c r="M132" s="8">
        <f>M131+L132*Parameters!B$65</f>
        <v>21371.927597568774</v>
      </c>
      <c r="N132" s="7">
        <f>M132*Parameters!$B$45</f>
        <v>12.823156558541264</v>
      </c>
      <c r="O132" s="9">
        <f>EXP(-Parameters!$B$46/2*N132^2)</f>
        <v>0.19155982664840948</v>
      </c>
      <c r="P132" s="7">
        <f>MAX((Parameters!$B$62 + Parameters!$B$31*'6states,BAU'!A132 - '6states,BAU'!M132 + Parameters!$B$47/Parameters!$B$45)/Parameters!B$62,1)</f>
        <v>1</v>
      </c>
      <c r="Q132" s="8"/>
      <c r="R132" s="8"/>
      <c r="S132" s="7">
        <f>Parameters!B$61*EXP(-Parameters!B$60*A132)+(1-Parameters!B$61)*P132^-Parameters!B$63</f>
        <v>0.51577786642006185</v>
      </c>
      <c r="T132" s="7">
        <f>1-S132/Parameters!$B$12</f>
        <v>0.74211106678996908</v>
      </c>
      <c r="U132" s="7">
        <f t="shared" si="34"/>
        <v>3.877638282312704</v>
      </c>
      <c r="V132" s="7">
        <f>(Parameters!$B$19*(F132+Parameters!$B$20)^T132+Parameters!$B$18*G132^T132)^(1/T132)</f>
        <v>0.58567456793255968</v>
      </c>
      <c r="W132" s="7">
        <f>(Parameters!$B$10*H132^Parameters!$B$9+Parameters!$B$11*V132^Parameters!$B$9)^(Parameters!$B$7/Parameters!$B$9)*O132</f>
        <v>0.29777667017403753</v>
      </c>
      <c r="X132" s="7">
        <f>W132 - D132 - E132 - LN(1+EXP(Parameters!$B$21*C132))/Parameters!$B$21 - IF(C132&gt;0, 0,Parameters!$B$6*C132^2/F132)</f>
        <v>-7.5104542425327298E-2</v>
      </c>
      <c r="Y132" s="7">
        <f>EXP(-Parameters!$B$55*A132)</f>
        <v>0.14474235197813023</v>
      </c>
      <c r="Z132" s="7">
        <f>IF(X132&gt;0,X132^(1-Parameters!$B$52)/(1-Parameters!$B$52)*Y132*Parameters!$B$65,-10+X132*1000)</f>
        <v>-85.104542425327296</v>
      </c>
      <c r="AC132" s="23">
        <f t="shared" si="35"/>
        <v>82.058909587878986</v>
      </c>
      <c r="AD132" s="23">
        <f t="shared" si="35"/>
        <v>3.2347853804310081</v>
      </c>
      <c r="AE132" s="23">
        <f t="shared" si="36"/>
        <v>0</v>
      </c>
      <c r="AF132" s="23">
        <f t="shared" si="37"/>
        <v>1206.7551289941869</v>
      </c>
      <c r="AG132" s="23">
        <f t="shared" si="38"/>
        <v>50.092080284781467</v>
      </c>
      <c r="AH132" s="23">
        <f t="shared" si="39"/>
        <v>790.52947300002836</v>
      </c>
      <c r="AI132" s="23">
        <f t="shared" si="40"/>
        <v>1945.5532187981728</v>
      </c>
      <c r="AJ132" s="23">
        <f t="shared" si="41"/>
        <v>401.9318014360008</v>
      </c>
      <c r="AK132" s="23">
        <f t="shared" si="42"/>
        <v>-101.3743085225428</v>
      </c>
      <c r="AL132" s="9">
        <f t="shared" si="51"/>
        <v>-2.4100015050755985E-2</v>
      </c>
      <c r="AM132" s="9" t="e">
        <f t="shared" si="51"/>
        <v>#NUM!</v>
      </c>
      <c r="AN132" s="9">
        <f t="shared" si="56"/>
        <v>-2.4137124771042906E-2</v>
      </c>
      <c r="AO132" s="9" t="e">
        <f t="shared" si="56"/>
        <v>#NUM!</v>
      </c>
      <c r="AP132" s="23"/>
      <c r="AQ132" s="25">
        <f t="shared" ref="AQ132:AQ195" si="57">W132*K132*J132</f>
        <v>401.9318014360008</v>
      </c>
      <c r="AR132" s="4"/>
      <c r="AS132" s="4"/>
      <c r="AT132" s="4"/>
      <c r="AU132" s="16"/>
      <c r="AV132" s="16"/>
      <c r="AY132" s="21" t="e">
        <f>-Y132*W132*X132^(-Parameters!B$52)*Parameters!B$46*Parameters!B$45*N132</f>
        <v>#NUM!</v>
      </c>
      <c r="AZ132" s="7">
        <f>1000*EXP(-(Parameters!$B$54)*'6states,BAU'!A132)*AQ132*Parameters!B$46*Parameters!B$45*N132</f>
        <v>0.69549878189792425</v>
      </c>
      <c r="BA132" s="93">
        <f>SUM(AZ132:AZ$204)*EXP(Parameters!$B$54*A132)</f>
        <v>961.48356572975331</v>
      </c>
      <c r="BB132" s="43">
        <f t="shared" si="53"/>
        <v>1.2522176849564177</v>
      </c>
      <c r="BC132" s="30">
        <f>IF(C132&lt;0,Parameters!$B$6*AC132^2/AF132,0)</f>
        <v>0</v>
      </c>
      <c r="BD132" s="30">
        <f>Parameters!$B$5*AD132^2/AG132</f>
        <v>0.20889203239237825</v>
      </c>
      <c r="BE132" s="30">
        <f t="shared" si="43"/>
        <v>0</v>
      </c>
      <c r="BF132" s="30">
        <f t="shared" si="44"/>
        <v>6.4576782637908767E-2</v>
      </c>
      <c r="BH132" s="5"/>
      <c r="BI132" s="5"/>
      <c r="BJ132" s="5"/>
      <c r="BM132">
        <f>-EXP(-Parameters!B$42*'6states,BAU'!A132)*(-Parameters!B$37/Parameters!B$38/Parameters!E$25*(EXP(-Parameters!B$38*Parameters!E$25*'6states,BAU'!I132/('6states,BAU'!F132+'6states,BAU'!I132))-EXP(-Parameters!B$38*Parameters!E$25))+Parameters!B$37*'6states,BAU'!F132/('6states,BAU'!F132+'6states,BAU'!I132)*EXP(-Parameters!B$38*Parameters!E$25*'6states,BAU'!I132/('6states,BAU'!F132+'6states,BAU'!I132)))</f>
        <v>-1.6614747799478287</v>
      </c>
      <c r="BN132">
        <f>-J132*K132*EXP(-Parameters!B$42*'6states,BAU'!A132)*(-Parameters!B$37/Parameters!B$38/Parameters!E$25*(EXP(-Parameters!B$38*Parameters!E$25*'6states,BAU'!I132/('6states,BAU'!F132+'6states,BAU'!I132))-EXP(-Parameters!B$38*Parameters!E$25)) + Parameters!B$37*'6states,BAU'!F132/('6states,BAU'!F132+'6states,BAU'!I132)*EXP(-Parameters!B$38*Parameters!E$25*'6states,BAU'!I132/('6states,BAU'!F132+'6states,BAU'!I132)))</f>
        <v>-2242.6187751868338</v>
      </c>
      <c r="BO132" s="7">
        <f t="shared" ref="BO132:BO142" si="58">I132/(F132+I132)</f>
        <v>0</v>
      </c>
    </row>
    <row r="133" spans="1:67" x14ac:dyDescent="0.3">
      <c r="A133">
        <f>A132+Parameters!$B$65</f>
        <v>129</v>
      </c>
      <c r="B133">
        <v>2154</v>
      </c>
      <c r="C133" s="74">
        <v>6.0804680481504197E-2</v>
      </c>
      <c r="D133" s="69">
        <v>2.3933356253759402E-3</v>
      </c>
      <c r="E133" s="75">
        <v>0.31011514800701301</v>
      </c>
      <c r="F133" s="7">
        <f>MAX((1-Parameters!$B$4)^Parameters!B$65*F132 + C132*Parameters!B$65 - IF(C132&gt;0,Parameters!$B$5,0)*C132^2/F132*Parameters!B$65, 0.0001)</f>
        <v>0.894466318085547</v>
      </c>
      <c r="G133" s="7">
        <f>(1-Parameters!$B$4)^Parameters!B$65*G132+D132*Parameters!B$65-Parameters!$B$5*D132^2/G132*Parameters!B$65</f>
        <v>3.7018869758839314E-2</v>
      </c>
      <c r="H133" s="7">
        <f>(1-Parameters!$B$4)^Parameters!B$65*H132+E132*Parameters!B$65-Parameters!$B$5*E132^2/H132*Parameters!B$65</f>
        <v>4.5615895776960658</v>
      </c>
      <c r="I133" s="7">
        <f>I132 *(1-Parameters!$B$4)-C132*(C132&lt;0)*Parameters!B$65</f>
        <v>0</v>
      </c>
      <c r="J133" s="23">
        <f>J132*(1+Parameters!$B$51)^Parameters!B$65</f>
        <v>11.855628935219872</v>
      </c>
      <c r="K133" s="23">
        <f>K132*(1+Parameters!$B$53)^Parameters!B$65</f>
        <v>116.46485904724169</v>
      </c>
      <c r="L133" s="23">
        <f>J133*K133*EXP(-Parameters!$B$42*'6states,BAU'!A133)*(Parameters!$B$37/Parameters!$B$38*('6states,BAU'!F133+'6states,BAU'!I133)/Parameters!$E$25*(EXP(-Parameters!$B$38*Parameters!$E$25*'6states,BAU'!I133/('6states,BAU'!F133+'6states,BAU'!I133))-EXP(-Parameters!$B$38*Parameters!$E$25))  +  Parameters!$B$39*'6states,BAU'!F133)</f>
        <v>309.6039244448217</v>
      </c>
      <c r="M133" s="8">
        <f>M132+L133*Parameters!B$65</f>
        <v>21681.531522013596</v>
      </c>
      <c r="N133" s="7">
        <f>M133*Parameters!$B$45</f>
        <v>13.008918913208156</v>
      </c>
      <c r="O133" s="9">
        <f>EXP(-Parameters!$B$46/2*N133^2)</f>
        <v>0.18254084706507839</v>
      </c>
      <c r="P133" s="7">
        <f>MAX((Parameters!$B$62 + Parameters!$B$31*'6states,BAU'!A133 - '6states,BAU'!M133 + Parameters!$B$47/Parameters!$B$45)/Parameters!B$62,1)</f>
        <v>1</v>
      </c>
      <c r="Q133" s="8"/>
      <c r="R133" s="8"/>
      <c r="S133" s="7">
        <f>Parameters!B$61*EXP(-Parameters!B$60*A133)+(1-Parameters!B$61)*P133^-Parameters!B$63</f>
        <v>0.51535756364723651</v>
      </c>
      <c r="T133" s="7">
        <f>1-S133/Parameters!$B$12</f>
        <v>0.74232121817638175</v>
      </c>
      <c r="U133" s="7">
        <f t="shared" ref="U133:U196" si="59">1/(1-T133)</f>
        <v>3.8808007121226709</v>
      </c>
      <c r="V133" s="7">
        <f>(Parameters!$B$19*(F133+Parameters!$B$20)^T133+Parameters!$B$18*G133^T133)^(1/T133)</f>
        <v>0.58593327115702332</v>
      </c>
      <c r="W133" s="7">
        <f>(Parameters!$B$10*H133^Parameters!$B$9+Parameters!$B$11*V133^Parameters!$B$9)^(Parameters!$B$7/Parameters!$B$9)*O133</f>
        <v>0.28379185001839391</v>
      </c>
      <c r="X133" s="7">
        <f>W133 - D133 - E133 - LN(1+EXP(Parameters!$B$21*C133))/Parameters!$B$21 - IF(C133&gt;0, 0,Parameters!$B$6*C133^2/F133)</f>
        <v>-8.9521314135377589E-2</v>
      </c>
      <c r="Y133" s="7">
        <f>EXP(-Parameters!$B$55*A133)</f>
        <v>0.14257316107088844</v>
      </c>
      <c r="Z133" s="7">
        <f>IF(X133&gt;0,X133^(1-Parameters!$B$52)/(1-Parameters!$B$52)*Y133*Parameters!$B$65,-10+X133*1000)</f>
        <v>-99.521314135377594</v>
      </c>
      <c r="AC133" s="23">
        <f t="shared" ref="AC133:AD196" si="60">C133*$J133*$K133</f>
        <v>83.956923134771486</v>
      </c>
      <c r="AD133" s="23">
        <f t="shared" si="60"/>
        <v>3.3046320372741675</v>
      </c>
      <c r="AE133" s="23">
        <f t="shared" ref="AE133:AE196" si="61">I133*J133*K133</f>
        <v>0</v>
      </c>
      <c r="AF133" s="23">
        <f t="shared" ref="AF133:AF196" si="62">F133*J133*K133</f>
        <v>1235.0470279503156</v>
      </c>
      <c r="AG133" s="23">
        <f t="shared" ref="AG133:AG196" si="63">G133*J133*K133</f>
        <v>51.114328342279329</v>
      </c>
      <c r="AH133" s="23">
        <f t="shared" ref="AH133:AH196" si="64">V133*J133*K133</f>
        <v>809.03565677973074</v>
      </c>
      <c r="AI133" s="23">
        <f t="shared" ref="AI133:AI196" si="65">AH133/AH$4*100</f>
        <v>1991.0983460198483</v>
      </c>
      <c r="AJ133" s="23">
        <f t="shared" ref="AJ133:AJ196" si="66">W133*J133*K133</f>
        <v>391.84961337830674</v>
      </c>
      <c r="AK133" s="23">
        <f t="shared" ref="AK133:AK196" si="67">X133*J133*K133</f>
        <v>-123.60782147476054</v>
      </c>
      <c r="AL133" s="9">
        <f t="shared" si="51"/>
        <v>-2.5404299216980952E-2</v>
      </c>
      <c r="AM133" s="9" t="e">
        <f t="shared" si="51"/>
        <v>#NUM!</v>
      </c>
      <c r="AN133" s="9">
        <f t="shared" si="56"/>
        <v>-2.5438403181681578E-2</v>
      </c>
      <c r="AO133" s="9" t="e">
        <f t="shared" si="56"/>
        <v>#NUM!</v>
      </c>
      <c r="AP133" s="23"/>
      <c r="AQ133" s="25">
        <f t="shared" si="57"/>
        <v>391.84961337830674</v>
      </c>
      <c r="AR133" s="4"/>
      <c r="AS133" s="4"/>
      <c r="AT133" s="4"/>
      <c r="AU133" s="16"/>
      <c r="AV133" s="16"/>
      <c r="AY133" s="21" t="e">
        <f>-Y133*W133*X133^(-Parameters!B$52)*Parameters!B$46*Parameters!B$45*N133</f>
        <v>#NUM!</v>
      </c>
      <c r="AZ133" s="7">
        <f>1000*EXP(-(Parameters!$B$54)*'6states,BAU'!A133)*AQ133*Parameters!B$46*Parameters!B$45*N133</f>
        <v>0.66414965665529302</v>
      </c>
      <c r="BA133" s="93">
        <f>SUM(AZ133:AZ$204)*EXP(Parameters!$B$54*A133)</f>
        <v>931.45277835175796</v>
      </c>
      <c r="BB133" s="43">
        <f t="shared" si="53"/>
        <v>1.3154470929651325</v>
      </c>
      <c r="BC133" s="30">
        <f>IF(C133&lt;0,Parameters!$B$6*AC133^2/AF133,0)</f>
        <v>0</v>
      </c>
      <c r="BD133" s="30">
        <f>Parameters!$B$5*AD133^2/AG133</f>
        <v>0.2136503257687497</v>
      </c>
      <c r="BE133" s="30">
        <f t="shared" ref="BE133:BE196" si="68">ABS(BC133/AC133)</f>
        <v>0</v>
      </c>
      <c r="BF133" s="30">
        <f t="shared" ref="BF133:BF196" si="69">BD133/AD133</f>
        <v>6.4651774648102608E-2</v>
      </c>
      <c r="BH133" s="5"/>
      <c r="BI133" s="5"/>
      <c r="BJ133" s="5"/>
      <c r="BM133">
        <f>-EXP(-Parameters!B$42*'6states,BAU'!A133)*(-Parameters!B$37/Parameters!B$38/Parameters!E$25*(EXP(-Parameters!B$38*Parameters!E$25*'6states,BAU'!I133/('6states,BAU'!F133+'6states,BAU'!I133))-EXP(-Parameters!B$38*Parameters!E$25))+Parameters!B$37*'6states,BAU'!F133/('6states,BAU'!F133+'6states,BAU'!I133)*EXP(-Parameters!B$38*Parameters!E$25*'6states,BAU'!I133/('6states,BAU'!F133+'6states,BAU'!I133)))</f>
        <v>-1.6449428296657833</v>
      </c>
      <c r="BN133">
        <f>-J133*K133*EXP(-Parameters!B$42*'6states,BAU'!A133)*(-Parameters!B$37/Parameters!B$38/Parameters!E$25*(EXP(-Parameters!B$38*Parameters!E$25*'6states,BAU'!I133/('6states,BAU'!F133+'6states,BAU'!I133))-EXP(-Parameters!B$38*Parameters!E$25)) + Parameters!B$37*'6states,BAU'!F133/('6states,BAU'!F133+'6states,BAU'!I133)*EXP(-Parameters!B$38*Parameters!E$25*'6states,BAU'!I133/('6states,BAU'!F133+'6states,BAU'!I133)))</f>
        <v>-2271.2780927013137</v>
      </c>
      <c r="BO133" s="7">
        <f t="shared" si="58"/>
        <v>0</v>
      </c>
    </row>
    <row r="134" spans="1:67" x14ac:dyDescent="0.3">
      <c r="A134">
        <f>A133+Parameters!$B$65</f>
        <v>130</v>
      </c>
      <c r="B134">
        <v>2155</v>
      </c>
      <c r="C134" s="74">
        <v>6.0882961732671603E-2</v>
      </c>
      <c r="D134" s="69">
        <v>2.3931050632176802E-3</v>
      </c>
      <c r="E134" s="75">
        <v>0.31040476841151698</v>
      </c>
      <c r="F134" s="7">
        <f>MAX((1-Parameters!$B$4)^Parameters!B$65*F133 + C133*Parameters!B$65 - IF(C133&gt;0,Parameters!$B$5,0)*C133^2/F133*Parameters!B$65, 0.0001)</f>
        <v>0.89487564246398144</v>
      </c>
      <c r="G134" s="7">
        <f>(1-Parameters!$B$4)^Parameters!B$65*G133+D133*Parameters!B$65-Parameters!$B$5*D133^2/G133*Parameters!B$65</f>
        <v>3.6928985080875186E-2</v>
      </c>
      <c r="H134" s="7">
        <f>(1-Parameters!$B$4)^Parameters!B$65*H133+E133*Parameters!B$65-Parameters!$B$5*E133^2/H133*Parameters!B$65</f>
        <v>4.563697870177891</v>
      </c>
      <c r="I134" s="7">
        <f>I133 *(1-Parameters!$B$4)-C133*(C133&lt;0)*Parameters!B$65</f>
        <v>0</v>
      </c>
      <c r="J134" s="23">
        <f>J133*(1+Parameters!$B$51)^Parameters!B$65</f>
        <v>11.890010259132008</v>
      </c>
      <c r="K134" s="23">
        <f>K133*(1+Parameters!$B$53)^Parameters!B$65</f>
        <v>118.79415622818652</v>
      </c>
      <c r="L134" s="23">
        <f>J134*K134*EXP(-Parameters!$B$42*'6states,BAU'!A134)*(Parameters!$B$37/Parameters!$B$38*('6states,BAU'!F134+'6states,BAU'!I134)/Parameters!$E$25*(EXP(-Parameters!$B$38*Parameters!$E$25*'6states,BAU'!I134/('6states,BAU'!F134+'6states,BAU'!I134))-EXP(-Parameters!$B$38*Parameters!$E$25))  +  Parameters!$B$39*'6states,BAU'!F134)</f>
        <v>313.70396725583322</v>
      </c>
      <c r="M134" s="8">
        <f>M133+L134*Parameters!B$65</f>
        <v>21995.235489269431</v>
      </c>
      <c r="N134" s="7">
        <f>M134*Parameters!$B$45</f>
        <v>13.197141293561657</v>
      </c>
      <c r="O134" s="9">
        <f>EXP(-Parameters!$B$46/2*N134^2)</f>
        <v>0.17371250608532668</v>
      </c>
      <c r="P134" s="7">
        <f>MAX((Parameters!$B$62 + Parameters!$B$31*'6states,BAU'!A134 - '6states,BAU'!M134 + Parameters!$B$47/Parameters!$B$45)/Parameters!B$62,1)</f>
        <v>1</v>
      </c>
      <c r="Q134" s="8"/>
      <c r="R134" s="8"/>
      <c r="S134" s="7">
        <f>Parameters!B$61*EXP(-Parameters!B$60*A134)+(1-Parameters!B$61)*P134^-Parameters!B$63</f>
        <v>0.51494845721846316</v>
      </c>
      <c r="T134" s="7">
        <f>1-S134/Parameters!$B$12</f>
        <v>0.74252577139076847</v>
      </c>
      <c r="U134" s="7">
        <f t="shared" si="59"/>
        <v>3.8838838566546379</v>
      </c>
      <c r="V134" s="7">
        <f>(Parameters!$B$19*(F134+Parameters!$B$20)^T134+Parameters!$B$18*G134^T134)^(1/T134)</f>
        <v>0.58618237492856329</v>
      </c>
      <c r="W134" s="7">
        <f>(Parameters!$B$10*H134^Parameters!$B$9+Parameters!$B$11*V134^Parameters!$B$9)^(Parameters!$B$7/Parameters!$B$9)*O134</f>
        <v>0.27010356919424566</v>
      </c>
      <c r="X134" s="7">
        <f>W134 - D134 - E134 - LN(1+EXP(Parameters!$B$21*C134))/Parameters!$B$21 - IF(C134&gt;0, 0,Parameters!$B$6*C134^2/F134)</f>
        <v>-0.10357726605211337</v>
      </c>
      <c r="Y134" s="7">
        <f>EXP(-Parameters!$B$55*A134)</f>
        <v>0.14043647888778818</v>
      </c>
      <c r="Z134" s="7">
        <f>IF(X134&gt;0,X134^(1-Parameters!$B$52)/(1-Parameters!$B$52)*Y134*Parameters!$B$65,-10+X134*1000)</f>
        <v>-113.57726605211337</v>
      </c>
      <c r="AC134" s="23">
        <f t="shared" si="60"/>
        <v>85.994975604603994</v>
      </c>
      <c r="AD134" s="23">
        <f t="shared" si="60"/>
        <v>3.3801741188984074</v>
      </c>
      <c r="AE134" s="23">
        <f t="shared" si="61"/>
        <v>0</v>
      </c>
      <c r="AF134" s="23">
        <f t="shared" si="62"/>
        <v>1263.979393458912</v>
      </c>
      <c r="AG134" s="23">
        <f t="shared" si="63"/>
        <v>52.160852244290005</v>
      </c>
      <c r="AH134" s="23">
        <f t="shared" si="64"/>
        <v>827.96134743195</v>
      </c>
      <c r="AI134" s="23">
        <f t="shared" si="65"/>
        <v>2037.6759115932985</v>
      </c>
      <c r="AJ134" s="23">
        <f t="shared" si="66"/>
        <v>381.511496526146</v>
      </c>
      <c r="AK134" s="23">
        <f t="shared" si="67"/>
        <v>-146.29913220143558</v>
      </c>
      <c r="AL134" s="9">
        <f t="shared" ref="AL134:AM197" si="70">LN(AJ134)-LN(AJ133)</f>
        <v>-2.6737141508568207E-2</v>
      </c>
      <c r="AM134" s="9" t="e">
        <f t="shared" si="70"/>
        <v>#NUM!</v>
      </c>
      <c r="AN134" s="9">
        <f t="shared" si="56"/>
        <v>-2.6775632973311047E-2</v>
      </c>
      <c r="AO134" s="9" t="e">
        <f t="shared" si="56"/>
        <v>#NUM!</v>
      </c>
      <c r="AP134" s="23"/>
      <c r="AQ134" s="25">
        <f t="shared" si="57"/>
        <v>381.511496526146</v>
      </c>
      <c r="AR134" s="4"/>
      <c r="AS134" s="4"/>
      <c r="AT134" s="4"/>
      <c r="AU134" s="16"/>
      <c r="AV134" s="16"/>
      <c r="AY134" s="21" t="e">
        <f>-Y134*W134*X134^(-Parameters!B$52)*Parameters!B$46*Parameters!B$45*N134</f>
        <v>#NUM!</v>
      </c>
      <c r="AZ134" s="7">
        <f>1000*EXP(-(Parameters!$B$54)*'6states,BAU'!A134)*AQ134*Parameters!B$46*Parameters!B$45*N134</f>
        <v>0.63335774095880903</v>
      </c>
      <c r="BA134" s="93">
        <f>SUM(AZ134:AZ$204)*EXP(Parameters!$B$54*A134)</f>
        <v>901.05485651538902</v>
      </c>
      <c r="BB134" s="43">
        <f t="shared" si="53"/>
        <v>1.3834724077217682</v>
      </c>
      <c r="BC134" s="30">
        <f>IF(C134&lt;0,Parameters!$B$6*AC134^2/AF134,0)</f>
        <v>0</v>
      </c>
      <c r="BD134" s="30">
        <f>Parameters!$B$5*AD134^2/AG134</f>
        <v>0.21904506123788209</v>
      </c>
      <c r="BE134" s="30">
        <f t="shared" si="68"/>
        <v>0</v>
      </c>
      <c r="BF134" s="30">
        <f t="shared" si="69"/>
        <v>6.4802892848983912E-2</v>
      </c>
      <c r="BH134" s="5"/>
      <c r="BI134" s="5"/>
      <c r="BJ134" s="5"/>
      <c r="BM134">
        <f>-EXP(-Parameters!B$42*'6states,BAU'!A134)*(-Parameters!B$37/Parameters!B$38/Parameters!E$25*(EXP(-Parameters!B$38*Parameters!E$25*'6states,BAU'!I134/('6states,BAU'!F134+'6states,BAU'!I134))-EXP(-Parameters!B$38*Parameters!E$25))+Parameters!B$37*'6states,BAU'!F134/('6states,BAU'!F134+'6states,BAU'!I134)*EXP(-Parameters!B$38*Parameters!E$25*'6states,BAU'!I134/('6states,BAU'!F134+'6states,BAU'!I134)))</f>
        <v>-1.6285753750374947</v>
      </c>
      <c r="BN134">
        <f>-J134*K134*EXP(-Parameters!B$42*'6states,BAU'!A134)*(-Parameters!B$37/Parameters!B$38/Parameters!E$25*(EXP(-Parameters!B$38*Parameters!E$25*'6states,BAU'!I134/('6states,BAU'!F134+'6states,BAU'!I134))-EXP(-Parameters!B$38*Parameters!E$25)) + Parameters!B$37*'6states,BAU'!F134/('6states,BAU'!F134+'6states,BAU'!I134)*EXP(-Parameters!B$38*Parameters!E$25*'6states,BAU'!I134/('6states,BAU'!F134+'6states,BAU'!I134)))</f>
        <v>-2300.3036590359161</v>
      </c>
      <c r="BO134" s="7">
        <f t="shared" si="58"/>
        <v>0</v>
      </c>
    </row>
    <row r="135" spans="1:67" x14ac:dyDescent="0.3">
      <c r="A135">
        <f>A134+Parameters!$B$65</f>
        <v>131</v>
      </c>
      <c r="B135">
        <v>2156</v>
      </c>
      <c r="C135" s="74">
        <v>6.0919728557723901E-2</v>
      </c>
      <c r="D135" s="69">
        <v>2.3912161629745998E-3</v>
      </c>
      <c r="E135" s="75">
        <v>0.310819944074752</v>
      </c>
      <c r="F135" s="7">
        <f>MAX((1-Parameters!$B$4)^Parameters!B$65*F134 + C134*Parameters!B$65 - IF(C134&gt;0,Parameters!$B$5,0)*C134^2/F134*Parameters!B$65, 0.0001)</f>
        <v>0.89532874735772761</v>
      </c>
      <c r="G135" s="7">
        <f>(1-Parameters!$B$4)^Parameters!B$65*G134+D134*Parameters!B$65-Parameters!$B$5*D134^2/G134*Parameters!B$65</f>
        <v>3.6844176851517765E-2</v>
      </c>
      <c r="H135" s="7">
        <f>(1-Parameters!$B$4)^Parameters!B$65*H134+E134*Parameters!B$65-Parameters!$B$5*E134^2/H134*Parameters!B$65</f>
        <v>4.5659335318252188</v>
      </c>
      <c r="I135" s="7">
        <f>I134 *(1-Parameters!$B$4)-C134*(C134&lt;0)*Parameters!B$65</f>
        <v>0</v>
      </c>
      <c r="J135" s="23">
        <f>J134*(1+Parameters!$B$51)^Parameters!B$65</f>
        <v>11.924491288883489</v>
      </c>
      <c r="K135" s="23">
        <f>K134*(1+Parameters!$B$53)^Parameters!B$65</f>
        <v>121.17003935275025</v>
      </c>
      <c r="L135" s="23">
        <f>J135*K135*EXP(-Parameters!$B$42*'6states,BAU'!A135)*(Parameters!$B$37/Parameters!$B$38*('6states,BAU'!F135+'6states,BAU'!I135)/Parameters!$E$25*(EXP(-Parameters!$B$38*Parameters!$E$25*'6states,BAU'!I135/('6states,BAU'!F135+'6states,BAU'!I135))-EXP(-Parameters!$B$38*Parameters!$E$25))  +  Parameters!$B$39*'6states,BAU'!F135)</f>
        <v>317.87378352630412</v>
      </c>
      <c r="M135" s="8">
        <f>M134+L135*Parameters!B$65</f>
        <v>22313.109272795737</v>
      </c>
      <c r="N135" s="7">
        <f>M135*Parameters!$B$45</f>
        <v>13.38786556367744</v>
      </c>
      <c r="O135" s="9">
        <f>EXP(-Parameters!$B$46/2*N135^2)</f>
        <v>0.16508229188249673</v>
      </c>
      <c r="P135" s="7">
        <f>MAX((Parameters!$B$62 + Parameters!$B$31*'6states,BAU'!A135 - '6states,BAU'!M135 + Parameters!$B$47/Parameters!$B$45)/Parameters!B$62,1)</f>
        <v>1</v>
      </c>
      <c r="Q135" s="8"/>
      <c r="R135" s="8"/>
      <c r="S135" s="7">
        <f>Parameters!B$61*EXP(-Parameters!B$60*A135)+(1-Parameters!B$61)*P135^-Parameters!B$63</f>
        <v>0.51455024887703671</v>
      </c>
      <c r="T135" s="7">
        <f>1-S135/Parameters!$B$12</f>
        <v>0.7427248755614817</v>
      </c>
      <c r="U135" s="7">
        <f t="shared" si="59"/>
        <v>3.8868895785491016</v>
      </c>
      <c r="V135" s="7">
        <f>(Parameters!$B$19*(F135+Parameters!$B$20)^T135+Parameters!$B$18*G135^T135)^(1/T135)</f>
        <v>0.58646060632734853</v>
      </c>
      <c r="W135" s="7">
        <f>(Parameters!$B$10*H135^Parameters!$B$9+Parameters!$B$11*V135^Parameters!$B$9)^(Parameters!$B$7/Parameters!$B$9)*O135</f>
        <v>0.25672206553510091</v>
      </c>
      <c r="X135" s="7">
        <f>W135 - D135 - E135 - LN(1+EXP(Parameters!$B$21*C135))/Parameters!$B$21 - IF(C135&gt;0, 0,Parameters!$B$6*C135^2/F135)</f>
        <v>-0.11740882329887509</v>
      </c>
      <c r="Y135" s="7">
        <f>EXP(-Parameters!$B$55*A135)</f>
        <v>0.13833181823466795</v>
      </c>
      <c r="Z135" s="7">
        <f>IF(X135&gt;0,X135^(1-Parameters!$B$52)/(1-Parameters!$B$52)*Y135*Parameters!$B$65,-10+X135*1000)</f>
        <v>-127.40882329887509</v>
      </c>
      <c r="AC135" s="23">
        <f t="shared" si="60"/>
        <v>88.022372312045974</v>
      </c>
      <c r="AD135" s="23">
        <f t="shared" si="60"/>
        <v>3.4550469012102281</v>
      </c>
      <c r="AE135" s="23">
        <f t="shared" si="61"/>
        <v>0</v>
      </c>
      <c r="AF135" s="23">
        <f t="shared" si="62"/>
        <v>1293.6525195926467</v>
      </c>
      <c r="AG135" s="23">
        <f t="shared" si="63"/>
        <v>53.235822436112514</v>
      </c>
      <c r="AH135" s="23">
        <f t="shared" si="64"/>
        <v>847.37169811222145</v>
      </c>
      <c r="AI135" s="23">
        <f t="shared" si="65"/>
        <v>2085.4462623946306</v>
      </c>
      <c r="AJ135" s="23">
        <f t="shared" si="66"/>
        <v>370.93542220622794</v>
      </c>
      <c r="AK135" s="23">
        <f t="shared" si="67"/>
        <v>-169.64296134938203</v>
      </c>
      <c r="AL135" s="9">
        <f t="shared" si="70"/>
        <v>-2.8113002010082155E-2</v>
      </c>
      <c r="AM135" s="9" t="e">
        <f t="shared" si="70"/>
        <v>#NUM!</v>
      </c>
      <c r="AN135" s="9">
        <f t="shared" si="56"/>
        <v>-2.81514590026406E-2</v>
      </c>
      <c r="AO135" s="9" t="e">
        <f t="shared" si="56"/>
        <v>#NUM!</v>
      </c>
      <c r="AP135" s="23"/>
      <c r="AQ135" s="25">
        <f t="shared" si="57"/>
        <v>370.93542220622794</v>
      </c>
      <c r="AR135" s="4"/>
      <c r="AS135" s="4"/>
      <c r="AT135" s="4"/>
      <c r="AU135" s="16"/>
      <c r="AV135" s="16"/>
      <c r="AY135" s="21" t="e">
        <f>-Y135*W135*X135^(-Parameters!B$52)*Parameters!B$46*Parameters!B$45*N135</f>
        <v>#NUM!</v>
      </c>
      <c r="AZ135" s="7">
        <f>1000*EXP(-(Parameters!$B$54)*'6states,BAU'!A135)*AQ135*Parameters!B$46*Parameters!B$45*N135</f>
        <v>0.60315301235264862</v>
      </c>
      <c r="BA135" s="93">
        <f>SUM(AZ135:AZ$204)*EXP(Parameters!$B$54*A135)</f>
        <v>870.35393013101282</v>
      </c>
      <c r="BB135" s="43">
        <f t="shared" si="53"/>
        <v>1.4573382619667985</v>
      </c>
      <c r="BC135" s="30">
        <f>IF(C135&lt;0,Parameters!$B$6*AC135^2/AF135,0)</f>
        <v>0</v>
      </c>
      <c r="BD135" s="30">
        <f>Parameters!$B$5*AD135^2/AG135</f>
        <v>0.22423527135113255</v>
      </c>
      <c r="BE135" s="30">
        <f t="shared" si="68"/>
        <v>0</v>
      </c>
      <c r="BF135" s="30">
        <f t="shared" si="69"/>
        <v>6.4900789414056234E-2</v>
      </c>
      <c r="BH135" s="5"/>
      <c r="BI135" s="5"/>
      <c r="BJ135" s="5"/>
      <c r="BM135">
        <f>-EXP(-Parameters!B$42*'6states,BAU'!A135)*(-Parameters!B$37/Parameters!B$38/Parameters!E$25*(EXP(-Parameters!B$38*Parameters!E$25*'6states,BAU'!I135/('6states,BAU'!F135+'6states,BAU'!I135))-EXP(-Parameters!B$38*Parameters!E$25))+Parameters!B$37*'6states,BAU'!F135/('6states,BAU'!F135+'6states,BAU'!I135)*EXP(-Parameters!B$38*Parameters!E$25*'6states,BAU'!I135/('6states,BAU'!F135+'6states,BAU'!I135)))</f>
        <v>-1.6123707793038604</v>
      </c>
      <c r="BN135">
        <f>-J135*K135*EXP(-Parameters!B$42*'6states,BAU'!A135)*(-Parameters!B$37/Parameters!B$38/Parameters!E$25*(EXP(-Parameters!B$38*Parameters!E$25*'6states,BAU'!I135/('6states,BAU'!F135+'6states,BAU'!I135))-EXP(-Parameters!B$38*Parameters!E$25)) + Parameters!B$37*'6states,BAU'!F135/('6states,BAU'!F135+'6states,BAU'!I135)*EXP(-Parameters!B$38*Parameters!E$25*'6states,BAU'!I135/('6states,BAU'!F135+'6states,BAU'!I135)))</f>
        <v>-2329.7001546300185</v>
      </c>
      <c r="BO135" s="7">
        <f t="shared" si="58"/>
        <v>0</v>
      </c>
    </row>
    <row r="136" spans="1:67" x14ac:dyDescent="0.3">
      <c r="A136">
        <f>A135+Parameters!$B$65</f>
        <v>132</v>
      </c>
      <c r="B136">
        <v>2157</v>
      </c>
      <c r="C136" s="74">
        <v>6.1007309299169199E-2</v>
      </c>
      <c r="D136" s="69">
        <v>2.3894713415812899E-3</v>
      </c>
      <c r="E136" s="75">
        <v>0.31113917637280902</v>
      </c>
      <c r="F136" s="7">
        <f>MAX((1-Parameters!$B$4)^Parameters!B$65*F135 + C135*Parameters!B$65 - IF(C135&gt;0,Parameters!$B$5,0)*C135^2/F135*Parameters!B$65, 0.0001)</f>
        <v>0.89578721319048893</v>
      </c>
      <c r="G136" s="7">
        <f>(1-Parameters!$B$4)^Parameters!B$65*G135+D135*Parameters!B$65-Parameters!$B$5*D135^2/G135*Parameters!B$65</f>
        <v>3.6762702473895195E-2</v>
      </c>
      <c r="H136" s="7">
        <f>(1-Parameters!$B$4)^Parameters!B$65*H135+E135*Parameters!B$65-Parameters!$B$5*E135^2/H135*Parameters!B$65</f>
        <v>4.5683975962111134</v>
      </c>
      <c r="I136" s="7">
        <f>I135 *(1-Parameters!$B$4)-C135*(C135&lt;0)*Parameters!B$65</f>
        <v>0</v>
      </c>
      <c r="J136" s="23">
        <f>J135*(1+Parameters!$B$51)^Parameters!B$65</f>
        <v>11.959072313621251</v>
      </c>
      <c r="K136" s="23">
        <f>K135*(1+Parameters!$B$53)^Parameters!B$65</f>
        <v>123.59344013980525</v>
      </c>
      <c r="L136" s="23">
        <f>J136*K136*EXP(-Parameters!$B$42*'6states,BAU'!A136)*(Parameters!$B$37/Parameters!$B$38*('6states,BAU'!F136+'6states,BAU'!I136)/Parameters!$E$25*(EXP(-Parameters!$B$38*Parameters!$E$25*'6states,BAU'!I136/('6states,BAU'!F136+'6states,BAU'!I136))-EXP(-Parameters!$B$38*Parameters!$E$25))  +  Parameters!$B$39*'6states,BAU'!F136)</f>
        <v>322.10087098875402</v>
      </c>
      <c r="M136" s="8">
        <f>M135+L136*Parameters!B$65</f>
        <v>22635.21014378449</v>
      </c>
      <c r="N136" s="7">
        <f>M136*Parameters!$B$45</f>
        <v>13.581126086270693</v>
      </c>
      <c r="O136" s="9">
        <f>EXP(-Parameters!$B$46/2*N136^2)</f>
        <v>0.15665768458899434</v>
      </c>
      <c r="P136" s="7">
        <f>MAX((Parameters!$B$62 + Parameters!$B$31*'6states,BAU'!A136 - '6states,BAU'!M136 + Parameters!$B$47/Parameters!$B$45)/Parameters!B$62,1)</f>
        <v>1</v>
      </c>
      <c r="Q136" s="8"/>
      <c r="R136" s="8"/>
      <c r="S136" s="7">
        <f>Parameters!B$61*EXP(-Parameters!B$60*A136)+(1-Parameters!B$61)*P136^-Parameters!B$63</f>
        <v>0.51416264831144054</v>
      </c>
      <c r="T136" s="7">
        <f>1-S136/Parameters!$B$12</f>
        <v>0.74291867584427973</v>
      </c>
      <c r="U136" s="7">
        <f t="shared" si="59"/>
        <v>3.8898197031001609</v>
      </c>
      <c r="V136" s="7">
        <f>(Parameters!$B$19*(F136+Parameters!$B$20)^T136+Parameters!$B$18*G136^T136)^(1/T136)</f>
        <v>0.58674300439153071</v>
      </c>
      <c r="W136" s="7">
        <f>(Parameters!$B$10*H136^Parameters!$B$9+Parameters!$B$11*V136^Parameters!$B$9)^(Parameters!$B$7/Parameters!$B$9)*O136</f>
        <v>0.24365953563859566</v>
      </c>
      <c r="X136" s="7">
        <f>W136 - D136 - E136 - LN(1+EXP(Parameters!$B$21*C136))/Parameters!$B$21 - IF(C136&gt;0, 0,Parameters!$B$6*C136^2/F136)</f>
        <v>-0.13087642141249028</v>
      </c>
      <c r="Y136" s="7">
        <f>EXP(-Parameters!$B$55*A136)</f>
        <v>0.13625869921873399</v>
      </c>
      <c r="Z136" s="7">
        <f>IF(X136&gt;0,X136^(1-Parameters!$B$52)/(1-Parameters!$B$52)*Y136*Parameters!$B$65,-10+X136*1000)</f>
        <v>-140.87642141249029</v>
      </c>
      <c r="AC136" s="23">
        <f t="shared" si="60"/>
        <v>90.172639779230337</v>
      </c>
      <c r="AD136" s="23">
        <f t="shared" si="60"/>
        <v>3.5317889122203612</v>
      </c>
      <c r="AE136" s="23">
        <f t="shared" si="61"/>
        <v>0</v>
      </c>
      <c r="AF136" s="23">
        <f t="shared" si="62"/>
        <v>1324.0298354703307</v>
      </c>
      <c r="AG136" s="23">
        <f t="shared" si="63"/>
        <v>54.337586193704098</v>
      </c>
      <c r="AH136" s="23">
        <f t="shared" si="64"/>
        <v>867.24305965582664</v>
      </c>
      <c r="AI136" s="23">
        <f t="shared" si="65"/>
        <v>2134.3511960289798</v>
      </c>
      <c r="AJ136" s="23">
        <f t="shared" si="66"/>
        <v>360.14411696424105</v>
      </c>
      <c r="AK136" s="23">
        <f t="shared" si="67"/>
        <v>-193.44358141990614</v>
      </c>
      <c r="AL136" s="9">
        <f t="shared" si="70"/>
        <v>-2.9523707080167938E-2</v>
      </c>
      <c r="AM136" s="9" t="e">
        <f t="shared" si="70"/>
        <v>#NUM!</v>
      </c>
      <c r="AN136" s="9">
        <f t="shared" ref="AN136:AO151" si="71">AVERAGE(AL134:AL138)</f>
        <v>-2.9565942900318908E-2</v>
      </c>
      <c r="AO136" s="9" t="e">
        <f t="shared" si="71"/>
        <v>#NUM!</v>
      </c>
      <c r="AP136" s="23"/>
      <c r="AQ136" s="25">
        <f t="shared" si="57"/>
        <v>360.14411696424105</v>
      </c>
      <c r="AR136" s="4"/>
      <c r="AS136" s="4"/>
      <c r="AT136" s="4"/>
      <c r="AU136" s="16"/>
      <c r="AV136" s="16"/>
      <c r="AY136" s="21" t="e">
        <f>-Y136*W136*X136^(-Parameters!B$52)*Parameters!B$46*Parameters!B$45*N136</f>
        <v>#NUM!</v>
      </c>
      <c r="AZ136" s="7">
        <f>1000*EXP(-(Parameters!$B$54)*'6states,BAU'!A136)*AQ136*Parameters!B$46*Parameters!B$45*N136</f>
        <v>0.57356972582057408</v>
      </c>
      <c r="BA136" s="93">
        <f>SUM(AZ136:AZ$204)*EXP(Parameters!$B$54*A136)</f>
        <v>839.41597892429479</v>
      </c>
      <c r="BB136" s="43">
        <f t="shared" si="53"/>
        <v>1.5371282557522572</v>
      </c>
      <c r="BC136" s="30">
        <f>IF(C136&lt;0,Parameters!$B$6*AC136^2/AF136,0)</f>
        <v>0</v>
      </c>
      <c r="BD136" s="30">
        <f>Parameters!$B$5*AD136^2/AG136</f>
        <v>0.22955625735778351</v>
      </c>
      <c r="BE136" s="30">
        <f t="shared" si="68"/>
        <v>0</v>
      </c>
      <c r="BF136" s="30">
        <f t="shared" si="69"/>
        <v>6.499716236253382E-2</v>
      </c>
      <c r="BH136" s="5"/>
      <c r="BI136" s="5"/>
      <c r="BJ136" s="5"/>
      <c r="BM136">
        <f>-EXP(-Parameters!B$42*'6states,BAU'!A136)*(-Parameters!B$37/Parameters!B$38/Parameters!E$25*(EXP(-Parameters!B$38*Parameters!E$25*'6states,BAU'!I136/('6states,BAU'!F136+'6states,BAU'!I136))-EXP(-Parameters!B$38*Parameters!E$25))+Parameters!B$37*'6states,BAU'!F136/('6states,BAU'!F136+'6states,BAU'!I136)*EXP(-Parameters!B$38*Parameters!E$25*'6states,BAU'!I136/('6states,BAU'!F136+'6states,BAU'!I136)))</f>
        <v>-1.5963274219918036</v>
      </c>
      <c r="BN136">
        <f>-J136*K136*EXP(-Parameters!B$42*'6states,BAU'!A136)*(-Parameters!B$37/Parameters!B$38/Parameters!E$25*(EXP(-Parameters!B$38*Parameters!E$25*'6states,BAU'!I136/('6states,BAU'!F136+'6states,BAU'!I136))-EXP(-Parameters!B$38*Parameters!E$25)) + Parameters!B$37*'6states,BAU'!F136/('6states,BAU'!F136+'6states,BAU'!I136)*EXP(-Parameters!B$38*Parameters!E$25*'6states,BAU'!I136/('6states,BAU'!F136+'6states,BAU'!I136)))</f>
        <v>-2359.4723197361955</v>
      </c>
      <c r="BO136" s="7">
        <f t="shared" si="58"/>
        <v>0</v>
      </c>
    </row>
    <row r="137" spans="1:67" x14ac:dyDescent="0.3">
      <c r="A137">
        <f>A136+Parameters!$B$65</f>
        <v>133</v>
      </c>
      <c r="B137">
        <v>2158</v>
      </c>
      <c r="C137" s="74">
        <v>6.1098225287076702E-2</v>
      </c>
      <c r="D137" s="69">
        <v>2.3893917268254898E-3</v>
      </c>
      <c r="E137" s="75">
        <v>0.311488395542311</v>
      </c>
      <c r="F137" s="7">
        <f>MAX((1-Parameters!$B$4)^Parameters!B$65*F136 + C136*Parameters!B$65 - IF(C136&gt;0,Parameters!$B$5,0)*C136^2/F136*Parameters!B$65, 0.0001)</f>
        <v>0.89629462297150098</v>
      </c>
      <c r="G137" s="7">
        <f>(1-Parameters!$B$4)^Parameters!B$65*G136+D136*Parameters!B$65-Parameters!$B$5*D136^2/G136*Parameters!B$65</f>
        <v>3.6684490973119099E-2</v>
      </c>
      <c r="H137" s="7">
        <f>(1-Parameters!$B$4)^Parameters!B$65*H136+E136*Parameters!B$65-Parameters!$B$5*E136^2/H136*Parameters!B$65</f>
        <v>4.5709938541219817</v>
      </c>
      <c r="I137" s="7">
        <f>I136 *(1-Parameters!$B$4)-C136*(C136&lt;0)*Parameters!B$65</f>
        <v>0</v>
      </c>
      <c r="J137" s="23">
        <f>J136*(1+Parameters!$B$51)^Parameters!B$65</f>
        <v>11.99375362333075</v>
      </c>
      <c r="K137" s="23">
        <f>K136*(1+Parameters!$B$53)^Parameters!B$65</f>
        <v>126.06530894260136</v>
      </c>
      <c r="L137" s="23">
        <f>J137*K137*EXP(-Parameters!$B$42*'6states,BAU'!A137)*(Parameters!$B$37/Parameters!$B$38*('6states,BAU'!F137+'6states,BAU'!I137)/Parameters!$E$25*(EXP(-Parameters!$B$38*Parameters!$E$25*'6states,BAU'!I137/('6states,BAU'!F137+'6states,BAU'!I137))-EXP(-Parameters!$B$38*Parameters!$E$25))  +  Parameters!$B$39*'6states,BAU'!F137)</f>
        <v>326.40190861642873</v>
      </c>
      <c r="M137" s="8">
        <f>M136+L137*Parameters!B$65</f>
        <v>22961.61205240092</v>
      </c>
      <c r="N137" s="7">
        <f>M137*Parameters!$B$45</f>
        <v>13.776967231440551</v>
      </c>
      <c r="O137" s="9">
        <f>EXP(-Parameters!$B$46/2*N137^2)</f>
        <v>0.14844533510711624</v>
      </c>
      <c r="P137" s="7">
        <f>MAX((Parameters!$B$62 + Parameters!$B$31*'6states,BAU'!A137 - '6states,BAU'!M137 + Parameters!$B$47/Parameters!$B$45)/Parameters!B$62,1)</f>
        <v>1</v>
      </c>
      <c r="Q137" s="8"/>
      <c r="R137" s="8"/>
      <c r="S137" s="7">
        <f>Parameters!B$61*EXP(-Parameters!B$60*A137)+(1-Parameters!B$61)*P137^-Parameters!B$63</f>
        <v>0.51378537294369631</v>
      </c>
      <c r="T137" s="7">
        <f>1-S137/Parameters!$B$12</f>
        <v>0.74310731352815185</v>
      </c>
      <c r="U137" s="7">
        <f t="shared" si="59"/>
        <v>3.8926760186673746</v>
      </c>
      <c r="V137" s="7">
        <f>(Parameters!$B$19*(F137+Parameters!$B$20)^T137+Parameters!$B$18*G137^T137)^(1/T137)</f>
        <v>0.5870566961018967</v>
      </c>
      <c r="W137" s="7">
        <f>(Parameters!$B$10*H137^Parameters!$B$9+Parameters!$B$11*V137^Parameters!$B$9)^(Parameters!$B$7/Parameters!$B$9)*O137</f>
        <v>0.2309253110709785</v>
      </c>
      <c r="X137" s="7">
        <f>W137 - D137 - E137 - LN(1+EXP(Parameters!$B$21*C137))/Parameters!$B$21 - IF(C137&gt;0, 0,Parameters!$B$6*C137^2/F137)</f>
        <v>-0.14405070152175142</v>
      </c>
      <c r="Y137" s="7">
        <f>EXP(-Parameters!$B$55*A137)</f>
        <v>0.13421664913913783</v>
      </c>
      <c r="Z137" s="7">
        <f>IF(X137&gt;0,X137^(1-Parameters!$B$52)/(1-Parameters!$B$52)*Y137*Parameters!$B$65,-10+X137*1000)</f>
        <v>-154.05070152175142</v>
      </c>
      <c r="AC137" s="23">
        <f t="shared" si="60"/>
        <v>92.380287876600093</v>
      </c>
      <c r="AD137" s="23">
        <f t="shared" si="60"/>
        <v>3.6127513448544315</v>
      </c>
      <c r="AE137" s="23">
        <f t="shared" si="61"/>
        <v>0</v>
      </c>
      <c r="AF137" s="23">
        <f t="shared" si="62"/>
        <v>1355.1941141221591</v>
      </c>
      <c r="AG137" s="23">
        <f t="shared" si="63"/>
        <v>55.466813001196847</v>
      </c>
      <c r="AH137" s="23">
        <f t="shared" si="64"/>
        <v>887.62752651098742</v>
      </c>
      <c r="AI137" s="23">
        <f t="shared" si="65"/>
        <v>2184.5189208995503</v>
      </c>
      <c r="AJ137" s="23">
        <f t="shared" si="66"/>
        <v>349.1582057333946</v>
      </c>
      <c r="AK137" s="23">
        <f t="shared" si="67"/>
        <v>-217.80412136161246</v>
      </c>
      <c r="AL137" s="9">
        <f t="shared" si="70"/>
        <v>-3.0979145197403746E-2</v>
      </c>
      <c r="AM137" s="9" t="e">
        <f t="shared" si="70"/>
        <v>#NUM!</v>
      </c>
      <c r="AN137" s="9">
        <f t="shared" si="71"/>
        <v>-3.1021662218838664E-2</v>
      </c>
      <c r="AO137" s="9" t="e">
        <f t="shared" si="71"/>
        <v>#NUM!</v>
      </c>
      <c r="AP137" s="23"/>
      <c r="AQ137" s="25">
        <f t="shared" si="57"/>
        <v>349.15820573339465</v>
      </c>
      <c r="AR137" s="4"/>
      <c r="AS137" s="4"/>
      <c r="AT137" s="4"/>
      <c r="AU137" s="16"/>
      <c r="AV137" s="16"/>
      <c r="AY137" s="21" t="e">
        <f>-Y137*W137*X137^(-Parameters!B$52)*Parameters!B$46*Parameters!B$45*N137</f>
        <v>#NUM!</v>
      </c>
      <c r="AZ137" s="7">
        <f>1000*EXP(-(Parameters!$B$54)*'6states,BAU'!A137)*AQ137*Parameters!B$46*Parameters!B$45*N137</f>
        <v>0.54463588959621645</v>
      </c>
      <c r="BA137" s="93">
        <f>SUM(AZ137:AZ$204)*EXP(Parameters!$B$54*A137)</f>
        <v>808.30802193196757</v>
      </c>
      <c r="BB137" s="43">
        <f t="shared" si="53"/>
        <v>1.6237978020562609</v>
      </c>
      <c r="BC137" s="30">
        <f>IF(C137&lt;0,Parameters!$B$6*AC137^2/AF137,0)</f>
        <v>0</v>
      </c>
      <c r="BD137" s="30">
        <f>Parameters!$B$5*AD137^2/AG137</f>
        <v>0.23531137942729594</v>
      </c>
      <c r="BE137" s="30">
        <f t="shared" si="68"/>
        <v>0</v>
      </c>
      <c r="BF137" s="30">
        <f t="shared" si="69"/>
        <v>6.513356635032333E-2</v>
      </c>
      <c r="BH137" s="5"/>
      <c r="BI137" s="5"/>
      <c r="BJ137" s="5"/>
      <c r="BM137">
        <f>-EXP(-Parameters!B$42*'6states,BAU'!A137)*(-Parameters!B$37/Parameters!B$38/Parameters!E$25*(EXP(-Parameters!B$38*Parameters!E$25*'6states,BAU'!I137/('6states,BAU'!F137+'6states,BAU'!I137))-EXP(-Parameters!B$38*Parameters!E$25))+Parameters!B$37*'6states,BAU'!F137/('6states,BAU'!F137+'6states,BAU'!I137)*EXP(-Parameters!B$38*Parameters!E$25*'6states,BAU'!I137/('6states,BAU'!F137+'6states,BAU'!I137)))</f>
        <v>-1.5804436987522235</v>
      </c>
      <c r="BN137">
        <f>-J137*K137*EXP(-Parameters!B$42*'6states,BAU'!A137)*(-Parameters!B$37/Parameters!B$38/Parameters!E$25*(EXP(-Parameters!B$38*Parameters!E$25*'6states,BAU'!I137/('6states,BAU'!F137+'6states,BAU'!I137))-EXP(-Parameters!B$38*Parameters!E$25)) + Parameters!B$37*'6states,BAU'!F137/('6states,BAU'!F137+'6states,BAU'!I137)*EXP(-Parameters!B$38*Parameters!E$25*'6states,BAU'!I137/('6states,BAU'!F137+'6states,BAU'!I137)))</f>
        <v>-2389.6249551845963</v>
      </c>
      <c r="BO137" s="7">
        <f t="shared" si="58"/>
        <v>0</v>
      </c>
    </row>
    <row r="138" spans="1:67" x14ac:dyDescent="0.3">
      <c r="A138">
        <f>A137+Parameters!$B$65</f>
        <v>134</v>
      </c>
      <c r="B138">
        <v>2159</v>
      </c>
      <c r="C138" s="74">
        <v>6.1172431771709397E-2</v>
      </c>
      <c r="D138" s="69">
        <v>2.3883443045498698E-3</v>
      </c>
      <c r="E138" s="75">
        <v>0.3119122612254</v>
      </c>
      <c r="F138" s="7">
        <f>MAX((1-Parameters!$B$4)^Parameters!B$65*F137 + C137*Parameters!B$65 - IF(C137&gt;0,Parameters!$B$5,0)*C137^2/F137*Parameters!B$65, 0.0001)</f>
        <v>0.89685099900395016</v>
      </c>
      <c r="G138" s="7">
        <f>(1-Parameters!$B$4)^Parameters!B$65*G137+D137*Parameters!B$65-Parameters!$B$5*D137^2/G137*Parameters!B$65</f>
        <v>3.6610798613159301E-2</v>
      </c>
      <c r="H138" s="7">
        <f>(1-Parameters!$B$4)^Parameters!B$65*H137+E137*Parameters!B$65-Parameters!$B$5*E137^2/H137*Parameters!B$65</f>
        <v>4.5737404944961089</v>
      </c>
      <c r="I138" s="7">
        <f>I137 *(1-Parameters!$B$4)-C137*(C137&lt;0)*Parameters!B$65</f>
        <v>0</v>
      </c>
      <c r="J138" s="23">
        <f>J137*(1+Parameters!$B$51)^Parameters!B$65</f>
        <v>12.028535508838408</v>
      </c>
      <c r="K138" s="23">
        <f>K137*(1+Parameters!$B$53)^Parameters!B$65</f>
        <v>128.58661512145341</v>
      </c>
      <c r="L138" s="23">
        <f>J138*K138*EXP(-Parameters!$B$42*'6states,BAU'!A138)*(Parameters!$B$37/Parameters!$B$38*('6states,BAU'!F138+'6states,BAU'!I138)/Parameters!$E$25*(EXP(-Parameters!$B$38*Parameters!$E$25*'6states,BAU'!I138/('6states,BAU'!F138+'6states,BAU'!I138))-EXP(-Parameters!$B$38*Parameters!$E$25))  +  Parameters!$B$39*'6states,BAU'!F138)</f>
        <v>330.77833215176764</v>
      </c>
      <c r="M138" s="8">
        <f>M137+L138*Parameters!B$65</f>
        <v>23292.390384552687</v>
      </c>
      <c r="N138" s="7">
        <f>M138*Parameters!$B$45</f>
        <v>13.975434230731612</v>
      </c>
      <c r="O138" s="9">
        <f>EXP(-Parameters!$B$46/2*N138^2)</f>
        <v>0.14045147023267163</v>
      </c>
      <c r="P138" s="7">
        <f>MAX((Parameters!$B$62 + Parameters!$B$31*'6states,BAU'!A138 - '6states,BAU'!M138 + Parameters!$B$47/Parameters!$B$45)/Parameters!B$62,1)</f>
        <v>1</v>
      </c>
      <c r="Q138" s="8"/>
      <c r="R138" s="8"/>
      <c r="S138" s="7">
        <f>Parameters!B$61*EXP(-Parameters!B$60*A138)+(1-Parameters!B$61)*P138^-Parameters!B$63</f>
        <v>0.51341814772335226</v>
      </c>
      <c r="T138" s="7">
        <f>1-S138/Parameters!$B$12</f>
        <v>0.74329092613832382</v>
      </c>
      <c r="U138" s="7">
        <f t="shared" si="59"/>
        <v>3.8954602771027678</v>
      </c>
      <c r="V138" s="7">
        <f>(Parameters!$B$19*(F138+Parameters!$B$20)^T138+Parameters!$B$18*G138^T138)^(1/T138)</f>
        <v>0.58740251134258448</v>
      </c>
      <c r="W138" s="7">
        <f>(Parameters!$B$10*H138^Parameters!$B$9+Parameters!$B$11*V138^Parameters!$B$9)^(Parameters!$B$7/Parameters!$B$9)*O138</f>
        <v>0.21852909868516612</v>
      </c>
      <c r="X138" s="7">
        <f>W138 - D138 - E138 - LN(1+EXP(Parameters!$B$21*C138))/Parameters!$B$21 - IF(C138&gt;0, 0,Parameters!$B$6*C138^2/F138)</f>
        <v>-0.15694393865220596</v>
      </c>
      <c r="Y138" s="7">
        <f>EXP(-Parameters!$B$55*A138)</f>
        <v>0.13220520237919381</v>
      </c>
      <c r="Z138" s="7">
        <f>IF(X138&gt;0,X138^(1-Parameters!$B$52)/(1-Parameters!$B$52)*Y138*Parameters!$B$65,-10+X138*1000)</f>
        <v>-166.94393865220596</v>
      </c>
      <c r="AC138" s="23">
        <f t="shared" si="60"/>
        <v>94.615930338522134</v>
      </c>
      <c r="AD138" s="23">
        <f t="shared" si="60"/>
        <v>3.6940728331189887</v>
      </c>
      <c r="AE138" s="23">
        <f t="shared" si="61"/>
        <v>0</v>
      </c>
      <c r="AF138" s="23">
        <f t="shared" si="62"/>
        <v>1387.1672122250914</v>
      </c>
      <c r="AG138" s="23">
        <f t="shared" si="63"/>
        <v>56.626239482314212</v>
      </c>
      <c r="AH138" s="23">
        <f t="shared" si="64"/>
        <v>908.54055469421587</v>
      </c>
      <c r="AI138" s="23">
        <f t="shared" si="65"/>
        <v>2235.9874754396992</v>
      </c>
      <c r="AJ138" s="23">
        <f t="shared" si="66"/>
        <v>338.00085069853236</v>
      </c>
      <c r="AK138" s="23">
        <f t="shared" si="67"/>
        <v>-242.74654998165133</v>
      </c>
      <c r="AL138" s="9">
        <f t="shared" si="70"/>
        <v>-3.2476718705372498E-2</v>
      </c>
      <c r="AM138" s="9" t="e">
        <f t="shared" si="70"/>
        <v>#NUM!</v>
      </c>
      <c r="AN138" s="9">
        <f t="shared" si="71"/>
        <v>-3.2519435428195465E-2</v>
      </c>
      <c r="AO138" s="9" t="e">
        <f t="shared" si="71"/>
        <v>#NUM!</v>
      </c>
      <c r="AP138" s="23"/>
      <c r="AQ138" s="25">
        <f t="shared" si="57"/>
        <v>338.00085069853236</v>
      </c>
      <c r="AR138" s="4"/>
      <c r="AS138" s="4"/>
      <c r="AT138" s="4"/>
      <c r="AU138" s="16"/>
      <c r="AV138" s="16"/>
      <c r="AY138" s="21" t="e">
        <f>-Y138*W138*X138^(-Parameters!B$52)*Parameters!B$46*Parameters!B$45*N138</f>
        <v>#NUM!</v>
      </c>
      <c r="AZ138" s="7">
        <f>1000*EXP(-(Parameters!$B$54)*'6states,BAU'!A138)*AQ138*Parameters!B$46*Parameters!B$45*N138</f>
        <v>0.51638039534472058</v>
      </c>
      <c r="BA138" s="93">
        <f>SUM(AZ138:AZ$204)*EXP(Parameters!$B$54*A138)</f>
        <v>777.09831386954522</v>
      </c>
      <c r="BB138" s="43">
        <f t="shared" si="53"/>
        <v>1.7181832513875031</v>
      </c>
      <c r="BC138" s="30">
        <f>IF(C138&lt;0,Parameters!$B$6*AC138^2/AF138,0)</f>
        <v>0</v>
      </c>
      <c r="BD138" s="30">
        <f>Parameters!$B$5*AD138^2/AG138</f>
        <v>0.24098676198778471</v>
      </c>
      <c r="BE138" s="30">
        <f t="shared" si="68"/>
        <v>0</v>
      </c>
      <c r="BF138" s="30">
        <f t="shared" si="69"/>
        <v>6.5236061354078445E-2</v>
      </c>
      <c r="BH138" s="5"/>
      <c r="BI138" s="5"/>
      <c r="BJ138" s="5"/>
      <c r="BM138">
        <f>-EXP(-Parameters!B$42*'6states,BAU'!A138)*(-Parameters!B$37/Parameters!B$38/Parameters!E$25*(EXP(-Parameters!B$38*Parameters!E$25*'6states,BAU'!I138/('6states,BAU'!F138+'6states,BAU'!I138))-EXP(-Parameters!B$38*Parameters!E$25))+Parameters!B$37*'6states,BAU'!F138/('6states,BAU'!F138+'6states,BAU'!I138)*EXP(-Parameters!B$38*Parameters!E$25*'6states,BAU'!I138/('6states,BAU'!F138+'6states,BAU'!I138)))</f>
        <v>-1.5647180211995591</v>
      </c>
      <c r="BN138">
        <f>-J138*K138*EXP(-Parameters!B$42*'6states,BAU'!A138)*(-Parameters!B$37/Parameters!B$38/Parameters!E$25*(EXP(-Parameters!B$38*Parameters!E$25*'6states,BAU'!I138/('6states,BAU'!F138+'6states,BAU'!I138))-EXP(-Parameters!B$38*Parameters!E$25)) + Parameters!B$37*'6states,BAU'!F138/('6states,BAU'!F138+'6states,BAU'!I138)*EXP(-Parameters!B$38*Parameters!E$25*'6states,BAU'!I138/('6states,BAU'!F138+'6states,BAU'!I138)))</f>
        <v>-2420.1629231570869</v>
      </c>
      <c r="BO138" s="7">
        <f t="shared" si="58"/>
        <v>0</v>
      </c>
    </row>
    <row r="139" spans="1:67" x14ac:dyDescent="0.3">
      <c r="A139">
        <f>A138+Parameters!$B$65</f>
        <v>135</v>
      </c>
      <c r="B139">
        <v>2160</v>
      </c>
      <c r="C139" s="74">
        <v>6.1279842721948398E-2</v>
      </c>
      <c r="D139" s="69">
        <v>2.3884743178627901E-3</v>
      </c>
      <c r="E139" s="75">
        <v>0.31230638536727801</v>
      </c>
      <c r="F139" s="7">
        <f>MAX((1-Parameters!$B$4)^Parameters!B$65*F138 + C138*Parameters!B$65 - IF(C138&gt;0,Parameters!$B$5,0)*C138^2/F138*Parameters!B$65, 0.0001)</f>
        <v>0.89743905242755695</v>
      </c>
      <c r="G139" s="7">
        <f>(1-Parameters!$B$4)^Parameters!B$65*G138+D138*Parameters!B$65-Parameters!$B$5*D138^2/G138*Parameters!B$65</f>
        <v>3.6540517509355178E-2</v>
      </c>
      <c r="H139" s="7">
        <f>(1-Parameters!$B$4)^Parameters!B$65*H138+E138*Parameters!B$65-Parameters!$B$5*E138^2/H138*Parameters!B$65</f>
        <v>4.5766932108621727</v>
      </c>
      <c r="I139" s="7">
        <f>I138 *(1-Parameters!$B$4)-C138*(C138&lt;0)*Parameters!B$65</f>
        <v>0</v>
      </c>
      <c r="J139" s="23">
        <f>J138*(1+Parameters!$B$51)^Parameters!B$65</f>
        <v>12.063418261814038</v>
      </c>
      <c r="K139" s="23">
        <f>K138*(1+Parameters!$B$53)^Parameters!B$65</f>
        <v>131.15834742388247</v>
      </c>
      <c r="L139" s="23">
        <f>J139*K139*EXP(-Parameters!$B$42*'6states,BAU'!A139)*(Parameters!$B$37/Parameters!$B$38*('6states,BAU'!F139+'6states,BAU'!I139)/Parameters!$E$25*(EXP(-Parameters!$B$38*Parameters!$E$25*'6states,BAU'!I139/('6states,BAU'!F139+'6states,BAU'!I139))-EXP(-Parameters!$B$38*Parameters!$E$25))  +  Parameters!$B$39*'6states,BAU'!F139)</f>
        <v>335.2251387470215</v>
      </c>
      <c r="M139" s="8">
        <f>M138+L139*Parameters!B$65</f>
        <v>23627.615523299708</v>
      </c>
      <c r="N139" s="7">
        <f>M139*Parameters!$B$45</f>
        <v>14.176569313979824</v>
      </c>
      <c r="O139" s="9">
        <f>EXP(-Parameters!$B$46/2*N139^2)</f>
        <v>0.13268200797929988</v>
      </c>
      <c r="P139" s="7">
        <f>MAX((Parameters!$B$62 + Parameters!$B$31*'6states,BAU'!A139 - '6states,BAU'!M139 + Parameters!$B$47/Parameters!$B$45)/Parameters!B$62,1)</f>
        <v>1</v>
      </c>
      <c r="Q139" s="8"/>
      <c r="R139" s="8"/>
      <c r="S139" s="7">
        <f>Parameters!B$61*EXP(-Parameters!B$60*A139)+(1-Parameters!B$61)*P139^-Parameters!B$63</f>
        <v>0.5130607049269591</v>
      </c>
      <c r="T139" s="7">
        <f>1-S139/Parameters!$B$12</f>
        <v>0.74346964753652045</v>
      </c>
      <c r="U139" s="7">
        <f t="shared" si="59"/>
        <v>3.8981741941915549</v>
      </c>
      <c r="V139" s="7">
        <f>(Parameters!$B$19*(F139+Parameters!$B$20)^T139+Parameters!$B$18*G139^T139)^(1/T139)</f>
        <v>0.58776903360348787</v>
      </c>
      <c r="W139" s="7">
        <f>(Parameters!$B$10*H139^Parameters!$B$9+Parameters!$B$11*V139^Parameters!$B$9)^(Parameters!$B$7/Parameters!$B$9)*O139</f>
        <v>0.206480300740286</v>
      </c>
      <c r="X139" s="7">
        <f>W139 - D139 - E139 - LN(1+EXP(Parameters!$B$21*C139))/Parameters!$B$21 - IF(C139&gt;0, 0,Parameters!$B$6*C139^2/F139)</f>
        <v>-0.16949440170138355</v>
      </c>
      <c r="Y139" s="7">
        <f>EXP(-Parameters!$B$55*A139)</f>
        <v>0.13022390030021183</v>
      </c>
      <c r="Z139" s="7">
        <f>IF(X139&gt;0,X139^(1-Parameters!$B$52)/(1-Parameters!$B$52)*Y139*Parameters!$B$65,-10+X139*1000)</f>
        <v>-179.49440170138354</v>
      </c>
      <c r="AC139" s="23">
        <f t="shared" si="60"/>
        <v>96.958070406475386</v>
      </c>
      <c r="AD139" s="23">
        <f t="shared" si="60"/>
        <v>3.7790870666261314</v>
      </c>
      <c r="AE139" s="23">
        <f t="shared" si="61"/>
        <v>0</v>
      </c>
      <c r="AF139" s="23">
        <f t="shared" si="62"/>
        <v>1419.9442257972071</v>
      </c>
      <c r="AG139" s="23">
        <f t="shared" si="63"/>
        <v>57.815064660604257</v>
      </c>
      <c r="AH139" s="23">
        <f t="shared" si="64"/>
        <v>929.9787468687714</v>
      </c>
      <c r="AI139" s="23">
        <f t="shared" si="65"/>
        <v>2288.748498545056</v>
      </c>
      <c r="AJ139" s="23">
        <f t="shared" si="66"/>
        <v>326.69684919991465</v>
      </c>
      <c r="AK139" s="23">
        <f t="shared" si="67"/>
        <v>-268.17709386483318</v>
      </c>
      <c r="AL139" s="9">
        <f t="shared" si="70"/>
        <v>-3.4015738101166981E-2</v>
      </c>
      <c r="AM139" s="9" t="e">
        <f t="shared" si="70"/>
        <v>#NUM!</v>
      </c>
      <c r="AN139" s="9">
        <f t="shared" si="71"/>
        <v>-3.4061817547807752E-2</v>
      </c>
      <c r="AO139" s="9" t="e">
        <f t="shared" si="71"/>
        <v>#NUM!</v>
      </c>
      <c r="AP139" s="23"/>
      <c r="AQ139" s="25">
        <f t="shared" si="57"/>
        <v>326.6968491999146</v>
      </c>
      <c r="AR139" s="4"/>
      <c r="AS139" s="4"/>
      <c r="AT139" s="4"/>
      <c r="AU139" s="16"/>
      <c r="AV139" s="16"/>
      <c r="AY139" s="21" t="e">
        <f>-Y139*W139*X139^(-Parameters!B$52)*Parameters!B$46*Parameters!B$45*N139</f>
        <v>#NUM!</v>
      </c>
      <c r="AZ139" s="7">
        <f>1000*EXP(-(Parameters!$B$54)*'6states,BAU'!A139)*AQ139*Parameters!B$46*Parameters!B$45*N139</f>
        <v>0.4888312896499683</v>
      </c>
      <c r="BA139" s="93">
        <f>SUM(AZ139:AZ$204)*EXP(Parameters!$B$54*A139)</f>
        <v>745.85580399333401</v>
      </c>
      <c r="BB139" s="43">
        <f t="shared" si="53"/>
        <v>1.8208744420611618</v>
      </c>
      <c r="BC139" s="30">
        <f>IF(C139&lt;0,Parameters!$B$6*AC139^2/AF139,0)</f>
        <v>0</v>
      </c>
      <c r="BD139" s="30">
        <f>Parameters!$B$5*AD139^2/AG139</f>
        <v>0.24702037679934397</v>
      </c>
      <c r="BE139" s="30">
        <f t="shared" si="68"/>
        <v>0</v>
      </c>
      <c r="BF139" s="30">
        <f t="shared" si="69"/>
        <v>6.5365092797366325E-2</v>
      </c>
      <c r="BH139" s="5"/>
      <c r="BI139" s="5"/>
      <c r="BJ139" s="5"/>
      <c r="BM139">
        <f>-EXP(-Parameters!B$42*'6states,BAU'!A139)*(-Parameters!B$37/Parameters!B$38/Parameters!E$25*(EXP(-Parameters!B$38*Parameters!E$25*'6states,BAU'!I139/('6states,BAU'!F139+'6states,BAU'!I139))-EXP(-Parameters!B$38*Parameters!E$25))+Parameters!B$37*'6states,BAU'!F139/('6states,BAU'!F139+'6states,BAU'!I139)*EXP(-Parameters!B$38*Parameters!E$25*'6states,BAU'!I139/('6states,BAU'!F139+'6states,BAU'!I139)))</f>
        <v>-1.5491488167529506</v>
      </c>
      <c r="BN139">
        <f>-J139*K139*EXP(-Parameters!B$42*'6states,BAU'!A139)*(-Parameters!B$37/Parameters!B$38/Parameters!E$25*(EXP(-Parameters!B$38*Parameters!E$25*'6states,BAU'!I139/('6states,BAU'!F139+'6states,BAU'!I139))-EXP(-Parameters!B$38*Parameters!E$25)) + Parameters!B$37*'6states,BAU'!F139/('6states,BAU'!F139+'6states,BAU'!I139)*EXP(-Parameters!B$38*Parameters!E$25*'6states,BAU'!I139/('6states,BAU'!F139+'6states,BAU'!I139)))</f>
        <v>-2451.0911479712904</v>
      </c>
      <c r="BO139" s="7">
        <f t="shared" si="58"/>
        <v>0</v>
      </c>
    </row>
    <row r="140" spans="1:67" x14ac:dyDescent="0.3">
      <c r="A140">
        <f>A139+Parameters!$B$65</f>
        <v>136</v>
      </c>
      <c r="B140">
        <v>2161</v>
      </c>
      <c r="C140" s="74">
        <v>6.1401230275090403E-2</v>
      </c>
      <c r="D140" s="69">
        <v>2.38917398951686E-3</v>
      </c>
      <c r="E140" s="75">
        <v>0.31272420048632199</v>
      </c>
      <c r="F140" s="7">
        <f>MAX((1-Parameters!$B$4)^Parameters!B$65*F139 + C139*Parameters!B$65 - IF(C139&gt;0,Parameters!$B$5,0)*C139^2/F139*Parameters!B$65, 0.0001)</f>
        <v>0.89808560643831736</v>
      </c>
      <c r="G140" s="7">
        <f>(1-Parameters!$B$4)^Parameters!B$65*G139+D139*Parameters!B$65-Parameters!$B$5*D139^2/G139*Parameters!B$65</f>
        <v>3.6474470430448304E-2</v>
      </c>
      <c r="H140" s="7">
        <f>(1-Parameters!$B$4)^Parameters!B$65*H139+E139*Parameters!B$65-Parameters!$B$5*E139^2/H139*Parameters!B$65</f>
        <v>4.5798142940710536</v>
      </c>
      <c r="I140" s="7">
        <f>I139 *(1-Parameters!$B$4)-C139*(C139&lt;0)*Parameters!B$65</f>
        <v>0</v>
      </c>
      <c r="J140" s="23">
        <f>J139*(1+Parameters!$B$51)^Parameters!B$65</f>
        <v>12.098402174773296</v>
      </c>
      <c r="K140" s="23">
        <f>K139*(1+Parameters!$B$53)^Parameters!B$65</f>
        <v>133.78151437236014</v>
      </c>
      <c r="L140" s="23">
        <f>J140*K140*EXP(-Parameters!$B$42*'6states,BAU'!A140)*(Parameters!$B$37/Parameters!$B$38*('6states,BAU'!F140+'6states,BAU'!I140)/Parameters!$E$25*(EXP(-Parameters!$B$38*Parameters!$E$25*'6states,BAU'!I140/('6states,BAU'!F140+'6states,BAU'!I140))-EXP(-Parameters!$B$38*Parameters!$E$25))  +  Parameters!$B$39*'6states,BAU'!F140)</f>
        <v>339.75371124711739</v>
      </c>
      <c r="M140" s="8">
        <f>M139+L140*Parameters!B$65</f>
        <v>23967.369234546826</v>
      </c>
      <c r="N140" s="7">
        <f>M140*Parameters!$B$45</f>
        <v>14.380421540728095</v>
      </c>
      <c r="O140" s="9">
        <f>EXP(-Parameters!$B$46/2*N140^2)</f>
        <v>0.12514214058019257</v>
      </c>
      <c r="P140" s="7">
        <f>MAX((Parameters!$B$62 + Parameters!$B$31*'6states,BAU'!A140 - '6states,BAU'!M140 + Parameters!$B$47/Parameters!$B$45)/Parameters!B$62,1)</f>
        <v>1</v>
      </c>
      <c r="Q140" s="8"/>
      <c r="R140" s="8"/>
      <c r="S140" s="7">
        <f>Parameters!B$61*EXP(-Parameters!B$60*A140)+(1-Parameters!B$61)*P140^-Parameters!B$63</f>
        <v>0.512712783962888</v>
      </c>
      <c r="T140" s="7">
        <f>1-S140/Parameters!$B$12</f>
        <v>0.743643608018556</v>
      </c>
      <c r="U140" s="7">
        <f t="shared" si="59"/>
        <v>3.9008194501051632</v>
      </c>
      <c r="V140" s="7">
        <f>(Parameters!$B$19*(F140+Parameters!$B$20)^T140+Parameters!$B$18*G140^T140)^(1/T140)</f>
        <v>0.5881735119953545</v>
      </c>
      <c r="W140" s="7">
        <f>(Parameters!$B$10*H140^Parameters!$B$9+Parameters!$B$11*V140^Parameters!$B$9)^(Parameters!$B$7/Parameters!$B$9)*O140</f>
        <v>0.19478662203296523</v>
      </c>
      <c r="X140" s="7">
        <f>W140 - D140 - E140 - LN(1+EXP(Parameters!$B$21*C140))/Parameters!$B$21 - IF(C140&gt;0, 0,Parameters!$B$6*C140^2/F140)</f>
        <v>-0.18172798275130772</v>
      </c>
      <c r="Y140" s="7">
        <f>EXP(-Parameters!$B$55*A140)</f>
        <v>0.12827229113692101</v>
      </c>
      <c r="Z140" s="7">
        <f>IF(X140&gt;0,X140^(1-Parameters!$B$52)/(1-Parameters!$B$52)*Y140*Parameters!$B$65,-10+X140*1000)</f>
        <v>-191.72798275130771</v>
      </c>
      <c r="AC140" s="23">
        <f t="shared" si="60"/>
        <v>99.380504708419224</v>
      </c>
      <c r="AD140" s="23">
        <f t="shared" si="60"/>
        <v>3.8669797958549696</v>
      </c>
      <c r="AE140" s="23">
        <f t="shared" si="61"/>
        <v>0</v>
      </c>
      <c r="AF140" s="23">
        <f t="shared" si="62"/>
        <v>1453.5897805196757</v>
      </c>
      <c r="AG140" s="23">
        <f t="shared" si="63"/>
        <v>59.035482906615563</v>
      </c>
      <c r="AH140" s="23">
        <f t="shared" si="64"/>
        <v>951.98386443301172</v>
      </c>
      <c r="AI140" s="23">
        <f t="shared" si="65"/>
        <v>2342.9047681964198</v>
      </c>
      <c r="AJ140" s="23">
        <f t="shared" si="66"/>
        <v>315.27043874131357</v>
      </c>
      <c r="AK140" s="23">
        <f t="shared" si="67"/>
        <v>-294.13447523045215</v>
      </c>
      <c r="AL140" s="9">
        <f t="shared" si="70"/>
        <v>-3.5601868056866159E-2</v>
      </c>
      <c r="AM140" s="9" t="e">
        <f t="shared" si="70"/>
        <v>#NUM!</v>
      </c>
      <c r="AN140" s="9">
        <f t="shared" si="71"/>
        <v>-3.5650268240473793E-2</v>
      </c>
      <c r="AO140" s="9" t="e">
        <f t="shared" si="71"/>
        <v>#NUM!</v>
      </c>
      <c r="AP140" s="23"/>
      <c r="AQ140" s="25">
        <f t="shared" si="57"/>
        <v>315.27043874131357</v>
      </c>
      <c r="AR140" s="4"/>
      <c r="AS140" s="4"/>
      <c r="AT140" s="4"/>
      <c r="AU140" s="16"/>
      <c r="AV140" s="16"/>
      <c r="AY140" s="21" t="e">
        <f>-Y140*W140*X140^(-Parameters!B$52)*Parameters!B$46*Parameters!B$45*N140</f>
        <v>#NUM!</v>
      </c>
      <c r="AZ140" s="7">
        <f>1000*EXP(-(Parameters!$B$54)*'6states,BAU'!A140)*AQ140*Parameters!B$46*Parameters!B$45*N140</f>
        <v>0.46201283113693631</v>
      </c>
      <c r="BA140" s="93">
        <f>SUM(AZ140:AZ$204)*EXP(Parameters!$B$54*A140)</f>
        <v>714.64971418798291</v>
      </c>
      <c r="BB140" s="43">
        <f t="shared" si="53"/>
        <v>1.9329592598366883</v>
      </c>
      <c r="BC140" s="30">
        <f>IF(C140&lt;0,Parameters!$B$6*AC140^2/AF140,0)</f>
        <v>0</v>
      </c>
      <c r="BD140" s="30">
        <f>Parameters!$B$5*AD140^2/AG140</f>
        <v>0.25329737312735418</v>
      </c>
      <c r="BE140" s="30">
        <f t="shared" si="68"/>
        <v>0</v>
      </c>
      <c r="BF140" s="30">
        <f t="shared" si="69"/>
        <v>6.5502636812032111E-2</v>
      </c>
      <c r="BH140" s="5"/>
      <c r="BI140" s="5"/>
      <c r="BJ140" s="5"/>
      <c r="BM140">
        <f>-EXP(-Parameters!B$42*'6states,BAU'!A140)*(-Parameters!B$37/Parameters!B$38/Parameters!E$25*(EXP(-Parameters!B$38*Parameters!E$25*'6states,BAU'!I140/('6states,BAU'!F140+'6states,BAU'!I140))-EXP(-Parameters!B$38*Parameters!E$25))+Parameters!B$37*'6states,BAU'!F140/('6states,BAU'!F140+'6states,BAU'!I140)*EXP(-Parameters!B$38*Parameters!E$25*'6states,BAU'!I140/('6states,BAU'!F140+'6states,BAU'!I140)))</f>
        <v>-1.5337345284789792</v>
      </c>
      <c r="BN140">
        <f>-J140*K140*EXP(-Parameters!B$42*'6states,BAU'!A140)*(-Parameters!B$37/Parameters!B$38/Parameters!E$25*(EXP(-Parameters!B$38*Parameters!E$25*'6states,BAU'!I140/('6states,BAU'!F140+'6states,BAU'!I140))-EXP(-Parameters!B$38*Parameters!E$25)) + Parameters!B$37*'6states,BAU'!F140/('6states,BAU'!F140+'6states,BAU'!I140)*EXP(-Parameters!B$38*Parameters!E$25*'6states,BAU'!I140/('6states,BAU'!F140+'6states,BAU'!I140)))</f>
        <v>-2482.4146168746438</v>
      </c>
      <c r="BO140" s="7">
        <f t="shared" si="58"/>
        <v>0</v>
      </c>
    </row>
    <row r="141" spans="1:67" x14ac:dyDescent="0.3">
      <c r="A141">
        <f>A140+Parameters!$B$65</f>
        <v>137</v>
      </c>
      <c r="B141">
        <v>2162</v>
      </c>
      <c r="C141" s="74">
        <v>6.1555788976233199E-2</v>
      </c>
      <c r="D141" s="69">
        <v>2.3905073107786498E-3</v>
      </c>
      <c r="E141" s="75">
        <v>0.313125348427719</v>
      </c>
      <c r="F141" s="7">
        <f>MAX((1-Parameters!$B$4)^Parameters!B$65*F140 + C140*Parameters!B$65 - IF(C140&gt;0,Parameters!$B$5,0)*C140^2/F140*Parameters!B$65, 0.0001)</f>
        <v>0.89879931029956062</v>
      </c>
      <c r="G141" s="7">
        <f>(1-Parameters!$B$4)^Parameters!B$65*G140+D140*Parameters!B$65-Parameters!$B$5*D140^2/G140*Parameters!B$65</f>
        <v>3.641290303377389E-2</v>
      </c>
      <c r="H141" s="7">
        <f>(1-Parameters!$B$4)^Parameters!B$65*H140+E140*Parameters!B$65-Parameters!$B$5*E140^2/H140*Parameters!B$65</f>
        <v>4.5831143782776529</v>
      </c>
      <c r="I141" s="7">
        <f>I140 *(1-Parameters!$B$4)-C140*(C140&lt;0)*Parameters!B$65</f>
        <v>0</v>
      </c>
      <c r="J141" s="23">
        <f>J140*(1+Parameters!$B$51)^Parameters!B$65</f>
        <v>12.133487541080138</v>
      </c>
      <c r="K141" s="23">
        <f>K140*(1+Parameters!$B$53)^Parameters!B$65</f>
        <v>136.45714465980734</v>
      </c>
      <c r="L141" s="23">
        <f>J141*K141*EXP(-Parameters!$B$42*'6states,BAU'!A141)*(Parameters!$B$37/Parameters!$B$38*('6states,BAU'!F141+'6states,BAU'!I141)/Parameters!$E$25*(EXP(-Parameters!$B$38*Parameters!$E$25*'6states,BAU'!I141/('6states,BAU'!F141+'6states,BAU'!I141))-EXP(-Parameters!$B$38*Parameters!$E$25))  +  Parameters!$B$39*'6states,BAU'!F141)</f>
        <v>344.36901000131166</v>
      </c>
      <c r="M141" s="8">
        <f>M140+L141*Parameters!B$65</f>
        <v>24311.738244548138</v>
      </c>
      <c r="N141" s="7">
        <f>M141*Parameters!$B$45</f>
        <v>14.587042946728882</v>
      </c>
      <c r="O141" s="9">
        <f>EXP(-Parameters!$B$46/2*N141^2)</f>
        <v>0.11783648800013538</v>
      </c>
      <c r="P141" s="7">
        <f>MAX((Parameters!$B$62 + Parameters!$B$31*'6states,BAU'!A141 - '6states,BAU'!M141 + Parameters!$B$47/Parameters!$B$45)/Parameters!B$62,1)</f>
        <v>1</v>
      </c>
      <c r="Q141" s="8"/>
      <c r="R141" s="8"/>
      <c r="S141" s="7">
        <f>Parameters!B$61*EXP(-Parameters!B$60*A141)+(1-Parameters!B$61)*P141^-Parameters!B$63</f>
        <v>0.51237413118134734</v>
      </c>
      <c r="T141" s="7">
        <f>1-S141/Parameters!$B$12</f>
        <v>0.74381293440932628</v>
      </c>
      <c r="U141" s="7">
        <f t="shared" si="59"/>
        <v>3.9033976898652769</v>
      </c>
      <c r="V141" s="7">
        <f>(Parameters!$B$19*(F141+Parameters!$B$20)^T141+Parameters!$B$18*G141^T141)^(1/T141)</f>
        <v>0.58862152205358254</v>
      </c>
      <c r="W141" s="7">
        <f>(Parameters!$B$10*H141^Parameters!$B$9+Parameters!$B$11*V141^Parameters!$B$9)^(Parameters!$B$7/Parameters!$B$9)*O141</f>
        <v>0.18345523107189488</v>
      </c>
      <c r="X141" s="7">
        <f>W141 - D141 - E141 - LN(1+EXP(Parameters!$B$21*C141))/Parameters!$B$21 - IF(C141&gt;0, 0,Parameters!$B$6*C141^2/F141)</f>
        <v>-0.19361641367466892</v>
      </c>
      <c r="Y141" s="7">
        <f>EXP(-Parameters!$B$55*A141)</f>
        <v>0.12634992989446087</v>
      </c>
      <c r="Z141" s="7">
        <f>IF(X141&gt;0,X141^(1-Parameters!$B$52)/(1-Parameters!$B$52)*Y141*Parameters!$B$65,-10+X141*1000)</f>
        <v>-203.61641367466891</v>
      </c>
      <c r="AC141" s="23">
        <f t="shared" si="60"/>
        <v>101.91798534154368</v>
      </c>
      <c r="AD141" s="23">
        <f t="shared" si="60"/>
        <v>3.9579654994408346</v>
      </c>
      <c r="AE141" s="23">
        <f t="shared" si="61"/>
        <v>0</v>
      </c>
      <c r="AF141" s="23">
        <f t="shared" si="62"/>
        <v>1488.1429749437311</v>
      </c>
      <c r="AG141" s="23">
        <f t="shared" si="63"/>
        <v>60.288882318965854</v>
      </c>
      <c r="AH141" s="23">
        <f t="shared" si="64"/>
        <v>974.58128072303384</v>
      </c>
      <c r="AI141" s="23">
        <f t="shared" si="65"/>
        <v>2398.5187301056849</v>
      </c>
      <c r="AJ141" s="23">
        <f t="shared" si="66"/>
        <v>303.74702139605404</v>
      </c>
      <c r="AK141" s="23">
        <f t="shared" si="67"/>
        <v>-320.57090224927686</v>
      </c>
      <c r="AL141" s="9">
        <f t="shared" si="70"/>
        <v>-3.723561767822936E-2</v>
      </c>
      <c r="AM141" s="9" t="e">
        <f t="shared" si="70"/>
        <v>#NUM!</v>
      </c>
      <c r="AN141" s="9">
        <f t="shared" si="71"/>
        <v>-3.7283266146654982E-2</v>
      </c>
      <c r="AO141" s="9" t="e">
        <f t="shared" si="71"/>
        <v>#NUM!</v>
      </c>
      <c r="AP141" s="23"/>
      <c r="AQ141" s="25">
        <f t="shared" si="57"/>
        <v>303.74702139605404</v>
      </c>
      <c r="AR141" s="4"/>
      <c r="AS141" s="4"/>
      <c r="AT141" s="4"/>
      <c r="AU141" s="16"/>
      <c r="AV141" s="16"/>
      <c r="AY141" s="21" t="e">
        <f>-Y141*W141*X141^(-Parameters!B$52)*Parameters!B$46*Parameters!B$45*N141</f>
        <v>#NUM!</v>
      </c>
      <c r="AZ141" s="7">
        <f>1000*EXP(-(Parameters!$B$54)*'6states,BAU'!A141)*AQ141*Parameters!B$46*Parameters!B$45*N141</f>
        <v>0.4359480326520736</v>
      </c>
      <c r="BA141" s="93">
        <f>SUM(AZ141:AZ$204)*EXP(Parameters!$B$54*A141)</f>
        <v>683.54942781839782</v>
      </c>
      <c r="BB141" s="43">
        <f t="shared" si="53"/>
        <v>2.0553878050332566</v>
      </c>
      <c r="BC141" s="30">
        <f>IF(C141&lt;0,Parameters!$B$6*AC141^2/AF141,0)</f>
        <v>0</v>
      </c>
      <c r="BD141" s="30">
        <f>Parameters!$B$5*AD141^2/AG141</f>
        <v>0.25984045967022085</v>
      </c>
      <c r="BE141" s="30">
        <f t="shared" si="68"/>
        <v>0</v>
      </c>
      <c r="BF141" s="30">
        <f t="shared" si="69"/>
        <v>6.5650006223381699E-2</v>
      </c>
      <c r="BH141" s="5"/>
      <c r="BI141" s="5"/>
      <c r="BJ141" s="5"/>
      <c r="BM141">
        <f>-EXP(-Parameters!B$42*'6states,BAU'!A141)*(-Parameters!B$37/Parameters!B$38/Parameters!E$25*(EXP(-Parameters!B$38*Parameters!E$25*'6states,BAU'!I141/('6states,BAU'!F141+'6states,BAU'!I141))-EXP(-Parameters!B$38*Parameters!E$25))+Parameters!B$37*'6states,BAU'!F141/('6states,BAU'!F141+'6states,BAU'!I141)*EXP(-Parameters!B$38*Parameters!E$25*'6states,BAU'!I141/('6states,BAU'!F141+'6states,BAU'!I141)))</f>
        <v>-1.5184736149359719</v>
      </c>
      <c r="BN141">
        <f>-J141*K141*EXP(-Parameters!B$42*'6states,BAU'!A141)*(-Parameters!B$37/Parameters!B$38/Parameters!E$25*(EXP(-Parameters!B$38*Parameters!E$25*'6states,BAU'!I141/('6states,BAU'!F141+'6states,BAU'!I141))-EXP(-Parameters!B$38*Parameters!E$25)) + Parameters!B$37*'6states,BAU'!F141/('6states,BAU'!F141+'6states,BAU'!I141)*EXP(-Parameters!B$38*Parameters!E$25*'6states,BAU'!I141/('6states,BAU'!F141+'6states,BAU'!I141)))</f>
        <v>-2514.138380848603</v>
      </c>
      <c r="BO141" s="7">
        <f t="shared" si="58"/>
        <v>0</v>
      </c>
    </row>
    <row r="142" spans="1:67" x14ac:dyDescent="0.3">
      <c r="A142">
        <f>A141+Parameters!$B$65</f>
        <v>138</v>
      </c>
      <c r="B142">
        <v>2163</v>
      </c>
      <c r="C142" s="74">
        <v>6.1580234933102301E-2</v>
      </c>
      <c r="D142" s="69">
        <v>2.3892421214950499E-3</v>
      </c>
      <c r="E142" s="75">
        <v>0.313911235750086</v>
      </c>
      <c r="F142" s="7">
        <f>MAX((1-Parameters!$B$4)^Parameters!B$65*F141 + C141*Parameters!B$65 - IF(C141&gt;0,Parameters!$B$5,0)*C141^2/F141*Parameters!B$65, 0.0001)</f>
        <v>0.89960487047271265</v>
      </c>
      <c r="G142" s="7">
        <f>(1-Parameters!$B$4)^Parameters!B$65*G141+D141*Parameters!B$65-Parameters!$B$5*D141^2/G141*Parameters!B$65</f>
        <v>3.6356101923898508E-2</v>
      </c>
      <c r="H142" s="7">
        <f>(1-Parameters!$B$4)^Parameters!B$65*H141+E141*Parameters!B$65-Parameters!$B$5*E141^2/H141*Parameters!B$65</f>
        <v>4.5865686320257426</v>
      </c>
      <c r="I142" s="7">
        <f>I141 *(1-Parameters!$B$4)-C141*(C141&lt;0)*Parameters!B$65</f>
        <v>0</v>
      </c>
      <c r="J142" s="23">
        <f>J141*(1+Parameters!$B$51)^Parameters!B$65</f>
        <v>12.168674654949269</v>
      </c>
      <c r="K142" s="23">
        <f>K141*(1+Parameters!$B$53)^Parameters!B$65</f>
        <v>139.1862875530035</v>
      </c>
      <c r="L142" s="23">
        <f>J142*K142*EXP(-Parameters!$B$42*'6states,BAU'!A142)*(Parameters!$B$37/Parameters!$B$38*('6states,BAU'!F142+'6states,BAU'!I142)/Parameters!$E$25*(EXP(-Parameters!$B$38*Parameters!$E$25*'6states,BAU'!I142/('6states,BAU'!F142+'6states,BAU'!I142))-EXP(-Parameters!$B$38*Parameters!$E$25))  +  Parameters!$B$39*'6states,BAU'!F142)</f>
        <v>349.08242793056161</v>
      </c>
      <c r="M142" s="8">
        <f>M141+L142*Parameters!B$65</f>
        <v>24660.820672478701</v>
      </c>
      <c r="N142" s="7">
        <f>M142*Parameters!$B$45</f>
        <v>14.796492403487219</v>
      </c>
      <c r="O142" s="9">
        <f>EXP(-Parameters!$B$46/2*N142^2)</f>
        <v>0.11076896049670873</v>
      </c>
      <c r="P142" s="7">
        <f>MAX((Parameters!$B$62 + Parameters!$B$31*'6states,BAU'!A142 - '6states,BAU'!M142 + Parameters!$B$47/Parameters!$B$45)/Parameters!B$62,1)</f>
        <v>1</v>
      </c>
      <c r="Q142" s="8"/>
      <c r="R142" s="8"/>
      <c r="S142" s="7">
        <f>Parameters!B$61*EXP(-Parameters!B$60*A142)+(1-Parameters!B$61)*P142^-Parameters!B$63</f>
        <v>0.5120444996894612</v>
      </c>
      <c r="T142" s="7">
        <f>1-S142/Parameters!$B$12</f>
        <v>0.74397775015526935</v>
      </c>
      <c r="U142" s="7">
        <f t="shared" si="59"/>
        <v>3.9059105238176297</v>
      </c>
      <c r="V142" s="7">
        <f>(Parameters!$B$19*(F142+Parameters!$B$20)^T142+Parameters!$B$18*G142^T142)^(1/T142)</f>
        <v>0.58912866711125655</v>
      </c>
      <c r="W142" s="7">
        <f>(Parameters!$B$10*H142^Parameters!$B$9+Parameters!$B$11*V142^Parameters!$B$9)^(Parameters!$B$7/Parameters!$B$9)*O142</f>
        <v>0.17249199615600883</v>
      </c>
      <c r="X142" s="7">
        <f>W142 - D142 - E142 - LN(1+EXP(Parameters!$B$21*C142))/Parameters!$B$21 - IF(C142&gt;0, 0,Parameters!$B$6*C142^2/F142)</f>
        <v>-0.20538871668027489</v>
      </c>
      <c r="Y142" s="7">
        <f>EXP(-Parameters!$B$55*A142)</f>
        <v>0.12445637824691602</v>
      </c>
      <c r="Z142" s="7">
        <f>IF(X142&gt;0,X142^(1-Parameters!$B$52)/(1-Parameters!$B$52)*Y142*Parameters!$B$65,-10+X142*1000)</f>
        <v>-215.38871668027488</v>
      </c>
      <c r="AC142" s="23">
        <f t="shared" si="60"/>
        <v>104.29922287539716</v>
      </c>
      <c r="AD142" s="23">
        <f t="shared" si="60"/>
        <v>4.0466896042831459</v>
      </c>
      <c r="AE142" s="23">
        <f t="shared" si="61"/>
        <v>0</v>
      </c>
      <c r="AF142" s="23">
        <f t="shared" si="62"/>
        <v>1523.6721488178212</v>
      </c>
      <c r="AG142" s="23">
        <f t="shared" si="63"/>
        <v>61.57678972093386</v>
      </c>
      <c r="AH142" s="23">
        <f t="shared" si="64"/>
        <v>997.81467576526973</v>
      </c>
      <c r="AI142" s="23">
        <f t="shared" si="65"/>
        <v>2455.6978841434111</v>
      </c>
      <c r="AJ142" s="23">
        <f t="shared" si="66"/>
        <v>292.15187585500445</v>
      </c>
      <c r="AK142" s="23">
        <f t="shared" si="67"/>
        <v>-347.86946753937298</v>
      </c>
      <c r="AL142" s="9">
        <f t="shared" si="70"/>
        <v>-3.8921398660733963E-2</v>
      </c>
      <c r="AM142" s="9" t="e">
        <f t="shared" si="70"/>
        <v>#NUM!</v>
      </c>
      <c r="AN142" s="9">
        <f t="shared" si="71"/>
        <v>-3.896450197234351E-2</v>
      </c>
      <c r="AO142" s="9" t="e">
        <f t="shared" si="71"/>
        <v>#NUM!</v>
      </c>
      <c r="AP142" s="23"/>
      <c r="AQ142" s="25">
        <f t="shared" si="57"/>
        <v>292.1518758550045</v>
      </c>
      <c r="AR142" s="4"/>
      <c r="AS142" s="4"/>
      <c r="AT142" s="4"/>
      <c r="AU142" s="16"/>
      <c r="AV142" s="16"/>
      <c r="AY142" s="21" t="e">
        <f>-Y142*W142*X142^(-Parameters!B$52)*Parameters!B$46*Parameters!B$45*N142</f>
        <v>#NUM!</v>
      </c>
      <c r="AZ142" s="7">
        <f>1000*EXP(-(Parameters!$B$54)*'6states,BAU'!A142)*AQ142*Parameters!B$46*Parameters!B$45*N142</f>
        <v>0.4106569252074565</v>
      </c>
      <c r="BA142" s="93">
        <f>SUM(AZ142:AZ$204)*EXP(Parameters!$B$54*A142)</f>
        <v>652.62407955551146</v>
      </c>
      <c r="BB142" s="43">
        <f t="shared" ref="BB142:BB205" si="72">(C142+D142+E142)/W142</f>
        <v>2.1907144750235981</v>
      </c>
      <c r="BC142" s="30">
        <f>IF(C142&lt;0,Parameters!$B$6*AC142^2/AF142,0)</f>
        <v>0</v>
      </c>
      <c r="BD142" s="30">
        <f>Parameters!$B$5*AD142^2/AG142</f>
        <v>0.26593943639523876</v>
      </c>
      <c r="BE142" s="30">
        <f t="shared" si="68"/>
        <v>0</v>
      </c>
      <c r="BF142" s="30">
        <f t="shared" si="69"/>
        <v>6.5717774873012239E-2</v>
      </c>
      <c r="BH142" s="5"/>
      <c r="BI142" s="5"/>
      <c r="BJ142" s="5"/>
      <c r="BM142">
        <f>-EXP(-Parameters!B$42*'6states,BAU'!A142)*(-Parameters!B$37/Parameters!B$38/Parameters!E$25*(EXP(-Parameters!B$38*Parameters!E$25*'6states,BAU'!I142/('6states,BAU'!F142+'6states,BAU'!I142))-EXP(-Parameters!B$38*Parameters!E$25))+Parameters!B$37*'6states,BAU'!F142/('6states,BAU'!F142+'6states,BAU'!I142)*EXP(-Parameters!B$38*Parameters!E$25*'6states,BAU'!I142/('6states,BAU'!F142+'6states,BAU'!I142)))</f>
        <v>-1.5033645500198571</v>
      </c>
      <c r="BN142">
        <f>-J142*K142*EXP(-Parameters!B$42*'6states,BAU'!A142)*(-Parameters!B$37/Parameters!B$38/Parameters!E$25*(EXP(-Parameters!B$38*Parameters!E$25*'6states,BAU'!I142/('6states,BAU'!F142+'6states,BAU'!I142))-EXP(-Parameters!B$38*Parameters!E$25)) + Parameters!B$37*'6states,BAU'!F142/('6states,BAU'!F142+'6states,BAU'!I142)*EXP(-Parameters!B$38*Parameters!E$25*'6states,BAU'!I142/('6states,BAU'!F142+'6states,BAU'!I142)))</f>
        <v>-2546.2675554231269</v>
      </c>
      <c r="BO142" s="7">
        <f t="shared" si="58"/>
        <v>0</v>
      </c>
    </row>
    <row r="143" spans="1:67" x14ac:dyDescent="0.3">
      <c r="A143">
        <f>A142+Parameters!$B$65</f>
        <v>139</v>
      </c>
      <c r="B143">
        <v>2164</v>
      </c>
      <c r="C143" s="74">
        <v>6.1721531182463998E-2</v>
      </c>
      <c r="D143" s="69">
        <v>2.3908463181736002E-3</v>
      </c>
      <c r="E143" s="75">
        <v>0.31448590649414199</v>
      </c>
      <c r="F143" s="7">
        <f>MAX((1-Parameters!$B$4)^Parameters!B$65*F142 + C142*Parameters!B$65 - IF(C142&gt;0,Parameters!$B$5,0)*C142^2/F142*Parameters!B$65, 0.0001)</f>
        <v>0.90038463579407824</v>
      </c>
      <c r="G143" s="7">
        <f>(1-Parameters!$B$4)^Parameters!B$65*G142+D142*Parameters!B$65-Parameters!$B$5*D142^2/G142*Parameters!B$65</f>
        <v>3.630152955852281E-2</v>
      </c>
      <c r="H143" s="7">
        <f>(1-Parameters!$B$4)^Parameters!B$65*H142+E142*Parameters!B$65-Parameters!$B$5*E142^2/H142*Parameters!B$65</f>
        <v>4.5905001724439014</v>
      </c>
      <c r="I143" s="7">
        <f>I142 *(1-Parameters!$B$4)-C142*(C142&lt;0)*Parameters!B$65</f>
        <v>0</v>
      </c>
      <c r="J143" s="23">
        <f>J142*(1+Parameters!$B$51)^Parameters!B$65</f>
        <v>12.20396381144862</v>
      </c>
      <c r="K143" s="23">
        <f>K142*(1+Parameters!$B$53)^Parameters!B$65</f>
        <v>141.97001330406357</v>
      </c>
      <c r="L143" s="23">
        <f>J143*K143*EXP(-Parameters!$B$42*'6states,BAU'!A143)*(Parameters!$B$37/Parameters!$B$38*('6states,BAU'!F143+'6states,BAU'!I143)/Parameters!$E$25*(EXP(-Parameters!$B$38*Parameters!$E$25*'6states,BAU'!I143/('6states,BAU'!F143+'6states,BAU'!I143))-EXP(-Parameters!$B$38*Parameters!$E$25))  +  Parameters!$B$39*'6states,BAU'!F143)</f>
        <v>353.84993786464668</v>
      </c>
      <c r="M143" s="8">
        <f>M142+L143*Parameters!B$65</f>
        <v>25014.67061034335</v>
      </c>
      <c r="N143" s="7">
        <f>M143*Parameters!$B$45</f>
        <v>15.008802366206009</v>
      </c>
      <c r="O143" s="9">
        <f>EXP(-Parameters!$B$46/2*N143^2)</f>
        <v>0.10394382270287035</v>
      </c>
      <c r="P143" s="7">
        <f>MAX((Parameters!$B$62 + Parameters!$B$31*'6states,BAU'!A143 - '6states,BAU'!M143 + Parameters!$B$47/Parameters!$B$45)/Parameters!B$62,1)</f>
        <v>1</v>
      </c>
      <c r="Q143" s="8"/>
      <c r="R143" s="8"/>
      <c r="S143" s="7">
        <f>Parameters!B$61*EXP(-Parameters!B$60*A143)+(1-Parameters!B$61)*P143^-Parameters!B$63</f>
        <v>0.51172364917127344</v>
      </c>
      <c r="T143" s="7">
        <f>1-S143/Parameters!$B$12</f>
        <v>0.74413817541436322</v>
      </c>
      <c r="U143" s="7">
        <f t="shared" si="59"/>
        <v>3.9083595281143659</v>
      </c>
      <c r="V143" s="7">
        <f>(Parameters!$B$19*(F143+Parameters!$B$20)^T143+Parameters!$B$18*G143^T143)^(1/T143)</f>
        <v>0.58962012247302198</v>
      </c>
      <c r="W143" s="7">
        <f>(Parameters!$B$10*H143^Parameters!$B$9+Parameters!$B$11*V143^Parameters!$B$9)^(Parameters!$B$7/Parameters!$B$9)*O143</f>
        <v>0.16190515448769968</v>
      </c>
      <c r="X143" s="7">
        <f>W143 - D143 - E143 - LN(1+EXP(Parameters!$B$21*C143))/Parameters!$B$21 - IF(C143&gt;0, 0,Parameters!$B$6*C143^2/F143)</f>
        <v>-0.21669312953736874</v>
      </c>
      <c r="Y143" s="7">
        <f>EXP(-Parameters!$B$55*A143)</f>
        <v>0.12259120443737162</v>
      </c>
      <c r="Z143" s="7">
        <f>IF(X143&gt;0,X143^(1-Parameters!$B$52)/(1-Parameters!$B$52)*Y143*Parameters!$B$65,-10+X143*1000)</f>
        <v>-226.69312953736875</v>
      </c>
      <c r="AC143" s="23">
        <f t="shared" si="60"/>
        <v>106.93853387845658</v>
      </c>
      <c r="AD143" s="23">
        <f t="shared" si="60"/>
        <v>4.1423729304180226</v>
      </c>
      <c r="AE143" s="23">
        <f t="shared" si="61"/>
        <v>0</v>
      </c>
      <c r="AF143" s="23">
        <f t="shared" si="62"/>
        <v>1560.0036329925504</v>
      </c>
      <c r="AG143" s="23">
        <f t="shared" si="63"/>
        <v>62.895917748016402</v>
      </c>
      <c r="AH143" s="23">
        <f t="shared" si="64"/>
        <v>1021.5739991300687</v>
      </c>
      <c r="AI143" s="23">
        <f t="shared" si="65"/>
        <v>2514.1713878237097</v>
      </c>
      <c r="AJ143" s="23">
        <f t="shared" si="66"/>
        <v>280.51636951610101</v>
      </c>
      <c r="AK143" s="23">
        <f t="shared" si="67"/>
        <v>-375.4418455004959</v>
      </c>
      <c r="AL143" s="9">
        <f t="shared" si="70"/>
        <v>-4.064170823627844E-2</v>
      </c>
      <c r="AM143" s="9" t="e">
        <f t="shared" si="70"/>
        <v>#NUM!</v>
      </c>
      <c r="AN143" s="9">
        <f t="shared" si="71"/>
        <v>-4.0694533422770893E-2</v>
      </c>
      <c r="AO143" s="9" t="e">
        <f t="shared" si="71"/>
        <v>#NUM!</v>
      </c>
      <c r="AP143" s="23"/>
      <c r="AQ143" s="25">
        <f t="shared" si="57"/>
        <v>280.51636951610101</v>
      </c>
      <c r="AR143" s="4"/>
      <c r="AS143" s="4"/>
      <c r="AT143" s="4"/>
      <c r="AU143" s="16"/>
      <c r="AV143" s="16"/>
      <c r="AY143" s="21" t="e">
        <f>-Y143*W143*X143^(-Parameters!B$52)*Parameters!B$46*Parameters!B$45*N143</f>
        <v>#NUM!</v>
      </c>
      <c r="AZ143" s="7">
        <f>1000*EXP(-(Parameters!$B$54)*'6states,BAU'!A143)*AQ143*Parameters!B$46*Parameters!B$45*N143</f>
        <v>0.38616437713094109</v>
      </c>
      <c r="BA143" s="93">
        <f>SUM(AZ143:AZ$204)*EXP(Parameters!$B$54*A143)</f>
        <v>621.94233380266678</v>
      </c>
      <c r="BB143" s="43">
        <f t="shared" si="72"/>
        <v>2.3383954957625677</v>
      </c>
      <c r="BC143" s="30">
        <f>IF(C143&lt;0,Parameters!$B$6*AC143^2/AF143,0)</f>
        <v>0</v>
      </c>
      <c r="BD143" s="30">
        <f>Parameters!$B$5*AD143^2/AG143</f>
        <v>0.27281982852060632</v>
      </c>
      <c r="BE143" s="30">
        <f t="shared" si="68"/>
        <v>0</v>
      </c>
      <c r="BF143" s="30">
        <f t="shared" si="69"/>
        <v>6.5860759787524745E-2</v>
      </c>
      <c r="BH143" s="5"/>
      <c r="BI143" s="5"/>
      <c r="BJ143" s="5"/>
      <c r="BM143">
        <f>-EXP(-Parameters!B$42*'6states,BAU'!A143)*(-Parameters!B$37/Parameters!B$38/Parameters!E$25*(EXP(-Parameters!B$38*Parameters!E$25*'6states,BAU'!I143/('6states,BAU'!F143+'6states,BAU'!I143))-EXP(-Parameters!B$38*Parameters!E$25))+Parameters!B$37*'6states,BAU'!F143/('6states,BAU'!F143+'6states,BAU'!I143)*EXP(-Parameters!B$38*Parameters!E$25*'6states,BAU'!I143/('6states,BAU'!F143+'6states,BAU'!I143)))</f>
        <v>-1.4884058228115524</v>
      </c>
      <c r="BN143">
        <f>-J143*K143*EXP(-Parameters!B$42*'6states,BAU'!A143)*(-Parameters!B$37/Parameters!B$38/Parameters!E$25*(EXP(-Parameters!B$38*Parameters!E$25*'6states,BAU'!I143/('6states,BAU'!F143+'6states,BAU'!I143))-EXP(-Parameters!B$38*Parameters!E$25)) + Parameters!B$37*'6states,BAU'!F143/('6states,BAU'!F143+'6states,BAU'!I143)*EXP(-Parameters!B$38*Parameters!E$25*'6states,BAU'!I143/('6states,BAU'!F143+'6states,BAU'!I143)))</f>
        <v>-2578.8073215015638</v>
      </c>
    </row>
    <row r="144" spans="1:67" x14ac:dyDescent="0.3">
      <c r="A144">
        <f>A143+Parameters!$B$65</f>
        <v>140</v>
      </c>
      <c r="B144">
        <v>2165</v>
      </c>
      <c r="C144" s="74">
        <v>6.1837122806498002E-2</v>
      </c>
      <c r="D144" s="69">
        <v>2.3919366749326301E-3</v>
      </c>
      <c r="E144" s="75">
        <v>0.31519914294854701</v>
      </c>
      <c r="F144" s="7">
        <f>MAX((1-Parameters!$B$4)^Parameters!B$65*F143 + C143*Parameters!B$65 - IF(C143&gt;0,Parameters!$B$5,0)*C143^2/F143*Parameters!B$65, 0.0001)</f>
        <v>0.90124095115297054</v>
      </c>
      <c r="G144" s="7">
        <f>(1-Parameters!$B$4)^Parameters!B$65*G143+D143*Parameters!B$65-Parameters!$B$5*D143^2/G143*Parameters!B$65</f>
        <v>3.6251546712415206E-2</v>
      </c>
      <c r="H144" s="7">
        <f>(1-Parameters!$B$4)^Parameters!B$65*H143+E143*Parameters!B$65-Parameters!$B$5*E143^2/H143*Parameters!B$65</f>
        <v>4.5946988230432515</v>
      </c>
      <c r="I144" s="7">
        <f>I143 *(1-Parameters!$B$4)-C143*(C143&lt;0)*Parameters!B$65</f>
        <v>0</v>
      </c>
      <c r="J144" s="23">
        <f>J143*(1+Parameters!$B$51)^Parameters!B$65</f>
        <v>12.239355306501819</v>
      </c>
      <c r="K144" s="23">
        <f>K143*(1+Parameters!$B$53)^Parameters!B$65</f>
        <v>144.80941357014484</v>
      </c>
      <c r="L144" s="23">
        <f>J144*K144*EXP(-Parameters!$B$42*'6states,BAU'!A144)*(Parameters!$B$37/Parameters!$B$38*('6states,BAU'!F144+'6states,BAU'!I144)/Parameters!$E$25*(EXP(-Parameters!$B$38*Parameters!$E$25*'6states,BAU'!I144/('6states,BAU'!F144+'6states,BAU'!I144))-EXP(-Parameters!$B$38*Parameters!$E$25))  +  Parameters!$B$39*'6states,BAU'!F144)</f>
        <v>358.71275842615091</v>
      </c>
      <c r="M144" s="8">
        <f>M143+L144*Parameters!B$65</f>
        <v>25373.383368769501</v>
      </c>
      <c r="N144" s="7">
        <f>M144*Parameters!$B$45</f>
        <v>15.224030021261699</v>
      </c>
      <c r="O144" s="9">
        <f>EXP(-Parameters!$B$46/2*N144^2)</f>
        <v>9.7363930981146263E-2</v>
      </c>
      <c r="P144" s="7">
        <f>MAX((Parameters!$B$62 + Parameters!$B$31*'6states,BAU'!A144 - '6states,BAU'!M144 + Parameters!$B$47/Parameters!$B$45)/Parameters!B$62,1)</f>
        <v>1</v>
      </c>
      <c r="Q144" s="8"/>
      <c r="R144" s="8"/>
      <c r="S144" s="7">
        <f>Parameters!B$61*EXP(-Parameters!B$60*A144)+(1-Parameters!B$61)*P144^-Parameters!B$63</f>
        <v>0.51141134571254654</v>
      </c>
      <c r="T144" s="7">
        <f>1-S144/Parameters!$B$12</f>
        <v>0.74429432714372679</v>
      </c>
      <c r="U144" s="7">
        <f t="shared" si="59"/>
        <v>3.9107462452038715</v>
      </c>
      <c r="V144" s="7">
        <f>(Parameters!$B$19*(F144+Parameters!$B$20)^T144+Parameters!$B$18*G144^T144)^(1/T144)</f>
        <v>0.59016113288410998</v>
      </c>
      <c r="W144" s="7">
        <f>(Parameters!$B$10*H144^Parameters!$B$9+Parameters!$B$11*V144^Parameters!$B$9)^(Parameters!$B$7/Parameters!$B$9)*O144</f>
        <v>0.15169779485363741</v>
      </c>
      <c r="X144" s="7">
        <f>W144 - D144 - E144 - LN(1+EXP(Parameters!$B$21*C144))/Parameters!$B$21 - IF(C144&gt;0, 0,Parameters!$B$6*C144^2/F144)</f>
        <v>-0.22773040760559671</v>
      </c>
      <c r="Y144" s="7">
        <f>EXP(-Parameters!$B$55*A144)</f>
        <v>0.12075398317946676</v>
      </c>
      <c r="Z144" s="7">
        <f>IF(X144&gt;0,X144^(1-Parameters!$B$52)/(1-Parameters!$B$52)*Y144*Parameters!$B$65,-10+X144*1000)</f>
        <v>-237.7304076055967</v>
      </c>
      <c r="AC144" s="23">
        <f t="shared" si="60"/>
        <v>109.59850031262089</v>
      </c>
      <c r="AD144" s="23">
        <f t="shared" si="60"/>
        <v>4.2394060479771474</v>
      </c>
      <c r="AE144" s="23">
        <f t="shared" si="61"/>
        <v>0</v>
      </c>
      <c r="AF144" s="23">
        <f t="shared" si="62"/>
        <v>1597.3359073605877</v>
      </c>
      <c r="AG144" s="23">
        <f t="shared" si="63"/>
        <v>64.251293937565336</v>
      </c>
      <c r="AH144" s="23">
        <f t="shared" si="64"/>
        <v>1045.9861677150834</v>
      </c>
      <c r="AI144" s="23">
        <f t="shared" si="65"/>
        <v>2574.2515932943247</v>
      </c>
      <c r="AJ144" s="23">
        <f t="shared" si="66"/>
        <v>268.86520688739404</v>
      </c>
      <c r="AK144" s="23">
        <f t="shared" si="67"/>
        <v>-403.62342257186208</v>
      </c>
      <c r="AL144" s="9">
        <f t="shared" si="70"/>
        <v>-4.242191722960964E-2</v>
      </c>
      <c r="AM144" s="9" t="e">
        <f t="shared" si="70"/>
        <v>#NUM!</v>
      </c>
      <c r="AN144" s="9">
        <f t="shared" si="71"/>
        <v>-4.2478560017703157E-2</v>
      </c>
      <c r="AO144" s="9" t="e">
        <f t="shared" si="71"/>
        <v>#NUM!</v>
      </c>
      <c r="AP144" s="23"/>
      <c r="AQ144" s="25">
        <f t="shared" si="57"/>
        <v>268.86520688739404</v>
      </c>
      <c r="AR144" s="4"/>
      <c r="AS144" s="4"/>
      <c r="AT144" s="4"/>
      <c r="AU144" s="16"/>
      <c r="AV144" s="16"/>
      <c r="AY144" s="21" t="e">
        <f>-Y144*W144*X144^(-Parameters!B$52)*Parameters!B$46*Parameters!B$45*N144</f>
        <v>#NUM!</v>
      </c>
      <c r="AZ144" s="7">
        <f>1000*EXP(-(Parameters!$B$54)*'6states,BAU'!A144)*AQ144*Parameters!B$46*Parameters!B$45*N144</f>
        <v>0.36248368182881407</v>
      </c>
      <c r="BA144" s="93">
        <f>SUM(AZ144:AZ$204)*EXP(Parameters!$B$54*A144)</f>
        <v>591.57110540580618</v>
      </c>
      <c r="BB144" s="43">
        <f t="shared" si="72"/>
        <v>2.5012110610840548</v>
      </c>
      <c r="BC144" s="30">
        <f>IF(C144&lt;0,Parameters!$B$6*AC144^2/AF144,0)</f>
        <v>0</v>
      </c>
      <c r="BD144" s="30">
        <f>Parameters!$B$5*AD144^2/AG144</f>
        <v>0.2797229835883091</v>
      </c>
      <c r="BE144" s="30">
        <f t="shared" si="68"/>
        <v>0</v>
      </c>
      <c r="BF144" s="30">
        <f t="shared" si="69"/>
        <v>6.5981644698030334E-2</v>
      </c>
      <c r="BH144" s="5"/>
      <c r="BI144" s="5"/>
      <c r="BJ144" s="5"/>
      <c r="BM144">
        <f>-EXP(-Parameters!B$42*'6states,BAU'!A144)*(-Parameters!B$37/Parameters!B$38/Parameters!E$25*(EXP(-Parameters!B$38*Parameters!E$25*'6states,BAU'!I144/('6states,BAU'!F144+'6states,BAU'!I144))-EXP(-Parameters!B$38*Parameters!E$25))+Parameters!B$37*'6states,BAU'!F144/('6states,BAU'!F144+'6states,BAU'!I144)*EXP(-Parameters!B$38*Parameters!E$25*'6states,BAU'!I144/('6states,BAU'!F144+'6states,BAU'!I144)))</f>
        <v>-1.4735959374258711</v>
      </c>
      <c r="BN144">
        <f>-J144*K144*EXP(-Parameters!B$42*'6states,BAU'!A144)*(-Parameters!B$37/Parameters!B$38/Parameters!E$25*(EXP(-Parameters!B$38*Parameters!E$25*'6states,BAU'!I144/('6states,BAU'!F144+'6states,BAU'!I144))-EXP(-Parameters!B$38*Parameters!E$25)) + Parameters!B$37*'6states,BAU'!F144/('6states,BAU'!F144+'6states,BAU'!I144)*EXP(-Parameters!B$38*Parameters!E$25*'6states,BAU'!I144/('6states,BAU'!F144+'6states,BAU'!I144)))</f>
        <v>-2611.7629261960901</v>
      </c>
    </row>
    <row r="145" spans="1:66" x14ac:dyDescent="0.3">
      <c r="A145">
        <f>A144+Parameters!$B$65</f>
        <v>141</v>
      </c>
      <c r="B145">
        <v>2166</v>
      </c>
      <c r="C145" s="74">
        <v>6.2102655796899303E-2</v>
      </c>
      <c r="D145" s="69">
        <v>2.3972264330750599E-3</v>
      </c>
      <c r="E145" s="75">
        <v>0.31561451779733501</v>
      </c>
      <c r="F145" s="7">
        <f>MAX((1-Parameters!$B$4)^Parameters!B$65*F144 + C144*Parameters!B$65 - IF(C144&gt;0,Parameters!$B$5,0)*C144^2/F144*Parameters!B$65, 0.0001)</f>
        <v>0.90214716858977484</v>
      </c>
      <c r="G145" s="7">
        <f>(1-Parameters!$B$4)^Parameters!B$65*G144+D144*Parameters!B$65-Parameters!$B$5*D144^2/G144*Parameters!B$65</f>
        <v>3.6205437183311331E-2</v>
      </c>
      <c r="H145" s="7">
        <f>(1-Parameters!$B$4)^Parameters!B$65*H144+E144*Parameters!B$65-Parameters!$B$5*E144^2/H144*Parameters!B$65</f>
        <v>4.5992685564814151</v>
      </c>
      <c r="I145" s="7">
        <f>I144 *(1-Parameters!$B$4)-C144*(C144&lt;0)*Parameters!B$65</f>
        <v>0</v>
      </c>
      <c r="J145" s="23">
        <f>J144*(1+Parameters!$B$51)^Parameters!B$65</f>
        <v>12.274849436890673</v>
      </c>
      <c r="K145" s="23">
        <f>K144*(1+Parameters!$B$53)^Parameters!B$65</f>
        <v>147.70560184154775</v>
      </c>
      <c r="L145" s="23">
        <f>J145*K145*EXP(-Parameters!$B$42*'6states,BAU'!A145)*(Parameters!$B$37/Parameters!$B$38*('6states,BAU'!F145+'6states,BAU'!I145)/Parameters!$E$25*(EXP(-Parameters!$B$38*Parameters!$E$25*'6states,BAU'!I145/('6states,BAU'!F145+'6states,BAU'!I145))-EXP(-Parameters!$B$38*Parameters!$E$25))  +  Parameters!$B$39*'6states,BAU'!F145)</f>
        <v>363.66219442326712</v>
      </c>
      <c r="M145" s="8">
        <f>M144+L145*Parameters!B$65</f>
        <v>25737.045563192769</v>
      </c>
      <c r="N145" s="7">
        <f>M145*Parameters!$B$45</f>
        <v>15.442227337915661</v>
      </c>
      <c r="O145" s="9">
        <f>EXP(-Parameters!$B$46/2*N145^2)</f>
        <v>9.1031746486331916E-2</v>
      </c>
      <c r="P145" s="7">
        <f>MAX((Parameters!$B$62 + Parameters!$B$31*'6states,BAU'!A145 - '6states,BAU'!M145 + Parameters!$B$47/Parameters!$B$45)/Parameters!B$62,1)</f>
        <v>1</v>
      </c>
      <c r="Q145" s="8"/>
      <c r="R145" s="8"/>
      <c r="S145" s="7">
        <f>Parameters!B$61*EXP(-Parameters!B$60*A145)+(1-Parameters!B$61)*P145^-Parameters!B$63</f>
        <v>0.51110736163022763</v>
      </c>
      <c r="T145" s="7">
        <f>1-S145/Parameters!$B$12</f>
        <v>0.74444631918488624</v>
      </c>
      <c r="U145" s="7">
        <f t="shared" si="59"/>
        <v>3.9130721843269916</v>
      </c>
      <c r="V145" s="7">
        <f>(Parameters!$B$19*(F145+Parameters!$B$20)^T145+Parameters!$B$18*G145^T145)^(1/T145)</f>
        <v>0.59073468622658265</v>
      </c>
      <c r="W145" s="7">
        <f>(Parameters!$B$10*H145^Parameters!$B$9+Parameters!$B$11*V145^Parameters!$B$9)^(Parameters!$B$7/Parameters!$B$9)*O145</f>
        <v>0.14187407867584548</v>
      </c>
      <c r="X145" s="7">
        <f>W145 - D145 - E145 - LN(1+EXP(Parameters!$B$21*C145))/Parameters!$B$21 - IF(C145&gt;0, 0,Parameters!$B$6*C145^2/F145)</f>
        <v>-0.23824032137848022</v>
      </c>
      <c r="Y145" s="7">
        <f>EXP(-Parameters!$B$55*A145)</f>
        <v>0.11894429556042277</v>
      </c>
      <c r="Z145" s="7">
        <f>IF(X145&gt;0,X145^(1-Parameters!$B$52)/(1-Parameters!$B$52)*Y145*Parameters!$B$65,-10+X145*1000)</f>
        <v>-248.24032137848022</v>
      </c>
      <c r="AC145" s="23">
        <f t="shared" si="60"/>
        <v>112.59609099477098</v>
      </c>
      <c r="AD145" s="23">
        <f t="shared" si="60"/>
        <v>4.3463250022081397</v>
      </c>
      <c r="AE145" s="23">
        <f t="shared" si="61"/>
        <v>0</v>
      </c>
      <c r="AF145" s="23">
        <f t="shared" si="62"/>
        <v>1635.6505753539921</v>
      </c>
      <c r="AG145" s="23">
        <f t="shared" si="63"/>
        <v>65.64277561542103</v>
      </c>
      <c r="AH145" s="23">
        <f t="shared" si="64"/>
        <v>1071.0398070843332</v>
      </c>
      <c r="AI145" s="23">
        <f t="shared" si="65"/>
        <v>2635.910507202334</v>
      </c>
      <c r="AJ145" s="23">
        <f t="shared" si="66"/>
        <v>257.22678792719807</v>
      </c>
      <c r="AK145" s="23">
        <f t="shared" si="67"/>
        <v>-431.94495565991832</v>
      </c>
      <c r="AL145" s="9">
        <f t="shared" si="70"/>
        <v>-4.4252025309003074E-2</v>
      </c>
      <c r="AM145" s="9" t="e">
        <f t="shared" si="70"/>
        <v>#NUM!</v>
      </c>
      <c r="AN145" s="9">
        <f t="shared" si="71"/>
        <v>-4.4312583725403698E-2</v>
      </c>
      <c r="AO145" s="9" t="e">
        <f t="shared" si="71"/>
        <v>#NUM!</v>
      </c>
      <c r="AP145" s="23"/>
      <c r="AQ145" s="25">
        <f t="shared" si="57"/>
        <v>257.22678792719802</v>
      </c>
      <c r="AR145" s="4"/>
      <c r="AS145" s="4"/>
      <c r="AT145" s="4"/>
      <c r="AU145" s="16"/>
      <c r="AV145" s="16"/>
      <c r="AY145" s="21" t="e">
        <f>-Y145*W145*X145^(-Parameters!B$52)*Parameters!B$46*Parameters!B$45*N145</f>
        <v>#NUM!</v>
      </c>
      <c r="AZ145" s="7">
        <f>1000*EXP(-(Parameters!$B$54)*'6states,BAU'!A145)*AQ145*Parameters!B$46*Parameters!B$45*N145</f>
        <v>0.33963045253620627</v>
      </c>
      <c r="BA145" s="93">
        <f>SUM(AZ145:AZ$204)*EXP(Parameters!$B$54*A145)</f>
        <v>561.5763780827657</v>
      </c>
      <c r="BB145" s="43">
        <f t="shared" si="72"/>
        <v>2.6792378394632359</v>
      </c>
      <c r="BC145" s="30">
        <f>IF(C145&lt;0,Parameters!$B$6*AC145^2/AF145,0)</f>
        <v>0</v>
      </c>
      <c r="BD145" s="30">
        <f>Parameters!$B$5*AD145^2/AG145</f>
        <v>0.28777791383309137</v>
      </c>
      <c r="BE145" s="30">
        <f t="shared" si="68"/>
        <v>0</v>
      </c>
      <c r="BF145" s="30">
        <f t="shared" si="69"/>
        <v>6.6211779764947742E-2</v>
      </c>
      <c r="BH145" s="5"/>
      <c r="BI145" s="5"/>
      <c r="BJ145" s="5"/>
      <c r="BM145">
        <f>-EXP(-Parameters!B$42*'6states,BAU'!A145)*(-Parameters!B$37/Parameters!B$38/Parameters!E$25*(EXP(-Parameters!B$38*Parameters!E$25*'6states,BAU'!I145/('6states,BAU'!F145+'6states,BAU'!I145))-EXP(-Parameters!B$38*Parameters!E$25))+Parameters!B$37*'6states,BAU'!F145/('6states,BAU'!F145+'6states,BAU'!I145)*EXP(-Parameters!B$38*Parameters!E$25*'6states,BAU'!I145/('6states,BAU'!F145+'6states,BAU'!I145)))</f>
        <v>-1.4589334128619336</v>
      </c>
      <c r="BN145">
        <f>-J145*K145*EXP(-Parameters!B$42*'6states,BAU'!A145)*(-Parameters!B$37/Parameters!B$38/Parameters!E$25*(EXP(-Parameters!B$38*Parameters!E$25*'6states,BAU'!I145/('6states,BAU'!F145+'6states,BAU'!I145))-EXP(-Parameters!B$38*Parameters!E$25)) + Parameters!B$37*'6states,BAU'!F145/('6states,BAU'!F145+'6states,BAU'!I145)*EXP(-Parameters!B$38*Parameters!E$25*'6states,BAU'!I145/('6states,BAU'!F145+'6states,BAU'!I145)))</f>
        <v>-2645.1396836738149</v>
      </c>
    </row>
    <row r="146" spans="1:66" x14ac:dyDescent="0.3">
      <c r="A146">
        <f>A145+Parameters!$B$65</f>
        <v>142</v>
      </c>
      <c r="B146">
        <v>2167</v>
      </c>
      <c r="C146" s="74">
        <v>6.2127465639170799E-2</v>
      </c>
      <c r="D146" s="69">
        <v>2.3971355288036002E-3</v>
      </c>
      <c r="E146" s="75">
        <v>0.31670209893385898</v>
      </c>
      <c r="F146" s="7">
        <f>MAX((1-Parameters!$B$4)^Parameters!B$65*F145 + C145*Parameters!B$65 - IF(C145&gt;0,Parameters!$B$5,0)*C145^2/F145*Parameters!B$65, 0.0001)</f>
        <v>0.90322970018592186</v>
      </c>
      <c r="G146" s="7">
        <f>(1-Parameters!$B$4)^Parameters!B$65*G145+D145*Parameters!B$65-Parameters!$B$5*D145^2/G145*Parameters!B$65</f>
        <v>3.616661698892263E-2</v>
      </c>
      <c r="H146" s="7">
        <f>(1-Parameters!$B$4)^Parameters!B$65*H145+E145*Parameters!B$65-Parameters!$B$5*E145^2/H145*Parameters!B$65</f>
        <v>4.6039307417071278</v>
      </c>
      <c r="I146" s="7">
        <f>I145 *(1-Parameters!$B$4)-C145*(C145&lt;0)*Parameters!B$65</f>
        <v>0</v>
      </c>
      <c r="J146" s="23">
        <f>J145*(1+Parameters!$B$51)^Parameters!B$65</f>
        <v>12.310446500257655</v>
      </c>
      <c r="K146" s="23">
        <f>K145*(1+Parameters!$B$53)^Parameters!B$65</f>
        <v>150.65971387837871</v>
      </c>
      <c r="L146" s="23">
        <f>J146*K146*EXP(-Parameters!$B$42*'6states,BAU'!A146)*(Parameters!$B$37/Parameters!$B$38*('6states,BAU'!F146+'6states,BAU'!I146)/Parameters!$E$25*(EXP(-Parameters!$B$38*Parameters!$E$25*'6states,BAU'!I146/('6states,BAU'!F146+'6states,BAU'!I146))-EXP(-Parameters!$B$38*Parameters!$E$25))  +  Parameters!$B$39*'6states,BAU'!F146)</f>
        <v>368.75153140217373</v>
      </c>
      <c r="M146" s="8">
        <f>M145+L146*Parameters!B$65</f>
        <v>26105.797094594942</v>
      </c>
      <c r="N146" s="7">
        <f>M146*Parameters!$B$45</f>
        <v>15.663478256756964</v>
      </c>
      <c r="O146" s="9">
        <f>EXP(-Parameters!$B$46/2*N146^2)</f>
        <v>8.4948274879269814E-2</v>
      </c>
      <c r="P146" s="7">
        <f>MAX((Parameters!$B$62 + Parameters!$B$31*'6states,BAU'!A146 - '6states,BAU'!M146 + Parameters!$B$47/Parameters!$B$45)/Parameters!B$62,1)</f>
        <v>1</v>
      </c>
      <c r="Q146" s="8"/>
      <c r="R146" s="8"/>
      <c r="S146" s="7">
        <f>Parameters!B$61*EXP(-Parameters!B$60*A146)+(1-Parameters!B$61)*P146^-Parameters!B$63</f>
        <v>0.51081147530645821</v>
      </c>
      <c r="T146" s="7">
        <f>1-S146/Parameters!$B$12</f>
        <v>0.74459426234677095</v>
      </c>
      <c r="U146" s="7">
        <f t="shared" si="59"/>
        <v>3.9153388220186569</v>
      </c>
      <c r="V146" s="7">
        <f>(Parameters!$B$19*(F146+Parameters!$B$20)^T146+Parameters!$B$18*G146^T146)^(1/T146)</f>
        <v>0.5914216924167347</v>
      </c>
      <c r="W146" s="7">
        <f>(Parameters!$B$10*H146^Parameters!$B$9+Parameters!$B$11*V146^Parameters!$B$9)^(Parameters!$B$7/Parameters!$B$9)*O146</f>
        <v>0.1324341728423227</v>
      </c>
      <c r="X146" s="7">
        <f>W146 - D146 - E146 - LN(1+EXP(Parameters!$B$21*C146))/Parameters!$B$21 - IF(C146&gt;0, 0,Parameters!$B$6*C146^2/F146)</f>
        <v>-0.24879252728632667</v>
      </c>
      <c r="Y146" s="7">
        <f>EXP(-Parameters!$B$55*A146)</f>
        <v>0.11716172894552528</v>
      </c>
      <c r="Z146" s="7">
        <f>IF(X146&gt;0,X146^(1-Parameters!$B$52)/(1-Parameters!$B$52)*Y146*Parameters!$B$65,-10+X146*1000)</f>
        <v>-258.79252728632667</v>
      </c>
      <c r="AC146" s="23">
        <f t="shared" si="60"/>
        <v>115.2270865771918</v>
      </c>
      <c r="AD146" s="23">
        <f t="shared" si="60"/>
        <v>4.4459393325158247</v>
      </c>
      <c r="AE146" s="23">
        <f t="shared" si="61"/>
        <v>0</v>
      </c>
      <c r="AF146" s="23">
        <f t="shared" si="62"/>
        <v>1675.2096000000827</v>
      </c>
      <c r="AG146" s="23">
        <f t="shared" si="63"/>
        <v>67.077803095821636</v>
      </c>
      <c r="AH146" s="23">
        <f t="shared" si="64"/>
        <v>1096.9029213508722</v>
      </c>
      <c r="AI146" s="23">
        <f t="shared" si="65"/>
        <v>2699.5616004606977</v>
      </c>
      <c r="AJ146" s="23">
        <f t="shared" si="66"/>
        <v>245.62411717402821</v>
      </c>
      <c r="AK146" s="23">
        <f t="shared" si="67"/>
        <v>-461.43260128907031</v>
      </c>
      <c r="AL146" s="9">
        <f t="shared" si="70"/>
        <v>-4.6155750652890681E-2</v>
      </c>
      <c r="AM146" s="9" t="e">
        <f t="shared" si="70"/>
        <v>#NUM!</v>
      </c>
      <c r="AN146" s="9">
        <f t="shared" si="71"/>
        <v>-4.620435066309625E-2</v>
      </c>
      <c r="AO146" s="9" t="e">
        <f t="shared" si="71"/>
        <v>#NUM!</v>
      </c>
      <c r="AP146" s="23"/>
      <c r="AQ146" s="25">
        <f t="shared" si="57"/>
        <v>245.62411717402821</v>
      </c>
      <c r="AR146" s="4"/>
      <c r="AS146" s="4"/>
      <c r="AT146" s="4"/>
      <c r="AU146" s="16"/>
      <c r="AV146" s="16"/>
      <c r="AY146" s="21" t="e">
        <f>-Y146*W146*X146^(-Parameters!B$52)*Parameters!B$46*Parameters!B$45*N146</f>
        <v>#NUM!</v>
      </c>
      <c r="AZ146" s="7">
        <f>1000*EXP(-(Parameters!$B$54)*'6states,BAU'!A146)*AQ146*Parameters!B$46*Parameters!B$45*N146</f>
        <v>0.3176113153826266</v>
      </c>
      <c r="BA146" s="93">
        <f>SUM(AZ146:AZ$204)*EXP(Parameters!$B$54*A146)</f>
        <v>532.02224791844048</v>
      </c>
      <c r="BB146" s="43">
        <f t="shared" si="72"/>
        <v>2.8786127622492517</v>
      </c>
      <c r="BC146" s="30">
        <f>IF(C146&lt;0,Parameters!$B$6*AC146^2/AF146,0)</f>
        <v>0</v>
      </c>
      <c r="BD146" s="30">
        <f>Parameters!$B$5*AD146^2/AG146</f>
        <v>0.29467835313829072</v>
      </c>
      <c r="BE146" s="30">
        <f t="shared" si="68"/>
        <v>0</v>
      </c>
      <c r="BF146" s="30">
        <f t="shared" si="69"/>
        <v>6.6280336077267396E-2</v>
      </c>
      <c r="BH146" s="5"/>
      <c r="BI146" s="5"/>
      <c r="BJ146" s="5"/>
      <c r="BM146">
        <f>-EXP(-Parameters!B$42*'6states,BAU'!A146)*(-Parameters!B$37/Parameters!B$38/Parameters!E$25*(EXP(-Parameters!B$38*Parameters!E$25*'6states,BAU'!I146/('6states,BAU'!F146+'6states,BAU'!I146))-EXP(-Parameters!B$38*Parameters!E$25))+Parameters!B$37*'6states,BAU'!F146/('6states,BAU'!F146+'6states,BAU'!I146)*EXP(-Parameters!B$38*Parameters!E$25*'6states,BAU'!I146/('6states,BAU'!F146+'6states,BAU'!I146)))</f>
        <v>-1.4444167828550636</v>
      </c>
      <c r="BN146">
        <f>-J146*K146*EXP(-Parameters!B$42*'6states,BAU'!A146)*(-Parameters!B$37/Parameters!B$38/Parameters!E$25*(EXP(-Parameters!B$38*Parameters!E$25*'6states,BAU'!I146/('6states,BAU'!F146+'6states,BAU'!I146))-EXP(-Parameters!B$38*Parameters!E$25)) + Parameters!B$37*'6states,BAU'!F146/('6states,BAU'!F146+'6states,BAU'!I146)*EXP(-Parameters!B$38*Parameters!E$25*'6states,BAU'!I146/('6states,BAU'!F146+'6states,BAU'!I146)))</f>
        <v>-2678.9429760137023</v>
      </c>
    </row>
    <row r="147" spans="1:66" x14ac:dyDescent="0.3">
      <c r="A147">
        <f>A146+Parameters!$B$65</f>
        <v>143</v>
      </c>
      <c r="B147">
        <v>2168</v>
      </c>
      <c r="C147" s="74">
        <v>6.2321848450324603E-2</v>
      </c>
      <c r="D147" s="69">
        <v>2.4013738318319701E-3</v>
      </c>
      <c r="E147" s="75">
        <v>0.31746830291304801</v>
      </c>
      <c r="F147" s="7">
        <f>MAX((1-Parameters!$B$4)^Parameters!B$65*F146 + C146*Parameters!B$65 - IF(C146&gt;0,Parameters!$B$5,0)*C146^2/F146*Parameters!B$65, 0.0001)</f>
        <v>0.90427066176302506</v>
      </c>
      <c r="G147" s="7">
        <f>(1-Parameters!$B$4)^Parameters!B$65*G146+D146*Parameters!B$65-Parameters!$B$5*D146^2/G146*Parameters!B$65</f>
        <v>3.6129989360651135E-2</v>
      </c>
      <c r="H147" s="7">
        <f>(1-Parameters!$B$4)^Parameters!B$65*H146+E146*Parameters!B$65-Parameters!$B$5*E146^2/H146*Parameters!B$65</f>
        <v>4.6092598175968602</v>
      </c>
      <c r="I147" s="7">
        <f>I146 *(1-Parameters!$B$4)-C146*(C146&lt;0)*Parameters!B$65</f>
        <v>0</v>
      </c>
      <c r="J147" s="23">
        <f>J146*(1+Parameters!$B$51)^Parameters!B$65</f>
        <v>12.346146795108401</v>
      </c>
      <c r="K147" s="23">
        <f>K146*(1+Parameters!$B$53)^Parameters!B$65</f>
        <v>153.67290815594629</v>
      </c>
      <c r="L147" s="23">
        <f>J147*K147*EXP(-Parameters!$B$42*'6states,BAU'!A147)*(Parameters!$B$37/Parameters!$B$38*('6states,BAU'!F147+'6states,BAU'!I147)/Parameters!$E$25*(EXP(-Parameters!$B$38*Parameters!$E$25*'6states,BAU'!I147/('6states,BAU'!F147+'6states,BAU'!I147))-EXP(-Parameters!$B$38*Parameters!$E$25))  +  Parameters!$B$39*'6states,BAU'!F147)</f>
        <v>373.8943667256612</v>
      </c>
      <c r="M147" s="8">
        <f>M146+L147*Parameters!B$65</f>
        <v>26479.691461320603</v>
      </c>
      <c r="N147" s="7">
        <f>M147*Parameters!$B$45</f>
        <v>15.88781487679236</v>
      </c>
      <c r="O147" s="9">
        <f>EXP(-Parameters!$B$46/2*N147^2)</f>
        <v>7.9115398751758728E-2</v>
      </c>
      <c r="P147" s="7">
        <f>MAX((Parameters!$B$62 + Parameters!$B$31*'6states,BAU'!A147 - '6states,BAU'!M147 + Parameters!$B$47/Parameters!$B$45)/Parameters!B$62,1)</f>
        <v>1</v>
      </c>
      <c r="Q147" s="8"/>
      <c r="R147" s="8"/>
      <c r="S147" s="7">
        <f>Parameters!B$61*EXP(-Parameters!B$60*A147)+(1-Parameters!B$61)*P147^-Parameters!B$63</f>
        <v>0.51052347102700391</v>
      </c>
      <c r="T147" s="7">
        <f>1-S147/Parameters!$B$12</f>
        <v>0.74473826448649805</v>
      </c>
      <c r="U147" s="7">
        <f t="shared" si="59"/>
        <v>3.9175476026139666</v>
      </c>
      <c r="V147" s="7">
        <f>(Parameters!$B$19*(F147+Parameters!$B$20)^T147+Parameters!$B$18*G147^T147)^(1/T147)</f>
        <v>0.59208327241161141</v>
      </c>
      <c r="W147" s="7">
        <f>(Parameters!$B$10*H147^Parameters!$B$9+Parameters!$B$11*V147^Parameters!$B$9)^(Parameters!$B$7/Parameters!$B$9)*O147</f>
        <v>0.12338329945354558</v>
      </c>
      <c r="X147" s="7">
        <f>W147 - D147 - E147 - LN(1+EXP(Parameters!$B$21*C147))/Parameters!$B$21 - IF(C147&gt;0, 0,Parameters!$B$6*C147^2/F147)</f>
        <v>-0.25880822576695595</v>
      </c>
      <c r="Y147" s="7">
        <f>EXP(-Parameters!$B$55*A147)</f>
        <v>0.11540587688403768</v>
      </c>
      <c r="Z147" s="7">
        <f>IF(X147&gt;0,X147^(1-Parameters!$B$52)/(1-Parameters!$B$52)*Y147*Parameters!$B$65,-10+X147*1000)</f>
        <v>-268.80822576695596</v>
      </c>
      <c r="AC147" s="23">
        <f t="shared" si="60"/>
        <v>118.24126637310103</v>
      </c>
      <c r="AD147" s="23">
        <f t="shared" si="60"/>
        <v>4.5560504056191764</v>
      </c>
      <c r="AE147" s="23">
        <f t="shared" si="61"/>
        <v>0</v>
      </c>
      <c r="AF147" s="23">
        <f t="shared" si="62"/>
        <v>1715.6440453804494</v>
      </c>
      <c r="AG147" s="23">
        <f t="shared" si="63"/>
        <v>68.548282861911915</v>
      </c>
      <c r="AH147" s="23">
        <f t="shared" si="64"/>
        <v>1123.3408133598778</v>
      </c>
      <c r="AI147" s="23">
        <f t="shared" si="65"/>
        <v>2764.6272655030907</v>
      </c>
      <c r="AJ147" s="23">
        <f t="shared" si="66"/>
        <v>234.09122064643745</v>
      </c>
      <c r="AK147" s="23">
        <f t="shared" si="67"/>
        <v>-491.02863800409176</v>
      </c>
      <c r="AL147" s="9">
        <f t="shared" si="70"/>
        <v>-4.8091517199236655E-2</v>
      </c>
      <c r="AM147" s="9" t="e">
        <f t="shared" si="70"/>
        <v>#NUM!</v>
      </c>
      <c r="AN147" s="9">
        <f t="shared" si="71"/>
        <v>-4.8150869002682305E-2</v>
      </c>
      <c r="AO147" s="9" t="e">
        <f t="shared" si="71"/>
        <v>#NUM!</v>
      </c>
      <c r="AP147" s="23"/>
      <c r="AQ147" s="25">
        <f t="shared" si="57"/>
        <v>234.09122064643745</v>
      </c>
      <c r="AR147" s="4"/>
      <c r="AS147" s="4"/>
      <c r="AT147" s="4"/>
      <c r="AU147" s="16"/>
      <c r="AV147" s="16"/>
      <c r="AY147" s="21" t="e">
        <f>-Y147*W147*X147^(-Parameters!B$52)*Parameters!B$46*Parameters!B$45*N147</f>
        <v>#NUM!</v>
      </c>
      <c r="AZ147" s="7">
        <f>1000*EXP(-(Parameters!$B$54)*'6states,BAU'!A147)*AQ147*Parameters!B$46*Parameters!B$45*N147</f>
        <v>0.29644375915083787</v>
      </c>
      <c r="BA147" s="93">
        <f>SUM(AZ147:AZ$204)*EXP(Parameters!$B$54*A147)</f>
        <v>502.97153331095637</v>
      </c>
      <c r="BB147" s="43">
        <f t="shared" si="72"/>
        <v>3.0975952733303393</v>
      </c>
      <c r="BC147" s="30">
        <f>IF(C147&lt;0,Parameters!$B$6*AC147^2/AF147,0)</f>
        <v>0</v>
      </c>
      <c r="BD147" s="30">
        <f>Parameters!$B$5*AD147^2/AG147</f>
        <v>0.30281714481977762</v>
      </c>
      <c r="BE147" s="30">
        <f t="shared" si="68"/>
        <v>0</v>
      </c>
      <c r="BF147" s="30">
        <f t="shared" si="69"/>
        <v>6.6464836395642143E-2</v>
      </c>
      <c r="BH147" s="5"/>
      <c r="BI147" s="5"/>
      <c r="BJ147" s="5"/>
      <c r="BM147">
        <f>-EXP(-Parameters!B$42*'6states,BAU'!A147)*(-Parameters!B$37/Parameters!B$38/Parameters!E$25*(EXP(-Parameters!B$38*Parameters!E$25*'6states,BAU'!I147/('6states,BAU'!F147+'6states,BAU'!I147))-EXP(-Parameters!B$38*Parameters!E$25))+Parameters!B$37*'6states,BAU'!F147/('6states,BAU'!F147+'6states,BAU'!I147)*EXP(-Parameters!B$38*Parameters!E$25*'6states,BAU'!I147/('6states,BAU'!F147+'6states,BAU'!I147)))</f>
        <v>-1.430044595730164</v>
      </c>
      <c r="BN147">
        <f>-J147*K147*EXP(-Parameters!B$42*'6states,BAU'!A147)*(-Parameters!B$37/Parameters!B$38/Parameters!E$25*(EXP(-Parameters!B$38*Parameters!E$25*'6states,BAU'!I147/('6states,BAU'!F147+'6states,BAU'!I147))-EXP(-Parameters!B$38*Parameters!E$25)) + Parameters!B$37*'6states,BAU'!F147/('6states,BAU'!F147+'6states,BAU'!I147)*EXP(-Parameters!B$38*Parameters!E$25*'6states,BAU'!I147/('6states,BAU'!F147+'6states,BAU'!I147)))</f>
        <v>-2713.1782540744452</v>
      </c>
    </row>
    <row r="148" spans="1:66" x14ac:dyDescent="0.3">
      <c r="A148">
        <f>A147+Parameters!$B$65</f>
        <v>144</v>
      </c>
      <c r="B148">
        <v>2169</v>
      </c>
      <c r="C148" s="74">
        <v>6.2376414944987899E-2</v>
      </c>
      <c r="D148" s="69">
        <v>2.4027571232038401E-3</v>
      </c>
      <c r="E148" s="75">
        <v>0.31865067075748399</v>
      </c>
      <c r="F148" s="7">
        <f>MAX((1-Parameters!$B$4)^Parameters!B$65*F147 + C147*Parameters!B$65 - IF(C147&gt;0,Parameters!$B$5,0)*C147^2/F147*Parameters!B$65, 0.0001)</f>
        <v>0.90541869725768209</v>
      </c>
      <c r="G148" s="7">
        <f>(1-Parameters!$B$4)^Parameters!B$65*G147+D147*Parameters!B$65-Parameters!$B$5*D147^2/G147*Parameters!B$65</f>
        <v>3.6099179942840662E-2</v>
      </c>
      <c r="H148" s="7">
        <f>(1-Parameters!$B$4)^Parameters!B$65*H147+E147*Parameters!B$65-Parameters!$B$5*E147^2/H147*Parameters!B$65</f>
        <v>4.614939667529562</v>
      </c>
      <c r="I148" s="7">
        <f>I147 *(1-Parameters!$B$4)-C147*(C147&lt;0)*Parameters!B$65</f>
        <v>0</v>
      </c>
      <c r="J148" s="23">
        <f>J147*(1+Parameters!$B$51)^Parameters!B$65</f>
        <v>12.381950620814214</v>
      </c>
      <c r="K148" s="23">
        <f>K147*(1+Parameters!$B$53)^Parameters!B$65</f>
        <v>156.7463663190652</v>
      </c>
      <c r="L148" s="23">
        <f>J148*K148*EXP(-Parameters!$B$42*'6states,BAU'!A148)*(Parameters!$B$37/Parameters!$B$38*('6states,BAU'!F148+'6states,BAU'!I148)/Parameters!$E$25*(EXP(-Parameters!$B$38*Parameters!$E$25*'6states,BAU'!I148/('6states,BAU'!F148+'6states,BAU'!I148))-EXP(-Parameters!$B$38*Parameters!$E$25))  +  Parameters!$B$39*'6states,BAU'!F148)</f>
        <v>379.15326309318885</v>
      </c>
      <c r="M148" s="8">
        <f>M147+L148*Parameters!B$65</f>
        <v>26858.844724413793</v>
      </c>
      <c r="N148" s="7">
        <f>M148*Parameters!$B$45</f>
        <v>16.115306834648276</v>
      </c>
      <c r="O148" s="9">
        <f>EXP(-Parameters!$B$46/2*N148^2)</f>
        <v>7.3533345198929387E-2</v>
      </c>
      <c r="P148" s="7">
        <f>MAX((Parameters!$B$62 + Parameters!$B$31*'6states,BAU'!A148 - '6states,BAU'!M148 + Parameters!$B$47/Parameters!$B$45)/Parameters!B$62,1)</f>
        <v>1</v>
      </c>
      <c r="Q148" s="8"/>
      <c r="R148" s="8"/>
      <c r="S148" s="7">
        <f>Parameters!B$61*EXP(-Parameters!B$60*A148)+(1-Parameters!B$61)*P148^-Parameters!B$63</f>
        <v>0.51024313882398986</v>
      </c>
      <c r="T148" s="7">
        <f>1-S148/Parameters!$B$12</f>
        <v>0.74487843058800507</v>
      </c>
      <c r="U148" s="7">
        <f t="shared" si="59"/>
        <v>3.9196999387578377</v>
      </c>
      <c r="V148" s="7">
        <f>(Parameters!$B$19*(F148+Parameters!$B$20)^T148+Parameters!$B$18*G148^T148)^(1/T148)</f>
        <v>0.59281431673167484</v>
      </c>
      <c r="W148" s="7">
        <f>(Parameters!$B$10*H148^Parameters!$B$9+Parameters!$B$11*V148^Parameters!$B$9)^(Parameters!$B$7/Parameters!$B$9)*O148</f>
        <v>0.11472027710041928</v>
      </c>
      <c r="X148" s="7">
        <f>W148 - D148 - E148 - LN(1+EXP(Parameters!$B$21*C148))/Parameters!$B$21 - IF(C148&gt;0, 0,Parameters!$B$6*C148^2/F148)</f>
        <v>-0.26870956575014265</v>
      </c>
      <c r="Y148" s="7">
        <f>EXP(-Parameters!$B$55*A148)</f>
        <v>0.11367633901652432</v>
      </c>
      <c r="Z148" s="7">
        <f>IF(X148&gt;0,X148^(1-Parameters!$B$52)/(1-Parameters!$B$52)*Y148*Parameters!$B$65,-10+X148*1000)</f>
        <v>-278.70956575014264</v>
      </c>
      <c r="AC148" s="23">
        <f t="shared" si="60"/>
        <v>121.06175342539322</v>
      </c>
      <c r="AD148" s="23">
        <f t="shared" si="60"/>
        <v>4.6633329383702193</v>
      </c>
      <c r="AE148" s="23">
        <f t="shared" si="61"/>
        <v>0</v>
      </c>
      <c r="AF148" s="23">
        <f t="shared" si="62"/>
        <v>1757.2599382446208</v>
      </c>
      <c r="AG148" s="23">
        <f t="shared" si="63"/>
        <v>70.062218627879574</v>
      </c>
      <c r="AH148" s="23">
        <f t="shared" si="64"/>
        <v>1150.5493014067436</v>
      </c>
      <c r="AI148" s="23">
        <f t="shared" si="65"/>
        <v>2831.5894260628011</v>
      </c>
      <c r="AJ148" s="23">
        <f t="shared" si="66"/>
        <v>222.65206988045566</v>
      </c>
      <c r="AK148" s="23">
        <f t="shared" si="67"/>
        <v>-521.51844925005844</v>
      </c>
      <c r="AL148" s="9">
        <f t="shared" si="70"/>
        <v>-5.0100542924741198E-2</v>
      </c>
      <c r="AM148" s="9" t="e">
        <f t="shared" si="70"/>
        <v>#NUM!</v>
      </c>
      <c r="AN148" s="9">
        <f t="shared" si="71"/>
        <v>-5.0164649524129599E-2</v>
      </c>
      <c r="AO148" s="9" t="e">
        <f t="shared" si="71"/>
        <v>#NUM!</v>
      </c>
      <c r="AP148" s="23"/>
      <c r="AQ148" s="25">
        <f t="shared" si="57"/>
        <v>222.65206988045568</v>
      </c>
      <c r="AR148" s="4"/>
      <c r="AS148" s="4"/>
      <c r="AT148" s="4"/>
      <c r="AU148" s="16"/>
      <c r="AV148" s="16"/>
      <c r="AY148" s="21" t="e">
        <f>-Y148*W148*X148^(-Parameters!B$52)*Parameters!B$46*Parameters!B$45*N148</f>
        <v>#NUM!</v>
      </c>
      <c r="AZ148" s="7">
        <f>1000*EXP(-(Parameters!$B$54)*'6states,BAU'!A148)*AQ148*Parameters!B$46*Parameters!B$45*N148</f>
        <v>0.27613063666586118</v>
      </c>
      <c r="BA148" s="93">
        <f>SUM(AZ148:AZ$204)*EXP(Parameters!$B$54*A148)</f>
        <v>474.48348163195374</v>
      </c>
      <c r="BB148" s="43">
        <f t="shared" si="72"/>
        <v>3.3423022722482107</v>
      </c>
      <c r="BC148" s="30">
        <f>IF(C148&lt;0,Parameters!$B$6*AC148^2/AF148,0)</f>
        <v>0</v>
      </c>
      <c r="BD148" s="30">
        <f>Parameters!$B$5*AD148^2/AG148</f>
        <v>0.31039088570105688</v>
      </c>
      <c r="BE148" s="30">
        <f t="shared" si="68"/>
        <v>0</v>
      </c>
      <c r="BF148" s="30">
        <f t="shared" si="69"/>
        <v>6.6559881055701528E-2</v>
      </c>
      <c r="BH148" s="5"/>
      <c r="BI148" s="5"/>
      <c r="BJ148" s="5"/>
      <c r="BM148">
        <f>-EXP(-Parameters!B$42*'6states,BAU'!A148)*(-Parameters!B$37/Parameters!B$38/Parameters!E$25*(EXP(-Parameters!B$38*Parameters!E$25*'6states,BAU'!I148/('6states,BAU'!F148+'6states,BAU'!I148))-EXP(-Parameters!B$38*Parameters!E$25))+Parameters!B$37*'6states,BAU'!F148/('6states,BAU'!F148+'6states,BAU'!I148)*EXP(-Parameters!B$38*Parameters!E$25*'6states,BAU'!I148/('6states,BAU'!F148+'6states,BAU'!I148)))</f>
        <v>-1.4158154142565449</v>
      </c>
      <c r="BN148">
        <f>-J148*K148*EXP(-Parameters!B$42*'6states,BAU'!A148)*(-Parameters!B$37/Parameters!B$38/Parameters!E$25*(EXP(-Parameters!B$38*Parameters!E$25*'6states,BAU'!I148/('6states,BAU'!F148+'6states,BAU'!I148))-EXP(-Parameters!B$38*Parameters!E$25)) + Parameters!B$37*'6states,BAU'!F148/('6states,BAU'!F148+'6states,BAU'!I148)*EXP(-Parameters!B$38*Parameters!E$25*'6states,BAU'!I148/('6states,BAU'!F148+'6states,BAU'!I148)))</f>
        <v>-2747.8510383734279</v>
      </c>
    </row>
    <row r="149" spans="1:66" x14ac:dyDescent="0.3">
      <c r="A149">
        <f>A148+Parameters!$B$65</f>
        <v>145</v>
      </c>
      <c r="B149">
        <v>2170</v>
      </c>
      <c r="C149" s="74">
        <v>6.3120378353135595E-2</v>
      </c>
      <c r="D149" s="69">
        <v>2.4064207554393498E-3</v>
      </c>
      <c r="E149" s="75">
        <v>0.31910983055159797</v>
      </c>
      <c r="F149" s="7">
        <f>MAX((1-Parameters!$B$4)^Parameters!B$65*F148 + C148*Parameters!B$65 - IF(C148&gt;0,Parameters!$B$5,0)*C148^2/F148*Parameters!B$65, 0.0001)</f>
        <v>0.90654701880645905</v>
      </c>
      <c r="G149" s="7">
        <f>(1-Parameters!$B$4)^Parameters!B$65*G148+D148*Parameters!B$65-Parameters!$B$5*D148^2/G148*Parameters!B$65</f>
        <v>3.6071371419313637E-2</v>
      </c>
      <c r="H149" s="7">
        <f>(1-Parameters!$B$4)^Parameters!B$65*H148+E148*Parameters!B$65-Parameters!$B$5*E148^2/H148*Parameters!B$65</f>
        <v>4.6213085579201838</v>
      </c>
      <c r="I149" s="7">
        <f>I148 *(1-Parameters!$B$4)-C148*(C148&lt;0)*Parameters!B$65</f>
        <v>0</v>
      </c>
      <c r="J149" s="23">
        <f>J148*(1+Parameters!$B$51)^Parameters!B$65</f>
        <v>12.417858277614574</v>
      </c>
      <c r="K149" s="23">
        <f>K148*(1+Parameters!$B$53)^Parameters!B$65</f>
        <v>159.8812936454465</v>
      </c>
      <c r="L149" s="23">
        <f>J149*K149*EXP(-Parameters!$B$42*'6states,BAU'!A149)*(Parameters!$B$37/Parameters!$B$38*('6states,BAU'!F149+'6states,BAU'!I149)/Parameters!$E$25*(EXP(-Parameters!$B$38*Parameters!$E$25*'6states,BAU'!I149/('6states,BAU'!F149+'6states,BAU'!I149))-EXP(-Parameters!$B$38*Parameters!$E$25))  +  Parameters!$B$39*'6states,BAU'!F149)</f>
        <v>384.47714779030906</v>
      </c>
      <c r="M149" s="8">
        <f>M148+L149*Parameters!B$65</f>
        <v>27243.321872204102</v>
      </c>
      <c r="N149" s="7">
        <f>M149*Parameters!$B$45</f>
        <v>16.345993123322458</v>
      </c>
      <c r="O149" s="9">
        <f>EXP(-Parameters!$B$46/2*N149^2)</f>
        <v>6.8202470773641555E-2</v>
      </c>
      <c r="P149" s="7">
        <f>MAX((Parameters!$B$62 + Parameters!$B$31*'6states,BAU'!A149 - '6states,BAU'!M149 + Parameters!$B$47/Parameters!$B$45)/Parameters!B$62,1)</f>
        <v>1</v>
      </c>
      <c r="Q149" s="8"/>
      <c r="R149" s="8"/>
      <c r="S149" s="7">
        <f>Parameters!B$61*EXP(-Parameters!B$60*A149)+(1-Parameters!B$61)*P149^-Parameters!B$63</f>
        <v>0.50997027432282493</v>
      </c>
      <c r="T149" s="7">
        <f>1-S149/Parameters!$B$12</f>
        <v>0.74501486283858753</v>
      </c>
      <c r="U149" s="7">
        <f t="shared" si="59"/>
        <v>3.9217972119173874</v>
      </c>
      <c r="V149" s="7">
        <f>(Parameters!$B$19*(F149+Parameters!$B$20)^T149+Parameters!$B$18*G149^T149)^(1/T149)</f>
        <v>0.59353410221385461</v>
      </c>
      <c r="W149" s="7">
        <f>(Parameters!$B$10*H149^Parameters!$B$9+Parameters!$B$11*V149^Parameters!$B$9)^(Parameters!$B$7/Parameters!$B$9)*O149</f>
        <v>0.10644664279272167</v>
      </c>
      <c r="X149" s="7">
        <f>W149 - D149 - E149 - LN(1+EXP(Parameters!$B$21*C149))/Parameters!$B$21 - IF(C149&gt;0, 0,Parameters!$B$6*C149^2/F149)</f>
        <v>-0.27818998688735935</v>
      </c>
      <c r="Y149" s="7">
        <f>EXP(-Parameters!$B$55*A149)</f>
        <v>0.11197272098356298</v>
      </c>
      <c r="Z149" s="7">
        <f>IF(X149&gt;0,X149^(1-Parameters!$B$52)/(1-Parameters!$B$52)*Y149*Parameters!$B$65,-10+X149*1000)</f>
        <v>-288.18998688735934</v>
      </c>
      <c r="AC149" s="23">
        <f t="shared" si="60"/>
        <v>125.31814164650663</v>
      </c>
      <c r="AD149" s="23">
        <f t="shared" si="60"/>
        <v>4.7776674500282228</v>
      </c>
      <c r="AE149" s="23">
        <f t="shared" si="61"/>
        <v>0</v>
      </c>
      <c r="AF149" s="23">
        <f t="shared" si="62"/>
        <v>1799.8432626055794</v>
      </c>
      <c r="AG149" s="23">
        <f t="shared" si="63"/>
        <v>71.615496466439353</v>
      </c>
      <c r="AH149" s="23">
        <f t="shared" si="64"/>
        <v>1178.3926623052794</v>
      </c>
      <c r="AI149" s="23">
        <f t="shared" si="65"/>
        <v>2900.1140570455395</v>
      </c>
      <c r="AJ149" s="23">
        <f t="shared" si="66"/>
        <v>211.33738116496446</v>
      </c>
      <c r="AK149" s="23">
        <f t="shared" si="67"/>
        <v>-552.31373909624369</v>
      </c>
      <c r="AL149" s="9">
        <f t="shared" si="70"/>
        <v>-5.2154508927539922E-2</v>
      </c>
      <c r="AM149" s="9" t="e">
        <f t="shared" si="70"/>
        <v>#NUM!</v>
      </c>
      <c r="AN149" s="9">
        <f t="shared" si="71"/>
        <v>-5.2237378509094864E-2</v>
      </c>
      <c r="AO149" s="9" t="e">
        <f t="shared" si="71"/>
        <v>#NUM!</v>
      </c>
      <c r="AP149" s="23"/>
      <c r="AQ149" s="25">
        <f t="shared" si="57"/>
        <v>211.33738116496446</v>
      </c>
      <c r="AR149" s="4"/>
      <c r="AS149" s="4"/>
      <c r="AT149" s="4"/>
      <c r="AU149" s="16"/>
      <c r="AV149" s="16"/>
      <c r="AY149" s="21" t="e">
        <f>-Y149*W149*X149^(-Parameters!B$52)*Parameters!B$46*Parameters!B$45*N149</f>
        <v>#NUM!</v>
      </c>
      <c r="AZ149" s="7">
        <f>1000*EXP(-(Parameters!$B$54)*'6states,BAU'!A149)*AQ149*Parameters!B$46*Parameters!B$45*N149</f>
        <v>0.25668067665528471</v>
      </c>
      <c r="BA149" s="93">
        <f>SUM(AZ149:AZ$204)*EXP(Parameters!$B$54*A149)</f>
        <v>446.61518478634633</v>
      </c>
      <c r="BB149" s="43">
        <f t="shared" si="72"/>
        <v>3.613421894471176</v>
      </c>
      <c r="BC149" s="30">
        <f>IF(C149&lt;0,Parameters!$B$6*AC149^2/AF149,0)</f>
        <v>0</v>
      </c>
      <c r="BD149" s="30">
        <f>Parameters!$B$5*AD149^2/AG149</f>
        <v>0.31873138342001178</v>
      </c>
      <c r="BE149" s="30">
        <f t="shared" si="68"/>
        <v>0</v>
      </c>
      <c r="BF149" s="30">
        <f t="shared" si="69"/>
        <v>6.6712760306942037E-2</v>
      </c>
      <c r="BH149" s="5"/>
      <c r="BI149" s="5"/>
      <c r="BJ149" s="5"/>
      <c r="BM149">
        <f>-EXP(-Parameters!B$42*'6states,BAU'!A149)*(-Parameters!B$37/Parameters!B$38/Parameters!E$25*(EXP(-Parameters!B$38*Parameters!E$25*'6states,BAU'!I149/('6states,BAU'!F149+'6states,BAU'!I149))-EXP(-Parameters!B$38*Parameters!E$25))+Parameters!B$37*'6states,BAU'!F149/('6states,BAU'!F149+'6states,BAU'!I149)*EXP(-Parameters!B$38*Parameters!E$25*'6states,BAU'!I149/('6states,BAU'!F149+'6states,BAU'!I149)))</f>
        <v>-1.4017278155042017</v>
      </c>
      <c r="BN149">
        <f>-J149*K149*EXP(-Parameters!B$42*'6states,BAU'!A149)*(-Parameters!B$37/Parameters!B$38/Parameters!E$25*(EXP(-Parameters!B$38*Parameters!E$25*'6states,BAU'!I149/('6states,BAU'!F149+'6states,BAU'!I149))-EXP(-Parameters!B$38*Parameters!E$25)) + Parameters!B$37*'6states,BAU'!F149/('6states,BAU'!F149+'6states,BAU'!I149)*EXP(-Parameters!B$38*Parameters!E$25*'6states,BAU'!I149/('6states,BAU'!F149+'6states,BAU'!I149)))</f>
        <v>-2782.9669199769241</v>
      </c>
    </row>
    <row r="150" spans="1:66" x14ac:dyDescent="0.3">
      <c r="A150">
        <f>A149+Parameters!$B$65</f>
        <v>146</v>
      </c>
      <c r="B150">
        <v>2171</v>
      </c>
      <c r="C150" s="74">
        <v>6.2814362430439599E-2</v>
      </c>
      <c r="D150" s="69">
        <v>2.4132532731398E-3</v>
      </c>
      <c r="E150" s="75">
        <v>0.32066383071830901</v>
      </c>
      <c r="F150" s="7">
        <f>MAX((1-Parameters!$B$4)^Parameters!B$65*F149 + C149*Parameters!B$65 - IF(C149&gt;0,Parameters!$B$5,0)*C149^2/F149*Parameters!B$65, 0.0001)</f>
        <v>0.90825069114323276</v>
      </c>
      <c r="G150" s="7">
        <f>(1-Parameters!$B$4)^Parameters!B$65*G149+D149*Parameters!B$65-Parameters!$B$5*D149^2/G149*Parameters!B$65</f>
        <v>3.6048363941422891E-2</v>
      </c>
      <c r="H150" s="7">
        <f>(1-Parameters!$B$4)^Parameters!B$65*H149+E149*Parameters!B$65-Parameters!$B$5*E149^2/H149*Parameters!B$65</f>
        <v>4.6277029611904652</v>
      </c>
      <c r="I150" s="7">
        <f>I149 *(1-Parameters!$B$4)-C149*(C149&lt;0)*Parameters!B$65</f>
        <v>0</v>
      </c>
      <c r="J150" s="23">
        <f>J149*(1+Parameters!$B$51)^Parameters!B$65</f>
        <v>12.453870066619654</v>
      </c>
      <c r="K150" s="23">
        <f>K149*(1+Parameters!$B$53)^Parameters!B$65</f>
        <v>163.07891951835543</v>
      </c>
      <c r="L150" s="23">
        <f>J150*K150*EXP(-Parameters!$B$42*'6states,BAU'!A150)*(Parameters!$B$37/Parameters!$B$38*('6states,BAU'!F150+'6states,BAU'!I150)/Parameters!$E$25*(EXP(-Parameters!$B$38*Parameters!$E$25*'6states,BAU'!I150/('6states,BAU'!F150+'6states,BAU'!I150))-EXP(-Parameters!$B$38*Parameters!$E$25))  +  Parameters!$B$39*'6states,BAU'!F150)</f>
        <v>390.12231521649261</v>
      </c>
      <c r="M150" s="8">
        <f>M149+L150*Parameters!B$65</f>
        <v>27633.444187420595</v>
      </c>
      <c r="N150" s="7">
        <f>M150*Parameters!$B$45</f>
        <v>16.580066512452355</v>
      </c>
      <c r="O150" s="9">
        <f>EXP(-Parameters!$B$46/2*N150^2)</f>
        <v>6.3119155245016351E-2</v>
      </c>
      <c r="P150" s="7">
        <f>MAX((Parameters!$B$62 + Parameters!$B$31*'6states,BAU'!A150 - '6states,BAU'!M150 + Parameters!$B$47/Parameters!$B$45)/Parameters!B$62,1)</f>
        <v>1</v>
      </c>
      <c r="Q150" s="8"/>
      <c r="R150" s="8"/>
      <c r="S150" s="7">
        <f>Parameters!B$61*EXP(-Parameters!B$60*A150)+(1-Parameters!B$61)*P150^-Parameters!B$63</f>
        <v>0.50970467859320301</v>
      </c>
      <c r="T150" s="7">
        <f>1-S150/Parameters!$B$12</f>
        <v>0.74514766070339844</v>
      </c>
      <c r="U150" s="7">
        <f t="shared" si="59"/>
        <v>3.9238407728962721</v>
      </c>
      <c r="V150" s="7">
        <f>(Parameters!$B$19*(F150+Parameters!$B$20)^T150+Parameters!$B$18*G150^T150)^(1/T150)</f>
        <v>0.5946146014163457</v>
      </c>
      <c r="W150" s="7">
        <f>(Parameters!$B$10*H150^Parameters!$B$9+Parameters!$B$11*V150^Parameters!$B$9)^(Parameters!$B$7/Parameters!$B$9)*O150</f>
        <v>9.8555958615566361E-2</v>
      </c>
      <c r="X150" s="7">
        <f>W150 - D150 - E150 - LN(1+EXP(Parameters!$B$21*C150))/Parameters!$B$21 - IF(C150&gt;0, 0,Parameters!$B$6*C150^2/F150)</f>
        <v>-0.28733548782814428</v>
      </c>
      <c r="Y150" s="7">
        <f>EXP(-Parameters!$B$55*A150)</f>
        <v>0.11029463433582516</v>
      </c>
      <c r="Z150" s="7">
        <f>IF(X150&gt;0,X150^(1-Parameters!$B$52)/(1-Parameters!$B$52)*Y150*Parameters!$B$65,-10+X150*1000)</f>
        <v>-297.33548782814427</v>
      </c>
      <c r="AC150" s="23">
        <f t="shared" si="60"/>
        <v>127.57368831967833</v>
      </c>
      <c r="AD150" s="23">
        <f t="shared" si="60"/>
        <v>4.901229734599502</v>
      </c>
      <c r="AE150" s="23">
        <f t="shared" si="61"/>
        <v>0</v>
      </c>
      <c r="AF150" s="23">
        <f t="shared" si="62"/>
        <v>1844.6241608573519</v>
      </c>
      <c r="AG150" s="23">
        <f t="shared" si="63"/>
        <v>73.212917682482811</v>
      </c>
      <c r="AH150" s="23">
        <f t="shared" si="64"/>
        <v>1207.6406556768386</v>
      </c>
      <c r="AI150" s="23">
        <f t="shared" si="65"/>
        <v>2972.0955954839205</v>
      </c>
      <c r="AJ150" s="23">
        <f t="shared" si="66"/>
        <v>200.16357183268138</v>
      </c>
      <c r="AK150" s="23">
        <f t="shared" si="67"/>
        <v>-583.56793811230079</v>
      </c>
      <c r="AL150" s="9">
        <f t="shared" si="70"/>
        <v>-5.4320927916239548E-2</v>
      </c>
      <c r="AM150" s="9" t="e">
        <f t="shared" si="70"/>
        <v>#NUM!</v>
      </c>
      <c r="AN150" s="9">
        <f t="shared" si="71"/>
        <v>-5.4376717396705666E-2</v>
      </c>
      <c r="AO150" s="9" t="e">
        <f t="shared" si="71"/>
        <v>#NUM!</v>
      </c>
      <c r="AP150" s="23"/>
      <c r="AQ150" s="25">
        <f t="shared" si="57"/>
        <v>200.16357183268138</v>
      </c>
      <c r="AR150" s="4"/>
      <c r="AS150" s="4"/>
      <c r="AT150" s="4"/>
      <c r="AU150" s="16"/>
      <c r="AV150" s="16"/>
      <c r="AY150" s="21" t="e">
        <f>-Y150*W150*X150^(-Parameters!B$52)*Parameters!B$46*Parameters!B$45*N150</f>
        <v>#NUM!</v>
      </c>
      <c r="AZ150" s="7">
        <f>1000*EXP(-(Parameters!$B$54)*'6states,BAU'!A150)*AQ150*Parameters!B$46*Parameters!B$45*N150</f>
        <v>0.23808559313814548</v>
      </c>
      <c r="BA150" s="93">
        <f>SUM(AZ150:AZ$204)*EXP(Parameters!$B$54*A150)</f>
        <v>419.41995316835067</v>
      </c>
      <c r="BB150" s="43">
        <f t="shared" si="72"/>
        <v>3.9154552585412024</v>
      </c>
      <c r="BC150" s="30">
        <f>IF(C150&lt;0,Parameters!$B$6*AC150^2/AF150,0)</f>
        <v>0</v>
      </c>
      <c r="BD150" s="30">
        <f>Parameters!$B$5*AD150^2/AG150</f>
        <v>0.32811221942422203</v>
      </c>
      <c r="BE150" s="30">
        <f t="shared" si="68"/>
        <v>0</v>
      </c>
      <c r="BF150" s="30">
        <f t="shared" si="69"/>
        <v>6.6944876529243802E-2</v>
      </c>
      <c r="BH150" s="5"/>
      <c r="BI150" s="5"/>
      <c r="BJ150" s="5"/>
      <c r="BM150">
        <f>-EXP(-Parameters!B$42*'6states,BAU'!A150)*(-Parameters!B$37/Parameters!B$38/Parameters!E$25*(EXP(-Parameters!B$38*Parameters!E$25*'6states,BAU'!I150/('6states,BAU'!F150+'6states,BAU'!I150))-EXP(-Parameters!B$38*Parameters!E$25))+Parameters!B$37*'6states,BAU'!F150/('6states,BAU'!F150+'6states,BAU'!I150)*EXP(-Parameters!B$38*Parameters!E$25*'6states,BAU'!I150/('6states,BAU'!F150+'6states,BAU'!I150)))</f>
        <v>-1.3877803907015194</v>
      </c>
      <c r="BN150">
        <f>-J150*K150*EXP(-Parameters!B$42*'6states,BAU'!A150)*(-Parameters!B$37/Parameters!B$38/Parameters!E$25*(EXP(-Parameters!B$38*Parameters!E$25*'6states,BAU'!I150/('6states,BAU'!F150+'6states,BAU'!I150))-EXP(-Parameters!B$38*Parameters!E$25)) + Parameters!B$37*'6states,BAU'!F150/('6states,BAU'!F150+'6states,BAU'!I150)*EXP(-Parameters!B$38*Parameters!E$25*'6states,BAU'!I150/('6states,BAU'!F150+'6states,BAU'!I150)))</f>
        <v>-2818.5315614016658</v>
      </c>
    </row>
    <row r="151" spans="1:66" x14ac:dyDescent="0.3">
      <c r="A151">
        <f>A150+Parameters!$B$65</f>
        <v>147</v>
      </c>
      <c r="B151">
        <v>2172</v>
      </c>
      <c r="C151" s="74">
        <v>6.3067208656158599E-2</v>
      </c>
      <c r="D151" s="69">
        <v>2.4188617968447399E-3</v>
      </c>
      <c r="E151" s="75">
        <v>0.32184388981856799</v>
      </c>
      <c r="F151" s="7">
        <f>MAX((1-Parameters!$B$4)^Parameters!B$65*F150 + C150*Parameters!B$65 - IF(C150&gt;0,Parameters!$B$5,0)*C150^2/F150*Parameters!B$65, 0.0001)</f>
        <v>0.90959186145632398</v>
      </c>
      <c r="G151" s="7">
        <f>(1-Parameters!$B$4)^Parameters!B$65*G150+D150*Parameters!B$65-Parameters!$B$5*D150^2/G150*Parameters!B$65</f>
        <v>3.6032620180243058E-2</v>
      </c>
      <c r="H151" s="7">
        <f>(1-Parameters!$B$4)^Parameters!B$65*H150+E150*Parameters!B$65-Parameters!$B$5*E150^2/H150*Parameters!B$65</f>
        <v>4.6350647656266126</v>
      </c>
      <c r="I151" s="7">
        <f>I150 *(1-Parameters!$B$4)-C150*(C150&lt;0)*Parameters!B$65</f>
        <v>0</v>
      </c>
      <c r="J151" s="23">
        <f>J150*(1+Parameters!$B$51)^Parameters!B$65</f>
        <v>12.489986289812849</v>
      </c>
      <c r="K151" s="23">
        <f>K150*(1+Parameters!$B$53)^Parameters!B$65</f>
        <v>166.34049790872254</v>
      </c>
      <c r="L151" s="23">
        <f>J151*K151*EXP(-Parameters!$B$42*'6states,BAU'!A151)*(Parameters!$B$37/Parameters!$B$38*('6states,BAU'!F151+'6states,BAU'!I151)/Parameters!$E$25*(EXP(-Parameters!$B$38*Parameters!$E$25*'6states,BAU'!I151/('6states,BAU'!F151+'6states,BAU'!I151))-EXP(-Parameters!$B$38*Parameters!$E$25))  +  Parameters!$B$39*'6states,BAU'!F151)</f>
        <v>395.69128032261358</v>
      </c>
      <c r="M151" s="8">
        <f>M150+L151*Parameters!B$65</f>
        <v>28029.13546774321</v>
      </c>
      <c r="N151" s="7">
        <f>M151*Parameters!$B$45</f>
        <v>16.817481280645925</v>
      </c>
      <c r="O151" s="9">
        <f>EXP(-Parameters!$B$46/2*N151^2)</f>
        <v>5.8284554618642355E-2</v>
      </c>
      <c r="P151" s="7">
        <f>MAX((Parameters!$B$62 + Parameters!$B$31*'6states,BAU'!A151 - '6states,BAU'!M151 + Parameters!$B$47/Parameters!$B$45)/Parameters!B$62,1)</f>
        <v>1</v>
      </c>
      <c r="Q151" s="8"/>
      <c r="R151" s="8"/>
      <c r="S151" s="7">
        <f>Parameters!B$61*EXP(-Parameters!B$60*A151)+(1-Parameters!B$61)*P151^-Parameters!B$63</f>
        <v>0.50944615800407478</v>
      </c>
      <c r="T151" s="7">
        <f>1-S151/Parameters!$B$12</f>
        <v>0.74527692099796261</v>
      </c>
      <c r="U151" s="7">
        <f t="shared" si="59"/>
        <v>3.9258319423502317</v>
      </c>
      <c r="V151" s="7">
        <f>(Parameters!$B$19*(F151+Parameters!$B$20)^T151+Parameters!$B$18*G151^T151)^(1/T151)</f>
        <v>0.59547293266957169</v>
      </c>
      <c r="W151" s="7">
        <f>(Parameters!$B$10*H151^Parameters!$B$9+Parameters!$B$11*V151^Parameters!$B$9)^(Parameters!$B$7/Parameters!$B$9)*O151</f>
        <v>9.1049805378886559E-2</v>
      </c>
      <c r="X151" s="7">
        <f>W151 - D151 - E151 - LN(1+EXP(Parameters!$B$21*C151))/Parameters!$B$21 - IF(C151&gt;0, 0,Parameters!$B$6*C151^2/F151)</f>
        <v>-0.29628015491291293</v>
      </c>
      <c r="Y151" s="7">
        <f>EXP(-Parameters!$B$55*A151)</f>
        <v>0.1086416964455041</v>
      </c>
      <c r="Z151" s="7">
        <f>IF(X151&gt;0,X151^(1-Parameters!$B$52)/(1-Parameters!$B$52)*Y151*Parameters!$B$65,-10+X151*1000)</f>
        <v>-306.28015491291291</v>
      </c>
      <c r="AC151" s="23">
        <f t="shared" si="60"/>
        <v>131.02783598232537</v>
      </c>
      <c r="AD151" s="23">
        <f t="shared" si="60"/>
        <v>5.025404382629767</v>
      </c>
      <c r="AE151" s="23">
        <f t="shared" si="61"/>
        <v>0</v>
      </c>
      <c r="AF151" s="23">
        <f t="shared" si="62"/>
        <v>1889.7594450950692</v>
      </c>
      <c r="AG151" s="23">
        <f t="shared" si="63"/>
        <v>74.861030757372433</v>
      </c>
      <c r="AH151" s="23">
        <f t="shared" si="64"/>
        <v>1237.1489307403144</v>
      </c>
      <c r="AI151" s="23">
        <f t="shared" si="65"/>
        <v>3044.7177069822546</v>
      </c>
      <c r="AJ151" s="23">
        <f t="shared" si="66"/>
        <v>189.16421417110567</v>
      </c>
      <c r="AK151" s="23">
        <f t="shared" si="67"/>
        <v>-615.54884653922579</v>
      </c>
      <c r="AL151" s="9">
        <f t="shared" si="70"/>
        <v>-5.6519395577717013E-2</v>
      </c>
      <c r="AM151" s="9" t="e">
        <f t="shared" si="70"/>
        <v>#NUM!</v>
      </c>
      <c r="AN151" s="9">
        <f t="shared" si="71"/>
        <v>-5.6584962871696474E-2</v>
      </c>
      <c r="AO151" s="9" t="e">
        <f t="shared" si="71"/>
        <v>#NUM!</v>
      </c>
      <c r="AP151" s="23"/>
      <c r="AQ151" s="25">
        <f t="shared" si="57"/>
        <v>189.16421417110564</v>
      </c>
      <c r="AR151" s="4"/>
      <c r="AS151" s="4"/>
      <c r="AT151" s="4"/>
      <c r="AU151" s="16"/>
      <c r="AV151" s="16"/>
      <c r="AY151" s="21" t="e">
        <f>-Y151*W151*X151^(-Parameters!B$52)*Parameters!B$46*Parameters!B$45*N151</f>
        <v>#NUM!</v>
      </c>
      <c r="AZ151" s="7">
        <f>1000*EXP(-(Parameters!$B$54)*'6states,BAU'!A151)*AQ151*Parameters!B$46*Parameters!B$45*N151</f>
        <v>0.22035251061817077</v>
      </c>
      <c r="BA151" s="93">
        <f>SUM(AZ151:AZ$204)*EXP(Parameters!$B$54*A151)</f>
        <v>392.94939812600995</v>
      </c>
      <c r="BB151" s="43">
        <f t="shared" si="72"/>
        <v>4.2540449005878802</v>
      </c>
      <c r="BC151" s="30">
        <f>IF(C151&lt;0,Parameters!$B$6*AC151^2/AF151,0)</f>
        <v>0</v>
      </c>
      <c r="BD151" s="30">
        <f>Parameters!$B$5*AD151^2/AG151</f>
        <v>0.33735428103850079</v>
      </c>
      <c r="BE151" s="30">
        <f t="shared" si="68"/>
        <v>0</v>
      </c>
      <c r="BF151" s="30">
        <f t="shared" si="69"/>
        <v>6.7129778093989942E-2</v>
      </c>
      <c r="BH151" s="5"/>
      <c r="BI151" s="5"/>
      <c r="BJ151" s="5"/>
      <c r="BM151">
        <f>-EXP(-Parameters!B$42*'6states,BAU'!A151)*(-Parameters!B$37/Parameters!B$38/Parameters!E$25*(EXP(-Parameters!B$38*Parameters!E$25*'6states,BAU'!I151/('6states,BAU'!F151+'6states,BAU'!I151))-EXP(-Parameters!B$38*Parameters!E$25))+Parameters!B$37*'6states,BAU'!F151/('6states,BAU'!F151+'6states,BAU'!I151)*EXP(-Parameters!B$38*Parameters!E$25*'6states,BAU'!I151/('6states,BAU'!F151+'6states,BAU'!I151)))</f>
        <v>-1.3739717450943949</v>
      </c>
      <c r="BN151">
        <f>-J151*K151*EXP(-Parameters!B$42*'6states,BAU'!A151)*(-Parameters!B$37/Parameters!B$38/Parameters!E$25*(EXP(-Parameters!B$38*Parameters!E$25*'6states,BAU'!I151/('6states,BAU'!F151+'6states,BAU'!I151))-EXP(-Parameters!B$38*Parameters!E$25)) + Parameters!B$37*'6states,BAU'!F151/('6states,BAU'!F151+'6states,BAU'!I151)*EXP(-Parameters!B$38*Parameters!E$25*'6states,BAU'!I151/('6states,BAU'!F151+'6states,BAU'!I151)))</f>
        <v>-2854.5506975279404</v>
      </c>
    </row>
    <row r="152" spans="1:66" x14ac:dyDescent="0.3">
      <c r="A152">
        <f>A151+Parameters!$B$65</f>
        <v>148</v>
      </c>
      <c r="B152">
        <v>2173</v>
      </c>
      <c r="C152" s="74">
        <v>6.3363690766563993E-2</v>
      </c>
      <c r="D152" s="69">
        <v>2.4265599464254098E-3</v>
      </c>
      <c r="E152" s="75">
        <v>0.32298300155163601</v>
      </c>
      <c r="F152" s="7">
        <f>MAX((1-Parameters!$B$4)^Parameters!B$65*F151 + C151*Parameters!B$65 - IF(C151&gt;0,Parameters!$B$5,0)*C151^2/F151*Parameters!B$65, 0.0001)</f>
        <v>0.91107293156515112</v>
      </c>
      <c r="G152" s="7">
        <f>(1-Parameters!$B$4)^Parameters!B$65*G151+D151*Parameters!B$65-Parameters!$B$5*D151^2/G151*Parameters!B$65</f>
        <v>3.6022652512088291E-2</v>
      </c>
      <c r="H152" s="7">
        <f>(1-Parameters!$B$4)^Parameters!B$65*H151+E151*Parameters!B$65-Parameters!$B$5*E151^2/H151*Parameters!B$65</f>
        <v>4.6430152840509287</v>
      </c>
      <c r="I152" s="7">
        <f>I151 *(1-Parameters!$B$4)-C151*(C151&lt;0)*Parameters!B$65</f>
        <v>0</v>
      </c>
      <c r="J152" s="23">
        <f>J151*(1+Parameters!$B$51)^Parameters!B$65</f>
        <v>12.526207250053305</v>
      </c>
      <c r="K152" s="23">
        <f>K151*(1+Parameters!$B$53)^Parameters!B$65</f>
        <v>169.667307866897</v>
      </c>
      <c r="L152" s="23">
        <f>J152*K152*EXP(-Parameters!$B$42*'6states,BAU'!A152)*(Parameters!$B$37/Parameters!$B$38*('6states,BAU'!F152+'6states,BAU'!I152)/Parameters!$E$25*(EXP(-Parameters!$B$38*Parameters!$E$25*'6states,BAU'!I152/('6states,BAU'!F152+'6states,BAU'!I152))-EXP(-Parameters!$B$38*Parameters!$E$25))  +  Parameters!$B$39*'6states,BAU'!F152)</f>
        <v>401.40050647191384</v>
      </c>
      <c r="M152" s="8">
        <f>M151+L152*Parameters!B$65</f>
        <v>28430.535974215123</v>
      </c>
      <c r="N152" s="7">
        <f>M152*Parameters!$B$45</f>
        <v>17.058321584529072</v>
      </c>
      <c r="O152" s="9">
        <f>EXP(-Parameters!$B$46/2*N152^2)</f>
        <v>5.3696220076794886E-2</v>
      </c>
      <c r="P152" s="7">
        <f>MAX((Parameters!$B$62 + Parameters!$B$31*'6states,BAU'!A152 - '6states,BAU'!M152 + Parameters!$B$47/Parameters!$B$45)/Parameters!B$62,1)</f>
        <v>1</v>
      </c>
      <c r="Q152" s="8"/>
      <c r="R152" s="8"/>
      <c r="S152" s="7">
        <f>Parameters!B$61*EXP(-Parameters!B$60*A152)+(1-Parameters!B$61)*P152^-Parameters!B$63</f>
        <v>0.50919452408248134</v>
      </c>
      <c r="T152" s="7">
        <f>1-S152/Parameters!$B$12</f>
        <v>0.74540273795875933</v>
      </c>
      <c r="U152" s="7">
        <f t="shared" si="59"/>
        <v>3.927772011303154</v>
      </c>
      <c r="V152" s="7">
        <f>(Parameters!$B$19*(F152+Parameters!$B$20)^T152+Parameters!$B$18*G152^T152)^(1/T152)</f>
        <v>0.59642127962354707</v>
      </c>
      <c r="W152" s="7">
        <f>(Parameters!$B$10*H152^Parameters!$B$9+Parameters!$B$11*V152^Parameters!$B$9)^(Parameters!$B$7/Parameters!$B$9)*O152</f>
        <v>8.392470489845244E-2</v>
      </c>
      <c r="X152" s="7">
        <f>W152 - D152 - E152 - LN(1+EXP(Parameters!$B$21*C152))/Parameters!$B$21 - IF(C152&gt;0, 0,Parameters!$B$6*C152^2/F152)</f>
        <v>-0.30484854738467965</v>
      </c>
      <c r="Y152" s="7">
        <f>EXP(-Parameters!$B$55*A152)</f>
        <v>0.10701353041907032</v>
      </c>
      <c r="Z152" s="7">
        <f>IF(X152&gt;0,X152^(1-Parameters!$B$52)/(1-Parameters!$B$52)*Y152*Parameters!$B$65,-10+X152*1000)</f>
        <v>-314.84854738467965</v>
      </c>
      <c r="AC152" s="23">
        <f t="shared" si="60"/>
        <v>134.66608287132246</v>
      </c>
      <c r="AD152" s="23">
        <f t="shared" si="60"/>
        <v>5.1571384003090639</v>
      </c>
      <c r="AE152" s="23">
        <f t="shared" si="61"/>
        <v>0</v>
      </c>
      <c r="AF152" s="23">
        <f t="shared" si="62"/>
        <v>1936.2922427604742</v>
      </c>
      <c r="AG152" s="23">
        <f t="shared" si="63"/>
        <v>76.55850613735943</v>
      </c>
      <c r="AH152" s="23">
        <f t="shared" si="64"/>
        <v>1267.5669061624037</v>
      </c>
      <c r="AI152" s="23">
        <f t="shared" si="65"/>
        <v>3119.5786603217734</v>
      </c>
      <c r="AJ152" s="23">
        <f t="shared" si="66"/>
        <v>178.36415663416602</v>
      </c>
      <c r="AK152" s="23">
        <f t="shared" si="67"/>
        <v>-647.89091747430894</v>
      </c>
      <c r="AL152" s="9">
        <f t="shared" si="70"/>
        <v>-5.8788211637290644E-2</v>
      </c>
      <c r="AM152" s="9" t="e">
        <f t="shared" si="70"/>
        <v>#NUM!</v>
      </c>
      <c r="AN152" s="9">
        <f t="shared" ref="AN152:AO167" si="73">AVERAGE(AL150:AL154)</f>
        <v>-5.8867456267565822E-2</v>
      </c>
      <c r="AO152" s="9" t="e">
        <f t="shared" si="73"/>
        <v>#NUM!</v>
      </c>
      <c r="AP152" s="23"/>
      <c r="AQ152" s="25">
        <f t="shared" si="57"/>
        <v>178.36415663416602</v>
      </c>
      <c r="AR152" s="4"/>
      <c r="AS152" s="4"/>
      <c r="AT152" s="4"/>
      <c r="AU152" s="16"/>
      <c r="AV152" s="16"/>
      <c r="AY152" s="21" t="e">
        <f>-Y152*W152*X152^(-Parameters!B$52)*Parameters!B$46*Parameters!B$45*N152</f>
        <v>#NUM!</v>
      </c>
      <c r="AZ152" s="7">
        <f>1000*EXP(-(Parameters!$B$54)*'6states,BAU'!A152)*AQ152*Parameters!B$46*Parameters!B$45*N152</f>
        <v>0.20347835379496923</v>
      </c>
      <c r="BA152" s="93">
        <f>SUM(AZ152:AZ$204)*EXP(Parameters!$B$54*A152)</f>
        <v>367.25021292809413</v>
      </c>
      <c r="BB152" s="43">
        <f t="shared" si="72"/>
        <v>4.63240535352534</v>
      </c>
      <c r="BC152" s="30">
        <f>IF(C152&lt;0,Parameters!$B$6*AC152^2/AF152,0)</f>
        <v>0</v>
      </c>
      <c r="BD152" s="30">
        <f>Parameters!$B$5*AD152^2/AG152</f>
        <v>0.34739544724428517</v>
      </c>
      <c r="BE152" s="30">
        <f t="shared" si="68"/>
        <v>0</v>
      </c>
      <c r="BF152" s="30">
        <f t="shared" si="69"/>
        <v>6.7362056295302453E-2</v>
      </c>
      <c r="BH152" s="5"/>
      <c r="BI152" s="5"/>
      <c r="BJ152" s="5"/>
      <c r="BM152">
        <f>-EXP(-Parameters!B$42*'6states,BAU'!A152)*(-Parameters!B$37/Parameters!B$38/Parameters!E$25*(EXP(-Parameters!B$38*Parameters!E$25*'6states,BAU'!I152/('6states,BAU'!F152+'6states,BAU'!I152))-EXP(-Parameters!B$38*Parameters!E$25))+Parameters!B$37*'6states,BAU'!F152/('6states,BAU'!F152+'6states,BAU'!I152)*EXP(-Parameters!B$38*Parameters!E$25*'6states,BAU'!I152/('6states,BAU'!F152+'6states,BAU'!I152)))</f>
        <v>-1.3603004978067599</v>
      </c>
      <c r="BN152">
        <f>-J152*K152*EXP(-Parameters!B$42*'6states,BAU'!A152)*(-Parameters!B$37/Parameters!B$38/Parameters!E$25*(EXP(-Parameters!B$38*Parameters!E$25*'6states,BAU'!I152/('6states,BAU'!F152+'6states,BAU'!I152))-EXP(-Parameters!B$38*Parameters!E$25)) + Parameters!B$37*'6states,BAU'!F152/('6states,BAU'!F152+'6states,BAU'!I152)*EXP(-Parameters!B$38*Parameters!E$25*'6states,BAU'!I152/('6states,BAU'!F152+'6states,BAU'!I152)))</f>
        <v>-2891.0301365243517</v>
      </c>
    </row>
    <row r="153" spans="1:66" x14ac:dyDescent="0.3">
      <c r="A153">
        <f>A152+Parameters!$B$65</f>
        <v>149</v>
      </c>
      <c r="B153">
        <v>2174</v>
      </c>
      <c r="C153" s="74">
        <v>6.3593229601567006E-2</v>
      </c>
      <c r="D153" s="69">
        <v>2.4330320944317002E-3</v>
      </c>
      <c r="E153" s="75">
        <v>0.32441158302964901</v>
      </c>
      <c r="F153" s="7">
        <f>MAX((1-Parameters!$B$4)^Parameters!B$65*F152 + C152*Parameters!B$65 - IF(C152&gt;0,Parameters!$B$5,0)*C152^2/F152*Parameters!B$65, 0.0001)</f>
        <v>0.91272328981063777</v>
      </c>
      <c r="G153" s="7">
        <f>(1-Parameters!$B$4)^Parameters!B$65*G152+D152*Parameters!B$65-Parameters!$B$5*D152^2/G152*Parameters!B$65</f>
        <v>3.6019929547788321E-2</v>
      </c>
      <c r="H153" s="7">
        <f>(1-Parameters!$B$4)^Parameters!B$65*H152+E152*Parameters!B$65-Parameters!$B$5*E152^2/H152*Parameters!B$65</f>
        <v>4.6514848930504602</v>
      </c>
      <c r="I153" s="7">
        <f>I152 *(1-Parameters!$B$4)-C152*(C152&lt;0)*Parameters!B$65</f>
        <v>0</v>
      </c>
      <c r="J153" s="23">
        <f>J152*(1+Parameters!$B$51)^Parameters!B$65</f>
        <v>12.56253325107846</v>
      </c>
      <c r="K153" s="23">
        <f>K152*(1+Parameters!$B$53)^Parameters!B$65</f>
        <v>173.06065402423494</v>
      </c>
      <c r="L153" s="23">
        <f>J153*K153*EXP(-Parameters!$B$42*'6states,BAU'!A153)*(Parameters!$B$37/Parameters!$B$38*('6states,BAU'!F153+'6states,BAU'!I153)/Parameters!$E$25*(EXP(-Parameters!$B$38*Parameters!$E$25*'6states,BAU'!I153/('6states,BAU'!F153+'6states,BAU'!I153))-EXP(-Parameters!$B$38*Parameters!$E$25))  +  Parameters!$B$39*'6states,BAU'!F153)</f>
        <v>407.26657014930231</v>
      </c>
      <c r="M153" s="8">
        <f>M152+L153*Parameters!B$65</f>
        <v>28837.802544364426</v>
      </c>
      <c r="N153" s="7">
        <f>M153*Parameters!$B$45</f>
        <v>17.302681526618652</v>
      </c>
      <c r="O153" s="9">
        <f>EXP(-Parameters!$B$46/2*N153^2)</f>
        <v>4.9351011368840396E-2</v>
      </c>
      <c r="P153" s="7">
        <f>MAX((Parameters!$B$62 + Parameters!$B$31*'6states,BAU'!A153 - '6states,BAU'!M153 + Parameters!$B$47/Parameters!$B$45)/Parameters!B$62,1)</f>
        <v>1</v>
      </c>
      <c r="Q153" s="8"/>
      <c r="R153" s="8"/>
      <c r="S153" s="7">
        <f>Parameters!B$61*EXP(-Parameters!B$60*A153)+(1-Parameters!B$61)*P153^-Parameters!B$63</f>
        <v>0.50894959337614942</v>
      </c>
      <c r="T153" s="7">
        <f>1-S153/Parameters!$B$12</f>
        <v>0.74552520331192529</v>
      </c>
      <c r="U153" s="7">
        <f t="shared" si="59"/>
        <v>3.9296622416630163</v>
      </c>
      <c r="V153" s="7">
        <f>(Parameters!$B$19*(F153+Parameters!$B$20)^T153+Parameters!$B$18*G153^T153)^(1/T153)</f>
        <v>0.59747890380279822</v>
      </c>
      <c r="W153" s="7">
        <f>(Parameters!$B$10*H153^Parameters!$B$9+Parameters!$B$11*V153^Parameters!$B$9)^(Parameters!$B$7/Parameters!$B$9)*O153</f>
        <v>7.7175328419730946E-2</v>
      </c>
      <c r="X153" s="7">
        <f>W153 - D153 - E153 - LN(1+EXP(Parameters!$B$21*C153))/Parameters!$B$21 - IF(C153&gt;0, 0,Parameters!$B$6*C153^2/F153)</f>
        <v>-0.31326251632319191</v>
      </c>
      <c r="Y153" s="7">
        <f>EXP(-Parameters!$B$55*A153)</f>
        <v>0.10540976501133419</v>
      </c>
      <c r="Z153" s="7">
        <f>IF(X153&gt;0,X153^(1-Parameters!$B$52)/(1-Parameters!$B$52)*Y153*Parameters!$B$65,-10+X153*1000)</f>
        <v>-323.2625163231919</v>
      </c>
      <c r="AC153" s="23">
        <f t="shared" si="60"/>
        <v>138.25678264292944</v>
      </c>
      <c r="AD153" s="23">
        <f t="shared" si="60"/>
        <v>5.2896069526688434</v>
      </c>
      <c r="AE153" s="23">
        <f t="shared" si="61"/>
        <v>0</v>
      </c>
      <c r="AF153" s="23">
        <f t="shared" si="62"/>
        <v>1984.3336512882399</v>
      </c>
      <c r="AG153" s="23">
        <f t="shared" si="63"/>
        <v>78.310216378434859</v>
      </c>
      <c r="AH153" s="23">
        <f t="shared" si="64"/>
        <v>1298.967067003053</v>
      </c>
      <c r="AI153" s="23">
        <f t="shared" si="65"/>
        <v>3196.8568467535442</v>
      </c>
      <c r="AJ153" s="23">
        <f t="shared" si="66"/>
        <v>167.78535503818028</v>
      </c>
      <c r="AK153" s="23">
        <f t="shared" si="67"/>
        <v>-681.05784060392261</v>
      </c>
      <c r="AL153" s="9">
        <f t="shared" si="70"/>
        <v>-6.1141770299695253E-2</v>
      </c>
      <c r="AM153" s="9" t="e">
        <f t="shared" si="70"/>
        <v>#NUM!</v>
      </c>
      <c r="AN153" s="9">
        <f t="shared" si="73"/>
        <v>-6.1222007841548097E-2</v>
      </c>
      <c r="AO153" s="9" t="e">
        <f t="shared" si="73"/>
        <v>#NUM!</v>
      </c>
      <c r="AP153" s="23"/>
      <c r="AQ153" s="25">
        <f t="shared" si="57"/>
        <v>167.78535503818028</v>
      </c>
      <c r="AR153" s="4"/>
      <c r="AS153" s="4"/>
      <c r="AT153" s="4"/>
      <c r="AU153" s="16"/>
      <c r="AV153" s="16"/>
      <c r="AY153" s="21" t="e">
        <f>-Y153*W153*X153^(-Parameters!B$52)*Parameters!B$46*Parameters!B$45*N153</f>
        <v>#NUM!</v>
      </c>
      <c r="AZ153" s="7">
        <f>1000*EXP(-(Parameters!$B$54)*'6states,BAU'!A153)*AQ153*Parameters!B$46*Parameters!B$45*N153</f>
        <v>0.1874554460789922</v>
      </c>
      <c r="BA153" s="93">
        <f>SUM(AZ153:AZ$204)*EXP(Parameters!$B$54*A153)</f>
        <v>342.36510210492042</v>
      </c>
      <c r="BB153" s="43">
        <f t="shared" si="72"/>
        <v>5.0591018233467837</v>
      </c>
      <c r="BC153" s="30">
        <f>IF(C153&lt;0,Parameters!$B$6*AC153^2/AF153,0)</f>
        <v>0</v>
      </c>
      <c r="BD153" s="30">
        <f>Parameters!$B$5*AD153^2/AG153</f>
        <v>0.35729618698164789</v>
      </c>
      <c r="BE153" s="30">
        <f t="shared" si="68"/>
        <v>0</v>
      </c>
      <c r="BF153" s="30">
        <f t="shared" si="69"/>
        <v>6.7546831017638462E-2</v>
      </c>
      <c r="BH153" s="5"/>
      <c r="BI153" s="5"/>
      <c r="BJ153" s="5"/>
      <c r="BM153">
        <f>-EXP(-Parameters!B$42*'6states,BAU'!A153)*(-Parameters!B$37/Parameters!B$38/Parameters!E$25*(EXP(-Parameters!B$38*Parameters!E$25*'6states,BAU'!I153/('6states,BAU'!F153+'6states,BAU'!I153))-EXP(-Parameters!B$38*Parameters!E$25))+Parameters!B$37*'6states,BAU'!F153/('6states,BAU'!F153+'6states,BAU'!I153)*EXP(-Parameters!B$38*Parameters!E$25*'6states,BAU'!I153/('6states,BAU'!F153+'6states,BAU'!I153)))</f>
        <v>-1.3467652817024931</v>
      </c>
      <c r="BN153">
        <f>-J153*K153*EXP(-Parameters!B$42*'6states,BAU'!A153)*(-Parameters!B$37/Parameters!B$38/Parameters!E$25*(EXP(-Parameters!B$38*Parameters!E$25*'6states,BAU'!I153/('6states,BAU'!F153+'6states,BAU'!I153))-EXP(-Parameters!B$38*Parameters!E$25)) + Parameters!B$37*'6states,BAU'!F153/('6states,BAU'!F153+'6states,BAU'!I153)*EXP(-Parameters!B$38*Parameters!E$25*'6states,BAU'!I153/('6states,BAU'!F153+'6states,BAU'!I153)))</f>
        <v>-2927.9757607844008</v>
      </c>
    </row>
    <row r="154" spans="1:66" x14ac:dyDescent="0.3">
      <c r="A154">
        <f>A153+Parameters!$B$65</f>
        <v>150</v>
      </c>
      <c r="B154">
        <v>2175</v>
      </c>
      <c r="C154" s="74">
        <v>6.3982533036372996E-2</v>
      </c>
      <c r="D154" s="69">
        <v>2.4434377830663601E-3</v>
      </c>
      <c r="E154" s="75">
        <v>0.32560511819031701</v>
      </c>
      <c r="F154" s="7">
        <f>MAX((1-Parameters!$B$4)^Parameters!B$65*F153 + C153*Parameters!B$65 - IF(C153&gt;0,Parameters!$B$5,0)*C153^2/F153*Parameters!B$65, 0.0001)</f>
        <v>0.91447541955427825</v>
      </c>
      <c r="G154" s="7">
        <f>(1-Parameters!$B$4)^Parameters!B$65*G153+D153*Parameters!B$65-Parameters!$B$5*D153^2/G153*Parameters!B$65</f>
        <v>3.602296446592107E-2</v>
      </c>
      <c r="H154" s="7">
        <f>(1-Parameters!$B$4)^Parameters!B$65*H153+E153*Parameters!B$65-Parameters!$B$5*E153^2/H153*Parameters!B$65</f>
        <v>4.6606924250101534</v>
      </c>
      <c r="I154" s="7">
        <f>I153 *(1-Parameters!$B$4)-C153*(C153&lt;0)*Parameters!B$65</f>
        <v>0</v>
      </c>
      <c r="J154" s="23">
        <f>J153*(1+Parameters!$B$51)^Parameters!B$65</f>
        <v>12.598964597506585</v>
      </c>
      <c r="K154" s="23">
        <f>K153*(1+Parameters!$B$53)^Parameters!B$65</f>
        <v>176.52186710471963</v>
      </c>
      <c r="L154" s="23">
        <f>J154*K154*EXP(-Parameters!$B$42*'6states,BAU'!A154)*(Parameters!$B$37/Parameters!$B$38*('6states,BAU'!F154+'6states,BAU'!I154)/Parameters!$E$25*(EXP(-Parameters!$B$38*Parameters!$E$25*'6states,BAU'!I154/('6states,BAU'!F154+'6states,BAU'!I154))-EXP(-Parameters!$B$38*Parameters!$E$25))  +  Parameters!$B$39*'6states,BAU'!F154)</f>
        <v>413.26300125149641</v>
      </c>
      <c r="M154" s="8">
        <f>M153+L154*Parameters!B$65</f>
        <v>29251.065545615922</v>
      </c>
      <c r="N154" s="7">
        <f>M154*Parameters!$B$45</f>
        <v>17.550639327369552</v>
      </c>
      <c r="O154" s="9">
        <f>EXP(-Parameters!$B$46/2*N154^2)</f>
        <v>4.5245563627034385E-2</v>
      </c>
      <c r="P154" s="7">
        <f>MAX((Parameters!$B$62 + Parameters!$B$31*'6states,BAU'!A154 - '6states,BAU'!M154 + Parameters!$B$47/Parameters!$B$45)/Parameters!B$62,1)</f>
        <v>1</v>
      </c>
      <c r="Q154" s="8"/>
      <c r="R154" s="8"/>
      <c r="S154" s="7">
        <f>Parameters!B$61*EXP(-Parameters!B$60*A154)+(1-Parameters!B$61)*P154^-Parameters!B$63</f>
        <v>0.50871118731974674</v>
      </c>
      <c r="T154" s="7">
        <f>1-S154/Parameters!$B$12</f>
        <v>0.74564440634012663</v>
      </c>
      <c r="U154" s="7">
        <f t="shared" si="59"/>
        <v>3.9315038667370894</v>
      </c>
      <c r="V154" s="7">
        <f>(Parameters!$B$19*(F154+Parameters!$B$20)^T154+Parameters!$B$18*G154^T154)^(1/T154)</f>
        <v>0.59860283253161117</v>
      </c>
      <c r="W154" s="7">
        <f>(Parameters!$B$10*H154^Parameters!$B$9+Parameters!$B$11*V154^Parameters!$B$9)^(Parameters!$B$7/Parameters!$B$9)*O154</f>
        <v>7.0796843727348291E-2</v>
      </c>
      <c r="X154" s="7">
        <f>W154 - D154 - E154 - LN(1+EXP(Parameters!$B$21*C154))/Parameters!$B$21 - IF(C154&gt;0, 0,Parameters!$B$6*C154^2/F154)</f>
        <v>-0.321234245297779</v>
      </c>
      <c r="Y154" s="7">
        <f>EXP(-Parameters!$B$55*A154)</f>
        <v>0.10383003454079688</v>
      </c>
      <c r="Z154" s="7">
        <f>IF(X154&gt;0,X154^(1-Parameters!$B$52)/(1-Parameters!$B$52)*Y154*Parameters!$B$65,-10+X154*1000)</f>
        <v>-331.23424529777901</v>
      </c>
      <c r="AC154" s="23">
        <f t="shared" si="60"/>
        <v>142.29668987709326</v>
      </c>
      <c r="AD154" s="23">
        <f t="shared" si="60"/>
        <v>5.4341879252155962</v>
      </c>
      <c r="AE154" s="23">
        <f t="shared" si="61"/>
        <v>0</v>
      </c>
      <c r="AF154" s="23">
        <f t="shared" si="62"/>
        <v>2033.7867071090318</v>
      </c>
      <c r="AG154" s="23">
        <f t="shared" si="63"/>
        <v>80.114811961988195</v>
      </c>
      <c r="AH154" s="23">
        <f t="shared" si="64"/>
        <v>1331.2883622765812</v>
      </c>
      <c r="AI154" s="23">
        <f t="shared" si="65"/>
        <v>3276.402015153782</v>
      </c>
      <c r="AJ154" s="23">
        <f t="shared" si="66"/>
        <v>157.45166747963111</v>
      </c>
      <c r="AK154" s="23">
        <f t="shared" si="67"/>
        <v>-714.42263398753641</v>
      </c>
      <c r="AL154" s="9">
        <f t="shared" si="70"/>
        <v>-6.3566975906886647E-2</v>
      </c>
      <c r="AM154" s="9" t="e">
        <f t="shared" si="70"/>
        <v>#NUM!</v>
      </c>
      <c r="AN154" s="9">
        <f t="shared" si="73"/>
        <v>-6.365850209646115E-2</v>
      </c>
      <c r="AO154" s="9" t="e">
        <f t="shared" si="73"/>
        <v>#NUM!</v>
      </c>
      <c r="AP154" s="23"/>
      <c r="AQ154" s="25">
        <f t="shared" si="57"/>
        <v>157.45166747963114</v>
      </c>
      <c r="AR154" s="4"/>
      <c r="AS154" s="4"/>
      <c r="AT154" s="4"/>
      <c r="AU154" s="16"/>
      <c r="AV154" s="16"/>
      <c r="AY154" s="21" t="e">
        <f>-Y154*W154*X154^(-Parameters!B$52)*Parameters!B$46*Parameters!B$45*N154</f>
        <v>#NUM!</v>
      </c>
      <c r="AZ154" s="7">
        <f>1000*EXP(-(Parameters!$B$54)*'6states,BAU'!A154)*AQ154*Parameters!B$46*Parameters!B$45*N154</f>
        <v>0.17227690713604218</v>
      </c>
      <c r="BA154" s="93">
        <f>SUM(AZ154:AZ$204)*EXP(Parameters!$B$54*A154)</f>
        <v>318.33294101656418</v>
      </c>
      <c r="BB154" s="43">
        <f t="shared" si="72"/>
        <v>5.5374091325248962</v>
      </c>
      <c r="BC154" s="30">
        <f>IF(C154&lt;0,Parameters!$B$6*AC154^2/AF154,0)</f>
        <v>0</v>
      </c>
      <c r="BD154" s="30">
        <f>Parameters!$B$5*AD154^2/AG154</f>
        <v>0.36860098255701051</v>
      </c>
      <c r="BE154" s="30">
        <f t="shared" si="68"/>
        <v>0</v>
      </c>
      <c r="BF154" s="30">
        <f t="shared" si="69"/>
        <v>6.7830002868807054E-2</v>
      </c>
      <c r="BH154" s="5"/>
      <c r="BI154" s="5"/>
      <c r="BJ154" s="5"/>
      <c r="BM154">
        <f>-EXP(-Parameters!B$42*'6states,BAU'!A154)*(-Parameters!B$37/Parameters!B$38/Parameters!E$25*(EXP(-Parameters!B$38*Parameters!E$25*'6states,BAU'!I154/('6states,BAU'!F154+'6states,BAU'!I154))-EXP(-Parameters!B$38*Parameters!E$25))+Parameters!B$37*'6states,BAU'!F154/('6states,BAU'!F154+'6states,BAU'!I154)*EXP(-Parameters!B$38*Parameters!E$25*'6states,BAU'!I154/('6states,BAU'!F154+'6states,BAU'!I154)))</f>
        <v>-1.3333647432487048</v>
      </c>
      <c r="BN154">
        <f>-J154*K154*EXP(-Parameters!B$42*'6states,BAU'!A154)*(-Parameters!B$37/Parameters!B$38/Parameters!E$25*(EXP(-Parameters!B$38*Parameters!E$25*'6states,BAU'!I154/('6states,BAU'!F154+'6states,BAU'!I154))-EXP(-Parameters!B$38*Parameters!E$25)) + Parameters!B$37*'6states,BAU'!F154/('6states,BAU'!F154+'6states,BAU'!I154)*EXP(-Parameters!B$38*Parameters!E$25*'6states,BAU'!I154/('6states,BAU'!F154+'6states,BAU'!I154)))</f>
        <v>-2965.3935278750337</v>
      </c>
    </row>
    <row r="155" spans="1:66" x14ac:dyDescent="0.3">
      <c r="A155">
        <f>A154+Parameters!$B$65</f>
        <v>151</v>
      </c>
      <c r="B155">
        <v>2176</v>
      </c>
      <c r="C155" s="74">
        <v>6.4292418164203405E-2</v>
      </c>
      <c r="D155" s="69">
        <v>2.4527426016511299E-3</v>
      </c>
      <c r="E155" s="75">
        <v>0.32715123608966201</v>
      </c>
      <c r="F155" s="7">
        <f>MAX((1-Parameters!$B$4)^Parameters!B$65*F154 + C154*Parameters!B$65 - IF(C154&gt;0,Parameters!$B$5,0)*C154^2/F154*Parameters!B$65, 0.0001)</f>
        <v>0.91646082259766315</v>
      </c>
      <c r="G155" s="7">
        <f>(1-Parameters!$B$4)^Parameters!B$65*G154+D154*Parameters!B$65-Parameters!$B$5*D154^2/G154*Parameters!B$65</f>
        <v>3.6034819392245857E-2</v>
      </c>
      <c r="H155" s="7">
        <f>(1-Parameters!$B$4)^Parameters!B$65*H154+E154*Parameters!B$65-Parameters!$B$5*E154^2/H154*Parameters!B$65</f>
        <v>4.6703925771964263</v>
      </c>
      <c r="I155" s="7">
        <f>I154 *(1-Parameters!$B$4)-C154*(C154&lt;0)*Parameters!B$65</f>
        <v>0</v>
      </c>
      <c r="J155" s="23">
        <f>J154*(1+Parameters!$B$51)^Parameters!B$65</f>
        <v>12.635501594839353</v>
      </c>
      <c r="K155" s="23">
        <f>K154*(1+Parameters!$B$53)^Parameters!B$65</f>
        <v>180.05230444681402</v>
      </c>
      <c r="L155" s="23">
        <f>J155*K155*EXP(-Parameters!$B$42*'6states,BAU'!A155)*(Parameters!$B$37/Parameters!$B$38*('6states,BAU'!F155+'6states,BAU'!I155)/Parameters!$E$25*(EXP(-Parameters!$B$38*Parameters!$E$25*'6states,BAU'!I155/('6states,BAU'!F155+'6states,BAU'!I155))-EXP(-Parameters!$B$38*Parameters!$E$25))  +  Parameters!$B$39*'6states,BAU'!F155)</f>
        <v>419.45294832799902</v>
      </c>
      <c r="M155" s="8">
        <f>M154+L155*Parameters!B$65</f>
        <v>29670.51849394392</v>
      </c>
      <c r="N155" s="7">
        <f>M155*Parameters!$B$45</f>
        <v>17.802311096366349</v>
      </c>
      <c r="O155" s="9">
        <f>EXP(-Parameters!$B$46/2*N155^2)</f>
        <v>4.1375394204186143E-2</v>
      </c>
      <c r="P155" s="7">
        <f>MAX((Parameters!$B$62 + Parameters!$B$31*'6states,BAU'!A155 - '6states,BAU'!M155 + Parameters!$B$47/Parameters!$B$45)/Parameters!B$62,1)</f>
        <v>1</v>
      </c>
      <c r="Q155" s="8"/>
      <c r="R155" s="8"/>
      <c r="S155" s="7">
        <f>Parameters!B$61*EXP(-Parameters!B$60*A155)+(1-Parameters!B$61)*P155^-Parameters!B$63</f>
        <v>0.50847913210469975</v>
      </c>
      <c r="T155" s="7">
        <f>1-S155/Parameters!$B$12</f>
        <v>0.74576043394765013</v>
      </c>
      <c r="U155" s="7">
        <f t="shared" si="59"/>
        <v>3.9332980917458471</v>
      </c>
      <c r="V155" s="7">
        <f>(Parameters!$B$19*(F155+Parameters!$B$20)^T155+Parameters!$B$18*G155^T155)^(1/T155)</f>
        <v>0.59987696432446458</v>
      </c>
      <c r="W155" s="7">
        <f>(Parameters!$B$10*H155^Parameters!$B$9+Parameters!$B$11*V155^Parameters!$B$9)^(Parameters!$B$7/Parameters!$B$9)*O155</f>
        <v>6.4781644762161514E-2</v>
      </c>
      <c r="X155" s="7">
        <f>W155 - D155 - E155 - LN(1+EXP(Parameters!$B$21*C155))/Parameters!$B$21 - IF(C155&gt;0, 0,Parameters!$B$6*C155^2/F155)</f>
        <v>-0.32911475210736141</v>
      </c>
      <c r="Y155" s="7">
        <f>EXP(-Parameters!$B$55*A155)</f>
        <v>0.10227397880626984</v>
      </c>
      <c r="Z155" s="7">
        <f>IF(X155&gt;0,X155^(1-Parameters!$B$52)/(1-Parameters!$B$52)*Y155*Parameters!$B$65,-10+X155*1000)</f>
        <v>-339.11475210736143</v>
      </c>
      <c r="AC155" s="23">
        <f t="shared" si="60"/>
        <v>146.26854180902413</v>
      </c>
      <c r="AD155" s="23">
        <f t="shared" si="60"/>
        <v>5.5801149501035887</v>
      </c>
      <c r="AE155" s="23">
        <f t="shared" si="61"/>
        <v>0</v>
      </c>
      <c r="AF155" s="23">
        <f t="shared" si="62"/>
        <v>2084.9952758674535</v>
      </c>
      <c r="AG155" s="23">
        <f t="shared" si="63"/>
        <v>81.981058379135433</v>
      </c>
      <c r="AH155" s="23">
        <f t="shared" si="64"/>
        <v>1364.7507955365236</v>
      </c>
      <c r="AI155" s="23">
        <f t="shared" si="65"/>
        <v>3358.7556110173709</v>
      </c>
      <c r="AJ155" s="23">
        <f t="shared" si="66"/>
        <v>147.38155735799231</v>
      </c>
      <c r="AK155" s="23">
        <f t="shared" si="67"/>
        <v>-748.75290513469929</v>
      </c>
      <c r="AL155" s="9">
        <f t="shared" si="70"/>
        <v>-6.6093685786150935E-2</v>
      </c>
      <c r="AM155" s="9" t="e">
        <f t="shared" si="70"/>
        <v>#NUM!</v>
      </c>
      <c r="AN155" s="9">
        <f t="shared" si="73"/>
        <v>-6.618079670701231E-2</v>
      </c>
      <c r="AO155" s="9" t="e">
        <f t="shared" si="73"/>
        <v>#NUM!</v>
      </c>
      <c r="AP155" s="23"/>
      <c r="AQ155" s="25">
        <f t="shared" si="57"/>
        <v>147.38155735799231</v>
      </c>
      <c r="AR155" s="4"/>
      <c r="AS155" s="4"/>
      <c r="AT155" s="4"/>
      <c r="AU155" s="16"/>
      <c r="AV155" s="16"/>
      <c r="AY155" s="21" t="e">
        <f>-Y155*W155*X155^(-Parameters!B$52)*Parameters!B$46*Parameters!B$45*N155</f>
        <v>#NUM!</v>
      </c>
      <c r="AZ155" s="7">
        <f>1000*EXP(-(Parameters!$B$54)*'6states,BAU'!A155)*AQ155*Parameters!B$46*Parameters!B$45*N155</f>
        <v>0.15792927864068834</v>
      </c>
      <c r="BA155" s="93">
        <f>SUM(AZ155:AZ$204)*EXP(Parameters!$B$54*A155)</f>
        <v>295.18797899095233</v>
      </c>
      <c r="BB155" s="43">
        <f t="shared" si="72"/>
        <v>6.0803704243950989</v>
      </c>
      <c r="BC155" s="30">
        <f>IF(C155&lt;0,Parameters!$B$6*AC155^2/AF155,0)</f>
        <v>0</v>
      </c>
      <c r="BD155" s="30">
        <f>Parameters!$B$5*AD155^2/AG155</f>
        <v>0.37981557535361443</v>
      </c>
      <c r="BE155" s="30">
        <f t="shared" si="68"/>
        <v>0</v>
      </c>
      <c r="BF155" s="30">
        <f t="shared" si="69"/>
        <v>6.8065905227734341E-2</v>
      </c>
      <c r="BH155" s="5"/>
      <c r="BI155" s="5"/>
      <c r="BJ155" s="5"/>
      <c r="BM155">
        <f>-EXP(-Parameters!B$42*'6states,BAU'!A155)*(-Parameters!B$37/Parameters!B$38/Parameters!E$25*(EXP(-Parameters!B$38*Parameters!E$25*'6states,BAU'!I155/('6states,BAU'!F155+'6states,BAU'!I155))-EXP(-Parameters!B$38*Parameters!E$25))+Parameters!B$37*'6states,BAU'!F155/('6states,BAU'!F155+'6states,BAU'!I155)*EXP(-Parameters!B$38*Parameters!E$25*'6states,BAU'!I155/('6states,BAU'!F155+'6states,BAU'!I155)))</f>
        <v>-1.3200975423803825</v>
      </c>
      <c r="BN155">
        <f>-J155*K155*EXP(-Parameters!B$42*'6states,BAU'!A155)*(-Parameters!B$37/Parameters!B$38/Parameters!E$25*(EXP(-Parameters!B$38*Parameters!E$25*'6states,BAU'!I155/('6states,BAU'!F155+'6states,BAU'!I155))-EXP(-Parameters!B$38*Parameters!E$25)) + Parameters!B$37*'6states,BAU'!F155/('6states,BAU'!F155+'6states,BAU'!I155)*EXP(-Parameters!B$38*Parameters!E$25*'6states,BAU'!I155/('6states,BAU'!F155+'6states,BAU'!I155)))</f>
        <v>-3003.2894714973177</v>
      </c>
    </row>
    <row r="156" spans="1:66" x14ac:dyDescent="0.3">
      <c r="A156">
        <f>A155+Parameters!$B$65</f>
        <v>152</v>
      </c>
      <c r="B156">
        <v>2177</v>
      </c>
      <c r="C156" s="74">
        <v>6.4614438397606402E-2</v>
      </c>
      <c r="D156" s="69">
        <v>2.4620595202959599E-3</v>
      </c>
      <c r="E156" s="75">
        <v>0.328879132804895</v>
      </c>
      <c r="F156" s="7">
        <f>MAX((1-Parameters!$B$4)^Parameters!B$65*F155 + C155*Parameters!B$65 - IF(C155&gt;0,Parameters!$B$5,0)*C155^2/F155*Parameters!B$65, 0.0001)</f>
        <v>0.91859755307250313</v>
      </c>
      <c r="G156" s="7">
        <f>(1-Parameters!$B$4)^Parameters!B$65*G155+D155*Parameters!B$65-Parameters!$B$5*D155^2/G155*Parameters!B$65</f>
        <v>3.6054023708652717E-2</v>
      </c>
      <c r="H156" s="7">
        <f>(1-Parameters!$B$4)^Parameters!B$65*H155+E155*Parameters!B$65-Parameters!$B$5*E155^2/H155*Parameters!B$65</f>
        <v>4.6808598600361435</v>
      </c>
      <c r="I156" s="7">
        <f>I155 *(1-Parameters!$B$4)-C155*(C155&lt;0)*Parameters!B$65</f>
        <v>0</v>
      </c>
      <c r="J156" s="23">
        <f>J155*(1+Parameters!$B$51)^Parameters!B$65</f>
        <v>12.672144549464386</v>
      </c>
      <c r="K156" s="23">
        <f>K155*(1+Parameters!$B$53)^Parameters!B$65</f>
        <v>183.65335053575029</v>
      </c>
      <c r="L156" s="23">
        <f>J156*K156*EXP(-Parameters!$B$42*'6states,BAU'!A156)*(Parameters!$B$37/Parameters!$B$38*('6states,BAU'!F156+'6states,BAU'!I156)/Parameters!$E$25*(EXP(-Parameters!$B$38*Parameters!$E$25*'6states,BAU'!I156/('6states,BAU'!F156+'6states,BAU'!I156))-EXP(-Parameters!$B$38*Parameters!$E$25))  +  Parameters!$B$39*'6states,BAU'!F156)</f>
        <v>425.80375760402745</v>
      </c>
      <c r="M156" s="8">
        <f>M155+L156*Parameters!B$65</f>
        <v>30096.322251547947</v>
      </c>
      <c r="N156" s="7">
        <f>M156*Parameters!$B$45</f>
        <v>18.057793350928765</v>
      </c>
      <c r="O156" s="9">
        <f>EXP(-Parameters!$B$46/2*N156^2)</f>
        <v>3.7735906826778673E-2</v>
      </c>
      <c r="P156" s="7">
        <f>MAX((Parameters!$B$62 + Parameters!$B$31*'6states,BAU'!A156 - '6states,BAU'!M156 + Parameters!$B$47/Parameters!$B$45)/Parameters!B$62,1)</f>
        <v>1</v>
      </c>
      <c r="Q156" s="8"/>
      <c r="R156" s="8"/>
      <c r="S156" s="7">
        <f>Parameters!B$61*EXP(-Parameters!B$60*A156)+(1-Parameters!B$61)*P156^-Parameters!B$63</f>
        <v>0.50825325855247938</v>
      </c>
      <c r="T156" s="7">
        <f>1-S156/Parameters!$B$12</f>
        <v>0.74587337072376036</v>
      </c>
      <c r="U156" s="7">
        <f t="shared" si="59"/>
        <v>3.9350460943350583</v>
      </c>
      <c r="V156" s="7">
        <f>(Parameters!$B$19*(F156+Parameters!$B$20)^T156+Parameters!$B$18*G156^T156)^(1/T156)</f>
        <v>0.60124934122095031</v>
      </c>
      <c r="W156" s="7">
        <f>(Parameters!$B$10*H156^Parameters!$B$9+Parameters!$B$11*V156^Parameters!$B$9)^(Parameters!$B$7/Parameters!$B$9)*O156</f>
        <v>5.9123117449577454E-2</v>
      </c>
      <c r="X156" s="7">
        <f>W156 - D156 - E156 - LN(1+EXP(Parameters!$B$21*C156))/Parameters!$B$21 - IF(C156&gt;0, 0,Parameters!$B$6*C156^2/F156)</f>
        <v>-0.3368325132859365</v>
      </c>
      <c r="Y156" s="7">
        <f>EXP(-Parameters!$B$55*A156)</f>
        <v>0.10074124300474355</v>
      </c>
      <c r="Z156" s="7">
        <f>IF(X156&gt;0,X156^(1-Parameters!$B$52)/(1-Parameters!$B$52)*Y156*Parameters!$B$65,-10+X156*1000)</f>
        <v>-346.8325132859365</v>
      </c>
      <c r="AC156" s="23">
        <f t="shared" si="60"/>
        <v>150.37600682191072</v>
      </c>
      <c r="AD156" s="23">
        <f t="shared" si="60"/>
        <v>5.729906324368681</v>
      </c>
      <c r="AE156" s="23">
        <f t="shared" si="61"/>
        <v>0</v>
      </c>
      <c r="AF156" s="23">
        <f t="shared" si="62"/>
        <v>2137.8353713670649</v>
      </c>
      <c r="AG156" s="23">
        <f t="shared" si="63"/>
        <v>83.907873373554438</v>
      </c>
      <c r="AH156" s="23">
        <f t="shared" si="64"/>
        <v>1399.2766520812204</v>
      </c>
      <c r="AI156" s="23">
        <f t="shared" si="65"/>
        <v>3443.7263725468356</v>
      </c>
      <c r="AJ156" s="23">
        <f t="shared" si="66"/>
        <v>137.59615549424382</v>
      </c>
      <c r="AK156" s="23">
        <f t="shared" si="67"/>
        <v>-783.90417949687958</v>
      </c>
      <c r="AL156" s="9">
        <f t="shared" si="70"/>
        <v>-6.8701866852282301E-2</v>
      </c>
      <c r="AM156" s="9" t="e">
        <f t="shared" si="70"/>
        <v>#NUM!</v>
      </c>
      <c r="AN156" s="9">
        <f t="shared" si="73"/>
        <v>-6.8790862491892396E-2</v>
      </c>
      <c r="AO156" s="9" t="e">
        <f t="shared" si="73"/>
        <v>#NUM!</v>
      </c>
      <c r="AP156" s="23"/>
      <c r="AQ156" s="25">
        <f t="shared" si="57"/>
        <v>137.59615549424379</v>
      </c>
      <c r="AR156" s="4"/>
      <c r="AS156" s="4"/>
      <c r="AT156" s="4"/>
      <c r="AU156" s="16"/>
      <c r="AV156" s="16"/>
      <c r="AY156" s="21" t="e">
        <f>-Y156*W156*X156^(-Parameters!B$52)*Parameters!B$46*Parameters!B$45*N156</f>
        <v>#NUM!</v>
      </c>
      <c r="AZ156" s="7">
        <f>1000*EXP(-(Parameters!$B$54)*'6states,BAU'!A156)*AQ156*Parameters!B$46*Parameters!B$45*N156</f>
        <v>0.14440105505046028</v>
      </c>
      <c r="BA156" s="93">
        <f>SUM(AZ156:AZ$204)*EXP(Parameters!$B$54*A156)</f>
        <v>272.96048520469299</v>
      </c>
      <c r="BB156" s="43">
        <f t="shared" si="72"/>
        <v>6.6971372248847345</v>
      </c>
      <c r="BC156" s="30">
        <f>IF(C156&lt;0,Parameters!$B$6*AC156^2/AF156,0)</f>
        <v>0</v>
      </c>
      <c r="BD156" s="30">
        <f>Parameters!$B$5*AD156^2/AG156</f>
        <v>0.39128421643907302</v>
      </c>
      <c r="BE156" s="30">
        <f t="shared" si="68"/>
        <v>0</v>
      </c>
      <c r="BF156" s="30">
        <f t="shared" si="69"/>
        <v>6.8288065159980524E-2</v>
      </c>
      <c r="BH156" s="5"/>
      <c r="BI156" s="5"/>
      <c r="BJ156" s="5"/>
      <c r="BM156">
        <f>-EXP(-Parameters!B$42*'6states,BAU'!A156)*(-Parameters!B$37/Parameters!B$38/Parameters!E$25*(EXP(-Parameters!B$38*Parameters!E$25*'6states,BAU'!I156/('6states,BAU'!F156+'6states,BAU'!I156))-EXP(-Parameters!B$38*Parameters!E$25))+Parameters!B$37*'6states,BAU'!F156/('6states,BAU'!F156+'6states,BAU'!I156)*EXP(-Parameters!B$38*Parameters!E$25*'6states,BAU'!I156/('6states,BAU'!F156+'6states,BAU'!I156)))</f>
        <v>-1.3069623523663827</v>
      </c>
    </row>
    <row r="157" spans="1:66" x14ac:dyDescent="0.3">
      <c r="A157">
        <f>A156+Parameters!$B$65</f>
        <v>153</v>
      </c>
      <c r="B157">
        <v>2178</v>
      </c>
      <c r="C157" s="74">
        <v>6.4944244934682496E-2</v>
      </c>
      <c r="D157" s="69">
        <v>2.47255393417795E-3</v>
      </c>
      <c r="E157" s="75">
        <v>0.33077302410037202</v>
      </c>
      <c r="F157" s="7">
        <f>MAX((1-Parameters!$B$4)^Parameters!B$65*F156 + C156*Parameters!B$65 - IF(C156&gt;0,Parameters!$B$5,0)*C156^2/F156*Parameters!B$65, 0.0001)</f>
        <v>0.92088720563144311</v>
      </c>
      <c r="G157" s="7">
        <f>(1-Parameters!$B$4)^Parameters!B$65*G156+D156*Parameters!B$65-Parameters!$B$5*D156^2/G156*Parameters!B$65</f>
        <v>3.6080155856724708E-2</v>
      </c>
      <c r="H157" s="7">
        <f>(1-Parameters!$B$4)^Parameters!B$65*H156+E156*Parameters!B$65-Parameters!$B$5*E156^2/H156*Parameters!B$65</f>
        <v>4.6922057249414442</v>
      </c>
      <c r="I157" s="7">
        <f>I156 *(1-Parameters!$B$4)-C156*(C156&lt;0)*Parameters!B$65</f>
        <v>0</v>
      </c>
      <c r="J157" s="23">
        <f>J156*(1+Parameters!$B$51)^Parameters!B$65</f>
        <v>12.708893768657832</v>
      </c>
      <c r="K157" s="23">
        <f>K156*(1+Parameters!$B$53)^Parameters!B$65</f>
        <v>187.32641754646531</v>
      </c>
      <c r="L157" s="23">
        <f>J157*K157*EXP(-Parameters!$B$42*'6states,BAU'!A157)*(Parameters!$B$37/Parameters!$B$38*('6states,BAU'!F157+'6states,BAU'!I157)/Parameters!$E$25*(EXP(-Parameters!$B$38*Parameters!$E$25*'6states,BAU'!I157/('6states,BAU'!F157+'6states,BAU'!I157))-EXP(-Parameters!$B$38*Parameters!$E$25))  +  Parameters!$B$39*'6states,BAU'!F157)</f>
        <v>432.32017467271089</v>
      </c>
      <c r="M157" s="8">
        <f>M156+L157*Parameters!B$65</f>
        <v>30528.642426220656</v>
      </c>
      <c r="N157" s="7">
        <f>M157*Parameters!$B$45</f>
        <v>18.317185455732393</v>
      </c>
      <c r="O157" s="9">
        <f>EXP(-Parameters!$B$46/2*N157^2)</f>
        <v>3.432199782584202E-2</v>
      </c>
      <c r="P157" s="7">
        <f>MAX((Parameters!$B$62 + Parameters!$B$31*'6states,BAU'!A157 - '6states,BAU'!M157 + Parameters!$B$47/Parameters!$B$45)/Parameters!B$62,1)</f>
        <v>1</v>
      </c>
      <c r="Q157" s="8"/>
      <c r="R157" s="8"/>
      <c r="S157" s="7">
        <f>Parameters!B$61*EXP(-Parameters!B$60*A157)+(1-Parameters!B$61)*P157^-Parameters!B$63</f>
        <v>0.50803340199126268</v>
      </c>
      <c r="T157" s="7">
        <f>1-S157/Parameters!$B$12</f>
        <v>0.74598329900436866</v>
      </c>
      <c r="U157" s="7">
        <f t="shared" si="59"/>
        <v>3.9367490250855526</v>
      </c>
      <c r="V157" s="7">
        <f>(Parameters!$B$19*(F157+Parameters!$B$20)^T157+Parameters!$B$18*G157^T157)^(1/T157)</f>
        <v>0.60272072458317394</v>
      </c>
      <c r="W157" s="7">
        <f>(Parameters!$B$10*H157^Parameters!$B$9+Parameters!$B$11*V157^Parameters!$B$9)^(Parameters!$B$7/Parameters!$B$9)*O157</f>
        <v>5.3813474490921595E-2</v>
      </c>
      <c r="X157" s="7">
        <f>W157 - D157 - E157 - LN(1+EXP(Parameters!$B$21*C157))/Parameters!$B$21 - IF(C157&gt;0, 0,Parameters!$B$6*C157^2/F157)</f>
        <v>-0.34437634848982945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-354.37634848982947</v>
      </c>
      <c r="AC157" s="23">
        <f t="shared" si="60"/>
        <v>154.61351341553072</v>
      </c>
      <c r="AD157" s="23">
        <f t="shared" si="60"/>
        <v>5.8864376860048671</v>
      </c>
      <c r="AE157" s="23">
        <f t="shared" si="61"/>
        <v>0</v>
      </c>
      <c r="AF157" s="23">
        <f t="shared" si="62"/>
        <v>2192.3667980940832</v>
      </c>
      <c r="AG157" s="23">
        <f t="shared" si="63"/>
        <v>85.896443436961761</v>
      </c>
      <c r="AH157" s="23">
        <f t="shared" si="64"/>
        <v>1434.9041848108839</v>
      </c>
      <c r="AI157" s="23">
        <f t="shared" si="65"/>
        <v>3531.4084430419243</v>
      </c>
      <c r="AJ157" s="23">
        <f t="shared" si="66"/>
        <v>128.11435976361781</v>
      </c>
      <c r="AK157" s="23">
        <f t="shared" si="67"/>
        <v>-819.86074718052373</v>
      </c>
      <c r="AL157" s="9">
        <f t="shared" si="70"/>
        <v>-7.1399684690046428E-2</v>
      </c>
      <c r="AM157" s="9" t="e">
        <f t="shared" si="70"/>
        <v>#NUM!</v>
      </c>
      <c r="AN157" s="9">
        <f t="shared" si="73"/>
        <v>-7.1495643461308947E-2</v>
      </c>
      <c r="AO157" s="9" t="e">
        <f t="shared" si="73"/>
        <v>#NUM!</v>
      </c>
      <c r="AP157" s="23"/>
      <c r="AQ157" s="25">
        <f t="shared" si="57"/>
        <v>128.11435976361778</v>
      </c>
      <c r="AR157" s="4"/>
      <c r="AS157" s="4"/>
      <c r="AT157" s="4"/>
      <c r="AU157" s="16"/>
      <c r="AV157" s="16"/>
      <c r="AY157" s="21" t="e">
        <f>-Y157*W157*X157^(-Parameters!B$52)*Parameters!B$46*Parameters!B$45*N157</f>
        <v>#NUM!</v>
      </c>
      <c r="AZ157" s="7">
        <f>1000*EXP(-(Parameters!$B$54)*'6states,BAU'!A157)*AQ157*Parameters!B$46*Parameters!B$45*N157</f>
        <v>0.13167769169371887</v>
      </c>
      <c r="BA157" s="93">
        <f>SUM(AZ157:AZ$204)*EXP(Parameters!$B$54*A157)</f>
        <v>251.67579382933295</v>
      </c>
      <c r="BB157" s="43">
        <f t="shared" si="72"/>
        <v>7.3994445951711887</v>
      </c>
      <c r="BC157" s="30">
        <f>IF(C157&lt;0,Parameters!$B$6*AC157^2/AF157,0)</f>
        <v>0</v>
      </c>
      <c r="BD157" s="30">
        <f>Parameters!$B$5*AD157^2/AG157</f>
        <v>0.40339445086160769</v>
      </c>
      <c r="BE157" s="30">
        <f t="shared" si="68"/>
        <v>0</v>
      </c>
      <c r="BF157" s="30">
        <f t="shared" si="69"/>
        <v>6.852946932924929E-2</v>
      </c>
      <c r="BH157" s="5"/>
      <c r="BI157" s="5"/>
      <c r="BJ157" s="5"/>
      <c r="BM157">
        <f>-EXP(-Parameters!B$42*'6states,BAU'!A157)*(-Parameters!B$37/Parameters!B$38/Parameters!E$25*(EXP(-Parameters!B$38*Parameters!E$25*'6states,BAU'!I157/('6states,BAU'!F157+'6states,BAU'!I157))-EXP(-Parameters!B$38*Parameters!E$25))+Parameters!B$37*'6states,BAU'!F157/('6states,BAU'!F157+'6states,BAU'!I157)*EXP(-Parameters!B$38*Parameters!E$25*'6states,BAU'!I157/('6states,BAU'!F157+'6states,BAU'!I157)))</f>
        <v>-1.2939578596767589</v>
      </c>
    </row>
    <row r="158" spans="1:66" x14ac:dyDescent="0.3">
      <c r="A158">
        <f>A157+Parameters!$B$65</f>
        <v>154</v>
      </c>
      <c r="B158">
        <v>2179</v>
      </c>
      <c r="C158" s="74">
        <v>6.5358723905722393E-2</v>
      </c>
      <c r="D158" s="69">
        <v>2.4841185023963498E-3</v>
      </c>
      <c r="E158" s="75">
        <v>0.33274800142204503</v>
      </c>
      <c r="F158" s="7">
        <f>MAX((1-Parameters!$B$4)^Parameters!B$65*F157 + C157*Parameters!B$65 - IF(C157&gt;0,Parameters!$B$5,0)*C157^2/F157*Parameters!B$65, 0.0001)</f>
        <v>0.92332754591870791</v>
      </c>
      <c r="G158" s="7">
        <f>(1-Parameters!$B$4)^Parameters!B$65*G157+D157*Parameters!B$65-Parameters!$B$5*D157^2/G157*Parameters!B$65</f>
        <v>3.6113825178517515E-2</v>
      </c>
      <c r="H158" s="7">
        <f>(1-Parameters!$B$4)^Parameters!B$65*H157+E157*Parameters!B$65-Parameters!$B$5*E157^2/H157*Parameters!B$65</f>
        <v>4.7045214478883057</v>
      </c>
      <c r="I158" s="7">
        <f>I157 *(1-Parameters!$B$4)-C157*(C157&lt;0)*Parameters!B$65</f>
        <v>0</v>
      </c>
      <c r="J158" s="23">
        <f>J157*(1+Parameters!$B$51)^Parameters!B$65</f>
        <v>12.745749560586939</v>
      </c>
      <c r="K158" s="23">
        <f>K157*(1+Parameters!$B$53)^Parameters!B$65</f>
        <v>191.07294589739462</v>
      </c>
      <c r="L158" s="23">
        <f>J158*K158*EXP(-Parameters!$B$42*'6states,BAU'!A158)*(Parameters!$B$37/Parameters!$B$38*('6states,BAU'!F158+'6states,BAU'!I158)/Parameters!$E$25*(EXP(-Parameters!$B$38*Parameters!$E$25*'6states,BAU'!I158/('6states,BAU'!F158+'6states,BAU'!I158))-EXP(-Parameters!$B$38*Parameters!$E$25))  +  Parameters!$B$39*'6states,BAU'!F158)</f>
        <v>439.00525019757544</v>
      </c>
      <c r="M158" s="8">
        <f>M157+L158*Parameters!B$65</f>
        <v>30967.647676418233</v>
      </c>
      <c r="N158" s="7">
        <f>M158*Parameters!$B$45</f>
        <v>18.580588605850938</v>
      </c>
      <c r="O158" s="9">
        <f>EXP(-Parameters!$B$46/2*N158^2)</f>
        <v>3.1128090279240978E-2</v>
      </c>
      <c r="P158" s="7">
        <f>MAX((Parameters!$B$62 + Parameters!$B$31*'6states,BAU'!A158 - '6states,BAU'!M158 + Parameters!$B$47/Parameters!$B$45)/Parameters!B$62,1)</f>
        <v>1</v>
      </c>
      <c r="Q158" s="8"/>
      <c r="R158" s="8"/>
      <c r="S158" s="7">
        <f>Parameters!B$61*EXP(-Parameters!B$60*A158)+(1-Parameters!B$61)*P158^-Parameters!B$63</f>
        <v>0.50781940213587951</v>
      </c>
      <c r="T158" s="7">
        <f>1-S158/Parameters!$B$12</f>
        <v>0.74609029893206025</v>
      </c>
      <c r="U158" s="7">
        <f t="shared" si="59"/>
        <v>3.938408008020243</v>
      </c>
      <c r="V158" s="7">
        <f>(Parameters!$B$19*(F158+Parameters!$B$20)^T158+Parameters!$B$18*G158^T158)^(1/T158)</f>
        <v>0.60429012819285544</v>
      </c>
      <c r="W158" s="7">
        <f>(Parameters!$B$10*H158^Parameters!$B$9+Parameters!$B$11*V158^Parameters!$B$9)^(Parameters!$B$7/Parameters!$B$9)*O158</f>
        <v>4.8844088672825227E-2</v>
      </c>
      <c r="X158" s="7">
        <f>W158 - D158 - E158 - LN(1+EXP(Parameters!$B$21*C158))/Parameters!$B$21 - IF(C158&gt;0, 0,Parameters!$B$6*C158^2/F158)</f>
        <v>-0.35174675516751036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-361.74675516751034</v>
      </c>
      <c r="AC158" s="23">
        <f t="shared" si="60"/>
        <v>159.17253924453951</v>
      </c>
      <c r="AD158" s="23">
        <f t="shared" si="60"/>
        <v>6.0497425008040997</v>
      </c>
      <c r="AE158" s="23">
        <f t="shared" si="61"/>
        <v>0</v>
      </c>
      <c r="AF158" s="23">
        <f t="shared" si="62"/>
        <v>2248.6422814849707</v>
      </c>
      <c r="AG158" s="23">
        <f t="shared" si="63"/>
        <v>87.950451171442339</v>
      </c>
      <c r="AH158" s="23">
        <f t="shared" si="64"/>
        <v>1471.6687902843773</v>
      </c>
      <c r="AI158" s="23">
        <f t="shared" si="65"/>
        <v>3621.888936128863</v>
      </c>
      <c r="AJ158" s="23">
        <f t="shared" si="66"/>
        <v>118.95332645040125</v>
      </c>
      <c r="AK158" s="23">
        <f t="shared" si="67"/>
        <v>-856.63276216655117</v>
      </c>
      <c r="AL158" s="9">
        <f t="shared" si="70"/>
        <v>-7.4192099224095642E-2</v>
      </c>
      <c r="AM158" s="9" t="e">
        <f t="shared" si="70"/>
        <v>#NUM!</v>
      </c>
      <c r="AN158" s="9">
        <f t="shared" si="73"/>
        <v>-7.4297008400748515E-2</v>
      </c>
      <c r="AO158" s="9" t="e">
        <f t="shared" si="73"/>
        <v>#NUM!</v>
      </c>
      <c r="AP158" s="23"/>
      <c r="AQ158" s="25">
        <f t="shared" si="57"/>
        <v>118.95332645040126</v>
      </c>
      <c r="AR158" s="4"/>
      <c r="AS158" s="4"/>
      <c r="AT158" s="4"/>
      <c r="AU158" s="16"/>
      <c r="AV158" s="16"/>
      <c r="AY158" s="21" t="e">
        <f>-Y158*W158*X158^(-Parameters!B$52)*Parameters!B$46*Parameters!B$45*N158</f>
        <v>#NUM!</v>
      </c>
      <c r="AZ158" s="7">
        <f>1000*EXP(-(Parameters!$B$54)*'6states,BAU'!A158)*AQ158*Parameters!B$46*Parameters!B$45*N158</f>
        <v>0.11974240436721766</v>
      </c>
      <c r="BA158" s="93">
        <f>SUM(AZ158:AZ$204)*EXP(Parameters!$B$54*A158)</f>
        <v>231.35433287094807</v>
      </c>
      <c r="BB158" s="43">
        <f t="shared" si="72"/>
        <v>8.201419142313437</v>
      </c>
      <c r="BC158" s="30">
        <f>IF(C158&lt;0,Parameters!$B$6*AC158^2/AF158,0)</f>
        <v>0</v>
      </c>
      <c r="BD158" s="30">
        <f>Parameters!$B$5*AD158^2/AG158</f>
        <v>0.41613640224189463</v>
      </c>
      <c r="BE158" s="30">
        <f t="shared" si="68"/>
        <v>0</v>
      </c>
      <c r="BF158" s="30">
        <f t="shared" si="69"/>
        <v>6.8785804054731919E-2</v>
      </c>
      <c r="BH158" s="5"/>
      <c r="BI158" s="5"/>
      <c r="BJ158" s="5"/>
      <c r="BM158">
        <f>-EXP(-Parameters!B$42*'6states,BAU'!A158)*(-Parameters!B$37/Parameters!B$38/Parameters!E$25*(EXP(-Parameters!B$38*Parameters!E$25*'6states,BAU'!I158/('6states,BAU'!F158+'6states,BAU'!I158))-EXP(-Parameters!B$38*Parameters!E$25))+Parameters!B$37*'6states,BAU'!F158/('6states,BAU'!F158+'6states,BAU'!I158)*EXP(-Parameters!B$38*Parameters!E$25*'6states,BAU'!I158/('6states,BAU'!F158+'6states,BAU'!I158)))</f>
        <v>-1.2810827638514044</v>
      </c>
    </row>
    <row r="159" spans="1:66" x14ac:dyDescent="0.3">
      <c r="A159">
        <f>A158+Parameters!$B$65</f>
        <v>155</v>
      </c>
      <c r="B159">
        <v>2180</v>
      </c>
      <c r="C159" s="74">
        <v>6.5746195552019202E-2</v>
      </c>
      <c r="D159" s="69">
        <v>2.4983652558693099E-3</v>
      </c>
      <c r="E159" s="75">
        <v>0.33484116770063299</v>
      </c>
      <c r="F159" s="7">
        <f>MAX((1-Parameters!$B$4)^Parameters!B$65*F158 + C158*Parameters!B$65 - IF(C158&gt;0,Parameters!$B$5,0)*C158^2/F158*Parameters!B$65, 0.0001)</f>
        <v>0.92598248029157793</v>
      </c>
      <c r="G159" s="7">
        <f>(1-Parameters!$B$4)^Parameters!B$65*G158+D158*Parameters!B$65-Parameters!$B$5*D158^2/G158*Parameters!B$65</f>
        <v>3.6155511988630547E-2</v>
      </c>
      <c r="H159" s="7">
        <f>(1-Parameters!$B$4)^Parameters!B$65*H158+E158*Parameters!B$65-Parameters!$B$5*E158^2/H158*Parameters!B$65</f>
        <v>4.7178199821814539</v>
      </c>
      <c r="I159" s="7">
        <f>I158 *(1-Parameters!$B$4)-C158*(C158&lt;0)*Parameters!B$65</f>
        <v>0</v>
      </c>
      <c r="J159" s="23">
        <f>J158*(1+Parameters!$B$51)^Parameters!B$65</f>
        <v>12.782712234312639</v>
      </c>
      <c r="K159" s="23">
        <f>K158*(1+Parameters!$B$53)^Parameters!B$65</f>
        <v>194.89440481534251</v>
      </c>
      <c r="L159" s="23">
        <f>J159*K159*EXP(-Parameters!$B$42*'6states,BAU'!A159)*(Parameters!$B$37/Parameters!$B$38*('6states,BAU'!F159+'6states,BAU'!I159)/Parameters!$E$25*(EXP(-Parameters!$B$38*Parameters!$E$25*'6states,BAU'!I159/('6states,BAU'!F159+'6states,BAU'!I159))-EXP(-Parameters!$B$38*Parameters!$E$25))  +  Parameters!$B$39*'6states,BAU'!F159)</f>
        <v>445.89391947542941</v>
      </c>
      <c r="M159" s="8">
        <f>M158+L159*Parameters!B$65</f>
        <v>31413.541595893665</v>
      </c>
      <c r="N159" s="7">
        <f>M159*Parameters!$B$45</f>
        <v>18.848124957536196</v>
      </c>
      <c r="O159" s="9">
        <f>EXP(-Parameters!$B$46/2*N159^2)</f>
        <v>2.8147950459791626E-2</v>
      </c>
      <c r="P159" s="7">
        <f>MAX((Parameters!$B$62 + Parameters!$B$31*'6states,BAU'!A159 - '6states,BAU'!M159 + Parameters!$B$47/Parameters!$B$45)/Parameters!B$62,1)</f>
        <v>1</v>
      </c>
      <c r="Q159" s="8"/>
      <c r="R159" s="8"/>
      <c r="S159" s="7">
        <f>Parameters!B$61*EXP(-Parameters!B$60*A159)+(1-Parameters!B$61)*P159^-Parameters!B$63</f>
        <v>0.50761110297095779</v>
      </c>
      <c r="T159" s="7">
        <f>1-S159/Parameters!$B$12</f>
        <v>0.7461944485145211</v>
      </c>
      <c r="U159" s="7">
        <f t="shared" si="59"/>
        <v>3.9400241411079358</v>
      </c>
      <c r="V159" s="7">
        <f>(Parameters!$B$19*(F159+Parameters!$B$20)^T159+Parameters!$B$18*G159^T159)^(1/T159)</f>
        <v>0.60599771949858061</v>
      </c>
      <c r="W159" s="7">
        <f>(Parameters!$B$10*H159^Parameters!$B$9+Parameters!$B$11*V159^Parameters!$B$9)^(Parameters!$B$7/Parameters!$B$9)*O159</f>
        <v>4.4205271657287486E-2</v>
      </c>
      <c r="X159" s="7">
        <f>W159 - D159 - E159 - LN(1+EXP(Parameters!$B$21*C159))/Parameters!$B$21 - IF(C159&gt;0, 0,Parameters!$B$6*C159^2/F159)</f>
        <v>-0.35888045686028958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-368.8804568602896</v>
      </c>
      <c r="AC159" s="23">
        <f t="shared" si="60"/>
        <v>163.79212241200011</v>
      </c>
      <c r="AD159" s="23">
        <f t="shared" si="60"/>
        <v>6.224125128205479</v>
      </c>
      <c r="AE159" s="23">
        <f t="shared" si="61"/>
        <v>0</v>
      </c>
      <c r="AF159" s="23">
        <f t="shared" si="62"/>
        <v>2306.8807934792744</v>
      </c>
      <c r="AG159" s="23">
        <f t="shared" si="63"/>
        <v>90.073471107917754</v>
      </c>
      <c r="AH159" s="23">
        <f t="shared" si="64"/>
        <v>1509.7094488907808</v>
      </c>
      <c r="AI159" s="23">
        <f t="shared" si="65"/>
        <v>3715.5098931262346</v>
      </c>
      <c r="AJ159" s="23">
        <f t="shared" si="66"/>
        <v>110.12766907276631</v>
      </c>
      <c r="AK159" s="23">
        <f t="shared" si="67"/>
        <v>-894.07137900209284</v>
      </c>
      <c r="AL159" s="9">
        <f t="shared" si="70"/>
        <v>-7.7090880753969415E-2</v>
      </c>
      <c r="AM159" s="9" t="e">
        <f t="shared" si="70"/>
        <v>#NUM!</v>
      </c>
      <c r="AN159" s="9">
        <f t="shared" si="73"/>
        <v>-7.7201961775057448E-2</v>
      </c>
      <c r="AO159" s="9" t="e">
        <f t="shared" si="73"/>
        <v>#NUM!</v>
      </c>
      <c r="AP159" s="23"/>
      <c r="AQ159" s="25">
        <f t="shared" si="57"/>
        <v>110.1276690727663</v>
      </c>
      <c r="AR159" s="4"/>
      <c r="AS159" s="4"/>
      <c r="AT159" s="4"/>
      <c r="AU159" s="16"/>
      <c r="AV159" s="16"/>
      <c r="AY159" s="21" t="e">
        <f>-Y159*W159*X159^(-Parameters!B$52)*Parameters!B$46*Parameters!B$45*N159</f>
        <v>#NUM!</v>
      </c>
      <c r="AZ159" s="7">
        <f>1000*EXP(-(Parameters!$B$54)*'6states,BAU'!A159)*AQ159*Parameters!B$46*Parameters!B$45*N159</f>
        <v>0.10857573514150508</v>
      </c>
      <c r="BA159" s="93">
        <f>SUM(AZ159:AZ$204)*EXP(Parameters!$B$54*A159)</f>
        <v>212.01156613048755</v>
      </c>
      <c r="BB159" s="43">
        <f t="shared" si="72"/>
        <v>9.1184990702816009</v>
      </c>
      <c r="BC159" s="30">
        <f>IF(C159&lt;0,Parameters!$B$6*AC159^2/AF159,0)</f>
        <v>0</v>
      </c>
      <c r="BD159" s="30">
        <f>Parameters!$B$5*AD159^2/AG159</f>
        <v>0.4300903821630731</v>
      </c>
      <c r="BE159" s="30">
        <f t="shared" si="68"/>
        <v>0</v>
      </c>
      <c r="BF159" s="30">
        <f t="shared" si="69"/>
        <v>6.9100535947463432E-2</v>
      </c>
      <c r="BH159" s="5"/>
      <c r="BI159" s="5"/>
      <c r="BJ159" s="5"/>
      <c r="BM159">
        <f>-EXP(-Parameters!B$42*'6states,BAU'!A159)*(-Parameters!B$37/Parameters!B$38/Parameters!E$25*(EXP(-Parameters!B$38*Parameters!E$25*'6states,BAU'!I159/('6states,BAU'!F159+'6states,BAU'!I159))-EXP(-Parameters!B$38*Parameters!E$25))+Parameters!B$37*'6states,BAU'!F159/('6states,BAU'!F159+'6states,BAU'!I159)*EXP(-Parameters!B$38*Parameters!E$25*'6states,BAU'!I159/('6states,BAU'!F159+'6states,BAU'!I159)))</f>
        <v>-1.2683357773700077</v>
      </c>
    </row>
    <row r="160" spans="1:66" x14ac:dyDescent="0.3">
      <c r="A160">
        <f>A159+Parameters!$B$65</f>
        <v>156</v>
      </c>
      <c r="B160">
        <v>2181</v>
      </c>
      <c r="C160" s="74">
        <v>6.6237580789809694E-2</v>
      </c>
      <c r="D160" s="69">
        <v>2.5123926305992699E-3</v>
      </c>
      <c r="E160" s="75">
        <v>0.337108006035994</v>
      </c>
      <c r="F160" s="7">
        <f>MAX((1-Parameters!$B$4)^Parameters!B$65*F159 + C159*Parameters!B$65 - IF(C159&gt;0,Parameters!$B$5,0)*C159^2/F159*Parameters!B$65, 0.0001)</f>
        <v>0.92881629574578239</v>
      </c>
      <c r="G160" s="7">
        <f>(1-Parameters!$B$4)^Parameters!B$65*G159+D159*Parameters!B$65-Parameters!$B$5*D159^2/G159*Parameters!B$65</f>
        <v>3.6207057162241901E-2</v>
      </c>
      <c r="H160" s="7">
        <f>(1-Parameters!$B$4)^Parameters!B$65*H159+E159*Parameters!B$65-Parameters!$B$5*E159^2/H159*Parameters!B$65</f>
        <v>4.732145354457745</v>
      </c>
      <c r="I160" s="7">
        <f>I159 *(1-Parameters!$B$4)-C159*(C159&lt;0)*Parameters!B$65</f>
        <v>0</v>
      </c>
      <c r="J160" s="23">
        <f>J159*(1+Parameters!$B$51)^Parameters!B$65</f>
        <v>12.819782099792144</v>
      </c>
      <c r="K160" s="23">
        <f>K159*(1+Parameters!$B$53)^Parameters!B$65</f>
        <v>198.79229291164935</v>
      </c>
      <c r="L160" s="23">
        <f>J160*K160*EXP(-Parameters!$B$42*'6states,BAU'!A160)*(Parameters!$B$37/Parameters!$B$38*('6states,BAU'!F160+'6states,BAU'!I160)/Parameters!$E$25*(EXP(-Parameters!$B$38*Parameters!$E$25*'6states,BAU'!I160/('6states,BAU'!F160+'6states,BAU'!I160))-EXP(-Parameters!$B$38*Parameters!$E$25))  +  Parameters!$B$39*'6states,BAU'!F160)</f>
        <v>452.97419804735028</v>
      </c>
      <c r="M160" s="8">
        <f>M159+L160*Parameters!B$65</f>
        <v>31866.515793941016</v>
      </c>
      <c r="N160" s="7">
        <f>M160*Parameters!$B$45</f>
        <v>19.119909476364608</v>
      </c>
      <c r="O160" s="9">
        <f>EXP(-Parameters!$B$46/2*N160^2)</f>
        <v>2.5375073863108839E-2</v>
      </c>
      <c r="P160" s="7">
        <f>MAX((Parameters!$B$62 + Parameters!$B$31*'6states,BAU'!A160 - '6states,BAU'!M160 + Parameters!$B$47/Parameters!$B$45)/Parameters!B$62,1)</f>
        <v>1</v>
      </c>
      <c r="Q160" s="8"/>
      <c r="R160" s="8"/>
      <c r="S160" s="7">
        <f>Parameters!B$61*EXP(-Parameters!B$60*A160)+(1-Parameters!B$61)*P160^-Parameters!B$63</f>
        <v>0.50740835263718098</v>
      </c>
      <c r="T160" s="7">
        <f>1-S160/Parameters!$B$12</f>
        <v>0.74629582368140945</v>
      </c>
      <c r="U160" s="7">
        <f t="shared" si="59"/>
        <v>3.9415984967635849</v>
      </c>
      <c r="V160" s="7">
        <f>(Parameters!$B$19*(F160+Parameters!$B$20)^T160+Parameters!$B$18*G160^T160)^(1/T160)</f>
        <v>0.60782240759539319</v>
      </c>
      <c r="W160" s="7">
        <f>(Parameters!$B$10*H160^Parameters!$B$9+Parameters!$B$11*V160^Parameters!$B$9)^(Parameters!$B$7/Parameters!$B$9)*O160</f>
        <v>3.9886786727742291E-2</v>
      </c>
      <c r="X160" s="7">
        <f>W160 - D160 - E160 - LN(1+EXP(Parameters!$B$21*C160))/Parameters!$B$21 - IF(C160&gt;0, 0,Parameters!$B$6*C160^2/F160)</f>
        <v>-0.36597119273647505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-375.97119273647507</v>
      </c>
      <c r="AC160" s="23">
        <f t="shared" si="60"/>
        <v>168.80474440099925</v>
      </c>
      <c r="AD160" s="23">
        <f t="shared" si="60"/>
        <v>6.4027669909784812</v>
      </c>
      <c r="AE160" s="23">
        <f t="shared" si="61"/>
        <v>0</v>
      </c>
      <c r="AF160" s="23">
        <f t="shared" si="62"/>
        <v>2367.0640673967796</v>
      </c>
      <c r="AG160" s="23">
        <f t="shared" si="63"/>
        <v>92.272739386111482</v>
      </c>
      <c r="AH160" s="23">
        <f t="shared" si="64"/>
        <v>1549.0195283690873</v>
      </c>
      <c r="AI160" s="23">
        <f t="shared" si="65"/>
        <v>3812.2549915347649</v>
      </c>
      <c r="AJ160" s="23">
        <f t="shared" si="66"/>
        <v>101.65043406279651</v>
      </c>
      <c r="AK160" s="23">
        <f t="shared" si="67"/>
        <v>-932.66802487921905</v>
      </c>
      <c r="AL160" s="9">
        <f t="shared" si="70"/>
        <v>-8.0100510483348764E-2</v>
      </c>
      <c r="AM160" s="9" t="e">
        <f t="shared" si="70"/>
        <v>#NUM!</v>
      </c>
      <c r="AN160" s="9">
        <f t="shared" si="73"/>
        <v>-8.0217692971316451E-2</v>
      </c>
      <c r="AO160" s="9" t="e">
        <f t="shared" si="73"/>
        <v>#NUM!</v>
      </c>
      <c r="AP160" s="23"/>
      <c r="AQ160" s="25">
        <f t="shared" si="57"/>
        <v>101.65043406279652</v>
      </c>
      <c r="AR160" s="4"/>
      <c r="AS160" s="4"/>
      <c r="AT160" s="4"/>
      <c r="AU160" s="16"/>
      <c r="AV160" s="16"/>
      <c r="AY160" s="21" t="e">
        <f>-Y160*W160*X160^(-Parameters!B$52)*Parameters!B$46*Parameters!B$45*N160</f>
        <v>#NUM!</v>
      </c>
      <c r="AZ160" s="7">
        <f>1000*EXP(-(Parameters!$B$54)*'6states,BAU'!A160)*AQ160*Parameters!B$46*Parameters!B$45*N160</f>
        <v>9.8156601194641036E-2</v>
      </c>
      <c r="BA160" s="93">
        <f>SUM(AZ160:AZ$204)*EXP(Parameters!$B$54*A160)</f>
        <v>193.65811226787571</v>
      </c>
      <c r="BB160" s="43">
        <f t="shared" si="72"/>
        <v>10.17524881677466</v>
      </c>
      <c r="BC160" s="30">
        <f>IF(C160&lt;0,Parameters!$B$6*AC160^2/AF160,0)</f>
        <v>0</v>
      </c>
      <c r="BD160" s="30">
        <f>Parameters!$B$5*AD160^2/AG160</f>
        <v>0.44428533728927205</v>
      </c>
      <c r="BE160" s="30">
        <f t="shared" si="68"/>
        <v>0</v>
      </c>
      <c r="BF160" s="30">
        <f t="shared" si="69"/>
        <v>6.9389583896348486E-2</v>
      </c>
      <c r="BH160" s="5"/>
      <c r="BI160" s="5"/>
      <c r="BJ160" s="5"/>
      <c r="BM160">
        <f>-EXP(-Parameters!B$42*'6states,BAU'!A160)*(-Parameters!B$37/Parameters!B$38/Parameters!E$25*(EXP(-Parameters!B$38*Parameters!E$25*'6states,BAU'!I160/('6states,BAU'!F160+'6states,BAU'!I160))-EXP(-Parameters!B$38*Parameters!E$25))+Parameters!B$37*'6states,BAU'!F160/('6states,BAU'!F160+'6states,BAU'!I160)*EXP(-Parameters!B$38*Parameters!E$25*'6states,BAU'!I160/('6states,BAU'!F160+'6states,BAU'!I160)))</f>
        <v>-1.255715625523298</v>
      </c>
    </row>
    <row r="161" spans="1:65" x14ac:dyDescent="0.3">
      <c r="A161">
        <f>A160+Parameters!$B$65</f>
        <v>157</v>
      </c>
      <c r="B161">
        <v>2182</v>
      </c>
      <c r="C161" s="74">
        <v>6.6726823506573996E-2</v>
      </c>
      <c r="D161" s="69">
        <v>2.52864580218165E-3</v>
      </c>
      <c r="E161" s="75">
        <v>0.33954900577158298</v>
      </c>
      <c r="F161" s="7">
        <f>MAX((1-Parameters!$B$4)^Parameters!B$65*F160 + C160*Parameters!B$65 - IF(C160&gt;0,Parameters!$B$5,0)*C160^2/F160*Parameters!B$65, 0.0001)</f>
        <v>0.93190766644571355</v>
      </c>
      <c r="G161" s="7">
        <f>(1-Parameters!$B$4)^Parameters!B$65*G160+D160*Parameters!B$65-Parameters!$B$5*D160^2/G160*Parameters!B$65</f>
        <v>3.6267692018114625E-2</v>
      </c>
      <c r="H161" s="7">
        <f>(1-Parameters!$B$4)^Parameters!B$65*H160+E160*Parameters!B$65-Parameters!$B$5*E160^2/H160*Parameters!B$65</f>
        <v>4.7475865577941567</v>
      </c>
      <c r="I161" s="7">
        <f>I160 *(1-Parameters!$B$4)-C160*(C160&lt;0)*Parameters!B$65</f>
        <v>0</v>
      </c>
      <c r="J161" s="23">
        <f>J160*(1+Parameters!$B$51)^Parameters!B$65</f>
        <v>12.85695946788154</v>
      </c>
      <c r="K161" s="23">
        <f>K160*(1+Parameters!$B$53)^Parameters!B$65</f>
        <v>202.76813876988234</v>
      </c>
      <c r="L161" s="23">
        <f>J161*K161*EXP(-Parameters!$B$42*'6states,BAU'!A161)*(Parameters!$B$37/Parameters!$B$38*('6states,BAU'!F161+'6states,BAU'!I161)/Parameters!$E$25*(EXP(-Parameters!$B$38*Parameters!$E$25*'6states,BAU'!I161/('6states,BAU'!F161+'6states,BAU'!I161))-EXP(-Parameters!$B$38*Parameters!$E$25))  +  Parameters!$B$39*'6states,BAU'!F161)</f>
        <v>460.28983197386367</v>
      </c>
      <c r="M161" s="8">
        <f>M160+L161*Parameters!B$65</f>
        <v>32326.80562591488</v>
      </c>
      <c r="N161" s="7">
        <f>M161*Parameters!$B$45</f>
        <v>19.396083375548926</v>
      </c>
      <c r="O161" s="9">
        <f>EXP(-Parameters!$B$46/2*N161^2)</f>
        <v>2.2802367615498326E-2</v>
      </c>
      <c r="P161" s="7">
        <f>MAX((Parameters!$B$62 + Parameters!$B$31*'6states,BAU'!A161 - '6states,BAU'!M161 + Parameters!$B$47/Parameters!$B$45)/Parameters!B$62,1)</f>
        <v>1</v>
      </c>
      <c r="Q161" s="8"/>
      <c r="R161" s="8"/>
      <c r="S161" s="7">
        <f>Parameters!B$61*EXP(-Parameters!B$60*A161)+(1-Parameters!B$61)*P161^-Parameters!B$63</f>
        <v>0.50721100332057667</v>
      </c>
      <c r="T161" s="7">
        <f>1-S161/Parameters!$B$12</f>
        <v>0.74639449833971172</v>
      </c>
      <c r="U161" s="7">
        <f t="shared" si="59"/>
        <v>3.9431321223446019</v>
      </c>
      <c r="V161" s="7">
        <f>(Parameters!$B$19*(F161+Parameters!$B$20)^T161+Parameters!$B$18*G161^T161)^(1/T161)</f>
        <v>0.60981279489004836</v>
      </c>
      <c r="W161" s="7">
        <f>(Parameters!$B$10*H161^Parameters!$B$9+Parameters!$B$11*V161^Parameters!$B$9)^(Parameters!$B$7/Parameters!$B$9)*O161</f>
        <v>3.5877847552394801E-2</v>
      </c>
      <c r="X161" s="7">
        <f>W161 - D161 - E161 - LN(1+EXP(Parameters!$B$21*C161))/Parameters!$B$21 - IF(C161&gt;0, 0,Parameters!$B$6*C161^2/F161)</f>
        <v>-0.37292662753469147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-382.92662753469148</v>
      </c>
      <c r="AC161" s="23">
        <f t="shared" si="60"/>
        <v>173.95561055274439</v>
      </c>
      <c r="AD161" s="23">
        <f t="shared" si="60"/>
        <v>6.5921334371147813</v>
      </c>
      <c r="AE161" s="23">
        <f t="shared" si="61"/>
        <v>0</v>
      </c>
      <c r="AF161" s="23">
        <f t="shared" si="62"/>
        <v>2429.4662712271333</v>
      </c>
      <c r="AG161" s="23">
        <f t="shared" si="63"/>
        <v>94.549210899099037</v>
      </c>
      <c r="AH161" s="23">
        <f t="shared" si="64"/>
        <v>1589.7708220371483</v>
      </c>
      <c r="AI161" s="23">
        <f t="shared" si="65"/>
        <v>3912.5470277889058</v>
      </c>
      <c r="AJ161" s="23">
        <f t="shared" si="66"/>
        <v>93.532893494926199</v>
      </c>
      <c r="AK161" s="23">
        <f t="shared" si="67"/>
        <v>-972.21290891783315</v>
      </c>
      <c r="AL161" s="9">
        <f t="shared" si="70"/>
        <v>-8.3226633723826993E-2</v>
      </c>
      <c r="AM161" s="9" t="e">
        <f t="shared" si="70"/>
        <v>#NUM!</v>
      </c>
      <c r="AN161" s="9">
        <f t="shared" si="73"/>
        <v>-8.335076372391477E-2</v>
      </c>
      <c r="AO161" s="9" t="e">
        <f t="shared" si="73"/>
        <v>#NUM!</v>
      </c>
      <c r="AP161" s="23"/>
      <c r="AQ161" s="25">
        <f t="shared" si="57"/>
        <v>93.532893494926199</v>
      </c>
      <c r="AR161" s="4"/>
      <c r="AS161" s="4"/>
      <c r="AT161" s="4"/>
      <c r="AU161" s="16"/>
      <c r="AV161" s="16"/>
      <c r="AY161" s="21" t="e">
        <f>-Y161*W161*X161^(-Parameters!B$52)*Parameters!B$46*Parameters!B$45*N161</f>
        <v>#NUM!</v>
      </c>
      <c r="AZ161" s="7">
        <f>1000*EXP(-(Parameters!$B$54)*'6states,BAU'!A161)*AQ161*Parameters!B$46*Parameters!B$45*N161</f>
        <v>8.8462481620819516E-2</v>
      </c>
      <c r="BA161" s="93">
        <f>SUM(AZ161:AZ$204)*EXP(Parameters!$B$54*A161)</f>
        <v>176.2997122325587</v>
      </c>
      <c r="BB161" s="43">
        <f t="shared" si="72"/>
        <v>11.394342274389073</v>
      </c>
      <c r="BC161" s="30">
        <f>IF(C161&lt;0,Parameters!$B$6*AC161^2/AF161,0)</f>
        <v>0</v>
      </c>
      <c r="BD161" s="30">
        <f>Parameters!$B$5*AD161^2/AG161</f>
        <v>0.45961486975393501</v>
      </c>
      <c r="BE161" s="30">
        <f t="shared" si="68"/>
        <v>0</v>
      </c>
      <c r="BF161" s="30">
        <f t="shared" si="69"/>
        <v>6.9721718187048323E-2</v>
      </c>
      <c r="BH161" s="5"/>
      <c r="BI161" s="5"/>
      <c r="BJ161" s="5"/>
      <c r="BM161">
        <f>-EXP(-Parameters!B$42*'6states,BAU'!A161)*(-Parameters!B$37/Parameters!B$38/Parameters!E$25*(EXP(-Parameters!B$38*Parameters!E$25*'6states,BAU'!I161/('6states,BAU'!F161+'6states,BAU'!I161))-EXP(-Parameters!B$38*Parameters!E$25))+Parameters!B$37*'6states,BAU'!F161/('6states,BAU'!F161+'6states,BAU'!I161)*EXP(-Parameters!B$38*Parameters!E$25*'6states,BAU'!I161/('6states,BAU'!F161+'6states,BAU'!I161)))</f>
        <v>-1.2432210462855737</v>
      </c>
    </row>
    <row r="162" spans="1:65" x14ac:dyDescent="0.3">
      <c r="A162">
        <f>A161+Parameters!$B$65</f>
        <v>158</v>
      </c>
      <c r="B162">
        <v>2183</v>
      </c>
      <c r="C162" s="74">
        <v>6.7222244674689902E-2</v>
      </c>
      <c r="D162" s="69">
        <v>2.5460490496193402E-3</v>
      </c>
      <c r="E162" s="75">
        <v>0.342231224552836</v>
      </c>
      <c r="F162" s="7">
        <f>MAX((1-Parameters!$B$4)^Parameters!B$65*F161 + C161*Parameters!B$65 - IF(C161&gt;0,Parameters!$B$5,0)*C161^2/F161*Parameters!B$65, 0.0001)</f>
        <v>0.9352396971678465</v>
      </c>
      <c r="G162" s="7">
        <f>(1-Parameters!$B$4)^Parameters!B$65*G161+D161*Parameters!B$65-Parameters!$B$5*D161^2/G161*Parameters!B$65</f>
        <v>3.6338798462342295E-2</v>
      </c>
      <c r="H162" s="7">
        <f>(1-Parameters!$B$4)^Parameters!B$65*H161+E161*Parameters!B$65-Parameters!$B$5*E161^2/H161*Parameters!B$65</f>
        <v>4.7642277086710445</v>
      </c>
      <c r="I162" s="7">
        <f>I161 *(1-Parameters!$B$4)-C161*(C161&lt;0)*Parameters!B$65</f>
        <v>0</v>
      </c>
      <c r="J162" s="23">
        <f>J161*(1+Parameters!$B$51)^Parameters!B$65</f>
        <v>12.894244650338395</v>
      </c>
      <c r="K162" s="23">
        <f>K161*(1+Parameters!$B$53)^Parameters!B$65</f>
        <v>206.82350154527998</v>
      </c>
      <c r="L162" s="23">
        <f>J162*K162*EXP(-Parameters!$B$42*'6states,BAU'!A162)*(Parameters!$B$37/Parameters!$B$38*('6states,BAU'!F162+'6states,BAU'!I162)/Parameters!$E$25*(EXP(-Parameters!$B$38*Parameters!$E$25*'6states,BAU'!I162/('6states,BAU'!F162+'6states,BAU'!I162))-EXP(-Parameters!$B$38*Parameters!$E$25))  +  Parameters!$B$39*'6states,BAU'!F162)</f>
        <v>467.83885448046777</v>
      </c>
      <c r="M162" s="8">
        <f>M161+L162*Parameters!B$65</f>
        <v>32794.644480395349</v>
      </c>
      <c r="N162" s="7">
        <f>M162*Parameters!$B$45</f>
        <v>19.676786688237208</v>
      </c>
      <c r="O162" s="9">
        <f>EXP(-Parameters!$B$46/2*N162^2)</f>
        <v>2.0422498045273588E-2</v>
      </c>
      <c r="P162" s="7">
        <f>MAX((Parameters!$B$62 + Parameters!$B$31*'6states,BAU'!A162 - '6states,BAU'!M162 + Parameters!$B$47/Parameters!$B$45)/Parameters!B$62,1)</f>
        <v>1</v>
      </c>
      <c r="Q162" s="8"/>
      <c r="R162" s="8"/>
      <c r="S162" s="7">
        <f>Parameters!B$61*EXP(-Parameters!B$60*A162)+(1-Parameters!B$61)*P162^-Parameters!B$63</f>
        <v>0.50701891114475262</v>
      </c>
      <c r="T162" s="7">
        <f>1-S162/Parameters!$B$12</f>
        <v>0.74649054442762375</v>
      </c>
      <c r="U162" s="7">
        <f t="shared" si="59"/>
        <v>3.944626040642901</v>
      </c>
      <c r="V162" s="7">
        <f>(Parameters!$B$19*(F162+Parameters!$B$20)^T162+Parameters!$B$18*G162^T162)^(1/T162)</f>
        <v>0.6119592378367672</v>
      </c>
      <c r="W162" s="7">
        <f>(Parameters!$B$10*H162^Parameters!$B$9+Parameters!$B$11*V162^Parameters!$B$9)^(Parameters!$B$7/Parameters!$B$9)*O162</f>
        <v>3.2167070504209985E-2</v>
      </c>
      <c r="X162" s="7">
        <f>W162 - D162 - E162 - LN(1+EXP(Parameters!$B$21*C162))/Parameters!$B$21 - IF(C162&gt;0, 0,Parameters!$B$6*C162^2/F162)</f>
        <v>-0.37983244777875097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-389.83244777875097</v>
      </c>
      <c r="AC162" s="23">
        <f t="shared" si="60"/>
        <v>179.27048889481247</v>
      </c>
      <c r="AD162" s="23">
        <f t="shared" si="60"/>
        <v>6.7898871881510443</v>
      </c>
      <c r="AE162" s="23">
        <f t="shared" si="61"/>
        <v>0</v>
      </c>
      <c r="AF162" s="23">
        <f t="shared" si="62"/>
        <v>2494.1279267968689</v>
      </c>
      <c r="AG162" s="23">
        <f t="shared" si="63"/>
        <v>96.909500682695167</v>
      </c>
      <c r="AH162" s="23">
        <f t="shared" si="64"/>
        <v>1631.9929850839981</v>
      </c>
      <c r="AI162" s="23">
        <f t="shared" si="65"/>
        <v>4016.4589855666227</v>
      </c>
      <c r="AJ162" s="23">
        <f t="shared" si="66"/>
        <v>85.784199612942004</v>
      </c>
      <c r="AK162" s="23">
        <f t="shared" si="67"/>
        <v>-1012.9496410144105</v>
      </c>
      <c r="AL162" s="9">
        <f t="shared" si="70"/>
        <v>-8.6478340671341414E-2</v>
      </c>
      <c r="AM162" s="9" t="e">
        <f t="shared" si="70"/>
        <v>#NUM!</v>
      </c>
      <c r="AN162" s="9">
        <f t="shared" si="73"/>
        <v>-8.6611099761190677E-2</v>
      </c>
      <c r="AO162" s="9" t="e">
        <f t="shared" si="73"/>
        <v>#NUM!</v>
      </c>
      <c r="AP162" s="23"/>
      <c r="AQ162" s="25">
        <f t="shared" si="57"/>
        <v>85.78419961294199</v>
      </c>
      <c r="AR162" s="4"/>
      <c r="AS162" s="4"/>
      <c r="AT162" s="4"/>
      <c r="AU162" s="16"/>
      <c r="AV162" s="16"/>
      <c r="AY162" s="21" t="e">
        <f>-Y162*W162*X162^(-Parameters!B$52)*Parameters!B$46*Parameters!B$45*N162</f>
        <v>#NUM!</v>
      </c>
      <c r="AZ162" s="7">
        <f>1000*EXP(-(Parameters!$B$54)*'6states,BAU'!A162)*AQ162*Parameters!B$46*Parameters!B$45*N162</f>
        <v>7.9469128651451976E-2</v>
      </c>
      <c r="BA162" s="93">
        <f>SUM(AZ162:AZ$204)*EXP(Parameters!$B$54*A162)</f>
        <v>159.93721717948978</v>
      </c>
      <c r="BB162" s="43">
        <f t="shared" si="72"/>
        <v>12.808114379679781</v>
      </c>
      <c r="BC162" s="30">
        <f>IF(C162&lt;0,Parameters!$B$6*AC162^2/AF162,0)</f>
        <v>0</v>
      </c>
      <c r="BD162" s="30">
        <f>Parameters!$B$5*AD162^2/AG162</f>
        <v>0.47572805249269118</v>
      </c>
      <c r="BE162" s="30">
        <f t="shared" si="68"/>
        <v>0</v>
      </c>
      <c r="BF162" s="30">
        <f t="shared" si="69"/>
        <v>7.0064205679717162E-2</v>
      </c>
      <c r="BH162" s="5"/>
      <c r="BI162" s="5"/>
      <c r="BJ162" s="5"/>
      <c r="BM162">
        <f>-EXP(-Parameters!B$42*'6states,BAU'!A162)*(-Parameters!B$37/Parameters!B$38/Parameters!E$25*(EXP(-Parameters!B$38*Parameters!E$25*'6states,BAU'!I162/('6states,BAU'!F162+'6states,BAU'!I162))-EXP(-Parameters!B$38*Parameters!E$25))+Parameters!B$37*'6states,BAU'!F162/('6states,BAU'!F162+'6states,BAU'!I162)*EXP(-Parameters!B$38*Parameters!E$25*'6states,BAU'!I162/('6states,BAU'!F162+'6states,BAU'!I162)))</f>
        <v>-1.2308507901884989</v>
      </c>
    </row>
    <row r="163" spans="1:65" x14ac:dyDescent="0.3">
      <c r="A163">
        <f>A162+Parameters!$B$65</f>
        <v>159</v>
      </c>
      <c r="B163">
        <v>2184</v>
      </c>
      <c r="C163" s="74">
        <v>6.7846816347157099E-2</v>
      </c>
      <c r="D163" s="69">
        <v>2.56903829251181E-3</v>
      </c>
      <c r="E163" s="75">
        <v>0.34480578027025399</v>
      </c>
      <c r="F163" s="7">
        <f>MAX((1-Parameters!$B$4)^Parameters!B$65*F162 + C162*Parameters!B$65 - IF(C162&gt;0,Parameters!$B$5,0)*C162^2/F162*Parameters!B$65, 0.0001)</f>
        <v>0.93880363010355616</v>
      </c>
      <c r="G163" s="7">
        <f>(1-Parameters!$B$4)^Parameters!B$65*G162+D162*Parameters!B$65-Parameters!$B$5*D162^2/G162*Parameters!B$65</f>
        <v>3.6420750184397124E-2</v>
      </c>
      <c r="H163" s="7">
        <f>(1-Parameters!$B$4)^Parameters!B$65*H162+E162*Parameters!B$65-Parameters!$B$5*E162^2/H162*Parameters!B$65</f>
        <v>4.7822053384039576</v>
      </c>
      <c r="I163" s="7">
        <f>I162 *(1-Parameters!$B$4)-C162*(C162&lt;0)*Parameters!B$65</f>
        <v>0</v>
      </c>
      <c r="J163" s="23">
        <f>J162*(1+Parameters!$B$51)^Parameters!B$65</f>
        <v>12.931637959824375</v>
      </c>
      <c r="K163" s="23">
        <f>K162*(1+Parameters!$B$53)^Parameters!B$65</f>
        <v>210.95997157618558</v>
      </c>
      <c r="L163" s="23">
        <f>J163*K163*EXP(-Parameters!$B$42*'6states,BAU'!A163)*(Parameters!$B$37/Parameters!$B$38*('6states,BAU'!F163+'6states,BAU'!I163)/Parameters!$E$25*(EXP(-Parameters!$B$38*Parameters!$E$25*'6states,BAU'!I163/('6states,BAU'!F163+'6states,BAU'!I163))-EXP(-Parameters!$B$38*Parameters!$E$25))  +  Parameters!$B$39*'6states,BAU'!F163)</f>
        <v>475.62313748417131</v>
      </c>
      <c r="M163" s="8">
        <f>M162+L163*Parameters!B$65</f>
        <v>33270.267617879523</v>
      </c>
      <c r="N163" s="7">
        <f>M163*Parameters!$B$45</f>
        <v>19.962160570727711</v>
      </c>
      <c r="O163" s="9">
        <f>EXP(-Parameters!$B$46/2*N163^2)</f>
        <v>1.8227880904702683E-2</v>
      </c>
      <c r="P163" s="7">
        <f>MAX((Parameters!$B$62 + Parameters!$B$31*'6states,BAU'!A163 - '6states,BAU'!M163 + Parameters!$B$47/Parameters!$B$45)/Parameters!B$62,1)</f>
        <v>1</v>
      </c>
      <c r="Q163" s="8"/>
      <c r="R163" s="8"/>
      <c r="S163" s="7">
        <f>Parameters!B$61*EXP(-Parameters!B$60*A163)+(1-Parameters!B$61)*P163^-Parameters!B$63</f>
        <v>0.50683193606600541</v>
      </c>
      <c r="T163" s="7">
        <f>1-S163/Parameters!$B$12</f>
        <v>0.7465840319669973</v>
      </c>
      <c r="U163" s="7">
        <f t="shared" si="59"/>
        <v>3.9460812503723863</v>
      </c>
      <c r="V163" s="7">
        <f>(Parameters!$B$19*(F163+Parameters!$B$20)^T163+Parameters!$B$18*G163^T163)^(1/T163)</f>
        <v>0.61425653764534005</v>
      </c>
      <c r="W163" s="7">
        <f>(Parameters!$B$10*H163^Parameters!$B$9+Parameters!$B$11*V163^Parameters!$B$9)^(Parameters!$B$7/Parameters!$B$9)*O163</f>
        <v>2.8742802576534363E-2</v>
      </c>
      <c r="X163" s="7">
        <f>W163 - D163 - E163 - LN(1+EXP(Parameters!$B$21*C163))/Parameters!$B$21 - IF(C163&gt;0, 0,Parameters!$B$6*C163^2/F163)</f>
        <v>-0.38647883233821057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-396.47883233821057</v>
      </c>
      <c r="AC163" s="23">
        <f t="shared" si="60"/>
        <v>185.09004851179094</v>
      </c>
      <c r="AD163" s="23">
        <f t="shared" si="60"/>
        <v>7.0084854056616903</v>
      </c>
      <c r="AE163" s="23">
        <f t="shared" si="61"/>
        <v>0</v>
      </c>
      <c r="AF163" s="23">
        <f t="shared" si="62"/>
        <v>2561.1107314130245</v>
      </c>
      <c r="AG163" s="23">
        <f t="shared" si="63"/>
        <v>99.357918048402979</v>
      </c>
      <c r="AH163" s="23">
        <f t="shared" si="64"/>
        <v>1675.7274471026033</v>
      </c>
      <c r="AI163" s="23">
        <f t="shared" si="65"/>
        <v>4124.0928262503849</v>
      </c>
      <c r="AJ163" s="23">
        <f t="shared" si="66"/>
        <v>78.412031834099352</v>
      </c>
      <c r="AK163" s="23">
        <f t="shared" si="67"/>
        <v>-1054.3366612847281</v>
      </c>
      <c r="AL163" s="9">
        <f t="shared" si="70"/>
        <v>-8.985745298708725E-2</v>
      </c>
      <c r="AM163" s="9" t="e">
        <f t="shared" si="70"/>
        <v>#NUM!</v>
      </c>
      <c r="AN163" s="9">
        <f t="shared" si="73"/>
        <v>-8.9999152476578109E-2</v>
      </c>
      <c r="AO163" s="9" t="e">
        <f t="shared" si="73"/>
        <v>#NUM!</v>
      </c>
      <c r="AP163" s="23"/>
      <c r="AQ163" s="25">
        <f t="shared" si="57"/>
        <v>78.412031834099352</v>
      </c>
      <c r="AR163" s="4"/>
      <c r="AS163" s="4"/>
      <c r="AT163" s="4"/>
      <c r="AU163" s="16"/>
      <c r="AV163" s="16"/>
      <c r="AY163" s="21" t="e">
        <f>-Y163*W163*X163^(-Parameters!B$52)*Parameters!B$46*Parameters!B$45*N163</f>
        <v>#NUM!</v>
      </c>
      <c r="AZ163" s="7">
        <f>1000*EXP(-(Parameters!$B$54)*'6states,BAU'!A163)*AQ163*Parameters!B$46*Parameters!B$45*N163</f>
        <v>7.1151405914268648E-2</v>
      </c>
      <c r="BA163" s="93">
        <f>SUM(AZ163:AZ$204)*EXP(Parameters!$B$54*A163)</f>
        <v>144.5667219387224</v>
      </c>
      <c r="BB163" s="43">
        <f t="shared" si="72"/>
        <v>14.446108162358184</v>
      </c>
      <c r="BC163" s="30">
        <f>IF(C163&lt;0,Parameters!$B$6*AC163^2/AF163,0)</f>
        <v>0</v>
      </c>
      <c r="BD163" s="30">
        <f>Parameters!$B$5*AD163^2/AG163</f>
        <v>0.49436289171683595</v>
      </c>
      <c r="BE163" s="30">
        <f t="shared" si="68"/>
        <v>0</v>
      </c>
      <c r="BF163" s="30">
        <f t="shared" si="69"/>
        <v>7.0537764310313458E-2</v>
      </c>
      <c r="BH163" s="5"/>
      <c r="BI163" s="5"/>
      <c r="BJ163" s="5"/>
      <c r="BM163">
        <f>-EXP(-Parameters!B$42*'6states,BAU'!A163)*(-Parameters!B$37/Parameters!B$38/Parameters!E$25*(EXP(-Parameters!B$38*Parameters!E$25*'6states,BAU'!I163/('6states,BAU'!F163+'6states,BAU'!I163))-EXP(-Parameters!B$38*Parameters!E$25))+Parameters!B$37*'6states,BAU'!F163/('6states,BAU'!F163+'6states,BAU'!I163)*EXP(-Parameters!B$38*Parameters!E$25*'6states,BAU'!I163/('6states,BAU'!F163+'6states,BAU'!I163)))</f>
        <v>-1.2186036201961556</v>
      </c>
    </row>
    <row r="164" spans="1:65" x14ac:dyDescent="0.3">
      <c r="A164">
        <f>A163+Parameters!$B$65</f>
        <v>160</v>
      </c>
      <c r="B164">
        <v>2185</v>
      </c>
      <c r="C164" s="74">
        <v>6.8328689656689506E-2</v>
      </c>
      <c r="D164" s="69">
        <v>2.5846777204482298E-3</v>
      </c>
      <c r="E164" s="75">
        <v>0.34828267900034399</v>
      </c>
      <c r="F164" s="7">
        <f>MAX((1-Parameters!$B$4)^Parameters!B$65*F163 + C163*Parameters!B$65 - IF(C163&gt;0,Parameters!$B$5,0)*C163^2/F163*Parameters!B$65, 0.0001)</f>
        <v>0.94269644642447115</v>
      </c>
      <c r="G164" s="7">
        <f>(1-Parameters!$B$4)^Parameters!B$65*G163+D163*Parameters!B$65-Parameters!$B$5*D163^2/G163*Parameters!B$65</f>
        <v>3.6517709072728985E-2</v>
      </c>
      <c r="H164" s="7">
        <f>(1-Parameters!$B$4)^Parameters!B$65*H163+E163*Parameters!B$65-Parameters!$B$5*E163^2/H163*Parameters!B$65</f>
        <v>4.8013492734107421</v>
      </c>
      <c r="I164" s="7">
        <f>I163 *(1-Parameters!$B$4)-C163*(C163&lt;0)*Parameters!B$65</f>
        <v>0</v>
      </c>
      <c r="J164" s="23">
        <f>J163*(1+Parameters!$B$51)^Parameters!B$65</f>
        <v>12.969139709907864</v>
      </c>
      <c r="K164" s="23">
        <f>K163*(1+Parameters!$B$53)^Parameters!B$65</f>
        <v>215.1791710077093</v>
      </c>
      <c r="L164" s="23">
        <f>J164*K164*EXP(-Parameters!$B$42*'6states,BAU'!A164)*(Parameters!$B$37/Parameters!$B$38*('6states,BAU'!F164+'6states,BAU'!I164)/Parameters!$E$25*(EXP(-Parameters!$B$38*Parameters!$E$25*'6states,BAU'!I164/('6states,BAU'!F164+'6states,BAU'!I164))-EXP(-Parameters!$B$38*Parameters!$E$25))  +  Parameters!$B$39*'6states,BAU'!F164)</f>
        <v>483.69872369111602</v>
      </c>
      <c r="M164" s="8">
        <f>M163+L164*Parameters!B$65</f>
        <v>33753.966341570638</v>
      </c>
      <c r="N164" s="7">
        <f>M164*Parameters!$B$45</f>
        <v>20.252379804942382</v>
      </c>
      <c r="O164" s="9">
        <f>EXP(-Parameters!$B$46/2*N164^2)</f>
        <v>1.6210488272167579E-2</v>
      </c>
      <c r="P164" s="7">
        <f>MAX((Parameters!$B$62 + Parameters!$B$31*'6states,BAU'!A164 - '6states,BAU'!M164 + Parameters!$B$47/Parameters!$B$45)/Parameters!B$62,1)</f>
        <v>1</v>
      </c>
      <c r="Q164" s="8"/>
      <c r="R164" s="8"/>
      <c r="S164" s="7">
        <f>Parameters!B$61*EXP(-Parameters!B$60*A164)+(1-Parameters!B$61)*P164^-Parameters!B$63</f>
        <v>0.50664994177122191</v>
      </c>
      <c r="T164" s="7">
        <f>1-S164/Parameters!$B$12</f>
        <v>0.7466750291143891</v>
      </c>
      <c r="U164" s="7">
        <f t="shared" si="59"/>
        <v>3.9474987266515895</v>
      </c>
      <c r="V164" s="7">
        <f>(Parameters!$B$19*(F164+Parameters!$B$20)^T164+Parameters!$B$18*G164^T164)^(1/T164)</f>
        <v>0.61676778350533068</v>
      </c>
      <c r="W164" s="7">
        <f>(Parameters!$B$10*H164^Parameters!$B$9+Parameters!$B$11*V164^Parameters!$B$9)^(Parameters!$B$7/Parameters!$B$9)*O164</f>
        <v>2.5592424747345587E-2</v>
      </c>
      <c r="X164" s="7">
        <f>W164 - D164 - E164 - LN(1+EXP(Parameters!$B$21*C164))/Parameters!$B$21 - IF(C164&gt;0, 0,Parameters!$B$6*C164^2/F164)</f>
        <v>-0.39360362163430912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-403.60362163430909</v>
      </c>
      <c r="AC164" s="23">
        <f t="shared" si="60"/>
        <v>190.6841042604286</v>
      </c>
      <c r="AD164" s="23">
        <f t="shared" si="60"/>
        <v>7.2130309889135349</v>
      </c>
      <c r="AE164" s="23">
        <f t="shared" si="61"/>
        <v>0</v>
      </c>
      <c r="AF164" s="23">
        <f t="shared" si="62"/>
        <v>2630.7723502252297</v>
      </c>
      <c r="AG164" s="23">
        <f t="shared" si="63"/>
        <v>101.90955920804093</v>
      </c>
      <c r="AH164" s="23">
        <f t="shared" si="64"/>
        <v>1721.206903356589</v>
      </c>
      <c r="AI164" s="23">
        <f t="shared" si="65"/>
        <v>4236.0212305998712</v>
      </c>
      <c r="AJ164" s="23">
        <f t="shared" si="66"/>
        <v>71.420491353184488</v>
      </c>
      <c r="AK164" s="23">
        <f t="shared" si="67"/>
        <v>-1098.4251915571597</v>
      </c>
      <c r="AL164" s="9">
        <f t="shared" si="70"/>
        <v>-9.3392560940348979E-2</v>
      </c>
      <c r="AM164" s="9" t="e">
        <f t="shared" si="70"/>
        <v>#NUM!</v>
      </c>
      <c r="AN164" s="9">
        <f t="shared" si="73"/>
        <v>-9.3528381326495241E-2</v>
      </c>
      <c r="AO164" s="9" t="e">
        <f t="shared" si="73"/>
        <v>#NUM!</v>
      </c>
      <c r="AP164" s="23"/>
      <c r="AQ164" s="25">
        <f t="shared" si="57"/>
        <v>71.420491353184488</v>
      </c>
      <c r="AR164" s="4"/>
      <c r="AS164" s="4"/>
      <c r="AT164" s="4"/>
      <c r="AU164" s="16"/>
      <c r="AV164" s="16"/>
      <c r="AY164" s="21" t="e">
        <f>-Y164*W164*X164^(-Parameters!B$52)*Parameters!B$46*Parameters!B$45*N164</f>
        <v>#NUM!</v>
      </c>
      <c r="AZ164" s="7">
        <f>1000*EXP(-(Parameters!$B$54)*'6states,BAU'!A164)*AQ164*Parameters!B$46*Parameters!B$45*N164</f>
        <v>6.3481677508639353E-2</v>
      </c>
      <c r="BA164" s="93">
        <f>SUM(AZ164:AZ$204)*EXP(Parameters!$B$54*A164)</f>
        <v>130.17956418538654</v>
      </c>
      <c r="BB164" s="43">
        <f t="shared" si="72"/>
        <v>16.379692448678988</v>
      </c>
      <c r="BC164" s="30">
        <f>IF(C164&lt;0,Parameters!$B$6*AC164^2/AF164,0)</f>
        <v>0</v>
      </c>
      <c r="BD164" s="30">
        <f>Parameters!$B$5*AD164^2/AG164</f>
        <v>0.51052930118965556</v>
      </c>
      <c r="BE164" s="30">
        <f t="shared" si="68"/>
        <v>0</v>
      </c>
      <c r="BF164" s="30">
        <f t="shared" si="69"/>
        <v>7.0778747793312086E-2</v>
      </c>
      <c r="BH164" s="5"/>
      <c r="BI164" s="5"/>
      <c r="BJ164" s="5"/>
      <c r="BM164">
        <f>-EXP(-Parameters!B$42*'6states,BAU'!A164)*(-Parameters!B$37/Parameters!B$38/Parameters!E$25*(EXP(-Parameters!B$38*Parameters!E$25*'6states,BAU'!I164/('6states,BAU'!F164+'6states,BAU'!I164))-EXP(-Parameters!B$38*Parameters!E$25))+Parameters!B$37*'6states,BAU'!F164/('6states,BAU'!F164+'6states,BAU'!I164)*EXP(-Parameters!B$38*Parameters!E$25*'6states,BAU'!I164/('6states,BAU'!F164+'6states,BAU'!I164)))</f>
        <v>-1.206478311581338</v>
      </c>
    </row>
    <row r="165" spans="1:65" x14ac:dyDescent="0.3">
      <c r="A165">
        <f>A164+Parameters!$B$65</f>
        <v>161</v>
      </c>
      <c r="B165">
        <v>2186</v>
      </c>
      <c r="C165" s="74">
        <v>6.9064452504599499E-2</v>
      </c>
      <c r="D165" s="69">
        <v>2.6078170090489202E-3</v>
      </c>
      <c r="E165" s="75">
        <v>0.35145274962269801</v>
      </c>
      <c r="F165" s="7">
        <f>MAX((1-Parameters!$B$4)^Parameters!B$65*F164 + C164*Parameters!B$65 - IF(C164&gt;0,Parameters!$B$5,0)*C164^2/F164*Parameters!B$65, 0.0001)</f>
        <v>0.94677691749786697</v>
      </c>
      <c r="G165" s="7">
        <f>(1-Parameters!$B$4)^Parameters!B$65*G164+D164*Parameters!B$65-Parameters!$B$5*D164^2/G164*Parameters!B$65</f>
        <v>3.6622482639999968E-2</v>
      </c>
      <c r="H165" s="7">
        <f>(1-Parameters!$B$4)^Parameters!B$65*H164+E164*Parameters!B$65-Parameters!$B$5*E164^2/H164*Parameters!B$65</f>
        <v>4.8223631796597015</v>
      </c>
      <c r="I165" s="7">
        <f>I164 *(1-Parameters!$B$4)-C164*(C164&lt;0)*Parameters!B$65</f>
        <v>0</v>
      </c>
      <c r="J165" s="23">
        <f>J164*(1+Parameters!$B$51)^Parameters!B$65</f>
        <v>13.006750215066596</v>
      </c>
      <c r="K165" s="23">
        <f>K164*(1+Parameters!$B$53)^Parameters!B$65</f>
        <v>219.48275442786348</v>
      </c>
      <c r="L165" s="23">
        <f>J165*K165*EXP(-Parameters!$B$42*'6states,BAU'!A165)*(Parameters!$B$37/Parameters!$B$38*('6states,BAU'!F165+'6states,BAU'!I165)/Parameters!$E$25*(EXP(-Parameters!$B$38*Parameters!$E$25*'6states,BAU'!I165/('6states,BAU'!F165+'6states,BAU'!I165))-EXP(-Parameters!$B$38*Parameters!$E$25))  +  Parameters!$B$39*'6states,BAU'!F165)</f>
        <v>492.00055307355001</v>
      </c>
      <c r="M165" s="8">
        <f>M164+L165*Parameters!B$65</f>
        <v>34245.966894644189</v>
      </c>
      <c r="N165" s="7">
        <f>M165*Parameters!$B$45</f>
        <v>20.547580136786511</v>
      </c>
      <c r="O165" s="9">
        <f>EXP(-Parameters!$B$46/2*N165^2)</f>
        <v>1.4362413660905755E-2</v>
      </c>
      <c r="P165" s="7">
        <f>MAX((Parameters!$B$62 + Parameters!$B$31*'6states,BAU'!A165 - '6states,BAU'!M165 + Parameters!$B$47/Parameters!$B$45)/Parameters!B$62,1)</f>
        <v>1</v>
      </c>
      <c r="Q165" s="8"/>
      <c r="R165" s="8"/>
      <c r="S165" s="7">
        <f>Parameters!B$61*EXP(-Parameters!B$60*A165)+(1-Parameters!B$61)*P165^-Parameters!B$63</f>
        <v>0.50647279557850111</v>
      </c>
      <c r="T165" s="7">
        <f>1-S165/Parameters!$B$12</f>
        <v>0.74676360221074944</v>
      </c>
      <c r="U165" s="7">
        <f t="shared" si="59"/>
        <v>3.9488794214812049</v>
      </c>
      <c r="V165" s="7">
        <f>(Parameters!$B$19*(F165+Parameters!$B$20)^T165+Parameters!$B$18*G165^T165)^(1/T165)</f>
        <v>0.61940046948257133</v>
      </c>
      <c r="W165" s="7">
        <f>(Parameters!$B$10*H165^Parameters!$B$9+Parameters!$B$11*V165^Parameters!$B$9)^(Parameters!$B$7/Parameters!$B$9)*O165</f>
        <v>2.2704364958449918E-2</v>
      </c>
      <c r="X165" s="7">
        <f>W165 - D165 - E165 - LN(1+EXP(Parameters!$B$21*C165))/Parameters!$B$21 - IF(C165&gt;0, 0,Parameters!$B$6*C165^2/F165)</f>
        <v>-0.40042065418124295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-410.42065418124298</v>
      </c>
      <c r="AC165" s="23">
        <f t="shared" si="60"/>
        <v>197.16225433379583</v>
      </c>
      <c r="AD165" s="23">
        <f t="shared" si="60"/>
        <v>7.4446848088726982</v>
      </c>
      <c r="AE165" s="23">
        <f t="shared" si="61"/>
        <v>0</v>
      </c>
      <c r="AF165" s="23">
        <f t="shared" si="62"/>
        <v>2702.8183766844463</v>
      </c>
      <c r="AG165" s="23">
        <f t="shared" si="63"/>
        <v>104.54830198099125</v>
      </c>
      <c r="AH165" s="23">
        <f t="shared" si="64"/>
        <v>1768.2380511227864</v>
      </c>
      <c r="AI165" s="23">
        <f t="shared" si="65"/>
        <v>4351.7684658965545</v>
      </c>
      <c r="AJ165" s="23">
        <f t="shared" si="66"/>
        <v>64.81545304550275</v>
      </c>
      <c r="AK165" s="23">
        <f t="shared" si="67"/>
        <v>-1143.1038109645394</v>
      </c>
      <c r="AL165" s="9">
        <f t="shared" si="70"/>
        <v>-9.7040774060285884E-2</v>
      </c>
      <c r="AM165" s="9" t="e">
        <f t="shared" si="70"/>
        <v>#NUM!</v>
      </c>
      <c r="AN165" s="9">
        <f t="shared" si="73"/>
        <v>-9.7206733428022662E-2</v>
      </c>
      <c r="AO165" s="9" t="e">
        <f t="shared" si="73"/>
        <v>#NUM!</v>
      </c>
      <c r="AP165" s="23"/>
      <c r="AQ165" s="25">
        <f t="shared" si="57"/>
        <v>64.815453045502764</v>
      </c>
      <c r="AR165" s="4"/>
      <c r="AS165" s="4"/>
      <c r="AT165" s="4"/>
      <c r="AU165" s="16"/>
      <c r="AV165" s="16"/>
      <c r="AY165" s="21" t="e">
        <f>-Y165*W165*X165^(-Parameters!B$52)*Parameters!B$46*Parameters!B$45*N165</f>
        <v>#NUM!</v>
      </c>
      <c r="AZ165" s="7">
        <f>1000*EXP(-(Parameters!$B$54)*'6states,BAU'!A165)*AQ165*Parameters!B$46*Parameters!B$45*N165</f>
        <v>5.6434542023460911E-2</v>
      </c>
      <c r="BA165" s="93">
        <f>SUM(AZ165:AZ$204)*EXP(Parameters!$B$54*A165)</f>
        <v>116.76284257609208</v>
      </c>
      <c r="BB165" s="43">
        <f t="shared" si="72"/>
        <v>18.636285133307432</v>
      </c>
      <c r="BC165" s="30">
        <f>IF(C165&lt;0,Parameters!$B$6*AC165^2/AF165,0)</f>
        <v>0</v>
      </c>
      <c r="BD165" s="30">
        <f>Parameters!$B$5*AD165^2/AG165</f>
        <v>0.53012177963002094</v>
      </c>
      <c r="BE165" s="30">
        <f t="shared" si="68"/>
        <v>0</v>
      </c>
      <c r="BF165" s="30">
        <f t="shared" si="69"/>
        <v>7.1208089158887294E-2</v>
      </c>
      <c r="BH165" s="5"/>
      <c r="BI165" s="5"/>
      <c r="BJ165" s="5"/>
      <c r="BM165">
        <f>-EXP(-Parameters!B$42*'6states,BAU'!A165)*(-Parameters!B$37/Parameters!B$38/Parameters!E$25*(EXP(-Parameters!B$38*Parameters!E$25*'6states,BAU'!I165/('6states,BAU'!F165+'6states,BAU'!I165))-EXP(-Parameters!B$38*Parameters!E$25))+Parameters!B$37*'6states,BAU'!F165/('6states,BAU'!F165+'6states,BAU'!I165)*EXP(-Parameters!B$38*Parameters!E$25*'6states,BAU'!I165/('6states,BAU'!F165+'6states,BAU'!I165)))</f>
        <v>-1.1944736518030807</v>
      </c>
    </row>
    <row r="166" spans="1:65" x14ac:dyDescent="0.3">
      <c r="A166">
        <f>A165+Parameters!$B$65</f>
        <v>162</v>
      </c>
      <c r="B166">
        <v>2187</v>
      </c>
      <c r="C166" s="74">
        <v>6.9746702395927895E-2</v>
      </c>
      <c r="D166" s="69">
        <v>2.6316273379692E-3</v>
      </c>
      <c r="E166" s="75">
        <v>0.35503403810529199</v>
      </c>
      <c r="F166" s="7">
        <f>MAX((1-Parameters!$B$4)^Parameters!B$65*F165 + C165*Parameters!B$65 - IF(C165&gt;0,Parameters!$B$5,0)*C165^2/F165*Parameters!B$65, 0.0001)</f>
        <v>0.95125106335119225</v>
      </c>
      <c r="G166" s="7">
        <f>(1-Parameters!$B$4)^Parameters!B$65*G165+D165*Parameters!B$65-Parameters!$B$5*D165^2/G165*Parameters!B$65</f>
        <v>3.6741047824902472E-2</v>
      </c>
      <c r="H166" s="7">
        <f>(1-Parameters!$B$4)^Parameters!B$65*H165+E165*Parameters!B$65-Parameters!$B$5*E165^2/H165*Parameters!B$65</f>
        <v>4.8448754875200875</v>
      </c>
      <c r="I166" s="7">
        <f>I165 *(1-Parameters!$B$4)-C165*(C165&lt;0)*Parameters!B$65</f>
        <v>0</v>
      </c>
      <c r="J166" s="23">
        <f>J165*(1+Parameters!$B$51)^Parameters!B$65</f>
        <v>13.044469790690288</v>
      </c>
      <c r="K166" s="23">
        <f>K165*(1+Parameters!$B$53)^Parameters!B$65</f>
        <v>223.87240951642076</v>
      </c>
      <c r="L166" s="23">
        <f>J166*K166*EXP(-Parameters!$B$42*'6states,BAU'!A166)*(Parameters!$B$37/Parameters!$B$38*('6states,BAU'!F166+'6states,BAU'!I166)/Parameters!$E$25*(EXP(-Parameters!$B$38*Parameters!$E$25*'6states,BAU'!I166/('6states,BAU'!F166+'6states,BAU'!I166))-EXP(-Parameters!$B$38*Parameters!$E$25))  +  Parameters!$B$39*'6states,BAU'!F166)</f>
        <v>500.64276368181851</v>
      </c>
      <c r="M166" s="8">
        <f>M165+L166*Parameters!B$65</f>
        <v>34746.609658326008</v>
      </c>
      <c r="N166" s="7">
        <f>M166*Parameters!$B$45</f>
        <v>20.847965794995602</v>
      </c>
      <c r="O166" s="9">
        <f>EXP(-Parameters!$B$46/2*N166^2)</f>
        <v>1.2675190984819748E-2</v>
      </c>
      <c r="P166" s="7">
        <f>MAX((Parameters!$B$62 + Parameters!$B$31*'6states,BAU'!A166 - '6states,BAU'!M166 + Parameters!$B$47/Parameters!$B$45)/Parameters!B$62,1)</f>
        <v>1</v>
      </c>
      <c r="Q166" s="8"/>
      <c r="R166" s="8"/>
      <c r="S166" s="7">
        <f>Parameters!B$61*EXP(-Parameters!B$60*A166)+(1-Parameters!B$61)*P166^-Parameters!B$63</f>
        <v>0.50630036834042302</v>
      </c>
      <c r="T166" s="7">
        <f>1-S166/Parameters!$B$12</f>
        <v>0.74684981582978849</v>
      </c>
      <c r="U166" s="7">
        <f t="shared" si="59"/>
        <v>3.9502242642163212</v>
      </c>
      <c r="V166" s="7">
        <f>(Parameters!$B$19*(F166+Parameters!$B$20)^T166+Parameters!$B$18*G166^T166)^(1/T166)</f>
        <v>0.62228680926986979</v>
      </c>
      <c r="W166" s="7">
        <f>(Parameters!$B$10*H166^Parameters!$B$9+Parameters!$B$11*V166^Parameters!$B$9)^(Parameters!$B$7/Parameters!$B$9)*O166</f>
        <v>2.0065180241097106E-2</v>
      </c>
      <c r="X166" s="7">
        <f>W166 - D166 - E166 - LN(1+EXP(Parameters!$B$21*C166))/Parameters!$B$21 - IF(C166&gt;0, 0,Parameters!$B$6*C166^2/F166)</f>
        <v>-0.40734718760081906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-417.34718760081904</v>
      </c>
      <c r="AC166" s="23">
        <f t="shared" si="60"/>
        <v>203.68107759980035</v>
      </c>
      <c r="AD166" s="23">
        <f t="shared" si="60"/>
        <v>7.6851331120416573</v>
      </c>
      <c r="AE166" s="23">
        <f t="shared" si="61"/>
        <v>0</v>
      </c>
      <c r="AF166" s="23">
        <f t="shared" si="62"/>
        <v>2777.9355151655004</v>
      </c>
      <c r="AG166" s="23">
        <f t="shared" si="63"/>
        <v>107.2947674377628</v>
      </c>
      <c r="AH166" s="23">
        <f t="shared" si="64"/>
        <v>1817.2622293843185</v>
      </c>
      <c r="AI166" s="23">
        <f t="shared" si="65"/>
        <v>4472.4207009785669</v>
      </c>
      <c r="AJ166" s="23">
        <f t="shared" si="66"/>
        <v>58.596283313022852</v>
      </c>
      <c r="AK166" s="23">
        <f t="shared" si="67"/>
        <v>-1189.5747222111956</v>
      </c>
      <c r="AL166" s="9">
        <f t="shared" si="70"/>
        <v>-0.10087277797341265</v>
      </c>
      <c r="AM166" s="9" t="e">
        <f t="shared" si="70"/>
        <v>#NUM!</v>
      </c>
      <c r="AN166" s="9">
        <f t="shared" si="73"/>
        <v>-0.10105066660743658</v>
      </c>
      <c r="AO166" s="9" t="e">
        <f t="shared" si="73"/>
        <v>#NUM!</v>
      </c>
      <c r="AP166" s="23"/>
      <c r="AQ166" s="25">
        <f t="shared" si="57"/>
        <v>58.596283313022852</v>
      </c>
      <c r="AR166" s="4"/>
      <c r="AS166" s="4"/>
      <c r="AT166" s="4"/>
      <c r="AU166" s="16"/>
      <c r="AV166" s="16"/>
      <c r="AY166" s="21" t="e">
        <f>-Y166*W166*X166^(-Parameters!B$52)*Parameters!B$46*Parameters!B$45*N166</f>
        <v>#NUM!</v>
      </c>
      <c r="AZ166" s="7">
        <f>1000*EXP(-(Parameters!$B$54)*'6states,BAU'!A166)*AQ166*Parameters!B$46*Parameters!B$45*N166</f>
        <v>4.997994579508503E-2</v>
      </c>
      <c r="BA166" s="93">
        <f>SUM(AZ166:AZ$204)*EXP(Parameters!$B$54*A166)</f>
        <v>104.29870720169811</v>
      </c>
      <c r="BB166" s="43">
        <f t="shared" si="72"/>
        <v>21.301197532418449</v>
      </c>
      <c r="BC166" s="30">
        <f>IF(C166&lt;0,Parameters!$B$6*AC166^2/AF166,0)</f>
        <v>0</v>
      </c>
      <c r="BD166" s="30">
        <f>Parameters!$B$5*AD166^2/AG166</f>
        <v>0.55045807321459606</v>
      </c>
      <c r="BE166" s="30">
        <f t="shared" si="68"/>
        <v>0</v>
      </c>
      <c r="BF166" s="30">
        <f t="shared" si="69"/>
        <v>7.1626355092287999E-2</v>
      </c>
      <c r="BH166" s="5"/>
      <c r="BI166" s="5"/>
      <c r="BJ166" s="5"/>
      <c r="BM166">
        <f>-EXP(-Parameters!B$42*'6states,BAU'!A166)*(-Parameters!B$37/Parameters!B$38/Parameters!E$25*(EXP(-Parameters!B$38*Parameters!E$25*'6states,BAU'!I166/('6states,BAU'!F166+'6states,BAU'!I166))-EXP(-Parameters!B$38*Parameters!E$25))+Parameters!B$37*'6states,BAU'!F166/('6states,BAU'!F166+'6states,BAU'!I166)*EXP(-Parameters!B$38*Parameters!E$25*'6states,BAU'!I166/('6states,BAU'!F166+'6states,BAU'!I166)))</f>
        <v>-1.1825884403854017</v>
      </c>
    </row>
    <row r="167" spans="1:65" x14ac:dyDescent="0.3">
      <c r="A167">
        <f>A166+Parameters!$B$65</f>
        <v>163</v>
      </c>
      <c r="B167">
        <v>2188</v>
      </c>
      <c r="C167" s="74">
        <v>7.0669267902743305E-2</v>
      </c>
      <c r="D167" s="69">
        <v>2.6603447057773999E-3</v>
      </c>
      <c r="E167" s="75">
        <v>0.35852313699969202</v>
      </c>
      <c r="F167" s="7">
        <f>MAX((1-Parameters!$B$4)^Parameters!B$65*F166 + C166*Parameters!B$65 - IF(C166&gt;0,Parameters!$B$5,0)*C166^2/F166*Parameters!B$65, 0.0001)</f>
        <v>0.95605017419638028</v>
      </c>
      <c r="G167" s="7">
        <f>(1-Parameters!$B$4)^Parameters!B$65*G166+D166*Parameters!B$65-Parameters!$B$5*D166^2/G166*Parameters!B$65</f>
        <v>3.6873169380505354E-2</v>
      </c>
      <c r="H167" s="7">
        <f>(1-Parameters!$B$4)^Parameters!B$65*H166+E166*Parameters!B$65-Parameters!$B$5*E166^2/H166*Parameters!B$65</f>
        <v>4.8691498486563134</v>
      </c>
      <c r="I167" s="7">
        <f>I166 *(1-Parameters!$B$4)-C166*(C166&lt;0)*Parameters!B$65</f>
        <v>0</v>
      </c>
      <c r="J167" s="23">
        <f>J166*(1+Parameters!$B$51)^Parameters!B$65</f>
        <v>13.082298753083288</v>
      </c>
      <c r="K167" s="23">
        <f>K166*(1+Parameters!$B$53)^Parameters!B$65</f>
        <v>228.34985770674919</v>
      </c>
      <c r="L167" s="23">
        <f>J167*K167*EXP(-Parameters!$B$42*'6states,BAU'!A167)*(Parameters!$B$37/Parameters!$B$38*('6states,BAU'!F167+'6states,BAU'!I167)/Parameters!$E$25*(EXP(-Parameters!$B$38*Parameters!$E$25*'6states,BAU'!I167/('6states,BAU'!F167+'6states,BAU'!I167))-EXP(-Parameters!$B$38*Parameters!$E$25))  +  Parameters!$B$39*'6states,BAU'!F167)</f>
        <v>509.59872318605301</v>
      </c>
      <c r="M167" s="8">
        <f>M166+L167*Parameters!B$65</f>
        <v>35256.208381512064</v>
      </c>
      <c r="N167" s="7">
        <f>M167*Parameters!$B$45</f>
        <v>21.153725028907235</v>
      </c>
      <c r="O167" s="9">
        <f>EXP(-Parameters!$B$46/2*N167^2)</f>
        <v>1.1140425716181495E-2</v>
      </c>
      <c r="P167" s="7">
        <f>MAX((Parameters!$B$62 + Parameters!$B$31*'6states,BAU'!A167 - '6states,BAU'!M167 + Parameters!$B$47/Parameters!$B$45)/Parameters!B$62,1)</f>
        <v>1</v>
      </c>
      <c r="Q167" s="8"/>
      <c r="R167" s="8"/>
      <c r="S167" s="7">
        <f>Parameters!B$61*EXP(-Parameters!B$60*A167)+(1-Parameters!B$61)*P167^-Parameters!B$63</f>
        <v>0.5061325343498948</v>
      </c>
      <c r="T167" s="7">
        <f>1-S167/Parameters!$B$12</f>
        <v>0.7469337328250526</v>
      </c>
      <c r="U167" s="7">
        <f t="shared" si="59"/>
        <v>3.9515341620330986</v>
      </c>
      <c r="V167" s="7">
        <f>(Parameters!$B$19*(F167+Parameters!$B$20)^T167+Parameters!$B$18*G167^T167)^(1/T167)</f>
        <v>0.62538384275326864</v>
      </c>
      <c r="W167" s="7">
        <f>(Parameters!$B$10*H167^Parameters!$B$9+Parameters!$B$11*V167^Parameters!$B$9)^(Parameters!$B$7/Parameters!$B$9)*O167</f>
        <v>1.7662035604955273E-2</v>
      </c>
      <c r="X167" s="7">
        <f>W167 - D167 - E167 - LN(1+EXP(Parameters!$B$21*C167))/Parameters!$B$21 - IF(C167&gt;0, 0,Parameters!$B$6*C167^2/F167)</f>
        <v>-0.4141907140053252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-424.19071400532522</v>
      </c>
      <c r="AC167" s="23">
        <f t="shared" si="60"/>
        <v>211.11320559722697</v>
      </c>
      <c r="AD167" s="23">
        <f t="shared" si="60"/>
        <v>7.9473569699803912</v>
      </c>
      <c r="AE167" s="23">
        <f t="shared" si="61"/>
        <v>0</v>
      </c>
      <c r="AF167" s="23">
        <f t="shared" si="62"/>
        <v>2856.0479395959624</v>
      </c>
      <c r="AG167" s="23">
        <f t="shared" si="63"/>
        <v>110.15273285639653</v>
      </c>
      <c r="AH167" s="23">
        <f t="shared" si="64"/>
        <v>1868.2348309317852</v>
      </c>
      <c r="AI167" s="23">
        <f t="shared" si="65"/>
        <v>4597.8681541074739</v>
      </c>
      <c r="AJ167" s="23">
        <f t="shared" si="66"/>
        <v>52.76252414367692</v>
      </c>
      <c r="AK167" s="23">
        <f t="shared" si="67"/>
        <v>-1237.3289260984984</v>
      </c>
      <c r="AL167" s="9">
        <f t="shared" si="70"/>
        <v>-0.10487010117897855</v>
      </c>
      <c r="AM167" s="9" t="e">
        <f t="shared" si="70"/>
        <v>#NUM!</v>
      </c>
      <c r="AN167" s="9">
        <f t="shared" si="73"/>
        <v>-0.10505831189203949</v>
      </c>
      <c r="AO167" s="9" t="e">
        <f t="shared" si="73"/>
        <v>#NUM!</v>
      </c>
      <c r="AP167" s="23"/>
      <c r="AQ167" s="25">
        <f t="shared" si="57"/>
        <v>52.762524143676913</v>
      </c>
      <c r="AR167" s="4"/>
      <c r="AS167" s="4"/>
      <c r="AT167" s="4"/>
      <c r="AU167" s="16"/>
      <c r="AV167" s="16"/>
      <c r="AY167" s="21" t="e">
        <f>-Y167*W167*X167^(-Parameters!B$52)*Parameters!B$46*Parameters!B$45*N167</f>
        <v>#NUM!</v>
      </c>
      <c r="AZ167" s="7">
        <f>1000*EXP(-(Parameters!$B$54)*'6states,BAU'!A167)*AQ167*Parameters!B$46*Parameters!B$45*N167</f>
        <v>4.4089046560167974E-2</v>
      </c>
      <c r="BA167" s="93">
        <f>SUM(AZ167:AZ$204)*EXP(Parameters!$B$54*A167)</f>
        <v>92.765643424497242</v>
      </c>
      <c r="BB167" s="43">
        <f t="shared" si="72"/>
        <v>24.45090471265112</v>
      </c>
      <c r="BC167" s="30">
        <f>IF(C167&lt;0,Parameters!$B$6*AC167^2/AF167,0)</f>
        <v>0</v>
      </c>
      <c r="BD167" s="30">
        <f>Parameters!$B$5*AD167^2/AG167</f>
        <v>0.57339006641475443</v>
      </c>
      <c r="BE167" s="30">
        <f t="shared" si="68"/>
        <v>0</v>
      </c>
      <c r="BF167" s="30">
        <f t="shared" si="69"/>
        <v>7.2148522909015522E-2</v>
      </c>
      <c r="BH167" s="5"/>
      <c r="BI167" s="5"/>
      <c r="BJ167" s="5"/>
      <c r="BM167">
        <f>-EXP(-Parameters!B$42*'6states,BAU'!A167)*(-Parameters!B$37/Parameters!B$38/Parameters!E$25*(EXP(-Parameters!B$38*Parameters!E$25*'6states,BAU'!I167/('6states,BAU'!F167+'6states,BAU'!I167))-EXP(-Parameters!B$38*Parameters!E$25))+Parameters!B$37*'6states,BAU'!F167/('6states,BAU'!F167+'6states,BAU'!I167)*EXP(-Parameters!B$38*Parameters!E$25*'6states,BAU'!I167/('6states,BAU'!F167+'6states,BAU'!I167)))</f>
        <v>-1.170821488797255</v>
      </c>
    </row>
    <row r="168" spans="1:65" x14ac:dyDescent="0.3">
      <c r="A168">
        <f>A167+Parameters!$B$65</f>
        <v>164</v>
      </c>
      <c r="B168">
        <v>2189</v>
      </c>
      <c r="C168" s="74">
        <v>7.1153823034738203E-2</v>
      </c>
      <c r="D168" s="69">
        <v>2.68807832159353E-3</v>
      </c>
      <c r="E168" s="75">
        <v>0.36299561135605601</v>
      </c>
      <c r="F168" s="7">
        <f>MAX((1-Parameters!$B$4)^Parameters!B$65*F167 + C167*Parameters!B$65 - IF(C167&gt;0,Parameters!$B$5,0)*C167^2/F167*Parameters!B$65, 0.0001)</f>
        <v>0.9613601588099655</v>
      </c>
      <c r="G168" s="7">
        <f>(1-Parameters!$B$4)^Parameters!B$65*G167+D167*Parameters!B$65-Parameters!$B$5*D167^2/G167*Parameters!B$65</f>
        <v>3.7022251791298304E-2</v>
      </c>
      <c r="H168" s="7">
        <f>(1-Parameters!$B$4)^Parameters!B$65*H167+E167*Parameters!B$65-Parameters!$B$5*E167^2/H167*Parameters!B$65</f>
        <v>4.8950048395211256</v>
      </c>
      <c r="I168" s="7">
        <f>I167 *(1-Parameters!$B$4)-C167*(C167&lt;0)*Parameters!B$65</f>
        <v>0</v>
      </c>
      <c r="J168" s="23">
        <f>J167*(1+Parameters!$B$51)^Parameters!B$65</f>
        <v>13.120237419467228</v>
      </c>
      <c r="K168" s="23">
        <f>K167*(1+Parameters!$B$53)^Parameters!B$65</f>
        <v>232.91685486088417</v>
      </c>
      <c r="L168" s="23">
        <f>J168*K168*EXP(-Parameters!$B$42*'6states,BAU'!A168)*(Parameters!$B$37/Parameters!$B$38*('6states,BAU'!F168+'6states,BAU'!I168)/Parameters!$E$25*(EXP(-Parameters!$B$38*Parameters!$E$25*'6states,BAU'!I168/('6states,BAU'!F168+'6states,BAU'!I168))-EXP(-Parameters!$B$38*Parameters!$E$25))  +  Parameters!$B$39*'6states,BAU'!F168)</f>
        <v>518.97761322481961</v>
      </c>
      <c r="M168" s="8">
        <f>M167+L168*Parameters!B$65</f>
        <v>35775.185994736887</v>
      </c>
      <c r="N168" s="7">
        <f>M168*Parameters!$B$45</f>
        <v>21.465111596842132</v>
      </c>
      <c r="O168" s="9">
        <f>EXP(-Parameters!$B$46/2*N168^2)</f>
        <v>9.7494177915537477E-3</v>
      </c>
      <c r="P168" s="7">
        <f>MAX((Parameters!$B$62 + Parameters!$B$31*'6states,BAU'!A168 - '6states,BAU'!M168 + Parameters!$B$47/Parameters!$B$45)/Parameters!B$62,1)</f>
        <v>1</v>
      </c>
      <c r="Q168" s="8"/>
      <c r="R168" s="8"/>
      <c r="S168" s="7">
        <f>Parameters!B$61*EXP(-Parameters!B$60*A168)+(1-Parameters!B$61)*P168^-Parameters!B$63</f>
        <v>0.50596917124850427</v>
      </c>
      <c r="T168" s="7">
        <f>1-S168/Parameters!$B$12</f>
        <v>0.74701541437574792</v>
      </c>
      <c r="U168" s="7">
        <f t="shared" si="59"/>
        <v>3.9528100003897477</v>
      </c>
      <c r="V168" s="7">
        <f>(Parameters!$B$19*(F168+Parameters!$B$20)^T168+Parameters!$B$18*G168^T168)^(1/T168)</f>
        <v>0.6288096575412756</v>
      </c>
      <c r="W168" s="7">
        <f>(Parameters!$B$10*H168^Parameters!$B$9+Parameters!$B$11*V168^Parameters!$B$9)^(Parameters!$B$7/Parameters!$B$9)*O168</f>
        <v>1.5481440287467842E-2</v>
      </c>
      <c r="X168" s="7">
        <f>W168 - D168 - E168 - LN(1+EXP(Parameters!$B$21*C168))/Parameters!$B$21 - IF(C168&gt;0, 0,Parameters!$B$6*C168^2/F168)</f>
        <v>-0.42135607242670786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-431.35607242670784</v>
      </c>
      <c r="AC168" s="23">
        <f t="shared" si="60"/>
        <v>217.44070643918468</v>
      </c>
      <c r="AD168" s="23">
        <f t="shared" si="60"/>
        <v>8.2145642255342466</v>
      </c>
      <c r="AE168" s="23">
        <f t="shared" si="61"/>
        <v>0</v>
      </c>
      <c r="AF168" s="23">
        <f t="shared" si="62"/>
        <v>2937.8439999221159</v>
      </c>
      <c r="AG168" s="23">
        <f t="shared" si="63"/>
        <v>113.13720387925032</v>
      </c>
      <c r="AH168" s="23">
        <f t="shared" si="64"/>
        <v>1921.5947972999852</v>
      </c>
      <c r="AI168" s="23">
        <f t="shared" si="65"/>
        <v>4729.1910938185529</v>
      </c>
      <c r="AJ168" s="23">
        <f t="shared" si="66"/>
        <v>47.310111659911712</v>
      </c>
      <c r="AK168" s="23">
        <f t="shared" si="67"/>
        <v>-1287.6323174676588</v>
      </c>
      <c r="AL168" s="9">
        <f t="shared" si="70"/>
        <v>-0.10907711888415683</v>
      </c>
      <c r="AM168" s="9" t="e">
        <f t="shared" si="70"/>
        <v>#NUM!</v>
      </c>
      <c r="AN168" s="9">
        <f t="shared" ref="AN168:AO183" si="74">AVERAGE(AL166:AL170)</f>
        <v>-0.10925553507296248</v>
      </c>
      <c r="AO168" s="9" t="e">
        <f t="shared" si="74"/>
        <v>#NUM!</v>
      </c>
      <c r="AP168" s="23"/>
      <c r="AQ168" s="25">
        <f t="shared" si="57"/>
        <v>47.310111659911712</v>
      </c>
      <c r="AR168" s="4"/>
      <c r="AS168" s="4"/>
      <c r="AT168" s="4"/>
      <c r="AU168" s="16"/>
      <c r="AV168" s="16"/>
      <c r="AY168" s="21" t="e">
        <f>-Y168*W168*X168^(-Parameters!B$52)*Parameters!B$46*Parameters!B$45*N168</f>
        <v>#NUM!</v>
      </c>
      <c r="AZ168" s="7">
        <f>1000*EXP(-(Parameters!$B$54)*'6states,BAU'!A168)*AQ168*Parameters!B$46*Parameters!B$45*N168</f>
        <v>3.8731264487970284E-2</v>
      </c>
      <c r="BA168" s="93">
        <f>SUM(AZ168:AZ$204)*EXP(Parameters!$B$54*A168)</f>
        <v>82.138230003791847</v>
      </c>
      <c r="BB168" s="43">
        <f t="shared" si="72"/>
        <v>28.216852217942911</v>
      </c>
      <c r="BC168" s="30">
        <f>IF(C168&lt;0,Parameters!$B$6*AC168^2/AF168,0)</f>
        <v>0</v>
      </c>
      <c r="BD168" s="30">
        <f>Parameters!$B$5*AD168^2/AG168</f>
        <v>0.59643568253150814</v>
      </c>
      <c r="BE168" s="30">
        <f t="shared" si="68"/>
        <v>0</v>
      </c>
      <c r="BF168" s="30">
        <f t="shared" si="69"/>
        <v>7.2607099555876686E-2</v>
      </c>
    </row>
    <row r="169" spans="1:65" x14ac:dyDescent="0.3">
      <c r="A169">
        <f>A168+Parameters!$B$65</f>
        <v>165</v>
      </c>
      <c r="B169">
        <v>2190</v>
      </c>
      <c r="C169" s="74">
        <v>7.2284914446932802E-2</v>
      </c>
      <c r="D169" s="69">
        <v>2.7167627689996801E-3</v>
      </c>
      <c r="E169" s="75">
        <v>0.36719222089519699</v>
      </c>
      <c r="F169" s="7">
        <f>MAX((1-Parameters!$B$4)^Parameters!B$65*F168 + C168*Parameters!B$65 - IF(C168&gt;0,Parameters!$B$5,0)*C168^2/F168*Parameters!B$65, 0.0001)</f>
        <v>0.96677807009560357</v>
      </c>
      <c r="G169" s="7">
        <f>(1-Parameters!$B$4)^Parameters!B$65*G168+D168*Parameters!B$65-Parameters!$B$5*D168^2/G168*Parameters!B$65</f>
        <v>3.7186456904909237E-2</v>
      </c>
      <c r="H169" s="7">
        <f>(1-Parameters!$B$4)^Parameters!B$65*H168+E168*Parameters!B$65-Parameters!$B$5*E168^2/H168*Parameters!B$65</f>
        <v>4.9231862228571099</v>
      </c>
      <c r="I169" s="7">
        <f>I168 *(1-Parameters!$B$4)-C168*(C168&lt;0)*Parameters!B$65</f>
        <v>0</v>
      </c>
      <c r="J169" s="23">
        <f>J168*(1+Parameters!$B$51)^Parameters!B$65</f>
        <v>13.158286107983683</v>
      </c>
      <c r="K169" s="23">
        <f>K168*(1+Parameters!$B$53)^Parameters!B$65</f>
        <v>237.57519195810187</v>
      </c>
      <c r="L169" s="23">
        <f>J169*K169*EXP(-Parameters!$B$42*'6states,BAU'!A169)*(Parameters!$B$37/Parameters!$B$38*('6states,BAU'!F169+'6states,BAU'!I169)/Parameters!$E$25*(EXP(-Parameters!$B$38*Parameters!$E$25*'6states,BAU'!I169/('6states,BAU'!F169+'6states,BAU'!I169))-EXP(-Parameters!$B$38*Parameters!$E$25))  +  Parameters!$B$39*'6states,BAU'!F169)</f>
        <v>528.5719996518817</v>
      </c>
      <c r="M169" s="8">
        <f>M168+L169*Parameters!B$65</f>
        <v>36303.757994388769</v>
      </c>
      <c r="N169" s="7">
        <f>M169*Parameters!$B$45</f>
        <v>21.782254796633261</v>
      </c>
      <c r="O169" s="9">
        <f>EXP(-Parameters!$B$46/2*N169^2)</f>
        <v>8.4940482089826946E-3</v>
      </c>
      <c r="P169" s="7">
        <f>MAX((Parameters!$B$62 + Parameters!$B$31*'6states,BAU'!A169 - '6states,BAU'!M169 + Parameters!$B$47/Parameters!$B$45)/Parameters!B$62,1)</f>
        <v>1</v>
      </c>
      <c r="Q169" s="8"/>
      <c r="R169" s="8"/>
      <c r="S169" s="7">
        <f>Parameters!B$61*EXP(-Parameters!B$60*A169)+(1-Parameters!B$61)*P169^-Parameters!B$63</f>
        <v>0.50581015993731548</v>
      </c>
      <c r="T169" s="7">
        <f>1-S169/Parameters!$B$12</f>
        <v>0.74709492003134226</v>
      </c>
      <c r="U169" s="7">
        <f t="shared" si="59"/>
        <v>3.9540526434816137</v>
      </c>
      <c r="V169" s="7">
        <f>(Parameters!$B$19*(F169+Parameters!$B$20)^T169+Parameters!$B$18*G169^T169)^(1/T169)</f>
        <v>0.6323118473706697</v>
      </c>
      <c r="W169" s="7">
        <f>(Parameters!$B$10*H169^Parameters!$B$9+Parameters!$B$11*V169^Parameters!$B$9)^(Parameters!$B$7/Parameters!$B$9)*O169</f>
        <v>1.3511115106240939E-2</v>
      </c>
      <c r="X169" s="7">
        <f>W169 - D169 - E169 - LN(1+EXP(Parameters!$B$21*C169))/Parameters!$B$21 - IF(C169&gt;0, 0,Parameters!$B$6*C169^2/F169)</f>
        <v>-0.42868278300616203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-438.68278300616203</v>
      </c>
      <c r="AC169" s="23">
        <f t="shared" si="60"/>
        <v>225.96859507518789</v>
      </c>
      <c r="AD169" s="23">
        <f t="shared" si="60"/>
        <v>8.4928241357209515</v>
      </c>
      <c r="AE169" s="23">
        <f t="shared" si="61"/>
        <v>0</v>
      </c>
      <c r="AF169" s="23">
        <f t="shared" si="62"/>
        <v>3022.2278593050873</v>
      </c>
      <c r="AG169" s="23">
        <f t="shared" si="63"/>
        <v>116.24792651301141</v>
      </c>
      <c r="AH169" s="23">
        <f t="shared" si="64"/>
        <v>1976.6589044612156</v>
      </c>
      <c r="AI169" s="23">
        <f t="shared" si="65"/>
        <v>4864.7080537634174</v>
      </c>
      <c r="AJ169" s="23">
        <f t="shared" si="66"/>
        <v>42.236858434657279</v>
      </c>
      <c r="AK169" s="23">
        <f t="shared" si="67"/>
        <v>-1340.0976808230064</v>
      </c>
      <c r="AL169" s="9">
        <f t="shared" si="70"/>
        <v>-0.11343078736336354</v>
      </c>
      <c r="AM169" s="9" t="e">
        <f t="shared" si="70"/>
        <v>#NUM!</v>
      </c>
      <c r="AN169" s="9">
        <f t="shared" si="74"/>
        <v>-0.11364933609297942</v>
      </c>
      <c r="AO169" s="9" t="e">
        <f t="shared" si="74"/>
        <v>#NUM!</v>
      </c>
      <c r="AP169" s="23"/>
      <c r="AQ169" s="25">
        <f t="shared" si="57"/>
        <v>42.236858434657272</v>
      </c>
      <c r="AR169" s="4"/>
      <c r="AS169" s="4"/>
      <c r="AT169" s="4"/>
      <c r="AU169" s="16"/>
      <c r="AV169" s="16"/>
      <c r="AY169" s="21" t="e">
        <f>-Y169*W169*X169^(-Parameters!B$52)*Parameters!B$46*Parameters!B$45*N169</f>
        <v>#NUM!</v>
      </c>
      <c r="AZ169" s="7">
        <f>1000*EXP(-(Parameters!$B$54)*'6states,BAU'!A169)*AQ169*Parameters!B$46*Parameters!B$45*N169</f>
        <v>3.387858459534325E-2</v>
      </c>
      <c r="BA169" s="93">
        <f>SUM(AZ169:AZ$204)*EXP(Parameters!$B$54*A169)</f>
        <v>72.387836024178711</v>
      </c>
      <c r="BB169" s="43">
        <f t="shared" si="72"/>
        <v>32.728157123528248</v>
      </c>
      <c r="BC169" s="30">
        <f>IF(C169&lt;0,Parameters!$B$6*AC169^2/AF169,0)</f>
        <v>0</v>
      </c>
      <c r="BD169" s="30">
        <f>Parameters!$B$5*AD169^2/AG169</f>
        <v>0.62046751252987875</v>
      </c>
      <c r="BE169" s="30">
        <f t="shared" si="68"/>
        <v>0</v>
      </c>
      <c r="BF169" s="30">
        <f t="shared" si="69"/>
        <v>7.3057854797697108E-2</v>
      </c>
    </row>
    <row r="170" spans="1:65" x14ac:dyDescent="0.3">
      <c r="A170">
        <f>A169+Parameters!$B$65</f>
        <v>166</v>
      </c>
      <c r="B170">
        <v>2191</v>
      </c>
      <c r="C170" s="74">
        <v>7.3129396358037002E-2</v>
      </c>
      <c r="D170" s="69">
        <v>2.7504232328600898E-3</v>
      </c>
      <c r="E170" s="75">
        <v>0.37195756530870799</v>
      </c>
      <c r="F170" s="7">
        <f>MAX((1-Parameters!$B$4)^Parameters!B$65*F169 + C169*Parameters!B$65 - IF(C169&gt;0,Parameters!$B$5,0)*C169^2/F169*Parameters!B$65, 0.0001)</f>
        <v>0.97284798176934728</v>
      </c>
      <c r="G170" s="7">
        <f>(1-Parameters!$B$4)^Parameters!B$65*G169+D169*Parameters!B$65-Parameters!$B$5*D169^2/G169*Parameters!B$65</f>
        <v>3.7365710674692756E-2</v>
      </c>
      <c r="H170" s="7">
        <f>(1-Parameters!$B$4)^Parameters!B$65*H169+E169*Parameters!B$65-Parameters!$B$5*E169^2/H169*Parameters!B$65</f>
        <v>4.9533232687979378</v>
      </c>
      <c r="I170" s="7">
        <f>I169 *(1-Parameters!$B$4)-C169*(C169&lt;0)*Parameters!B$65</f>
        <v>0</v>
      </c>
      <c r="J170" s="23">
        <f>J169*(1+Parameters!$B$51)^Parameters!B$65</f>
        <v>13.196445137696834</v>
      </c>
      <c r="K170" s="23">
        <f>K169*(1+Parameters!$B$53)^Parameters!B$65</f>
        <v>242.32669579726391</v>
      </c>
      <c r="L170" s="23">
        <f>J170*K170*EXP(-Parameters!$B$42*'6states,BAU'!A170)*(Parameters!$B$37/Parameters!$B$38*('6states,BAU'!F170+'6states,BAU'!I170)/Parameters!$E$25*(EXP(-Parameters!$B$38*Parameters!$E$25*'6states,BAU'!I170/('6states,BAU'!F170+'6states,BAU'!I170))-EXP(-Parameters!$B$38*Parameters!$E$25))  +  Parameters!$B$39*'6states,BAU'!F170)</f>
        <v>538.68787857201016</v>
      </c>
      <c r="M170" s="8">
        <f>M169+L170*Parameters!B$65</f>
        <v>36842.44587296078</v>
      </c>
      <c r="N170" s="7">
        <f>M170*Parameters!$B$45</f>
        <v>22.105467523776465</v>
      </c>
      <c r="O170" s="9">
        <f>EXP(-Parameters!$B$46/2*N170^2)</f>
        <v>7.36549126113173E-3</v>
      </c>
      <c r="P170" s="7">
        <f>MAX((Parameters!$B$62 + Parameters!$B$31*'6states,BAU'!A170 - '6states,BAU'!M170 + Parameters!$B$47/Parameters!$B$45)/Parameters!B$62,1)</f>
        <v>1</v>
      </c>
      <c r="Q170" s="8"/>
      <c r="R170" s="8"/>
      <c r="S170" s="7">
        <f>Parameters!B$61*EXP(-Parameters!B$60*A170)+(1-Parameters!B$61)*P170^-Parameters!B$63</f>
        <v>0.50565538449004033</v>
      </c>
      <c r="T170" s="7">
        <f>1-S170/Parameters!$B$12</f>
        <v>0.74717230775497989</v>
      </c>
      <c r="U170" s="7">
        <f t="shared" si="59"/>
        <v>3.9552629346902437</v>
      </c>
      <c r="V170" s="7">
        <f>(Parameters!$B$19*(F170+Parameters!$B$20)^T170+Parameters!$B$18*G170^T170)^(1/T170)</f>
        <v>0.63622970871926254</v>
      </c>
      <c r="W170" s="7">
        <f>(Parameters!$B$10*H170^Parameters!$B$9+Parameters!$B$11*V170^Parameters!$B$9)^(Parameters!$B$7/Parameters!$B$9)*O170</f>
        <v>1.1737482663496317E-2</v>
      </c>
      <c r="X170" s="7">
        <f>W170 - D170 - E170 - LN(1+EXP(Parameters!$B$21*C170))/Parameters!$B$21 - IF(C170&gt;0, 0,Parameters!$B$6*C170^2/F170)</f>
        <v>-0.43609990223709727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-446.0999022370973</v>
      </c>
      <c r="AC170" s="23">
        <f t="shared" si="60"/>
        <v>233.85690935964058</v>
      </c>
      <c r="AD170" s="23">
        <f t="shared" si="60"/>
        <v>8.7954435384440668</v>
      </c>
      <c r="AE170" s="23">
        <f t="shared" si="61"/>
        <v>0</v>
      </c>
      <c r="AF170" s="23">
        <f t="shared" si="62"/>
        <v>3111.0228392899926</v>
      </c>
      <c r="AG170" s="23">
        <f t="shared" si="63"/>
        <v>119.48997324726086</v>
      </c>
      <c r="AH170" s="23">
        <f t="shared" si="64"/>
        <v>2034.567776211642</v>
      </c>
      <c r="AI170" s="23">
        <f t="shared" si="65"/>
        <v>5007.2261959440675</v>
      </c>
      <c r="AJ170" s="23">
        <f t="shared" si="66"/>
        <v>37.534720044847518</v>
      </c>
      <c r="AK170" s="23">
        <f t="shared" si="67"/>
        <v>-1394.5824851322011</v>
      </c>
      <c r="AL170" s="9">
        <f t="shared" si="70"/>
        <v>-0.11802688996490085</v>
      </c>
      <c r="AM170" s="9" t="e">
        <f t="shared" si="70"/>
        <v>#NUM!</v>
      </c>
      <c r="AN170" s="9">
        <f t="shared" si="74"/>
        <v>-0.11825551951704201</v>
      </c>
      <c r="AO170" s="9" t="e">
        <f t="shared" si="74"/>
        <v>#NUM!</v>
      </c>
      <c r="AP170" s="23"/>
      <c r="AQ170" s="25">
        <f t="shared" si="57"/>
        <v>37.534720044847518</v>
      </c>
      <c r="AR170" s="4"/>
      <c r="AS170" s="4"/>
      <c r="AT170" s="4"/>
      <c r="AU170" s="16"/>
      <c r="AV170" s="16"/>
      <c r="AY170" s="21" t="e">
        <f>-Y170*W170*X170^(-Parameters!B$52)*Parameters!B$46*Parameters!B$45*N170</f>
        <v>#NUM!</v>
      </c>
      <c r="AZ170" s="7">
        <f>1000*EXP(-(Parameters!$B$54)*'6states,BAU'!A170)*AQ170*Parameters!B$46*Parameters!B$45*N170</f>
        <v>2.9499860690485217E-2</v>
      </c>
      <c r="BA170" s="93">
        <f>SUM(AZ170:AZ$204)*EXP(Parameters!$B$54*A170)</f>
        <v>63.482034750179686</v>
      </c>
      <c r="BB170" s="43">
        <f t="shared" si="72"/>
        <v>38.154466143952966</v>
      </c>
      <c r="BC170" s="30">
        <f>IF(C170&lt;0,Parameters!$B$6*AC170^2/AF170,0)</f>
        <v>0</v>
      </c>
      <c r="BD170" s="30">
        <f>Parameters!$B$5*AD170^2/AG170</f>
        <v>0.64741689143972458</v>
      </c>
      <c r="BE170" s="30">
        <f t="shared" si="68"/>
        <v>0</v>
      </c>
      <c r="BF170" s="30">
        <f t="shared" si="69"/>
        <v>7.3608214140642877E-2</v>
      </c>
    </row>
    <row r="171" spans="1:65" x14ac:dyDescent="0.3">
      <c r="A171">
        <f>A170+Parameters!$B$65</f>
        <v>167</v>
      </c>
      <c r="B171">
        <v>2192</v>
      </c>
      <c r="C171" s="74">
        <v>7.4173206979919998E-2</v>
      </c>
      <c r="D171" s="69">
        <v>2.78466856187544E-3</v>
      </c>
      <c r="E171" s="75">
        <v>0.37703160447808498</v>
      </c>
      <c r="F171" s="7">
        <f>MAX((1-Parameters!$B$4)^Parameters!B$65*F170 + C170*Parameters!B$65 - IF(C170&gt;0,Parameters!$B$5,0)*C170^2/F170*Parameters!B$65, 0.0001)</f>
        <v>0.97928807226174364</v>
      </c>
      <c r="G171" s="7">
        <f>(1-Parameters!$B$4)^Parameters!B$65*G170+D170*Parameters!B$65-Parameters!$B$5*D170^2/G170*Parameters!B$65</f>
        <v>3.7563376963812907E-2</v>
      </c>
      <c r="H171" s="7">
        <f>(1-Parameters!$B$4)^Parameters!B$65*H170+E170*Parameters!B$65-Parameters!$B$5*E170^2/H170*Parameters!B$65</f>
        <v>4.985785566682579</v>
      </c>
      <c r="I171" s="7">
        <f>I170 *(1-Parameters!$B$4)-C170*(C170&lt;0)*Parameters!B$65</f>
        <v>0</v>
      </c>
      <c r="J171" s="23">
        <f>J170*(1+Parameters!$B$51)^Parameters!B$65</f>
        <v>13.234714828596154</v>
      </c>
      <c r="K171" s="23">
        <f>K170*(1+Parameters!$B$53)^Parameters!B$65</f>
        <v>247.1732297132092</v>
      </c>
      <c r="L171" s="23">
        <f>J171*K171*EXP(-Parameters!$B$42*'6states,BAU'!A171)*(Parameters!$B$37/Parameters!$B$38*('6states,BAU'!F171+'6states,BAU'!I171)/Parameters!$E$25*(EXP(-Parameters!$B$38*Parameters!$E$25*'6states,BAU'!I171/('6states,BAU'!F171+'6states,BAU'!I171))-EXP(-Parameters!$B$38*Parameters!$E$25))  +  Parameters!$B$39*'6states,BAU'!F171)</f>
        <v>549.18358032971969</v>
      </c>
      <c r="M171" s="8">
        <f>M170+L171*Parameters!B$65</f>
        <v>37391.629453290501</v>
      </c>
      <c r="N171" s="7">
        <f>M171*Parameters!$B$45</f>
        <v>22.434977671974298</v>
      </c>
      <c r="O171" s="9">
        <f>EXP(-Parameters!$B$46/2*N171^2)</f>
        <v>6.3554113836733961E-3</v>
      </c>
      <c r="P171" s="7">
        <f>MAX((Parameters!$B$62 + Parameters!$B$31*'6states,BAU'!A171 - '6states,BAU'!M171 + Parameters!$B$47/Parameters!$B$45)/Parameters!B$62,1)</f>
        <v>1</v>
      </c>
      <c r="Q171" s="8"/>
      <c r="R171" s="8"/>
      <c r="S171" s="7">
        <f>Parameters!B$61*EXP(-Parameters!B$60*A171)+(1-Parameters!B$61)*P171^-Parameters!B$63</f>
        <v>0.5055047320685232</v>
      </c>
      <c r="T171" s="7">
        <f>1-S171/Parameters!$B$12</f>
        <v>0.74724763396573834</v>
      </c>
      <c r="U171" s="7">
        <f t="shared" si="59"/>
        <v>3.9564416970262735</v>
      </c>
      <c r="V171" s="7">
        <f>(Parameters!$B$19*(F171+Parameters!$B$20)^T171+Parameters!$B$18*G171^T171)^(1/T171)</f>
        <v>0.64038960705312953</v>
      </c>
      <c r="W171" s="7">
        <f>(Parameters!$B$10*H171^Parameters!$B$9+Parameters!$B$11*V171^Parameters!$B$9)^(Parameters!$B$7/Parameters!$B$9)*O171</f>
        <v>1.0147700763193095E-2</v>
      </c>
      <c r="X171" s="7">
        <f>W171 - D171 - E171 - LN(1+EXP(Parameters!$B$21*C171))/Parameters!$B$21 - IF(C171&gt;0, 0,Parameters!$B$6*C171^2/F171)</f>
        <v>-0.44384177925741003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-453.84177925741005</v>
      </c>
      <c r="AC171" s="23">
        <f t="shared" si="60"/>
        <v>242.64037974398721</v>
      </c>
      <c r="AD171" s="23">
        <f t="shared" si="60"/>
        <v>9.1093949530524689</v>
      </c>
      <c r="AE171" s="23">
        <f t="shared" si="61"/>
        <v>0</v>
      </c>
      <c r="AF171" s="23">
        <f t="shared" si="62"/>
        <v>3203.5129584820729</v>
      </c>
      <c r="AG171" s="23">
        <f t="shared" si="63"/>
        <v>122.87984330289956</v>
      </c>
      <c r="AH171" s="23">
        <f t="shared" si="64"/>
        <v>2094.8855222282541</v>
      </c>
      <c r="AI171" s="23">
        <f t="shared" si="65"/>
        <v>5155.6727610897369</v>
      </c>
      <c r="AJ171" s="23">
        <f t="shared" si="66"/>
        <v>33.195840748480698</v>
      </c>
      <c r="AK171" s="23">
        <f t="shared" si="67"/>
        <v>-1451.9250582547897</v>
      </c>
      <c r="AL171" s="9">
        <f t="shared" si="70"/>
        <v>-0.12284178307349736</v>
      </c>
      <c r="AM171" s="9" t="e">
        <f t="shared" si="70"/>
        <v>#NUM!</v>
      </c>
      <c r="AN171" s="9">
        <f t="shared" si="74"/>
        <v>-0.12308466512994354</v>
      </c>
      <c r="AO171" s="9" t="e">
        <f t="shared" si="74"/>
        <v>#NUM!</v>
      </c>
      <c r="AP171" s="23"/>
      <c r="AQ171" s="25">
        <f t="shared" si="57"/>
        <v>33.195840748480698</v>
      </c>
      <c r="AR171" s="4"/>
      <c r="AS171" s="4"/>
      <c r="AT171" s="4"/>
      <c r="AU171" s="16"/>
      <c r="AV171" s="16"/>
      <c r="AY171" s="21" t="e">
        <f>-Y171*W171*X171^(-Parameters!B$52)*Parameters!B$46*Parameters!B$45*N171</f>
        <v>#NUM!</v>
      </c>
      <c r="AZ171" s="7">
        <f>1000*EXP(-(Parameters!$B$54)*'6states,BAU'!A171)*AQ171*Parameters!B$46*Parameters!B$45*N171</f>
        <v>2.5565403837565316E-2</v>
      </c>
      <c r="BA171" s="93">
        <f>SUM(AZ171:AZ$204)*EXP(Parameters!$B$54*A171)</f>
        <v>55.385903914312607</v>
      </c>
      <c r="BB171" s="43">
        <f t="shared" si="72"/>
        <v>44.738161935810496</v>
      </c>
      <c r="BC171" s="30">
        <f>IF(C171&lt;0,Parameters!$B$6*AC171^2/AF171,0)</f>
        <v>0</v>
      </c>
      <c r="BD171" s="30">
        <f>Parameters!$B$5*AD171^2/AG171</f>
        <v>0.67530258975142843</v>
      </c>
      <c r="BE171" s="30">
        <f t="shared" si="68"/>
        <v>0</v>
      </c>
      <c r="BF171" s="30">
        <f t="shared" si="69"/>
        <v>7.4132540441134473E-2</v>
      </c>
    </row>
    <row r="172" spans="1:65" x14ac:dyDescent="0.3">
      <c r="A172">
        <f>A171+Parameters!$B$65</f>
        <v>168</v>
      </c>
      <c r="B172">
        <v>2193</v>
      </c>
      <c r="C172" s="74">
        <v>7.52353306648849E-2</v>
      </c>
      <c r="D172" s="69">
        <v>2.82272102717104E-3</v>
      </c>
      <c r="E172" s="75">
        <v>0.38246975546195999</v>
      </c>
      <c r="F172" s="7">
        <f>MAX((1-Parameters!$B$4)^Parameters!B$65*F171 + C171*Parameters!B$65 - IF(C171&gt;0,Parameters!$B$5,0)*C171^2/F171*Parameters!B$65, 0.0001)</f>
        <v>0.98624603473992611</v>
      </c>
      <c r="G172" s="7">
        <f>(1-Parameters!$B$4)^Parameters!B$65*G171+D171*Parameters!B$65-Parameters!$B$5*D171^2/G171*Parameters!B$65</f>
        <v>3.7778874559886128E-2</v>
      </c>
      <c r="H172" s="7">
        <f>(1-Parameters!$B$4)^Parameters!B$65*H171+E171*Parameters!B$65-Parameters!$B$5*E171^2/H171*Parameters!B$65</f>
        <v>5.0206996375528528</v>
      </c>
      <c r="I172" s="7">
        <f>I171 *(1-Parameters!$B$4)-C171*(C171&lt;0)*Parameters!B$65</f>
        <v>0</v>
      </c>
      <c r="J172" s="23">
        <f>J171*(1+Parameters!$B$51)^Parameters!B$65</f>
        <v>13.273095501599082</v>
      </c>
      <c r="K172" s="23">
        <f>K171*(1+Parameters!$B$53)^Parameters!B$65</f>
        <v>252.11669430747338</v>
      </c>
      <c r="L172" s="23">
        <f>J172*K172*EXP(-Parameters!$B$42*'6states,BAU'!A172)*(Parameters!$B$37/Parameters!$B$38*('6states,BAU'!F172+'6states,BAU'!I172)/Parameters!$E$25*(EXP(-Parameters!$B$38*Parameters!$E$25*'6states,BAU'!I172/('6states,BAU'!F172+'6states,BAU'!I172))-EXP(-Parameters!$B$38*Parameters!$E$25))  +  Parameters!$B$39*'6states,BAU'!F172)</f>
        <v>560.15369825441996</v>
      </c>
      <c r="M172" s="8">
        <f>M171+L172*Parameters!B$65</f>
        <v>37951.783151544922</v>
      </c>
      <c r="N172" s="7">
        <f>M172*Parameters!$B$45</f>
        <v>22.771069890926952</v>
      </c>
      <c r="O172" s="9">
        <f>EXP(-Parameters!$B$46/2*N172^2)</f>
        <v>5.4554382653409081E-3</v>
      </c>
      <c r="P172" s="7">
        <f>MAX((Parameters!$B$62 + Parameters!$B$31*'6states,BAU'!A172 - '6states,BAU'!M172 + Parameters!$B$47/Parameters!$B$45)/Parameters!B$62,1)</f>
        <v>1</v>
      </c>
      <c r="Q172" s="8"/>
      <c r="R172" s="8"/>
      <c r="S172" s="7">
        <f>Parameters!B$61*EXP(-Parameters!B$60*A172)+(1-Parameters!B$61)*P172^-Parameters!B$63</f>
        <v>0.5053580928404765</v>
      </c>
      <c r="T172" s="7">
        <f>1-S172/Parameters!$B$12</f>
        <v>0.7473209535797618</v>
      </c>
      <c r="U172" s="7">
        <f t="shared" si="59"/>
        <v>3.9575897335660737</v>
      </c>
      <c r="V172" s="7">
        <f>(Parameters!$B$19*(F172+Parameters!$B$20)^T172+Parameters!$B$18*G172^T172)^(1/T172)</f>
        <v>0.64488332677493676</v>
      </c>
      <c r="W172" s="7">
        <f>(Parameters!$B$10*H172^Parameters!$B$9+Parameters!$B$11*V172^Parameters!$B$9)^(Parameters!$B$7/Parameters!$B$9)*O172</f>
        <v>8.7289728491202288E-3</v>
      </c>
      <c r="X172" s="7">
        <f>W172 - D172 - E172 - LN(1+EXP(Parameters!$B$21*C172))/Parameters!$B$21 - IF(C172&gt;0, 0,Parameters!$B$6*C172^2/F172)</f>
        <v>-0.45179883430542123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-461.79883430542122</v>
      </c>
      <c r="AC172" s="23">
        <f t="shared" si="60"/>
        <v>251.76517531435533</v>
      </c>
      <c r="AD172" s="23">
        <f t="shared" si="60"/>
        <v>9.4458660311428204</v>
      </c>
      <c r="AE172" s="23">
        <f t="shared" si="61"/>
        <v>0</v>
      </c>
      <c r="AF172" s="23">
        <f t="shared" si="62"/>
        <v>3300.3431186523271</v>
      </c>
      <c r="AG172" s="23">
        <f t="shared" si="63"/>
        <v>126.42205321213656</v>
      </c>
      <c r="AH172" s="23">
        <f t="shared" si="64"/>
        <v>2158.0175482444665</v>
      </c>
      <c r="AI172" s="23">
        <f t="shared" si="65"/>
        <v>5311.0454835753008</v>
      </c>
      <c r="AJ172" s="23">
        <f t="shared" si="66"/>
        <v>29.21036380449813</v>
      </c>
      <c r="AK172" s="23">
        <f t="shared" si="67"/>
        <v>-1511.8855957765566</v>
      </c>
      <c r="AL172" s="9">
        <f t="shared" si="70"/>
        <v>-0.12790101829929146</v>
      </c>
      <c r="AM172" s="9" t="e">
        <f t="shared" si="70"/>
        <v>#NUM!</v>
      </c>
      <c r="AN172" s="9">
        <f t="shared" si="74"/>
        <v>-0.12815784087487286</v>
      </c>
      <c r="AO172" s="9" t="e">
        <f t="shared" si="74"/>
        <v>#NUM!</v>
      </c>
      <c r="AP172" s="23"/>
      <c r="AQ172" s="25">
        <f t="shared" si="57"/>
        <v>29.21036380449813</v>
      </c>
      <c r="AR172" s="4"/>
      <c r="AS172" s="4"/>
      <c r="AT172" s="4"/>
      <c r="AU172" s="16"/>
      <c r="AV172" s="16"/>
      <c r="AY172" s="21" t="e">
        <f>-Y172*W172*X172^(-Parameters!B$52)*Parameters!B$46*Parameters!B$45*N172</f>
        <v>#NUM!</v>
      </c>
      <c r="AZ172" s="7">
        <f>1000*EXP(-(Parameters!$B$54)*'6states,BAU'!A172)*AQ172*Parameters!B$46*Parameters!B$45*N172</f>
        <v>2.2045502839868645E-2</v>
      </c>
      <c r="BA172" s="93">
        <f>SUM(AZ172:AZ$204)*EXP(Parameters!$B$54*A172)</f>
        <v>48.061955287993463</v>
      </c>
      <c r="BB172" s="43">
        <f t="shared" si="72"/>
        <v>52.758533577112843</v>
      </c>
      <c r="BC172" s="30">
        <f>IF(C172&lt;0,Parameters!$B$6*AC172^2/AF172,0)</f>
        <v>0</v>
      </c>
      <c r="BD172" s="30">
        <f>Parameters!$B$5*AD172^2/AG172</f>
        <v>0.70576598632343868</v>
      </c>
      <c r="BE172" s="30">
        <f t="shared" si="68"/>
        <v>0</v>
      </c>
      <c r="BF172" s="30">
        <f t="shared" si="69"/>
        <v>7.4716916796886926E-2</v>
      </c>
    </row>
    <row r="173" spans="1:65" x14ac:dyDescent="0.3">
      <c r="A173">
        <f>A172+Parameters!$B$65</f>
        <v>169</v>
      </c>
      <c r="B173">
        <v>2194</v>
      </c>
      <c r="C173" s="74">
        <v>7.6206725956410898E-2</v>
      </c>
      <c r="D173" s="69">
        <v>2.8608537336222099E-3</v>
      </c>
      <c r="E173" s="75">
        <v>0.38859459041727701</v>
      </c>
      <c r="F173" s="7">
        <f>MAX((1-Parameters!$B$4)^Parameters!B$65*F172 + C172*Parameters!B$65 - IF(C172&gt;0,Parameters!$B$5,0)*C172^2/F172*Parameters!B$65, 0.0001)</f>
        <v>0.99370719680264152</v>
      </c>
      <c r="G173" s="7">
        <f>(1-Parameters!$B$4)^Parameters!B$65*G172+D172*Parameters!B$65-Parameters!$B$5*D172^2/G172*Parameters!B$65</f>
        <v>3.8014399365112375E-2</v>
      </c>
      <c r="H173" s="7">
        <f>(1-Parameters!$B$4)^Parameters!B$65*H172+E172*Parameters!B$65-Parameters!$B$5*E172^2/H172*Parameters!B$65</f>
        <v>5.0582313839796491</v>
      </c>
      <c r="I173" s="7">
        <f>I172 *(1-Parameters!$B$4)-C172*(C172&lt;0)*Parameters!B$65</f>
        <v>0</v>
      </c>
      <c r="J173" s="23">
        <f>J172*(1+Parameters!$B$51)^Parameters!B$65</f>
        <v>13.311587478553719</v>
      </c>
      <c r="K173" s="23">
        <f>K172*(1+Parameters!$B$53)^Parameters!B$65</f>
        <v>257.15902819362287</v>
      </c>
      <c r="L173" s="23">
        <f>J173*K173*EXP(-Parameters!$B$42*'6states,BAU'!A173)*(Parameters!$B$37/Parameters!$B$38*('6states,BAU'!F173+'6states,BAU'!I173)/Parameters!$E$25*(EXP(-Parameters!$B$38*Parameters!$E$25*'6states,BAU'!I173/('6states,BAU'!F173+'6states,BAU'!I173))-EXP(-Parameters!$B$38*Parameters!$E$25))  +  Parameters!$B$39*'6states,BAU'!F173)</f>
        <v>571.60396270178137</v>
      </c>
      <c r="M173" s="8">
        <f>M172+L173*Parameters!B$65</f>
        <v>38523.387114246703</v>
      </c>
      <c r="N173" s="7">
        <f>M173*Parameters!$B$45</f>
        <v>23.114032268548019</v>
      </c>
      <c r="O173" s="9">
        <f>EXP(-Parameters!$B$46/2*N173^2)</f>
        <v>4.6574005820109732E-3</v>
      </c>
      <c r="P173" s="7">
        <f>MAX((Parameters!$B$62 + Parameters!$B$31*'6states,BAU'!A173 - '6states,BAU'!M173 + Parameters!$B$47/Parameters!$B$45)/Parameters!B$62,1)</f>
        <v>1</v>
      </c>
      <c r="Q173" s="8"/>
      <c r="R173" s="8"/>
      <c r="S173" s="7">
        <f>Parameters!B$61*EXP(-Parameters!B$60*A173)+(1-Parameters!B$61)*P173^-Parameters!B$63</f>
        <v>0.50521535989940891</v>
      </c>
      <c r="T173" s="7">
        <f>1-S173/Parameters!$B$12</f>
        <v>0.74739232005029554</v>
      </c>
      <c r="U173" s="7">
        <f t="shared" si="59"/>
        <v>3.9587078278819763</v>
      </c>
      <c r="V173" s="7">
        <f>(Parameters!$B$19*(F173+Parameters!$B$20)^T173+Parameters!$B$18*G173^T173)^(1/T173)</f>
        <v>0.6497031166563858</v>
      </c>
      <c r="W173" s="7">
        <f>(Parameters!$B$10*H173^Parameters!$B$9+Parameters!$B$11*V173^Parameters!$B$9)^(Parameters!$B$7/Parameters!$B$9)*O173</f>
        <v>7.468740879444556E-3</v>
      </c>
      <c r="X173" s="7">
        <f>W173 - D173 - E173 - LN(1+EXP(Parameters!$B$21*C173))/Parameters!$B$21 - IF(C173&gt;0, 0,Parameters!$B$6*C173^2/F173)</f>
        <v>-0.46019342922825823</v>
      </c>
      <c r="Y173" s="7">
        <f>EXP(-Parameters!$B$55*A173)</f>
        <v>7.79334516839401E-2</v>
      </c>
      <c r="Z173" s="7">
        <f>IF(X173&gt;0,X173^(1-Parameters!$B$52)/(1-Parameters!$B$52)*Y173*Parameters!$B$65,-10+X173*1000)</f>
        <v>-470.19342922825825</v>
      </c>
      <c r="AC173" s="23">
        <f t="shared" si="60"/>
        <v>260.87047561676593</v>
      </c>
      <c r="AD173" s="23">
        <f t="shared" si="60"/>
        <v>9.7932599097211721</v>
      </c>
      <c r="AE173" s="23">
        <f t="shared" si="61"/>
        <v>0</v>
      </c>
      <c r="AF173" s="23">
        <f t="shared" si="62"/>
        <v>3401.6534078892641</v>
      </c>
      <c r="AG173" s="23">
        <f t="shared" si="63"/>
        <v>130.13069802178396</v>
      </c>
      <c r="AH173" s="23">
        <f t="shared" si="64"/>
        <v>2224.0603952568617</v>
      </c>
      <c r="AI173" s="23">
        <f t="shared" si="65"/>
        <v>5473.5819581433479</v>
      </c>
      <c r="AJ173" s="23">
        <f t="shared" si="66"/>
        <v>25.566955685690065</v>
      </c>
      <c r="AK173" s="23">
        <f t="shared" si="67"/>
        <v>-1575.3317998092921</v>
      </c>
      <c r="AL173" s="9">
        <f t="shared" si="70"/>
        <v>-0.13322284694866449</v>
      </c>
      <c r="AM173" s="9" t="e">
        <f t="shared" si="70"/>
        <v>#NUM!</v>
      </c>
      <c r="AN173" s="9">
        <f t="shared" si="74"/>
        <v>-0.13349288747461641</v>
      </c>
      <c r="AO173" s="9" t="e">
        <f t="shared" si="74"/>
        <v>#NUM!</v>
      </c>
      <c r="AP173" s="23"/>
      <c r="AQ173" s="25">
        <f t="shared" si="57"/>
        <v>25.566955685690068</v>
      </c>
      <c r="AR173" s="4"/>
      <c r="AS173" s="4"/>
      <c r="AT173" s="4"/>
      <c r="AU173" s="16"/>
      <c r="AV173" s="16"/>
      <c r="AY173" s="21" t="e">
        <f>-Y173*W173*X173^(-Parameters!B$52)*Parameters!B$46*Parameters!B$45*N173</f>
        <v>#NUM!</v>
      </c>
      <c r="AZ173" s="7">
        <f>1000*EXP(-(Parameters!$B$54)*'6states,BAU'!A173)*AQ173*Parameters!B$46*Parameters!B$45*N173</f>
        <v>1.8910830609885458E-2</v>
      </c>
      <c r="BA173" s="93">
        <f>SUM(AZ173:AZ$204)*EXP(Parameters!$B$54*A173)</f>
        <v>41.470599619891622</v>
      </c>
      <c r="BB173" s="43">
        <f t="shared" si="72"/>
        <v>62.615931876068757</v>
      </c>
      <c r="BC173" s="30">
        <f>IF(C173&lt;0,Parameters!$B$6*AC173^2/AF173,0)</f>
        <v>0</v>
      </c>
      <c r="BD173" s="30">
        <f>Parameters!$B$5*AD173^2/AG173</f>
        <v>0.73701241226952374</v>
      </c>
      <c r="BE173" s="30">
        <f t="shared" si="68"/>
        <v>0</v>
      </c>
      <c r="BF173" s="30">
        <f t="shared" si="69"/>
        <v>7.5257107343586011E-2</v>
      </c>
    </row>
    <row r="174" spans="1:65" x14ac:dyDescent="0.3">
      <c r="A174">
        <f>A173+Parameters!$B$65</f>
        <v>170</v>
      </c>
      <c r="B174">
        <v>2195</v>
      </c>
      <c r="C174" s="74">
        <v>7.7522197654572605E-2</v>
      </c>
      <c r="D174" s="69">
        <v>2.90797231266013E-3</v>
      </c>
      <c r="E174" s="75">
        <v>0.39450174538052601</v>
      </c>
      <c r="F174" s="7">
        <f>MAX((1-Parameters!$B$4)^Parameters!B$65*F173 + C173*Parameters!B$65 - IF(C173&gt;0,Parameters!$B$5,0)*C173^2/F173*Parameters!B$65, 0.0001)</f>
        <v>1.0015654983360371</v>
      </c>
      <c r="G174" s="7">
        <f>(1-Parameters!$B$4)^Parameters!B$65*G173+D173*Parameters!B$65-Parameters!$B$5*D173^2/G173*Parameters!B$65</f>
        <v>3.8268847802143513E-2</v>
      </c>
      <c r="H174" s="7">
        <f>(1-Parameters!$B$4)^Parameters!B$65*H173+E173*Parameters!B$65-Parameters!$B$5*E173^2/H173*Parameters!B$65</f>
        <v>5.0988097509719257</v>
      </c>
      <c r="I174" s="7">
        <f>I173 *(1-Parameters!$B$4)-C173*(C173&lt;0)*Parameters!B$65</f>
        <v>0</v>
      </c>
      <c r="J174" s="23">
        <f>J173*(1+Parameters!$B$51)^Parameters!B$65</f>
        <v>13.350191082241523</v>
      </c>
      <c r="K174" s="23">
        <f>K173*(1+Parameters!$B$53)^Parameters!B$65</f>
        <v>262.30220875749535</v>
      </c>
      <c r="L174" s="23">
        <f>J174*K174*EXP(-Parameters!$B$42*'6states,BAU'!A174)*(Parameters!$B$37/Parameters!$B$38*('6states,BAU'!F174+'6states,BAU'!I174)/Parameters!$E$25*(EXP(-Parameters!$B$38*Parameters!$E$25*'6states,BAU'!I174/('6states,BAU'!F174+'6states,BAU'!I174))-EXP(-Parameters!$B$38*Parameters!$E$25))  +  Parameters!$B$39*'6states,BAU'!F174)</f>
        <v>583.48676515852492</v>
      </c>
      <c r="M174" s="8">
        <f>M173+L174*Parameters!B$65</f>
        <v>39106.873879405226</v>
      </c>
      <c r="N174" s="7">
        <f>M174*Parameters!$B$45</f>
        <v>23.464124327643134</v>
      </c>
      <c r="O174" s="9">
        <f>EXP(-Parameters!$B$46/2*N174^2)</f>
        <v>3.9533990103152467E-3</v>
      </c>
      <c r="P174" s="7">
        <f>MAX((Parameters!$B$62 + Parameters!$B$31*'6states,BAU'!A174 - '6states,BAU'!M174 + Parameters!$B$47/Parameters!$B$45)/Parameters!B$62,1)</f>
        <v>1</v>
      </c>
      <c r="Q174" s="8"/>
      <c r="R174" s="8"/>
      <c r="S174" s="7">
        <f>Parameters!B$61*EXP(-Parameters!B$60*A174)+(1-Parameters!B$61)*P174^-Parameters!B$63</f>
        <v>0.50507642918668483</v>
      </c>
      <c r="T174" s="7">
        <f>1-S174/Parameters!$B$12</f>
        <v>0.74746178540665764</v>
      </c>
      <c r="U174" s="7">
        <f t="shared" si="59"/>
        <v>3.9597967444661064</v>
      </c>
      <c r="V174" s="7">
        <f>(Parameters!$B$19*(F174+Parameters!$B$20)^T174+Parameters!$B$18*G174^T174)^(1/T174)</f>
        <v>0.65478216682692747</v>
      </c>
      <c r="W174" s="7">
        <f>(Parameters!$B$10*H174^Parameters!$B$9+Parameters!$B$11*V174^Parameters!$B$9)^(Parameters!$B$7/Parameters!$B$9)*O174</f>
        <v>6.3549328078673058E-3</v>
      </c>
      <c r="X174" s="7">
        <f>W174 - D174 - E174 - LN(1+EXP(Parameters!$B$21*C174))/Parameters!$B$21 - IF(C174&gt;0, 0,Parameters!$B$6*C174^2/F174)</f>
        <v>-0.46857698254015612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-478.57698254015611</v>
      </c>
      <c r="AC174" s="23">
        <f t="shared" si="60"/>
        <v>271.46603854112971</v>
      </c>
      <c r="AD174" s="23">
        <f t="shared" si="60"/>
        <v>10.183092685564102</v>
      </c>
      <c r="AE174" s="23">
        <f t="shared" si="61"/>
        <v>0</v>
      </c>
      <c r="AF174" s="23">
        <f t="shared" si="62"/>
        <v>3507.2666461838762</v>
      </c>
      <c r="AG174" s="23">
        <f t="shared" si="63"/>
        <v>134.00926220734593</v>
      </c>
      <c r="AH174" s="23">
        <f t="shared" si="64"/>
        <v>2292.9061135226802</v>
      </c>
      <c r="AI174" s="23">
        <f t="shared" si="65"/>
        <v>5643.0165122583594</v>
      </c>
      <c r="AJ174" s="23">
        <f t="shared" si="66"/>
        <v>22.253605892776683</v>
      </c>
      <c r="AK174" s="23">
        <f t="shared" si="67"/>
        <v>-1640.8556652189968</v>
      </c>
      <c r="AL174" s="9">
        <f t="shared" si="70"/>
        <v>-0.13879666608801022</v>
      </c>
      <c r="AM174" s="9" t="e">
        <f t="shared" si="70"/>
        <v>#NUM!</v>
      </c>
      <c r="AN174" s="9">
        <f t="shared" si="74"/>
        <v>-0.13911837314569003</v>
      </c>
      <c r="AO174" s="9" t="e">
        <f t="shared" si="74"/>
        <v>#NUM!</v>
      </c>
      <c r="AP174" s="23"/>
      <c r="AQ174" s="25">
        <f t="shared" si="57"/>
        <v>22.253605892776683</v>
      </c>
      <c r="AR174" s="4"/>
      <c r="AS174" s="4"/>
      <c r="AT174" s="4"/>
      <c r="AU174" s="16"/>
      <c r="AV174" s="16"/>
      <c r="AY174" s="21" t="e">
        <f>-Y174*W174*X174^(-Parameters!B$52)*Parameters!B$46*Parameters!B$45*N174</f>
        <v>#NUM!</v>
      </c>
      <c r="AZ174" s="7">
        <f>1000*EXP(-(Parameters!$B$54)*'6states,BAU'!A174)*AQ174*Parameters!B$46*Parameters!B$45*N174</f>
        <v>1.6133064790410837E-2</v>
      </c>
      <c r="BA174" s="93">
        <f>SUM(AZ174:AZ$204)*EXP(Parameters!$B$54*A174)</f>
        <v>35.570545680433796</v>
      </c>
      <c r="BB174" s="43">
        <f t="shared" si="72"/>
        <v>74.734372448407413</v>
      </c>
      <c r="BC174" s="30">
        <f>IF(C174&lt;0,Parameters!$B$6*AC174^2/AF174,0)</f>
        <v>0</v>
      </c>
      <c r="BD174" s="30">
        <f>Parameters!$B$5*AD174^2/AG174</f>
        <v>0.77379260906866543</v>
      </c>
      <c r="BE174" s="30">
        <f t="shared" si="68"/>
        <v>0</v>
      </c>
      <c r="BF174" s="30">
        <f t="shared" si="69"/>
        <v>7.5987976635587345E-2</v>
      </c>
    </row>
    <row r="175" spans="1:65" x14ac:dyDescent="0.3">
      <c r="A175">
        <f>A174+Parameters!$B$65</f>
        <v>171</v>
      </c>
      <c r="B175">
        <v>2196</v>
      </c>
      <c r="C175" s="74">
        <v>7.9046341543362306E-2</v>
      </c>
      <c r="D175" s="69">
        <v>2.9591526207986101E-3</v>
      </c>
      <c r="E175" s="75">
        <v>0.40064639707827898</v>
      </c>
      <c r="F175" s="7">
        <f>MAX((1-Parameters!$B$4)^Parameters!B$65*F174 + C174*Parameters!B$65 - IF(C174&gt;0,Parameters!$B$5,0)*C174^2/F174*Parameters!B$65, 0.0001)</f>
        <v>1.0100889284721015</v>
      </c>
      <c r="G175" s="7">
        <f>(1-Parameters!$B$4)^Parameters!B$65*G174+D174*Parameters!B$65-Parameters!$B$5*D174^2/G174*Parameters!B$65</f>
        <v>3.8548738655897467E-2</v>
      </c>
      <c r="H175" s="7">
        <f>(1-Parameters!$B$4)^Parameters!B$65*H174+E174*Parameters!B$65-Parameters!$B$5*E174^2/H174*Parameters!B$65</f>
        <v>5.1420732341471505</v>
      </c>
      <c r="I175" s="7">
        <f>I174 *(1-Parameters!$B$4)-C174*(C174&lt;0)*Parameters!B$65</f>
        <v>0</v>
      </c>
      <c r="J175" s="23">
        <f>J174*(1+Parameters!$B$51)^Parameters!B$65</f>
        <v>13.388906636380021</v>
      </c>
      <c r="K175" s="23">
        <f>K174*(1+Parameters!$B$53)^Parameters!B$65</f>
        <v>267.54825293264525</v>
      </c>
      <c r="L175" s="23">
        <f>J175*K175*EXP(-Parameters!$B$42*'6states,BAU'!A175)*(Parameters!$B$37/Parameters!$B$38*('6states,BAU'!F175+'6states,BAU'!I175)/Parameters!$E$25*(EXP(-Parameters!$B$38*Parameters!$E$25*'6states,BAU'!I175/('6states,BAU'!F175+'6states,BAU'!I175))-EXP(-Parameters!$B$38*Parameters!$E$25))  +  Parameters!$B$39*'6states,BAU'!F175)</f>
        <v>595.97236635058039</v>
      </c>
      <c r="M175" s="8">
        <f>M174+L175*Parameters!B$65</f>
        <v>39702.846245755805</v>
      </c>
      <c r="N175" s="7">
        <f>M175*Parameters!$B$45</f>
        <v>23.82170774745348</v>
      </c>
      <c r="O175" s="9">
        <f>EXP(-Parameters!$B$46/2*N175^2)</f>
        <v>3.3355713730040884E-3</v>
      </c>
      <c r="P175" s="7">
        <f>MAX((Parameters!$B$62 + Parameters!$B$31*'6states,BAU'!A175 - '6states,BAU'!M175 + Parameters!$B$47/Parameters!$B$45)/Parameters!B$62,1)</f>
        <v>1</v>
      </c>
      <c r="Q175" s="8"/>
      <c r="R175" s="8"/>
      <c r="S175" s="7">
        <f>Parameters!B$61*EXP(-Parameters!B$60*A175)+(1-Parameters!B$61)*P175^-Parameters!B$63</f>
        <v>0.50494119941566196</v>
      </c>
      <c r="T175" s="7">
        <f>1-S175/Parameters!$B$12</f>
        <v>0.74752940029216908</v>
      </c>
      <c r="U175" s="7">
        <f t="shared" si="59"/>
        <v>3.9608572291476314</v>
      </c>
      <c r="V175" s="7">
        <f>(Parameters!$B$19*(F175+Parameters!$B$20)^T175+Parameters!$B$18*G175^T175)^(1/T175)</f>
        <v>0.66029172241703149</v>
      </c>
      <c r="W175" s="7">
        <f>(Parameters!$B$10*H175^Parameters!$B$9+Parameters!$B$11*V175^Parameters!$B$9)^(Parameters!$B$7/Parameters!$B$9)*O175</f>
        <v>5.3753881109792579E-3</v>
      </c>
      <c r="X175" s="7">
        <f>W175 - D175 - E175 - LN(1+EXP(Parameters!$B$21*C175))/Parameters!$B$21 - IF(C175&gt;0, 0,Parameters!$B$6*C175^2/F175)</f>
        <v>-0.47727650313162817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-487.27650313162815</v>
      </c>
      <c r="AC175" s="23">
        <f t="shared" si="60"/>
        <v>283.1581114440616</v>
      </c>
      <c r="AD175" s="23">
        <f t="shared" si="60"/>
        <v>10.600213130931939</v>
      </c>
      <c r="AE175" s="23">
        <f t="shared" si="61"/>
        <v>0</v>
      </c>
      <c r="AF175" s="23">
        <f t="shared" si="62"/>
        <v>3618.3189227020389</v>
      </c>
      <c r="AG175" s="23">
        <f t="shared" si="63"/>
        <v>138.08846586994525</v>
      </c>
      <c r="AH175" s="23">
        <f t="shared" si="64"/>
        <v>2365.2828640929461</v>
      </c>
      <c r="AI175" s="23">
        <f t="shared" si="65"/>
        <v>5821.1412057043281</v>
      </c>
      <c r="AJ175" s="23">
        <f t="shared" si="66"/>
        <v>19.255600146260807</v>
      </c>
      <c r="AK175" s="23">
        <f t="shared" si="67"/>
        <v>-1709.6896658935382</v>
      </c>
      <c r="AL175" s="9">
        <f t="shared" si="70"/>
        <v>-0.14470212296361851</v>
      </c>
      <c r="AM175" s="9" t="e">
        <f t="shared" si="70"/>
        <v>#NUM!</v>
      </c>
      <c r="AN175" s="9">
        <f t="shared" si="74"/>
        <v>-0.14504998556368226</v>
      </c>
      <c r="AO175" s="9" t="e">
        <f t="shared" si="74"/>
        <v>#NUM!</v>
      </c>
      <c r="AP175" s="23"/>
      <c r="AQ175" s="25">
        <f t="shared" si="57"/>
        <v>19.255600146260804</v>
      </c>
      <c r="AR175" s="4"/>
      <c r="AS175" s="4"/>
      <c r="AT175" s="4"/>
      <c r="AU175" s="16"/>
      <c r="AV175" s="16"/>
      <c r="AY175" s="21" t="e">
        <f>-Y175*W175*X175^(-Parameters!B$52)*Parameters!B$46*Parameters!B$45*N175</f>
        <v>#NUM!</v>
      </c>
      <c r="AZ175" s="7">
        <f>1000*EXP(-(Parameters!$B$54)*'6states,BAU'!A175)*AQ175*Parameters!B$46*Parameters!B$45*N175</f>
        <v>1.3683536318719474E-2</v>
      </c>
      <c r="BA175" s="93">
        <f>SUM(AZ175:AZ$204)*EXP(Parameters!$B$54*A175)</f>
        <v>30.319016934286761</v>
      </c>
      <c r="BB175" s="43">
        <f t="shared" si="72"/>
        <v>89.789217313745382</v>
      </c>
      <c r="BC175" s="30">
        <f>IF(C175&lt;0,Parameters!$B$6*AC175^2/AF175,0)</f>
        <v>0</v>
      </c>
      <c r="BD175" s="30">
        <f>Parameters!$B$5*AD175^2/AG175</f>
        <v>0.81371400365189994</v>
      </c>
      <c r="BE175" s="30">
        <f t="shared" si="68"/>
        <v>0</v>
      </c>
      <c r="BF175" s="30">
        <f t="shared" si="69"/>
        <v>7.6763928573987131E-2</v>
      </c>
    </row>
    <row r="176" spans="1:65" x14ac:dyDescent="0.3">
      <c r="A176">
        <f>A175+Parameters!$B$65</f>
        <v>172</v>
      </c>
      <c r="B176">
        <v>2197</v>
      </c>
      <c r="C176" s="74">
        <v>8.0322190979677993E-2</v>
      </c>
      <c r="D176" s="69">
        <v>3.00800985259418E-3</v>
      </c>
      <c r="E176" s="75">
        <v>0.40790483962500601</v>
      </c>
      <c r="F176" s="7">
        <f>MAX((1-Parameters!$B$4)^Parameters!B$65*F175 + C175*Parameters!B$65 - IF(C175&gt;0,Parameters!$B$5,0)*C175^2/F175*Parameters!B$65, 0.0001)</f>
        <v>1.0194147615557241</v>
      </c>
      <c r="G176" s="7">
        <f>(1-Parameters!$B$4)^Parameters!B$65*G175+D175*Parameters!B$65-Parameters!$B$5*D175^2/G175*Parameters!B$65</f>
        <v>3.8856019434817625E-2</v>
      </c>
      <c r="H176" s="7">
        <f>(1-Parameters!$B$4)^Parameters!B$65*H175+E175*Parameters!B$65-Parameters!$B$5*E175^2/H175*Parameters!B$65</f>
        <v>5.188066723557208</v>
      </c>
      <c r="I176" s="7">
        <f>I175 *(1-Parameters!$B$4)-C175*(C175&lt;0)*Parameters!B$65</f>
        <v>0</v>
      </c>
      <c r="J176" s="23">
        <f>J175*(1+Parameters!$B$51)^Parameters!B$65</f>
        <v>13.427734465625521</v>
      </c>
      <c r="K176" s="23">
        <f>K175*(1+Parameters!$B$53)^Parameters!B$65</f>
        <v>272.89921799129814</v>
      </c>
      <c r="L176" s="23">
        <f>J176*K176*EXP(-Parameters!$B$42*'6states,BAU'!A176)*(Parameters!$B$37/Parameters!$B$38*('6states,BAU'!F176+'6states,BAU'!I176)/Parameters!$E$25*(EXP(-Parameters!$B$38*Parameters!$E$25*'6states,BAU'!I176/('6states,BAU'!F176+'6states,BAU'!I176))-EXP(-Parameters!$B$38*Parameters!$E$25))  +  Parameters!$B$39*'6states,BAU'!F176)</f>
        <v>609.16127723482271</v>
      </c>
      <c r="M176" s="8">
        <f>M175+L176*Parameters!B$65</f>
        <v>40312.007522990629</v>
      </c>
      <c r="N176" s="7">
        <f>M176*Parameters!$B$45</f>
        <v>24.187204513794374</v>
      </c>
      <c r="O176" s="9">
        <f>EXP(-Parameters!$B$46/2*N176^2)</f>
        <v>2.7962958033113509E-3</v>
      </c>
      <c r="P176" s="7">
        <f>MAX((Parameters!$B$62 + Parameters!$B$31*'6states,BAU'!A176 - '6states,BAU'!M176 + Parameters!$B$47/Parameters!$B$45)/Parameters!B$62,1)</f>
        <v>1</v>
      </c>
      <c r="Q176" s="8"/>
      <c r="R176" s="8"/>
      <c r="S176" s="7">
        <f>Parameters!B$61*EXP(-Parameters!B$60*A176)+(1-Parameters!B$61)*P176^-Parameters!B$63</f>
        <v>0.50480957199784804</v>
      </c>
      <c r="T176" s="7">
        <f>1-S176/Parameters!$B$12</f>
        <v>0.74759521400107598</v>
      </c>
      <c r="U176" s="7">
        <f t="shared" si="59"/>
        <v>3.9618900095034761</v>
      </c>
      <c r="V176" s="7">
        <f>(Parameters!$B$19*(F176+Parameters!$B$20)^T176+Parameters!$B$18*G176^T176)^(1/T176)</f>
        <v>0.6663186627435399</v>
      </c>
      <c r="W176" s="7">
        <f>(Parameters!$B$10*H176^Parameters!$B$9+Parameters!$B$11*V176^Parameters!$B$9)^(Parameters!$B$7/Parameters!$B$9)*O176</f>
        <v>4.5184234387500438E-3</v>
      </c>
      <c r="X176" s="7">
        <f>W176 - D176 - E176 - LN(1+EXP(Parameters!$B$21*C176))/Parameters!$B$21 - IF(C176&gt;0, 0,Parameters!$B$6*C176^2/F176)</f>
        <v>-0.48671661701864233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-496.71661701864235</v>
      </c>
      <c r="AC176" s="23">
        <f t="shared" si="60"/>
        <v>294.3341013062257</v>
      </c>
      <c r="AD176" s="23">
        <f t="shared" si="60"/>
        <v>11.022606155098307</v>
      </c>
      <c r="AE176" s="23">
        <f t="shared" si="61"/>
        <v>0</v>
      </c>
      <c r="AF176" s="23">
        <f t="shared" si="62"/>
        <v>3735.5620413382217</v>
      </c>
      <c r="AG176" s="23">
        <f t="shared" si="63"/>
        <v>142.38470615894713</v>
      </c>
      <c r="AH176" s="23">
        <f t="shared" si="64"/>
        <v>2441.6702581208915</v>
      </c>
      <c r="AI176" s="23">
        <f t="shared" si="65"/>
        <v>6009.1363980438155</v>
      </c>
      <c r="AJ176" s="23">
        <f t="shared" si="66"/>
        <v>16.557393242696275</v>
      </c>
      <c r="AK176" s="23">
        <f t="shared" si="67"/>
        <v>-1783.5332467117771</v>
      </c>
      <c r="AL176" s="9">
        <f t="shared" si="70"/>
        <v>-0.15096921142886544</v>
      </c>
      <c r="AM176" s="9" t="e">
        <f t="shared" si="70"/>
        <v>#NUM!</v>
      </c>
      <c r="AN176" s="9">
        <f t="shared" si="74"/>
        <v>-0.15130938225537668</v>
      </c>
      <c r="AO176" s="9" t="e">
        <f t="shared" si="74"/>
        <v>#NUM!</v>
      </c>
      <c r="AP176" s="23"/>
      <c r="AQ176" s="25">
        <f t="shared" si="57"/>
        <v>16.557393242696275</v>
      </c>
      <c r="AR176" s="4"/>
      <c r="AS176" s="4"/>
      <c r="AT176" s="4"/>
      <c r="AU176" s="16"/>
      <c r="AV176" s="16"/>
      <c r="AY176" s="21" t="e">
        <f>-Y176*W176*X176^(-Parameters!B$52)*Parameters!B$46*Parameters!B$45*N176</f>
        <v>#NUM!</v>
      </c>
      <c r="AZ176" s="7">
        <f>1000*EXP(-(Parameters!$B$54)*'6states,BAU'!A176)*AQ176*Parameters!B$46*Parameters!B$45*N176</f>
        <v>1.1534593716661509E-2</v>
      </c>
      <c r="BA176" s="93">
        <f>SUM(AZ176:AZ$204)*EXP(Parameters!$B$54*A176)</f>
        <v>25.672555188506635</v>
      </c>
      <c r="BB176" s="43">
        <f t="shared" si="72"/>
        <v>108.71823925231125</v>
      </c>
      <c r="BC176" s="30">
        <f>IF(C176&lt;0,Parameters!$B$6*AC176^2/AF176,0)</f>
        <v>0</v>
      </c>
      <c r="BD176" s="30">
        <f>Parameters!$B$5*AD176^2/AG176</f>
        <v>0.85330685947955964</v>
      </c>
      <c r="BE176" s="30">
        <f t="shared" si="68"/>
        <v>0</v>
      </c>
      <c r="BF176" s="30">
        <f t="shared" si="69"/>
        <v>7.7414256435614184E-2</v>
      </c>
    </row>
    <row r="177" spans="1:58" x14ac:dyDescent="0.3">
      <c r="A177">
        <f>A176+Parameters!$B$65</f>
        <v>173</v>
      </c>
      <c r="B177">
        <v>2198</v>
      </c>
      <c r="C177" s="74">
        <v>8.1731350975789693E-2</v>
      </c>
      <c r="D177" s="69">
        <v>3.0602335860184498E-3</v>
      </c>
      <c r="E177" s="75">
        <v>0.41560323036761498</v>
      </c>
      <c r="F177" s="7">
        <f>MAX((1-Parameters!$B$4)^Parameters!B$65*F176 + C176*Parameters!B$65 - IF(C176&gt;0,Parameters!$B$5,0)*C176^2/F176*Parameters!B$65, 0.0001)</f>
        <v>1.0292869814741008</v>
      </c>
      <c r="G177" s="7">
        <f>(1-Parameters!$B$4)^Parameters!B$65*G176+D176*Parameters!B$65-Parameters!$B$5*D176^2/G176*Parameters!B$65</f>
        <v>3.9187122818872197E-2</v>
      </c>
      <c r="H177" s="7">
        <f>(1-Parameters!$B$4)^Parameters!B$65*H176+E176*Parameters!B$65-Parameters!$B$5*E176^2/H176*Parameters!B$65</f>
        <v>5.2375711912704723</v>
      </c>
      <c r="I177" s="7">
        <f>I176 *(1-Parameters!$B$4)-C176*(C176&lt;0)*Parameters!B$65</f>
        <v>0</v>
      </c>
      <c r="J177" s="23">
        <f>J176*(1+Parameters!$B$51)^Parameters!B$65</f>
        <v>13.466674895575833</v>
      </c>
      <c r="K177" s="23">
        <f>K176*(1+Parameters!$B$53)^Parameters!B$65</f>
        <v>278.3572023511241</v>
      </c>
      <c r="L177" s="23">
        <f>J177*K177*EXP(-Parameters!$B$42*'6states,BAU'!A177)*(Parameters!$B$37/Parameters!$B$38*('6states,BAU'!F177+'6states,BAU'!I177)/Parameters!$E$25*(EXP(-Parameters!$B$38*Parameters!$E$25*'6states,BAU'!I177/('6states,BAU'!F177+'6states,BAU'!I177))-EXP(-Parameters!$B$38*Parameters!$E$25))  +  Parameters!$B$39*'6states,BAU'!F177)</f>
        <v>622.92062202078421</v>
      </c>
      <c r="M177" s="8">
        <f>M176+L177*Parameters!B$65</f>
        <v>40934.928145011414</v>
      </c>
      <c r="N177" s="7">
        <f>M177*Parameters!$B$45</f>
        <v>24.560956887006846</v>
      </c>
      <c r="O177" s="9">
        <f>EXP(-Parameters!$B$46/2*N177^2)</f>
        <v>2.3284136918526291E-3</v>
      </c>
      <c r="P177" s="7">
        <f>MAX((Parameters!$B$62 + Parameters!$B$31*'6states,BAU'!A177 - '6states,BAU'!M177 + Parameters!$B$47/Parameters!$B$45)/Parameters!B$62,1)</f>
        <v>1</v>
      </c>
      <c r="Q177" s="8"/>
      <c r="R177" s="8"/>
      <c r="S177" s="7">
        <f>Parameters!B$61*EXP(-Parameters!B$60*A177)+(1-Parameters!B$61)*P177^-Parameters!B$63</f>
        <v>0.50468145097102612</v>
      </c>
      <c r="T177" s="7">
        <f>1-S177/Parameters!$B$12</f>
        <v>0.74765927451448699</v>
      </c>
      <c r="U177" s="7">
        <f t="shared" si="59"/>
        <v>3.962895795262388</v>
      </c>
      <c r="V177" s="7">
        <f>(Parameters!$B$19*(F177+Parameters!$B$20)^T177+Parameters!$B$18*G177^T177)^(1/T177)</f>
        <v>0.67270110738934863</v>
      </c>
      <c r="W177" s="7">
        <f>(Parameters!$B$10*H177^Parameters!$B$9+Parameters!$B$11*V177^Parameters!$B$9)^(Parameters!$B$7/Parameters!$B$9)*O177</f>
        <v>3.7731327533937833E-3</v>
      </c>
      <c r="X177" s="7">
        <f>W177 - D177 - E177 - LN(1+EXP(Parameters!$B$21*C177))/Parameters!$B$21 - IF(C177&gt;0, 0,Parameters!$B$6*C177^2/F177)</f>
        <v>-0.4966216821761042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-506.62168217610417</v>
      </c>
      <c r="AC177" s="23">
        <f t="shared" si="60"/>
        <v>306.37372459879685</v>
      </c>
      <c r="AD177" s="23">
        <f t="shared" si="60"/>
        <v>11.471426211571274</v>
      </c>
      <c r="AE177" s="23">
        <f t="shared" si="61"/>
        <v>0</v>
      </c>
      <c r="AF177" s="23">
        <f t="shared" si="62"/>
        <v>3858.3295446649904</v>
      </c>
      <c r="AG177" s="23">
        <f t="shared" si="63"/>
        <v>146.89473049191059</v>
      </c>
      <c r="AH177" s="23">
        <f t="shared" si="64"/>
        <v>2521.6510109279843</v>
      </c>
      <c r="AI177" s="23">
        <f t="shared" si="65"/>
        <v>6205.9751199136263</v>
      </c>
      <c r="AJ177" s="23">
        <f t="shared" si="66"/>
        <v>14.143761497413546</v>
      </c>
      <c r="AK177" s="23">
        <f t="shared" si="67"/>
        <v>-1861.6091948594258</v>
      </c>
      <c r="AL177" s="9">
        <f t="shared" si="70"/>
        <v>-0.15755908038925259</v>
      </c>
      <c r="AM177" s="9" t="e">
        <f t="shared" si="70"/>
        <v>#NUM!</v>
      </c>
      <c r="AN177" s="9">
        <f t="shared" si="74"/>
        <v>-0.15792978543670441</v>
      </c>
      <c r="AO177" s="9" t="e">
        <f t="shared" si="74"/>
        <v>#NUM!</v>
      </c>
      <c r="AP177" s="23"/>
      <c r="AQ177" s="25">
        <f t="shared" si="57"/>
        <v>14.143761497413545</v>
      </c>
      <c r="AR177" s="4"/>
      <c r="AS177" s="4"/>
      <c r="AT177" s="4"/>
      <c r="AU177" s="16"/>
      <c r="AV177" s="16"/>
      <c r="AY177" s="21" t="e">
        <f>-Y177*W177*X177^(-Parameters!B$52)*Parameters!B$46*Parameters!B$45*N177</f>
        <v>#NUM!</v>
      </c>
      <c r="AZ177" s="7">
        <f>1000*EXP(-(Parameters!$B$54)*'6states,BAU'!A177)*AQ177*Parameters!B$46*Parameters!B$45*N177</f>
        <v>9.6603115408777779E-3</v>
      </c>
      <c r="BA177" s="93">
        <f>SUM(AZ177:AZ$204)*EXP(Parameters!$B$54*A177)</f>
        <v>21.587375049521292</v>
      </c>
      <c r="BB177" s="43">
        <f t="shared" si="72"/>
        <v>132.62051659309836</v>
      </c>
      <c r="BC177" s="30">
        <f>IF(C177&lt;0,Parameters!$B$6*AC177^2/AF177,0)</f>
        <v>0</v>
      </c>
      <c r="BD177" s="30">
        <f>Parameters!$B$5*AD177^2/AG177</f>
        <v>0.8958362147290998</v>
      </c>
      <c r="BE177" s="30">
        <f t="shared" si="68"/>
        <v>0</v>
      </c>
      <c r="BF177" s="30">
        <f t="shared" si="69"/>
        <v>7.8092836776081614E-2</v>
      </c>
    </row>
    <row r="178" spans="1:58" x14ac:dyDescent="0.3">
      <c r="A178">
        <f>A177+Parameters!$B$65</f>
        <v>174</v>
      </c>
      <c r="B178">
        <v>2199</v>
      </c>
      <c r="C178" s="74">
        <v>8.3301883832288995E-2</v>
      </c>
      <c r="D178" s="69">
        <v>3.1188599213989501E-3</v>
      </c>
      <c r="E178" s="75">
        <v>0.42357943135148901</v>
      </c>
      <c r="F178" s="7">
        <f>MAX((1-Parameters!$B$4)^Parameters!B$65*F177 + C177*Parameters!B$65 - IF(C177&gt;0,Parameters!$B$5,0)*C177^2/F177*Parameters!B$65, 0.0001)</f>
        <v>1.0397862384201755</v>
      </c>
      <c r="G178" s="7">
        <f>(1-Parameters!$B$4)^Parameters!B$65*G177+D177*Parameters!B$65-Parameters!$B$5*D177^2/G177*Parameters!B$65</f>
        <v>3.9543504057653972E-2</v>
      </c>
      <c r="H178" s="7">
        <f>(1-Parameters!$B$4)^Parameters!B$65*H177+E177*Parameters!B$65-Parameters!$B$5*E177^2/H177*Parameters!B$65</f>
        <v>5.29075292214117</v>
      </c>
      <c r="I178" s="7">
        <f>I177 *(1-Parameters!$B$4)-C177*(C177&lt;0)*Parameters!B$65</f>
        <v>0</v>
      </c>
      <c r="J178" s="23">
        <f>J177*(1+Parameters!$B$51)^Parameters!B$65</f>
        <v>13.505728252773002</v>
      </c>
      <c r="K178" s="23">
        <f>K177*(1+Parameters!$B$53)^Parameters!B$65</f>
        <v>283.92434639814661</v>
      </c>
      <c r="L178" s="23">
        <f>J178*K178*EXP(-Parameters!$B$42*'6states,BAU'!A178)*(Parameters!$B$37/Parameters!$B$38*('6states,BAU'!F178+'6states,BAU'!I178)/Parameters!$E$25*(EXP(-Parameters!$B$38*Parameters!$E$25*'6states,BAU'!I178/('6states,BAU'!F178+'6states,BAU'!I178))-EXP(-Parameters!$B$38*Parameters!$E$25))  +  Parameters!$B$39*'6states,BAU'!F178)</f>
        <v>637.31648511740491</v>
      </c>
      <c r="M178" s="8">
        <f>M177+L178*Parameters!B$65</f>
        <v>41572.244630128822</v>
      </c>
      <c r="N178" s="7">
        <f>M178*Parameters!$B$45</f>
        <v>24.943346778077292</v>
      </c>
      <c r="O178" s="9">
        <f>EXP(-Parameters!$B$46/2*N178^2)</f>
        <v>1.9250294506147688E-3</v>
      </c>
      <c r="P178" s="7">
        <f>MAX((Parameters!$B$62 + Parameters!$B$31*'6states,BAU'!A178 - '6states,BAU'!M178 + Parameters!$B$47/Parameters!$B$45)/Parameters!B$62,1)</f>
        <v>1</v>
      </c>
      <c r="Q178" s="8"/>
      <c r="R178" s="8"/>
      <c r="S178" s="7">
        <f>Parameters!B$61*EXP(-Parameters!B$60*A178)+(1-Parameters!B$61)*P178^-Parameters!B$63</f>
        <v>0.50455674292929331</v>
      </c>
      <c r="T178" s="7">
        <f>1-S178/Parameters!$B$12</f>
        <v>0.7477216285353534</v>
      </c>
      <c r="U178" s="7">
        <f t="shared" si="59"/>
        <v>3.9638752787023459</v>
      </c>
      <c r="V178" s="7">
        <f>(Parameters!$B$19*(F178+Parameters!$B$20)^T178+Parameters!$B$18*G178^T178)^(1/T178)</f>
        <v>0.67949030133659216</v>
      </c>
      <c r="W178" s="7">
        <f>(Parameters!$B$10*H178^Parameters!$B$9+Parameters!$B$11*V178^Parameters!$B$9)^(Parameters!$B$7/Parameters!$B$9)*O178</f>
        <v>3.1289183340535692E-3</v>
      </c>
      <c r="X178" s="7">
        <f>W178 - D178 - E178 - LN(1+EXP(Parameters!$B$21*C178))/Parameters!$B$21 - IF(C178&gt;0, 0,Parameters!$B$6*C178^2/F178)</f>
        <v>-0.50687125677117018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-516.87125677117024</v>
      </c>
      <c r="AC178" s="23">
        <f t="shared" si="60"/>
        <v>319.42982581724345</v>
      </c>
      <c r="AD178" s="23">
        <f t="shared" si="60"/>
        <v>11.959596057234481</v>
      </c>
      <c r="AE178" s="23">
        <f t="shared" si="61"/>
        <v>0</v>
      </c>
      <c r="AF178" s="23">
        <f t="shared" si="62"/>
        <v>3987.1695782344573</v>
      </c>
      <c r="AG178" s="23">
        <f t="shared" si="63"/>
        <v>151.63372101848879</v>
      </c>
      <c r="AH178" s="23">
        <f t="shared" si="64"/>
        <v>2605.5769523464542</v>
      </c>
      <c r="AI178" s="23">
        <f t="shared" si="65"/>
        <v>6412.5232513168994</v>
      </c>
      <c r="AJ178" s="23">
        <f t="shared" si="66"/>
        <v>11.998166097363844</v>
      </c>
      <c r="AK178" s="23">
        <f t="shared" si="67"/>
        <v>-1943.6510894297885</v>
      </c>
      <c r="AL178" s="9">
        <f t="shared" si="70"/>
        <v>-0.16451983040713669</v>
      </c>
      <c r="AM178" s="9" t="e">
        <f t="shared" si="70"/>
        <v>#NUM!</v>
      </c>
      <c r="AN178" s="9">
        <f t="shared" si="74"/>
        <v>-0.16493438819158487</v>
      </c>
      <c r="AO178" s="9" t="e">
        <f t="shared" si="74"/>
        <v>#NUM!</v>
      </c>
      <c r="AP178" s="23"/>
      <c r="AQ178" s="25">
        <f t="shared" si="57"/>
        <v>11.998166097363846</v>
      </c>
      <c r="AR178" s="4"/>
      <c r="AS178" s="4"/>
      <c r="AT178" s="4"/>
      <c r="AU178" s="16"/>
      <c r="AV178" s="16"/>
      <c r="AY178" s="21" t="e">
        <f>-Y178*W178*X178^(-Parameters!B$52)*Parameters!B$46*Parameters!B$45*N178</f>
        <v>#NUM!</v>
      </c>
      <c r="AZ178" s="7">
        <f>1000*EXP(-(Parameters!$B$54)*'6states,BAU'!A178)*AQ178*Parameters!B$46*Parameters!B$45*N178</f>
        <v>8.0353867293122567E-3</v>
      </c>
      <c r="BA178" s="93">
        <f>SUM(AZ178:AZ$204)*EXP(Parameters!$B$54*A178)</f>
        <v>18.019430898276518</v>
      </c>
      <c r="BB178" s="43">
        <f t="shared" si="72"/>
        <v>162.99568114469216</v>
      </c>
      <c r="BC178" s="30">
        <f>IF(C178&lt;0,Parameters!$B$6*AC178^2/AF178,0)</f>
        <v>0</v>
      </c>
      <c r="BD178" s="30">
        <f>Parameters!$B$5*AD178^2/AG178</f>
        <v>0.94327262360579145</v>
      </c>
      <c r="BE178" s="30">
        <f t="shared" si="68"/>
        <v>0</v>
      </c>
      <c r="BF178" s="30">
        <f t="shared" si="69"/>
        <v>7.8871612309614439E-2</v>
      </c>
    </row>
    <row r="179" spans="1:58" x14ac:dyDescent="0.3">
      <c r="A179">
        <f>A178+Parameters!$B$65</f>
        <v>175</v>
      </c>
      <c r="B179">
        <v>2200</v>
      </c>
      <c r="C179" s="74">
        <v>8.4991270946043904E-2</v>
      </c>
      <c r="D179" s="69">
        <v>3.1805545085088001E-3</v>
      </c>
      <c r="E179" s="75">
        <v>0.43207649732678799</v>
      </c>
      <c r="F179" s="7">
        <f>MAX((1-Parameters!$B$4)^Parameters!B$65*F178 + C178*Parameters!B$65 - IF(C178&gt;0,Parameters!$B$5,0)*C178^2/F178*Parameters!B$65, 0.0001)</f>
        <v>1.0510118847529013</v>
      </c>
      <c r="G179" s="7">
        <f>(1-Parameters!$B$4)^Parameters!B$65*G178+D178*Parameters!B$65-Parameters!$B$5*D178^2/G178*Parameters!B$65</f>
        <v>3.9929088063257914E-2</v>
      </c>
      <c r="H179" s="7">
        <f>(1-Parameters!$B$4)^Parameters!B$65*H178+E178*Parameters!B$65-Parameters!$B$5*E178^2/H178*Parameters!B$65</f>
        <v>5.3476320851178656</v>
      </c>
      <c r="I179" s="7">
        <f>I178 *(1-Parameters!$B$4)-C178*(C178&lt;0)*Parameters!B$65</f>
        <v>0</v>
      </c>
      <c r="J179" s="23">
        <f>J178*(1+Parameters!$B$51)^Parameters!B$65</f>
        <v>13.544894864706043</v>
      </c>
      <c r="K179" s="23">
        <f>K178*(1+Parameters!$B$53)^Parameters!B$65</f>
        <v>289.60283332610953</v>
      </c>
      <c r="L179" s="23">
        <f>J179*K179*EXP(-Parameters!$B$42*'6states,BAU'!A179)*(Parameters!$B$37/Parameters!$B$38*('6states,BAU'!F179+'6states,BAU'!I179)/Parameters!$E$25*(EXP(-Parameters!$B$38*Parameters!$E$25*'6states,BAU'!I179/('6states,BAU'!F179+'6states,BAU'!I179))-EXP(-Parameters!$B$38*Parameters!$E$25))  +  Parameters!$B$39*'6states,BAU'!F179)</f>
        <v>652.42947387769061</v>
      </c>
      <c r="M179" s="8">
        <f>M178+L179*Parameters!B$65</f>
        <v>42224.67410400651</v>
      </c>
      <c r="N179" s="7">
        <f>M179*Parameters!$B$45</f>
        <v>25.334804462403902</v>
      </c>
      <c r="O179" s="9">
        <f>EXP(-Parameters!$B$46/2*N179^2)</f>
        <v>1.5795492027952057E-3</v>
      </c>
      <c r="P179" s="7">
        <f>MAX((Parameters!$B$62 + Parameters!$B$31*'6states,BAU'!A179 - '6states,BAU'!M179 + Parameters!$B$47/Parameters!$B$45)/Parameters!B$62,1)</f>
        <v>1</v>
      </c>
      <c r="Q179" s="8"/>
      <c r="R179" s="8"/>
      <c r="S179" s="7">
        <f>Parameters!B$61*EXP(-Parameters!B$60*A179)+(1-Parameters!B$61)*P179^-Parameters!B$63</f>
        <v>0.50443535695496411</v>
      </c>
      <c r="T179" s="7">
        <f>1-S179/Parameters!$B$12</f>
        <v>0.74778232152251789</v>
      </c>
      <c r="U179" s="7">
        <f t="shared" si="59"/>
        <v>3.9648291350412994</v>
      </c>
      <c r="V179" s="7">
        <f>(Parameters!$B$19*(F179+Parameters!$B$20)^T179+Parameters!$B$18*G179^T179)^(1/T179)</f>
        <v>0.68675069792156573</v>
      </c>
      <c r="W179" s="7">
        <f>(Parameters!$B$10*H179^Parameters!$B$9+Parameters!$B$11*V179^Parameters!$B$9)^(Parameters!$B$7/Parameters!$B$9)*O179</f>
        <v>2.5756199238012333E-3</v>
      </c>
      <c r="X179" s="7">
        <f>W179 - D179 - E179 - LN(1+EXP(Parameters!$B$21*C179))/Parameters!$B$21 - IF(C179&gt;0, 0,Parameters!$B$6*C179^2/F179)</f>
        <v>-0.51767270285756761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-527.67270285756763</v>
      </c>
      <c r="AC179" s="23">
        <f t="shared" si="60"/>
        <v>333.3901531078684</v>
      </c>
      <c r="AD179" s="23">
        <f t="shared" si="60"/>
        <v>12.476170114373691</v>
      </c>
      <c r="AE179" s="23">
        <f t="shared" si="61"/>
        <v>0</v>
      </c>
      <c r="AF179" s="23">
        <f t="shared" si="62"/>
        <v>4122.7411859555095</v>
      </c>
      <c r="AG179" s="23">
        <f t="shared" si="63"/>
        <v>156.62743520235296</v>
      </c>
      <c r="AH179" s="23">
        <f t="shared" si="64"/>
        <v>2693.8757095697188</v>
      </c>
      <c r="AI179" s="23">
        <f t="shared" si="65"/>
        <v>6629.8332153333777</v>
      </c>
      <c r="AJ179" s="23">
        <f t="shared" si="66"/>
        <v>10.103229557408316</v>
      </c>
      <c r="AK179" s="23">
        <f t="shared" si="67"/>
        <v>-2030.643614860332</v>
      </c>
      <c r="AL179" s="9">
        <f t="shared" si="70"/>
        <v>-0.17189868199464886</v>
      </c>
      <c r="AM179" s="9" t="e">
        <f t="shared" si="70"/>
        <v>#NUM!</v>
      </c>
      <c r="AN179" s="9">
        <f t="shared" si="74"/>
        <v>-0.17234895019881966</v>
      </c>
      <c r="AO179" s="9" t="e">
        <f t="shared" si="74"/>
        <v>#NUM!</v>
      </c>
      <c r="AP179" s="23"/>
      <c r="AQ179" s="25">
        <f t="shared" si="57"/>
        <v>10.103229557408316</v>
      </c>
      <c r="AR179" s="4"/>
      <c r="AS179" s="4"/>
      <c r="AT179" s="4"/>
      <c r="AU179" s="16"/>
      <c r="AV179" s="16"/>
      <c r="AY179" s="21" t="e">
        <f>-Y179*W179*X179^(-Parameters!B$52)*Parameters!B$46*Parameters!B$45*N179</f>
        <v>#NUM!</v>
      </c>
      <c r="AZ179" s="7">
        <f>1000*EXP(-(Parameters!$B$54)*'6states,BAU'!A179)*AQ179*Parameters!B$46*Parameters!B$45*N179</f>
        <v>6.6354629747771557E-3</v>
      </c>
      <c r="BA179" s="93">
        <f>SUM(AZ179:AZ$204)*EXP(Parameters!$B$54*A179)</f>
        <v>14.92496030858792</v>
      </c>
      <c r="BB179" s="43">
        <f t="shared" si="72"/>
        <v>201.98955520328917</v>
      </c>
      <c r="BC179" s="30">
        <f>IF(C179&lt;0,Parameters!$B$6*AC179^2/AF179,0)</f>
        <v>0</v>
      </c>
      <c r="BD179" s="30">
        <f>Parameters!$B$5*AD179^2/AG179</f>
        <v>0.99379026746939225</v>
      </c>
      <c r="BE179" s="30">
        <f t="shared" si="68"/>
        <v>0</v>
      </c>
      <c r="BF179" s="30">
        <f t="shared" si="69"/>
        <v>7.9655075103893844E-2</v>
      </c>
    </row>
    <row r="180" spans="1:58" x14ac:dyDescent="0.3">
      <c r="A180">
        <f>A179+Parameters!$B$65</f>
        <v>176</v>
      </c>
      <c r="B180">
        <v>2201</v>
      </c>
      <c r="C180" s="74">
        <v>8.6814962395286799E-2</v>
      </c>
      <c r="D180" s="69">
        <v>3.2461092945456102E-3</v>
      </c>
      <c r="E180" s="75">
        <v>0.44107656055889</v>
      </c>
      <c r="F180" s="7">
        <f>MAX((1-Parameters!$B$4)^Parameters!B$65*F179 + C179*Parameters!B$65 - IF(C179&gt;0,Parameters!$B$5,0)*C179^2/F179*Parameters!B$65, 0.0001)</f>
        <v>1.0630215923971615</v>
      </c>
      <c r="G180" s="7">
        <f>(1-Parameters!$B$4)^Parameters!B$65*G179+D179*Parameters!B$65-Parameters!$B$5*D179^2/G179*Parameters!B$65</f>
        <v>4.0344755624340499E-2</v>
      </c>
      <c r="H180" s="7">
        <f>(1-Parameters!$B$4)^Parameters!B$65*H179+E179*Parameters!B$65-Parameters!$B$5*E179^2/H179*Parameters!B$65</f>
        <v>5.4084317270311955</v>
      </c>
      <c r="I180" s="7">
        <f>I179 *(1-Parameters!$B$4)-C179*(C179&lt;0)*Parameters!B$65</f>
        <v>0</v>
      </c>
      <c r="J180" s="23">
        <f>J179*(1+Parameters!$B$51)^Parameters!B$65</f>
        <v>13.584175059813688</v>
      </c>
      <c r="K180" s="23">
        <f>K179*(1+Parameters!$B$53)^Parameters!B$65</f>
        <v>295.3948899926317</v>
      </c>
      <c r="L180" s="23">
        <f>J180*K180*EXP(-Parameters!$B$42*'6states,BAU'!A180)*(Parameters!$B$37/Parameters!$B$38*('6states,BAU'!F180+'6states,BAU'!I180)/Parameters!$E$25*(EXP(-Parameters!$B$38*Parameters!$E$25*'6states,BAU'!I180/('6states,BAU'!F180+'6states,BAU'!I180))-EXP(-Parameters!$B$38*Parameters!$E$25))  +  Parameters!$B$39*'6states,BAU'!F180)</f>
        <v>668.31758668774978</v>
      </c>
      <c r="M180" s="8">
        <f>M179+L180*Parameters!B$65</f>
        <v>42892.99169069426</v>
      </c>
      <c r="N180" s="7">
        <f>M180*Parameters!$B$45</f>
        <v>25.735795014416553</v>
      </c>
      <c r="O180" s="9">
        <f>EXP(-Parameters!$B$46/2*N180^2)</f>
        <v>1.2857307985180578E-3</v>
      </c>
      <c r="P180" s="7">
        <f>MAX((Parameters!$B$62 + Parameters!$B$31*'6states,BAU'!A180 - '6states,BAU'!M180 + Parameters!$B$47/Parameters!$B$45)/Parameters!B$62,1)</f>
        <v>1</v>
      </c>
      <c r="Q180" s="8"/>
      <c r="R180" s="8"/>
      <c r="S180" s="7">
        <f>Parameters!B$61*EXP(-Parameters!B$60*A180)+(1-Parameters!B$61)*P180^-Parameters!B$63</f>
        <v>0.50431720455228746</v>
      </c>
      <c r="T180" s="7">
        <f>1-S180/Parameters!$B$12</f>
        <v>0.74784139772385627</v>
      </c>
      <c r="U180" s="7">
        <f t="shared" si="59"/>
        <v>3.9657580228212117</v>
      </c>
      <c r="V180" s="7">
        <f>(Parameters!$B$19*(F180+Parameters!$B$20)^T180+Parameters!$B$18*G180^T180)^(1/T180)</f>
        <v>0.69451885780866107</v>
      </c>
      <c r="W180" s="7">
        <f>(Parameters!$B$10*H180^Parameters!$B$9+Parameters!$B$11*V180^Parameters!$B$9)^(Parameters!$B$7/Parameters!$B$9)*O180</f>
        <v>2.1036347567420588E-3</v>
      </c>
      <c r="X180" s="7">
        <f>W180 - D180 - E180 - LN(1+EXP(Parameters!$B$21*C180))/Parameters!$B$21 - IF(C180&gt;0, 0,Parameters!$B$6*C180^2/F180)</f>
        <v>-0.52903399749199664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-539.03399749199662</v>
      </c>
      <c r="AC180" s="23">
        <f t="shared" si="60"/>
        <v>348.36204343948174</v>
      </c>
      <c r="AD180" s="23">
        <f t="shared" si="60"/>
        <v>13.02564944884657</v>
      </c>
      <c r="AE180" s="23">
        <f t="shared" si="61"/>
        <v>0</v>
      </c>
      <c r="AF180" s="23">
        <f t="shared" si="62"/>
        <v>4265.5823826961832</v>
      </c>
      <c r="AG180" s="23">
        <f t="shared" si="63"/>
        <v>161.89123537678117</v>
      </c>
      <c r="AH180" s="23">
        <f t="shared" si="64"/>
        <v>2786.8929714195815</v>
      </c>
      <c r="AI180" s="23">
        <f t="shared" si="65"/>
        <v>6858.755778472002</v>
      </c>
      <c r="AJ180" s="23">
        <f t="shared" si="66"/>
        <v>8.4412465580790936</v>
      </c>
      <c r="AK180" s="23">
        <f t="shared" si="67"/>
        <v>-2122.8525513394111</v>
      </c>
      <c r="AL180" s="9">
        <f t="shared" si="70"/>
        <v>-0.17972513673802082</v>
      </c>
      <c r="AM180" s="9" t="e">
        <f t="shared" si="70"/>
        <v>#NUM!</v>
      </c>
      <c r="AN180" s="9">
        <f t="shared" si="74"/>
        <v>-0.18021911540252331</v>
      </c>
      <c r="AO180" s="9" t="e">
        <f t="shared" si="74"/>
        <v>#NUM!</v>
      </c>
      <c r="AP180" s="23"/>
      <c r="AQ180" s="25">
        <f t="shared" si="57"/>
        <v>8.4412465580790936</v>
      </c>
      <c r="AR180" s="4"/>
      <c r="AS180" s="4"/>
      <c r="AT180" s="4"/>
      <c r="AU180" s="16"/>
      <c r="AV180" s="16"/>
      <c r="AY180" s="21" t="e">
        <f>-Y180*W180*X180^(-Parameters!B$52)*Parameters!B$46*Parameters!B$45*N180</f>
        <v>#NUM!</v>
      </c>
      <c r="AZ180" s="7">
        <f>1000*EXP(-(Parameters!$B$54)*'6states,BAU'!A180)*AQ180*Parameters!B$46*Parameters!B$45*N180</f>
        <v>5.4374326515980688E-3</v>
      </c>
      <c r="BA180" s="93">
        <f>SUM(AZ180:AZ$204)*EXP(Parameters!$B$54*A180)</f>
        <v>12.260936018645298</v>
      </c>
      <c r="BB180" s="43">
        <f t="shared" si="72"/>
        <v>252.48567059773529</v>
      </c>
      <c r="BC180" s="30">
        <f>IF(C180&lt;0,Parameters!$B$6*AC180^2/AF180,0)</f>
        <v>0</v>
      </c>
      <c r="BD180" s="30">
        <f>Parameters!$B$5*AD180^2/AG180</f>
        <v>1.0480341518758407</v>
      </c>
      <c r="BE180" s="30">
        <f t="shared" si="68"/>
        <v>0</v>
      </c>
      <c r="BF180" s="30">
        <f t="shared" si="69"/>
        <v>8.0459262779303861E-2</v>
      </c>
    </row>
    <row r="181" spans="1:58" x14ac:dyDescent="0.3">
      <c r="A181">
        <f>A180+Parameters!$B$65</f>
        <v>177</v>
      </c>
      <c r="B181">
        <v>2202</v>
      </c>
      <c r="C181" s="74">
        <v>8.8839115500315397E-2</v>
      </c>
      <c r="D181" s="69">
        <v>3.31861694917665E-3</v>
      </c>
      <c r="E181" s="75">
        <v>0.450408223314752</v>
      </c>
      <c r="F181" s="7">
        <f>MAX((1-Parameters!$B$4)^Parameters!B$65*F180 + C180*Parameters!B$65 - IF(C180&gt;0,Parameters!$B$5,0)*C180^2/F180*Parameters!B$65, 0.0001)</f>
        <v>1.0758824828909654</v>
      </c>
      <c r="G181" s="7">
        <f>(1-Parameters!$B$4)^Parameters!B$65*G180+D180*Parameters!B$65-Parameters!$B$5*D180^2/G180*Parameters!B$65</f>
        <v>4.079200022937491E-2</v>
      </c>
      <c r="H181" s="7">
        <f>(1-Parameters!$B$4)^Parameters!B$65*H180+E180*Parameters!B$65-Parameters!$B$5*E180^2/H180*Parameters!B$65</f>
        <v>5.4733465927447762</v>
      </c>
      <c r="I181" s="7">
        <f>I180 *(1-Parameters!$B$4)-C180*(C180&lt;0)*Parameters!B$65</f>
        <v>0</v>
      </c>
      <c r="J181" s="23">
        <f>J180*(1+Parameters!$B$51)^Parameters!B$65</f>
        <v>13.623569167487148</v>
      </c>
      <c r="K181" s="23">
        <f>K180*(1+Parameters!$B$53)^Parameters!B$65</f>
        <v>301.30278779248437</v>
      </c>
      <c r="L181" s="23">
        <f>J181*K181*EXP(-Parameters!$B$42*'6states,BAU'!A181)*(Parameters!$B$37/Parameters!$B$38*('6states,BAU'!F181+'6states,BAU'!I181)/Parameters!$E$25*(EXP(-Parameters!$B$38*Parameters!$E$25*'6states,BAU'!I181/('6states,BAU'!F181+'6states,BAU'!I181))-EXP(-Parameters!$B$38*Parameters!$E$25))  +  Parameters!$B$39*'6states,BAU'!F181)</f>
        <v>685.047204397874</v>
      </c>
      <c r="M181" s="8">
        <f>M180+L181*Parameters!B$65</f>
        <v>43578.038895092133</v>
      </c>
      <c r="N181" s="7">
        <f>M181*Parameters!$B$45</f>
        <v>26.146823337055277</v>
      </c>
      <c r="O181" s="9">
        <f>EXP(-Parameters!$B$46/2*N181^2)</f>
        <v>1.0377021051117957E-3</v>
      </c>
      <c r="P181" s="7">
        <f>MAX((Parameters!$B$62 + Parameters!$B$31*'6states,BAU'!A181 - '6states,BAU'!M181 + Parameters!$B$47/Parameters!$B$45)/Parameters!B$62,1)</f>
        <v>1</v>
      </c>
      <c r="Q181" s="8"/>
      <c r="R181" s="8"/>
      <c r="S181" s="7">
        <f>Parameters!B$61*EXP(-Parameters!B$60*A181)+(1-Parameters!B$61)*P181^-Parameters!B$63</f>
        <v>0.50420219958292911</v>
      </c>
      <c r="T181" s="7">
        <f>1-S181/Parameters!$B$12</f>
        <v>0.74789890020853544</v>
      </c>
      <c r="U181" s="7">
        <f t="shared" si="59"/>
        <v>3.9666625842853906</v>
      </c>
      <c r="V181" s="7">
        <f>(Parameters!$B$19*(F181+Parameters!$B$20)^T181+Parameters!$B$18*G181^T181)^(1/T181)</f>
        <v>0.70283762014971152</v>
      </c>
      <c r="W181" s="7">
        <f>(Parameters!$B$10*H181^Parameters!$B$9+Parameters!$B$11*V181^Parameters!$B$9)^(Parameters!$B$7/Parameters!$B$9)*O181</f>
        <v>1.703911061736837E-3</v>
      </c>
      <c r="X181" s="7">
        <f>W181 - D181 - E181 - LN(1+EXP(Parameters!$B$21*C181))/Parameters!$B$21 - IF(C181&gt;0, 0,Parameters!$B$6*C181^2/F181)</f>
        <v>-0.54086204470251609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-550.86204470251607</v>
      </c>
      <c r="AC181" s="23">
        <f t="shared" si="60"/>
        <v>364.66852210582397</v>
      </c>
      <c r="AD181" s="23">
        <f t="shared" si="60"/>
        <v>13.622323134084905</v>
      </c>
      <c r="AE181" s="23">
        <f t="shared" si="61"/>
        <v>0</v>
      </c>
      <c r="AF181" s="23">
        <f t="shared" si="62"/>
        <v>4416.303255450578</v>
      </c>
      <c r="AG181" s="23">
        <f t="shared" si="63"/>
        <v>167.4437926763664</v>
      </c>
      <c r="AH181" s="23">
        <f t="shared" si="64"/>
        <v>2885.0214770481343</v>
      </c>
      <c r="AI181" s="23">
        <f t="shared" si="65"/>
        <v>7100.257501686664</v>
      </c>
      <c r="AJ181" s="23">
        <f t="shared" si="66"/>
        <v>6.9942471307149807</v>
      </c>
      <c r="AK181" s="23">
        <f t="shared" si="67"/>
        <v>-2220.1409975102733</v>
      </c>
      <c r="AL181" s="9">
        <f t="shared" si="70"/>
        <v>-0.18804202146503934</v>
      </c>
      <c r="AM181" s="9" t="e">
        <f t="shared" si="70"/>
        <v>#NUM!</v>
      </c>
      <c r="AN181" s="9">
        <f t="shared" si="74"/>
        <v>-0.188581492439089</v>
      </c>
      <c r="AO181" s="9" t="e">
        <f t="shared" si="74"/>
        <v>#NUM!</v>
      </c>
      <c r="AP181" s="23"/>
      <c r="AQ181" s="25">
        <f t="shared" si="57"/>
        <v>6.9942471307149798</v>
      </c>
      <c r="AR181" s="4"/>
      <c r="AS181" s="4"/>
      <c r="AT181" s="4"/>
      <c r="AU181" s="16"/>
      <c r="AV181" s="16"/>
      <c r="AY181" s="21" t="e">
        <f>-Y181*W181*X181^(-Parameters!B$52)*Parameters!B$46*Parameters!B$45*N181</f>
        <v>#NUM!</v>
      </c>
      <c r="AZ181" s="7">
        <f>1000*EXP(-(Parameters!$B$54)*'6states,BAU'!A181)*AQ181*Parameters!B$46*Parameters!B$45*N181</f>
        <v>4.4194261998150488E-3</v>
      </c>
      <c r="BA181" s="93">
        <f>SUM(AZ181:AZ$204)*EXP(Parameters!$B$54*A181)</f>
        <v>9.9854031259035807</v>
      </c>
      <c r="BB181" s="43">
        <f t="shared" si="72"/>
        <v>318.42387079240723</v>
      </c>
      <c r="BC181" s="30">
        <f>IF(C181&lt;0,Parameters!$B$6*AC181^2/AF181,0)</f>
        <v>0</v>
      </c>
      <c r="BD181" s="30">
        <f>Parameters!$B$5*AD181^2/AG181</f>
        <v>1.1082386788030301</v>
      </c>
      <c r="BE181" s="30">
        <f t="shared" si="68"/>
        <v>0</v>
      </c>
      <c r="BF181" s="30">
        <f t="shared" si="69"/>
        <v>8.1354602140516416E-2</v>
      </c>
    </row>
    <row r="182" spans="1:58" x14ac:dyDescent="0.3">
      <c r="A182">
        <f>A181+Parameters!$B$65</f>
        <v>178</v>
      </c>
      <c r="B182">
        <v>2203</v>
      </c>
      <c r="C182" s="74">
        <v>9.0819310124555894E-2</v>
      </c>
      <c r="D182" s="69">
        <v>3.3914454812816598E-3</v>
      </c>
      <c r="E182" s="75">
        <v>0.46069194090499199</v>
      </c>
      <c r="F182" s="7">
        <f>MAX((1-Parameters!$B$4)^Parameters!B$65*F181 + C181*Parameters!B$65 - IF(C181&gt;0,Parameters!$B$5,0)*C181^2/F181*Parameters!B$65, 0.0001)</f>
        <v>1.0897128555360165</v>
      </c>
      <c r="G182" s="7">
        <f>(1-Parameters!$B$4)^Parameters!B$65*G181+D181*Parameters!B$65-Parameters!$B$5*D181^2/G181*Parameters!B$65</f>
        <v>4.1274815602566843E-2</v>
      </c>
      <c r="H182" s="7">
        <f>(1-Parameters!$B$4)^Parameters!B$65*H181+E181*Parameters!B$65-Parameters!$B$5*E181^2/H181*Parameters!B$65</f>
        <v>5.5424166851369598</v>
      </c>
      <c r="I182" s="7">
        <f>I181 *(1-Parameters!$B$4)-C181*(C181&lt;0)*Parameters!B$65</f>
        <v>0</v>
      </c>
      <c r="J182" s="23">
        <f>J181*(1+Parameters!$B$51)^Parameters!B$65</f>
        <v>13.663077518072859</v>
      </c>
      <c r="K182" s="23">
        <f>K181*(1+Parameters!$B$53)^Parameters!B$65</f>
        <v>307.32884354833408</v>
      </c>
      <c r="L182" s="23">
        <f>J182*K182*EXP(-Parameters!$B$42*'6states,BAU'!A182)*(Parameters!$B$37/Parameters!$B$38*('6states,BAU'!F182+'6states,BAU'!I182)/Parameters!$E$25*(EXP(-Parameters!$B$38*Parameters!$E$25*'6states,BAU'!I182/('6states,BAU'!F182+'6states,BAU'!I182))-EXP(-Parameters!$B$38*Parameters!$E$25))  +  Parameters!$B$39*'6states,BAU'!F182)</f>
        <v>702.72045360711058</v>
      </c>
      <c r="M182" s="8">
        <f>M181+L182*Parameters!B$65</f>
        <v>44280.759348699241</v>
      </c>
      <c r="N182" s="7">
        <f>M182*Parameters!$B$45</f>
        <v>26.568455609219541</v>
      </c>
      <c r="O182" s="9">
        <f>EXP(-Parameters!$B$46/2*N182^2)</f>
        <v>8.299687767425862E-4</v>
      </c>
      <c r="P182" s="7">
        <f>MAX((Parameters!$B$62 + Parameters!$B$31*'6states,BAU'!A182 - '6states,BAU'!M182 + Parameters!$B$47/Parameters!$B$45)/Parameters!B$62,1)</f>
        <v>1</v>
      </c>
      <c r="Q182" s="8"/>
      <c r="R182" s="8"/>
      <c r="S182" s="7">
        <f>Parameters!B$61*EXP(-Parameters!B$60*A182)+(1-Parameters!B$61)*P182^-Parameters!B$63</f>
        <v>0.50409025820317288</v>
      </c>
      <c r="T182" s="7">
        <f>1-S182/Parameters!$B$12</f>
        <v>0.74795487089841362</v>
      </c>
      <c r="U182" s="7">
        <f t="shared" si="59"/>
        <v>3.9675434457491603</v>
      </c>
      <c r="V182" s="7">
        <f>(Parameters!$B$19*(F182+Parameters!$B$20)^T182+Parameters!$B$18*G182^T182)^(1/T182)</f>
        <v>0.71178331166961073</v>
      </c>
      <c r="W182" s="7">
        <f>(Parameters!$B$10*H182^Parameters!$B$9+Parameters!$B$11*V182^Parameters!$B$9)^(Parameters!$B$7/Parameters!$B$9)*O182</f>
        <v>1.3679563303233694E-3</v>
      </c>
      <c r="X182" s="7">
        <f>W182 - D182 - E182 - LN(1+EXP(Parameters!$B$21*C182))/Parameters!$B$21 - IF(C182&gt;0, 0,Parameters!$B$6*C182^2/F182)</f>
        <v>-0.55353474018051108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-563.53474018051111</v>
      </c>
      <c r="AC182" s="23">
        <f t="shared" si="60"/>
        <v>381.35553374438939</v>
      </c>
      <c r="AD182" s="23">
        <f t="shared" si="60"/>
        <v>14.240875645337759</v>
      </c>
      <c r="AE182" s="23">
        <f t="shared" si="61"/>
        <v>0</v>
      </c>
      <c r="AF182" s="23">
        <f t="shared" si="62"/>
        <v>4575.767279900293</v>
      </c>
      <c r="AG182" s="23">
        <f t="shared" si="63"/>
        <v>173.31533693363983</v>
      </c>
      <c r="AH182" s="23">
        <f t="shared" si="64"/>
        <v>2988.8192759869949</v>
      </c>
      <c r="AI182" s="23">
        <f t="shared" si="65"/>
        <v>7355.7117873609168</v>
      </c>
      <c r="AJ182" s="23">
        <f t="shared" si="66"/>
        <v>5.7441277166058615</v>
      </c>
      <c r="AK182" s="23">
        <f t="shared" si="67"/>
        <v>-2324.3243754890059</v>
      </c>
      <c r="AL182" s="9">
        <f t="shared" si="70"/>
        <v>-0.19690990640777084</v>
      </c>
      <c r="AM182" s="9" t="e">
        <f t="shared" si="70"/>
        <v>#NUM!</v>
      </c>
      <c r="AN182" s="9">
        <f t="shared" si="74"/>
        <v>-0.19747631125245024</v>
      </c>
      <c r="AO182" s="9" t="e">
        <f t="shared" si="74"/>
        <v>#NUM!</v>
      </c>
      <c r="AP182" s="23"/>
      <c r="AQ182" s="25">
        <f t="shared" si="57"/>
        <v>5.7441277166058606</v>
      </c>
      <c r="AR182" s="4"/>
      <c r="AS182" s="4"/>
      <c r="AT182" s="4"/>
      <c r="AU182" s="16"/>
      <c r="AV182" s="16"/>
      <c r="AY182" s="21" t="e">
        <f>-Y182*W182*X182^(-Parameters!B$52)*Parameters!B$46*Parameters!B$45*N182</f>
        <v>#NUM!</v>
      </c>
      <c r="AZ182" s="7">
        <f>1000*EXP(-(Parameters!$B$54)*'6states,BAU'!A182)*AQ182*Parameters!B$46*Parameters!B$45*N182</f>
        <v>3.5608414892130294E-3</v>
      </c>
      <c r="BA182" s="93">
        <f>SUM(AZ182:AZ$204)*EXP(Parameters!$B$54*A182)</f>
        <v>8.0578259547461872</v>
      </c>
      <c r="BB182" s="43">
        <f t="shared" si="72"/>
        <v>405.64357517147999</v>
      </c>
      <c r="BC182" s="30">
        <f>IF(C182&lt;0,Parameters!$B$6*AC182^2/AF182,0)</f>
        <v>0</v>
      </c>
      <c r="BD182" s="30">
        <f>Parameters!$B$5*AD182^2/AG182</f>
        <v>1.1701361387516709</v>
      </c>
      <c r="BE182" s="30">
        <f t="shared" si="68"/>
        <v>0</v>
      </c>
      <c r="BF182" s="30">
        <f t="shared" si="69"/>
        <v>8.2167429018647126E-2</v>
      </c>
    </row>
    <row r="183" spans="1:58" x14ac:dyDescent="0.3">
      <c r="A183">
        <f>A182+Parameters!$B$65</f>
        <v>179</v>
      </c>
      <c r="B183">
        <v>2204</v>
      </c>
      <c r="C183" s="74">
        <v>9.2962211960964394E-2</v>
      </c>
      <c r="D183" s="69">
        <v>3.4702245931379099E-3</v>
      </c>
      <c r="E183" s="75">
        <v>0.47147504393773698</v>
      </c>
      <c r="F183" s="7">
        <f>MAX((1-Parameters!$B$4)^Parameters!B$65*F182 + C182*Parameters!B$65 - IF(C182&gt;0,Parameters!$B$5,0)*C182^2/F182*Parameters!B$65, 0.0001)</f>
        <v>1.1044201256555566</v>
      </c>
      <c r="G183" s="7">
        <f>(1-Parameters!$B$4)^Parameters!B$65*G182+D182*Parameters!B$65-Parameters!$B$5*D182^2/G182*Parameters!B$65</f>
        <v>4.1791408826593227E-2</v>
      </c>
      <c r="H183" s="7">
        <f>(1-Parameters!$B$4)^Parameters!B$65*H182+E182*Parameters!B$65-Parameters!$B$5*E182^2/H182*Parameters!B$65</f>
        <v>5.6161973815787842</v>
      </c>
      <c r="I183" s="7">
        <f>I182 *(1-Parameters!$B$4)-C182*(C182&lt;0)*Parameters!B$65</f>
        <v>0</v>
      </c>
      <c r="J183" s="23">
        <f>J182*(1+Parameters!$B$51)^Parameters!B$65</f>
        <v>13.702700442875269</v>
      </c>
      <c r="K183" s="23">
        <f>K182*(1+Parameters!$B$53)^Parameters!B$65</f>
        <v>313.47542041930075</v>
      </c>
      <c r="L183" s="23">
        <f>J183*K183*EXP(-Parameters!$B$42*'6states,BAU'!A183)*(Parameters!$B$37/Parameters!$B$38*('6states,BAU'!F183+'6states,BAU'!I183)/Parameters!$E$25*(EXP(-Parameters!$B$38*Parameters!$E$25*'6states,BAU'!I183/('6states,BAU'!F183+'6states,BAU'!I183))-EXP(-Parameters!$B$38*Parameters!$E$25))  +  Parameters!$B$39*'6states,BAU'!F183)</f>
        <v>721.30624191140453</v>
      </c>
      <c r="M183" s="8">
        <f>M182+L183*Parameters!B$65</f>
        <v>45002.065590610648</v>
      </c>
      <c r="N183" s="7">
        <f>M183*Parameters!$B$45</f>
        <v>27.001239354366387</v>
      </c>
      <c r="O183" s="9">
        <f>EXP(-Parameters!$B$46/2*N183^2)</f>
        <v>6.5746264247737896E-4</v>
      </c>
      <c r="P183" s="7">
        <f>MAX((Parameters!$B$62 + Parameters!$B$31*'6states,BAU'!A183 - '6states,BAU'!M183 + Parameters!$B$47/Parameters!$B$45)/Parameters!B$62,1)</f>
        <v>1</v>
      </c>
      <c r="Q183" s="8"/>
      <c r="R183" s="8"/>
      <c r="S183" s="7">
        <f>Parameters!B$61*EXP(-Parameters!B$60*A183)+(1-Parameters!B$61)*P183^-Parameters!B$63</f>
        <v>0.50398129880279541</v>
      </c>
      <c r="T183" s="7">
        <f>1-S183/Parameters!$B$12</f>
        <v>0.7480093505986023</v>
      </c>
      <c r="U183" s="7">
        <f t="shared" si="59"/>
        <v>3.9684012179638177</v>
      </c>
      <c r="V183" s="7">
        <f>(Parameters!$B$19*(F183+Parameters!$B$20)^T183+Parameters!$B$18*G183^T183)^(1/T183)</f>
        <v>0.72129709309190271</v>
      </c>
      <c r="W183" s="7">
        <f>(Parameters!$B$10*H183^Parameters!$B$9+Parameters!$B$11*V183^Parameters!$B$9)^(Parameters!$B$7/Parameters!$B$9)*O183</f>
        <v>1.0879419045060773E-3</v>
      </c>
      <c r="X183" s="7">
        <f>W183 - D183 - E183 - LN(1+EXP(Parameters!$B$21*C183))/Parameters!$B$21 - IF(C183&gt;0, 0,Parameters!$B$6*C183^2/F183)</f>
        <v>-0.5668195385873358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-576.81953858733584</v>
      </c>
      <c r="AC183" s="23">
        <f t="shared" si="60"/>
        <v>399.31544274360988</v>
      </c>
      <c r="AD183" s="23">
        <f t="shared" si="60"/>
        <v>14.906210175060174</v>
      </c>
      <c r="AE183" s="23">
        <f t="shared" si="61"/>
        <v>0</v>
      </c>
      <c r="AF183" s="23">
        <f t="shared" si="62"/>
        <v>4743.9922324168283</v>
      </c>
      <c r="AG183" s="23">
        <f t="shared" si="63"/>
        <v>179.51331585652986</v>
      </c>
      <c r="AH183" s="23">
        <f t="shared" si="64"/>
        <v>3098.3026544012964</v>
      </c>
      <c r="AI183" s="23">
        <f t="shared" si="65"/>
        <v>7625.1587169870745</v>
      </c>
      <c r="AJ183" s="23">
        <f t="shared" si="66"/>
        <v>4.6732106961868762</v>
      </c>
      <c r="AK183" s="23">
        <f t="shared" si="67"/>
        <v>-2434.750531772766</v>
      </c>
      <c r="AL183" s="9">
        <f t="shared" si="70"/>
        <v>-0.2063317155899651</v>
      </c>
      <c r="AM183" s="9" t="e">
        <f t="shared" si="70"/>
        <v>#NUM!</v>
      </c>
      <c r="AN183" s="9">
        <f t="shared" si="74"/>
        <v>-0.20692923033558935</v>
      </c>
      <c r="AO183" s="9" t="e">
        <f t="shared" si="74"/>
        <v>#NUM!</v>
      </c>
      <c r="AP183" s="23"/>
      <c r="AQ183" s="25">
        <f t="shared" si="57"/>
        <v>4.6732106961868762</v>
      </c>
      <c r="AR183" s="4"/>
      <c r="AS183" s="4"/>
      <c r="AT183" s="4"/>
      <c r="AU183" s="16"/>
      <c r="AV183" s="16"/>
      <c r="AY183" s="21" t="e">
        <f>-Y183*W183*X183^(-Parameters!B$52)*Parameters!B$46*Parameters!B$45*N183</f>
        <v>#NUM!</v>
      </c>
      <c r="AZ183" s="7">
        <f>1000*EXP(-(Parameters!$B$54)*'6states,BAU'!A183)*AQ183*Parameters!B$46*Parameters!B$45*N183</f>
        <v>2.8426118895820045E-3</v>
      </c>
      <c r="BA183" s="93">
        <f>SUM(AZ183:AZ$204)*EXP(Parameters!$B$54*A183)</f>
        <v>6.4394209371432254</v>
      </c>
      <c r="BB183" s="43">
        <f t="shared" si="72"/>
        <v>522.00166032732022</v>
      </c>
      <c r="BC183" s="30">
        <f>IF(C183&lt;0,Parameters!$B$6*AC183^2/AF183,0)</f>
        <v>0</v>
      </c>
      <c r="BD183" s="30">
        <f>Parameters!$B$5*AD183^2/AG183</f>
        <v>1.2377638991452289</v>
      </c>
      <c r="BE183" s="30">
        <f t="shared" si="68"/>
        <v>0</v>
      </c>
      <c r="BF183" s="30">
        <f t="shared" si="69"/>
        <v>8.3036793699323527E-2</v>
      </c>
    </row>
    <row r="184" spans="1:58" x14ac:dyDescent="0.3">
      <c r="A184">
        <f>A183+Parameters!$B$65</f>
        <v>180</v>
      </c>
      <c r="B184">
        <v>2205</v>
      </c>
      <c r="C184" s="74">
        <v>9.4815493917677296E-2</v>
      </c>
      <c r="D184" s="69">
        <v>3.5446100503455599E-3</v>
      </c>
      <c r="E184" s="75">
        <v>0.483717095182782</v>
      </c>
      <c r="F184" s="7">
        <f>MAX((1-Parameters!$B$4)^Parameters!B$65*F183 + C183*Parameters!B$65 - IF(C183&gt;0,Parameters!$B$5,0)*C183^2/F183*Parameters!B$65, 0.0001)</f>
        <v>1.1200894155053351</v>
      </c>
      <c r="G184" s="7">
        <f>(1-Parameters!$B$4)^Parameters!B$65*G183+D183*Parameters!B$65-Parameters!$B$5*D183^2/G183*Parameters!B$65</f>
        <v>4.2344797480907713E-2</v>
      </c>
      <c r="H184" s="7">
        <f>(1-Parameters!$B$4)^Parameters!B$65*H183+E183*Parameters!B$65-Parameters!$B$5*E183^2/H183*Parameters!B$65</f>
        <v>5.6948336770410011</v>
      </c>
      <c r="I184" s="7">
        <f>I183 *(1-Parameters!$B$4)-C183*(C183&lt;0)*Parameters!B$65</f>
        <v>0</v>
      </c>
      <c r="J184" s="23">
        <f>J183*(1+Parameters!$B$51)^Parameters!B$65</f>
        <v>13.742438274159605</v>
      </c>
      <c r="K184" s="23">
        <f>K183*(1+Parameters!$B$53)^Parameters!B$65</f>
        <v>319.74492882768675</v>
      </c>
      <c r="L184" s="23">
        <f>J184*K184*EXP(-Parameters!$B$42*'6states,BAU'!A184)*(Parameters!$B$37/Parameters!$B$38*('6states,BAU'!F184+'6states,BAU'!I184)/Parameters!$E$25*(EXP(-Parameters!$B$38*Parameters!$E$25*'6states,BAU'!I184/('6states,BAU'!F184+'6states,BAU'!I184))-EXP(-Parameters!$B$38*Parameters!$E$25))  +  Parameters!$B$39*'6states,BAU'!F184)</f>
        <v>740.88862985184062</v>
      </c>
      <c r="M184" s="8">
        <f>M183+L184*Parameters!B$65</f>
        <v>45742.954220462489</v>
      </c>
      <c r="N184" s="7">
        <f>M184*Parameters!$B$45</f>
        <v>27.445772532277491</v>
      </c>
      <c r="O184" s="9">
        <f>EXP(-Parameters!$B$46/2*N184^2)</f>
        <v>5.1550280127451466E-4</v>
      </c>
      <c r="P184" s="7">
        <f>MAX((Parameters!$B$62 + Parameters!$B$31*'6states,BAU'!A184 - '6states,BAU'!M184 + Parameters!$B$47/Parameters!$B$45)/Parameters!B$62,1)</f>
        <v>1</v>
      </c>
      <c r="Q184" s="8"/>
      <c r="R184" s="8"/>
      <c r="S184" s="7">
        <f>Parameters!B$61*EXP(-Parameters!B$60*A184)+(1-Parameters!B$61)*P184^-Parameters!B$63</f>
        <v>0.50387524194556832</v>
      </c>
      <c r="T184" s="7">
        <f>1-S184/Parameters!$B$12</f>
        <v>0.74806237902721584</v>
      </c>
      <c r="U184" s="7">
        <f t="shared" si="59"/>
        <v>3.9692364964739668</v>
      </c>
      <c r="V184" s="7">
        <f>(Parameters!$B$19*(F184+Parameters!$B$20)^T184+Parameters!$B$18*G184^T184)^(1/T184)</f>
        <v>0.73143398502180235</v>
      </c>
      <c r="W184" s="7">
        <f>(Parameters!$B$10*H184^Parameters!$B$9+Parameters!$B$11*V184^Parameters!$B$9)^(Parameters!$B$7/Parameters!$B$9)*O184</f>
        <v>8.5660064908515195E-4</v>
      </c>
      <c r="X184" s="7">
        <f>W184 - D184 - E184 - LN(1+EXP(Parameters!$B$21*C184))/Parameters!$B$21 - IF(C184&gt;0, 0,Parameters!$B$6*C184^2/F184)</f>
        <v>-0.58122059850172114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-591.22059850172116</v>
      </c>
      <c r="AC184" s="23">
        <f t="shared" si="60"/>
        <v>416.62638649548637</v>
      </c>
      <c r="AD184" s="23">
        <f t="shared" si="60"/>
        <v>15.575282222262683</v>
      </c>
      <c r="AE184" s="23">
        <f t="shared" si="61"/>
        <v>0</v>
      </c>
      <c r="AF184" s="23">
        <f t="shared" si="62"/>
        <v>4921.7568400687924</v>
      </c>
      <c r="AG184" s="23">
        <f t="shared" si="63"/>
        <v>186.06621378433391</v>
      </c>
      <c r="AH184" s="23">
        <f t="shared" si="64"/>
        <v>3213.9757496196817</v>
      </c>
      <c r="AI184" s="23">
        <f t="shared" si="65"/>
        <v>7909.8390109126485</v>
      </c>
      <c r="AJ184" s="23">
        <f t="shared" si="66"/>
        <v>3.7639674524914146</v>
      </c>
      <c r="AK184" s="23">
        <f t="shared" si="67"/>
        <v>-2553.9268710740689</v>
      </c>
      <c r="AL184" s="9">
        <f t="shared" si="70"/>
        <v>-0.21637277606145511</v>
      </c>
      <c r="AM184" s="9" t="e">
        <f t="shared" si="70"/>
        <v>#NUM!</v>
      </c>
      <c r="AN184" s="9">
        <f t="shared" ref="AN184:AO199" si="75">AVERAGE(AL182:AL186)</f>
        <v>-0.21701745987903295</v>
      </c>
      <c r="AO184" s="9" t="e">
        <f t="shared" si="75"/>
        <v>#NUM!</v>
      </c>
      <c r="AP184" s="23"/>
      <c r="AQ184" s="25">
        <f t="shared" si="57"/>
        <v>3.7639674524914146</v>
      </c>
      <c r="AR184" s="4"/>
      <c r="AS184" s="4"/>
      <c r="AT184" s="4"/>
      <c r="AU184" s="16"/>
      <c r="AV184" s="16"/>
      <c r="AY184" s="21" t="e">
        <f>-Y184*W184*X184^(-Parameters!B$52)*Parameters!B$46*Parameters!B$45*N184</f>
        <v>#NUM!</v>
      </c>
      <c r="AZ184" s="7">
        <f>1000*EXP(-(Parameters!$B$54)*'6states,BAU'!A184)*AQ184*Parameters!B$46*Parameters!B$45*N184</f>
        <v>2.2469638746278006E-3</v>
      </c>
      <c r="BA184" s="93">
        <f>SUM(AZ184:AZ$204)*EXP(Parameters!$B$54*A184)</f>
        <v>5.0933351546937047</v>
      </c>
      <c r="BB184" s="43">
        <f t="shared" si="72"/>
        <v>679.51991371062161</v>
      </c>
      <c r="BC184" s="30">
        <f>IF(C184&lt;0,Parameters!$B$6*AC184^2/AF184,0)</f>
        <v>0</v>
      </c>
      <c r="BD184" s="30">
        <f>Parameters!$B$5*AD184^2/AG184</f>
        <v>1.3037800435081304</v>
      </c>
      <c r="BE184" s="30">
        <f t="shared" si="68"/>
        <v>0</v>
      </c>
      <c r="BF184" s="30">
        <f t="shared" si="69"/>
        <v>8.3708277314202342E-2</v>
      </c>
    </row>
    <row r="185" spans="1:58" x14ac:dyDescent="0.3">
      <c r="A185">
        <f>A184+Parameters!$B$65</f>
        <v>181</v>
      </c>
      <c r="B185">
        <v>2206</v>
      </c>
      <c r="C185" s="74">
        <v>9.7814730472971206E-2</v>
      </c>
      <c r="D185" s="69">
        <v>3.64546138616149E-3</v>
      </c>
      <c r="E185" s="75">
        <v>0.49451935896842802</v>
      </c>
      <c r="F185" s="7">
        <f>MAX((1-Parameters!$B$4)^Parameters!B$65*F184 + C184*Parameters!B$65 - IF(C184&gt;0,Parameters!$B$5,0)*C184^2/F184*Parameters!B$65, 0.0001)</f>
        <v>1.136425159985216</v>
      </c>
      <c r="G185" s="7">
        <f>(1-Parameters!$B$4)^Parameters!B$65*G184+D184*Parameters!B$65-Parameters!$B$5*D184^2/G184*Parameters!B$65</f>
        <v>4.292920656863914E-2</v>
      </c>
      <c r="H185" s="7">
        <f>(1-Parameters!$B$4)^Parameters!B$65*H184+E184*Parameters!B$65-Parameters!$B$5*E184^2/H184*Parameters!B$65</f>
        <v>5.7792589803220125</v>
      </c>
      <c r="I185" s="7">
        <f>I184 *(1-Parameters!$B$4)-C184*(C184&lt;0)*Parameters!B$65</f>
        <v>0</v>
      </c>
      <c r="J185" s="23">
        <f>J184*(1+Parameters!$B$51)^Parameters!B$65</f>
        <v>13.782291345154666</v>
      </c>
      <c r="K185" s="23">
        <f>K184*(1+Parameters!$B$53)^Parameters!B$65</f>
        <v>326.13982740424046</v>
      </c>
      <c r="L185" s="23">
        <f>J185*K185*EXP(-Parameters!$B$42*'6states,BAU'!A185)*(Parameters!$B$37/Parameters!$B$38*('6states,BAU'!F185+'6states,BAU'!I185)/Parameters!$E$25*(EXP(-Parameters!$B$38*Parameters!$E$25*'6states,BAU'!I185/('6states,BAU'!F185+'6states,BAU'!I185))-EXP(-Parameters!$B$38*Parameters!$E$25))  +  Parameters!$B$39*'6states,BAU'!F185)</f>
        <v>761.30018456861262</v>
      </c>
      <c r="M185" s="8">
        <f>M184+L185*Parameters!B$65</f>
        <v>46504.254405031104</v>
      </c>
      <c r="N185" s="7">
        <f>M185*Parameters!$B$45</f>
        <v>27.902552643018659</v>
      </c>
      <c r="O185" s="9">
        <f>EXP(-Parameters!$B$46/2*N185^2)</f>
        <v>3.9983761244794821E-4</v>
      </c>
      <c r="P185" s="7">
        <f>MAX((Parameters!$B$62 + Parameters!$B$31*'6states,BAU'!A185 - '6states,BAU'!M185 + Parameters!$B$47/Parameters!$B$45)/Parameters!B$62,1)</f>
        <v>1</v>
      </c>
      <c r="Q185" s="8"/>
      <c r="R185" s="8"/>
      <c r="S185" s="7">
        <f>Parameters!B$61*EXP(-Parameters!B$60*A185)+(1-Parameters!B$61)*P185^-Parameters!B$63</f>
        <v>0.50377201031134555</v>
      </c>
      <c r="T185" s="7">
        <f>1-S185/Parameters!$B$12</f>
        <v>0.74811399484432717</v>
      </c>
      <c r="U185" s="7">
        <f t="shared" si="59"/>
        <v>3.970049861968199</v>
      </c>
      <c r="V185" s="7">
        <f>(Parameters!$B$19*(F185+Parameters!$B$20)^T185+Parameters!$B$18*G185^T185)^(1/T185)</f>
        <v>0.74200601955548529</v>
      </c>
      <c r="W185" s="7">
        <f>(Parameters!$B$10*H185^Parameters!$B$9+Parameters!$B$11*V185^Parameters!$B$9)^(Parameters!$B$7/Parameters!$B$9)*O185</f>
        <v>6.673293221101088E-4</v>
      </c>
      <c r="X185" s="7">
        <f>W185 - D185 - E185 - LN(1+EXP(Parameters!$B$21*C185))/Parameters!$B$21 - IF(C185&gt;0, 0,Parameters!$B$6*C185^2/F185)</f>
        <v>-0.59531222150545127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-605.31222150545125</v>
      </c>
      <c r="AC185" s="23">
        <f t="shared" si="60"/>
        <v>439.67272578935336</v>
      </c>
      <c r="AD185" s="23">
        <f t="shared" si="60"/>
        <v>16.386181679009539</v>
      </c>
      <c r="AE185" s="23">
        <f t="shared" si="61"/>
        <v>0</v>
      </c>
      <c r="AF185" s="23">
        <f t="shared" si="62"/>
        <v>5108.1789555650803</v>
      </c>
      <c r="AG185" s="23">
        <f t="shared" si="63"/>
        <v>192.96481395737618</v>
      </c>
      <c r="AH185" s="23">
        <f t="shared" si="64"/>
        <v>3335.283015069158</v>
      </c>
      <c r="AI185" s="23">
        <f t="shared" si="65"/>
        <v>8208.3854267258193</v>
      </c>
      <c r="AJ185" s="23">
        <f t="shared" si="66"/>
        <v>2.9996146861784676</v>
      </c>
      <c r="AK185" s="23">
        <f t="shared" si="67"/>
        <v>-2675.9011230659517</v>
      </c>
      <c r="AL185" s="9">
        <f t="shared" si="70"/>
        <v>-0.22698973215371643</v>
      </c>
      <c r="AM185" s="9" t="e">
        <f t="shared" si="70"/>
        <v>#NUM!</v>
      </c>
      <c r="AN185" s="9">
        <f t="shared" si="75"/>
        <v>-0.22778324346861303</v>
      </c>
      <c r="AO185" s="9" t="e">
        <f t="shared" si="75"/>
        <v>#NUM!</v>
      </c>
      <c r="AP185" s="23"/>
      <c r="AQ185" s="25">
        <f t="shared" si="57"/>
        <v>2.9996146861784676</v>
      </c>
      <c r="AR185" s="4"/>
      <c r="AS185" s="4"/>
      <c r="AT185" s="4"/>
      <c r="AU185" s="16"/>
      <c r="AV185" s="16"/>
      <c r="AY185" s="21" t="e">
        <f>-Y185*W185*X185^(-Parameters!B$52)*Parameters!B$46*Parameters!B$45*N185</f>
        <v>#NUM!</v>
      </c>
      <c r="AZ185" s="7">
        <f>1000*EXP(-(Parameters!$B$54)*'6states,BAU'!A185)*AQ185*Parameters!B$46*Parameters!B$45*N185</f>
        <v>1.757682554500147E-3</v>
      </c>
      <c r="BA185" s="93">
        <f>SUM(AZ185:AZ$204)*EXP(Parameters!$B$54*A185)</f>
        <v>3.9849214005304661</v>
      </c>
      <c r="BB185" s="43">
        <f t="shared" si="72"/>
        <v>893.08161814778543</v>
      </c>
      <c r="BC185" s="30">
        <f>IF(C185&lt;0,Parameters!$B$6*AC185^2/AF185,0)</f>
        <v>0</v>
      </c>
      <c r="BD185" s="30">
        <f>Parameters!$B$5*AD185^2/AG185</f>
        <v>1.3914814028054778</v>
      </c>
      <c r="BE185" s="30">
        <f t="shared" si="68"/>
        <v>0</v>
      </c>
      <c r="BF185" s="30">
        <f t="shared" si="69"/>
        <v>8.4917977236145581E-2</v>
      </c>
    </row>
    <row r="186" spans="1:58" x14ac:dyDescent="0.3">
      <c r="A186">
        <f>A185+Parameters!$B$65</f>
        <v>182</v>
      </c>
      <c r="B186">
        <v>2207</v>
      </c>
      <c r="C186" s="74">
        <v>0.100353524158609</v>
      </c>
      <c r="D186" s="69">
        <v>3.7382065046976101E-3</v>
      </c>
      <c r="E186" s="75">
        <v>0.50721742858993701</v>
      </c>
      <c r="F186" s="7">
        <f>MAX((1-Parameters!$B$4)^Parameters!B$65*F185 + C185*Parameters!B$65 - IF(C185&gt;0,Parameters!$B$5,0)*C185^2/F185*Parameters!B$65, 0.0001)</f>
        <v>1.1543396087961337</v>
      </c>
      <c r="G186" s="7">
        <f>(1-Parameters!$B$4)^Parameters!B$65*G185+D185*Parameters!B$65-Parameters!$B$5*D185^2/G185*Parameters!B$65</f>
        <v>4.3564855654627921E-2</v>
      </c>
      <c r="H186" s="7">
        <f>(1-Parameters!$B$4)^Parameters!B$65*H185+E185*Parameters!B$65-Parameters!$B$5*E185^2/H185*Parameters!B$65</f>
        <v>5.8679479403193682</v>
      </c>
      <c r="I186" s="7">
        <f>I185 *(1-Parameters!$B$4)-C185*(C185&lt;0)*Parameters!B$65</f>
        <v>0</v>
      </c>
      <c r="J186" s="23">
        <f>J185*(1+Parameters!$B$51)^Parameters!B$65</f>
        <v>13.822259990055613</v>
      </c>
      <c r="K186" s="23">
        <f>K185*(1+Parameters!$B$53)^Parameters!B$65</f>
        <v>332.6626239523253</v>
      </c>
      <c r="L186" s="23">
        <f>J186*K186*EXP(-Parameters!$B$42*'6states,BAU'!A186)*(Parameters!$B$37/Parameters!$B$38*('6states,BAU'!F186+'6states,BAU'!I186)/Parameters!$E$25*(EXP(-Parameters!$B$38*Parameters!$E$25*'6states,BAU'!I186/('6states,BAU'!F186+'6states,BAU'!I186))-EXP(-Parameters!$B$38*Parameters!$E$25))  +  Parameters!$B$39*'6states,BAU'!F186)</f>
        <v>783.18353910087387</v>
      </c>
      <c r="M186" s="8">
        <f>M185+L186*Parameters!B$65</f>
        <v>47287.437944131976</v>
      </c>
      <c r="N186" s="7">
        <f>M186*Parameters!$B$45</f>
        <v>28.372462766479185</v>
      </c>
      <c r="O186" s="9">
        <f>EXP(-Parameters!$B$46/2*N186^2)</f>
        <v>3.065234592012712E-4</v>
      </c>
      <c r="P186" s="7">
        <f>MAX((Parameters!$B$62 + Parameters!$B$31*'6states,BAU'!A186 - '6states,BAU'!M186 + Parameters!$B$47/Parameters!$B$45)/Parameters!B$62,1)</f>
        <v>1</v>
      </c>
      <c r="Q186" s="8"/>
      <c r="R186" s="8"/>
      <c r="S186" s="7">
        <f>Parameters!B$61*EXP(-Parameters!B$60*A186)+(1-Parameters!B$61)*P186^-Parameters!B$63</f>
        <v>0.503671528639694</v>
      </c>
      <c r="T186" s="7">
        <f>1-S186/Parameters!$B$12</f>
        <v>0.748164235680153</v>
      </c>
      <c r="U186" s="7">
        <f t="shared" si="59"/>
        <v>3.9708418806231913</v>
      </c>
      <c r="V186" s="7">
        <f>(Parameters!$B$19*(F186+Parameters!$B$20)^T186+Parameters!$B$18*G186^T186)^(1/T186)</f>
        <v>0.75359498715113316</v>
      </c>
      <c r="W186" s="7">
        <f>(Parameters!$B$10*H186^Parameters!$B$9+Parameters!$B$11*V186^Parameters!$B$9)^(Parameters!$B$7/Parameters!$B$9)*O186</f>
        <v>5.1393770456947124E-4</v>
      </c>
      <c r="X186" s="7">
        <f>W186 - D186 - E186 - LN(1+EXP(Parameters!$B$21*C186))/Parameters!$B$21 - IF(C186&gt;0, 0,Parameters!$B$6*C186^2/F186)</f>
        <v>-0.61079522154867449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-620.79522154867448</v>
      </c>
      <c r="AC186" s="23">
        <f t="shared" si="60"/>
        <v>461.4404845787102</v>
      </c>
      <c r="AD186" s="23">
        <f t="shared" si="60"/>
        <v>17.18883153776093</v>
      </c>
      <c r="AE186" s="23">
        <f t="shared" si="61"/>
        <v>0</v>
      </c>
      <c r="AF186" s="23">
        <f t="shared" si="62"/>
        <v>5307.8258378790742</v>
      </c>
      <c r="AG186" s="23">
        <f t="shared" si="63"/>
        <v>200.31770954152918</v>
      </c>
      <c r="AH186" s="23">
        <f t="shared" si="64"/>
        <v>3465.1422455030379</v>
      </c>
      <c r="AI186" s="23">
        <f t="shared" si="65"/>
        <v>8527.9788794563028</v>
      </c>
      <c r="AJ186" s="23">
        <f t="shared" si="66"/>
        <v>2.3631622848141141</v>
      </c>
      <c r="AK186" s="23">
        <f t="shared" si="67"/>
        <v>-2808.5276065076027</v>
      </c>
      <c r="AL186" s="9">
        <f t="shared" si="70"/>
        <v>-0.23848316918225732</v>
      </c>
      <c r="AM186" s="9" t="e">
        <f t="shared" si="70"/>
        <v>#NUM!</v>
      </c>
      <c r="AN186" s="9">
        <f t="shared" si="75"/>
        <v>-0.23925951964303893</v>
      </c>
      <c r="AO186" s="9" t="e">
        <f t="shared" si="75"/>
        <v>#NUM!</v>
      </c>
      <c r="AP186" s="23"/>
      <c r="AQ186" s="25">
        <f t="shared" si="57"/>
        <v>2.3631622848141136</v>
      </c>
      <c r="AR186" s="4"/>
      <c r="AS186" s="4"/>
      <c r="AT186" s="4"/>
      <c r="AU186" s="16"/>
      <c r="AV186" s="16"/>
      <c r="AY186" s="21" t="e">
        <f>-Y186*W186*X186^(-Parameters!B$52)*Parameters!B$46*Parameters!B$45*N186</f>
        <v>#NUM!</v>
      </c>
      <c r="AZ186" s="7">
        <f>1000*EXP(-(Parameters!$B$54)*'6states,BAU'!A186)*AQ186*Parameters!B$46*Parameters!B$45*N186</f>
        <v>1.3594958309463454E-3</v>
      </c>
      <c r="BA186" s="93">
        <f>SUM(AZ186:AZ$204)*EXP(Parameters!$B$54*A186)</f>
        <v>3.0818326246894858</v>
      </c>
      <c r="BB186" s="43">
        <f t="shared" si="72"/>
        <v>1189.4615900293616</v>
      </c>
      <c r="BC186" s="30">
        <f>IF(C186&lt;0,Parameters!$B$6*AC186^2/AF186,0)</f>
        <v>0</v>
      </c>
      <c r="BD186" s="30">
        <f>Parameters!$B$5*AD186^2/AG186</f>
        <v>1.4749366409477234</v>
      </c>
      <c r="BE186" s="30">
        <f t="shared" si="68"/>
        <v>0</v>
      </c>
      <c r="BF186" s="30">
        <f t="shared" si="69"/>
        <v>8.5807847828838116E-2</v>
      </c>
    </row>
    <row r="187" spans="1:58" x14ac:dyDescent="0.3">
      <c r="A187">
        <f>A186+Parameters!$B$65</f>
        <v>183</v>
      </c>
      <c r="B187">
        <v>2208</v>
      </c>
      <c r="C187" s="74">
        <v>0.102454938346801</v>
      </c>
      <c r="D187" s="69">
        <v>3.8254010938557899E-3</v>
      </c>
      <c r="E187" s="75">
        <v>0.52165767284275399</v>
      </c>
      <c r="F187" s="7">
        <f>MAX((1-Parameters!$B$4)^Parameters!B$65*F186 + C186*Parameters!B$65 - IF(C186&gt;0,Parameters!$B$5,0)*C186^2/F186*Parameters!B$65, 0.0001)</f>
        <v>1.1733608501102117</v>
      </c>
      <c r="G187" s="7">
        <f>(1-Parameters!$B$4)^Parameters!B$65*G186+D186*Parameters!B$65-Parameters!$B$5*D186^2/G186*Parameters!B$65</f>
        <v>4.4242065283741569E-2</v>
      </c>
      <c r="H187" s="7">
        <f>(1-Parameters!$B$4)^Parameters!B$65*H186+E186*Parameters!B$65-Parameters!$B$5*E186^2/H186*Parameters!B$65</f>
        <v>5.9622282596991516</v>
      </c>
      <c r="I187" s="7">
        <f>I186 *(1-Parameters!$B$4)-C186*(C186&lt;0)*Parameters!B$65</f>
        <v>0</v>
      </c>
      <c r="J187" s="23">
        <f>J186*(1+Parameters!$B$51)^Parameters!B$65</f>
        <v>13.862344544026774</v>
      </c>
      <c r="K187" s="23">
        <f>K186*(1+Parameters!$B$53)^Parameters!B$65</f>
        <v>339.31587643137181</v>
      </c>
      <c r="L187" s="23">
        <f>J187*K187*EXP(-Parameters!$B$42*'6states,BAU'!A187)*(Parameters!$B$37/Parameters!$B$38*('6states,BAU'!F187+'6states,BAU'!I187)/Parameters!$E$25*(EXP(-Parameters!$B$38*Parameters!$E$25*'6states,BAU'!I187/('6states,BAU'!F187+'6states,BAU'!I187))-EXP(-Parameters!$B$38*Parameters!$E$25))  +  Parameters!$B$39*'6states,BAU'!F187)</f>
        <v>806.26239626271592</v>
      </c>
      <c r="M187" s="8">
        <f>M186+L187*Parameters!B$65</f>
        <v>48093.700340394695</v>
      </c>
      <c r="N187" s="7">
        <f>M187*Parameters!$B$45</f>
        <v>28.856220204236813</v>
      </c>
      <c r="O187" s="9">
        <f>EXP(-Parameters!$B$46/2*N187^2)</f>
        <v>2.3207533551117639E-4</v>
      </c>
      <c r="P187" s="7">
        <f>MAX((Parameters!$B$62 + Parameters!$B$31*'6states,BAU'!A187 - '6states,BAU'!M187 + Parameters!$B$47/Parameters!$B$45)/Parameters!B$62,1)</f>
        <v>1</v>
      </c>
      <c r="Q187" s="8"/>
      <c r="R187" s="8"/>
      <c r="S187" s="7">
        <f>Parameters!B$61*EXP(-Parameters!B$60*A187)+(1-Parameters!B$61)*P187^-Parameters!B$63</f>
        <v>0.50357372367502462</v>
      </c>
      <c r="T187" s="7">
        <f>1-S187/Parameters!$B$12</f>
        <v>0.74821313816248769</v>
      </c>
      <c r="U187" s="7">
        <f t="shared" si="59"/>
        <v>3.9716131044412406</v>
      </c>
      <c r="V187" s="7">
        <f>(Parameters!$B$19*(F187+Parameters!$B$20)^T187+Parameters!$B$18*G187^T187)^(1/T187)</f>
        <v>0.76590047165876107</v>
      </c>
      <c r="W187" s="7">
        <f>(Parameters!$B$10*H187^Parameters!$B$9+Parameters!$B$11*V187^Parameters!$B$9)^(Parameters!$B$7/Parameters!$B$9)*O187</f>
        <v>3.9098328355323175E-4</v>
      </c>
      <c r="X187" s="7">
        <f>W187 - D187 - E187 - LN(1+EXP(Parameters!$B$21*C187))/Parameters!$B$21 - IF(C187&gt;0, 0,Parameters!$B$6*C187^2/F187)</f>
        <v>-0.6275470289998577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-637.54702899985773</v>
      </c>
      <c r="AC187" s="23">
        <f t="shared" si="60"/>
        <v>481.91868569541856</v>
      </c>
      <c r="AD187" s="23">
        <f t="shared" si="60"/>
        <v>17.993591106058776</v>
      </c>
      <c r="AE187" s="23">
        <f t="shared" si="61"/>
        <v>0</v>
      </c>
      <c r="AF187" s="23">
        <f t="shared" si="62"/>
        <v>5519.1533747014164</v>
      </c>
      <c r="AG187" s="23">
        <f t="shared" si="63"/>
        <v>208.102003651807</v>
      </c>
      <c r="AH187" s="23">
        <f t="shared" si="64"/>
        <v>3602.5764558650571</v>
      </c>
      <c r="AI187" s="23">
        <f t="shared" si="65"/>
        <v>8866.2149344993795</v>
      </c>
      <c r="AJ187" s="23">
        <f t="shared" si="66"/>
        <v>1.8390733836670725</v>
      </c>
      <c r="AK187" s="23">
        <f t="shared" si="67"/>
        <v>-2951.8014876353586</v>
      </c>
      <c r="AL187" s="9">
        <f t="shared" si="70"/>
        <v>-0.25073882435567119</v>
      </c>
      <c r="AM187" s="9" t="e">
        <f t="shared" si="70"/>
        <v>#NUM!</v>
      </c>
      <c r="AN187" s="9">
        <f t="shared" si="75"/>
        <v>-0.25151278810398908</v>
      </c>
      <c r="AO187" s="9" t="e">
        <f t="shared" si="75"/>
        <v>#NUM!</v>
      </c>
      <c r="AP187" s="23"/>
      <c r="AQ187" s="25">
        <f t="shared" si="57"/>
        <v>1.8390733836670725</v>
      </c>
      <c r="AR187" s="4"/>
      <c r="AS187" s="4"/>
      <c r="AT187" s="4"/>
      <c r="AU187" s="16"/>
      <c r="AV187" s="16"/>
      <c r="AY187" s="21" t="e">
        <f>-Y187*W187*X187^(-Parameters!B$52)*Parameters!B$46*Parameters!B$45*N187</f>
        <v>#NUM!</v>
      </c>
      <c r="AZ187" s="7">
        <f>1000*EXP(-(Parameters!$B$54)*'6states,BAU'!A187)*AQ187*Parameters!B$46*Parameters!B$45*N187</f>
        <v>1.0389198991354505E-3</v>
      </c>
      <c r="BA187" s="93">
        <f>SUM(AZ187:AZ$204)*EXP(Parameters!$B$54*A187)</f>
        <v>2.3544319335696944</v>
      </c>
      <c r="BB187" s="43">
        <f t="shared" si="72"/>
        <v>1606.0482345351168</v>
      </c>
      <c r="BC187" s="30">
        <f>IF(C187&lt;0,Parameters!$B$6*AC187^2/AF187,0)</f>
        <v>0</v>
      </c>
      <c r="BD187" s="30">
        <f>Parameters!$B$5*AD187^2/AG187</f>
        <v>1.5558202958668446</v>
      </c>
      <c r="BE187" s="30">
        <f t="shared" si="68"/>
        <v>0</v>
      </c>
      <c r="BF187" s="30">
        <f t="shared" si="69"/>
        <v>8.6465246803511669E-2</v>
      </c>
    </row>
    <row r="188" spans="1:58" x14ac:dyDescent="0.3">
      <c r="A188">
        <f>A187+Parameters!$B$65</f>
        <v>184</v>
      </c>
      <c r="B188">
        <v>2209</v>
      </c>
      <c r="C188" s="74">
        <v>0.105330175172572</v>
      </c>
      <c r="D188" s="69">
        <v>3.9291247144239098E-3</v>
      </c>
      <c r="E188" s="75">
        <v>0.53561155913610703</v>
      </c>
      <c r="F188" s="7">
        <f>MAX((1-Parameters!$B$4)^Parameters!B$65*F187 + C187*Parameters!B$65 - IF(C187&gt;0,Parameters!$B$5,0)*C187^2/F187*Parameters!B$65, 0.0001)</f>
        <v>1.1930652817036427</v>
      </c>
      <c r="G188" s="7">
        <f>(1-Parameters!$B$4)^Parameters!B$65*G187+D187*Parameters!B$65-Parameters!$B$5*D187^2/G187*Parameters!B$65</f>
        <v>4.4953876221547354E-2</v>
      </c>
      <c r="H188" s="7">
        <f>(1-Parameters!$B$4)^Parameters!B$65*H187+E187*Parameters!B$65-Parameters!$B$5*E187^2/H187*Parameters!B$65</f>
        <v>6.0632199921393202</v>
      </c>
      <c r="I188" s="7">
        <f>I187 *(1-Parameters!$B$4)-C187*(C187&lt;0)*Parameters!B$65</f>
        <v>0</v>
      </c>
      <c r="J188" s="23">
        <f>J187*(1+Parameters!$B$51)^Parameters!B$65</f>
        <v>13.90254534320445</v>
      </c>
      <c r="K188" s="23">
        <f>K187*(1+Parameters!$B$53)^Parameters!B$65</f>
        <v>346.10219395999923</v>
      </c>
      <c r="L188" s="23">
        <f>J188*K188*EXP(-Parameters!$B$42*'6states,BAU'!A188)*(Parameters!$B$37/Parameters!$B$38*('6states,BAU'!F188+'6states,BAU'!I188)/Parameters!$E$25*(EXP(-Parameters!$B$38*Parameters!$E$25*'6states,BAU'!I188/('6states,BAU'!F188+'6states,BAU'!I188))-EXP(-Parameters!$B$38*Parameters!$E$25))  +  Parameters!$B$39*'6states,BAU'!F188)</f>
        <v>830.27866332288909</v>
      </c>
      <c r="M188" s="8">
        <f>M187+L188*Parameters!B$65</f>
        <v>48923.979003717584</v>
      </c>
      <c r="N188" s="7">
        <f>M188*Parameters!$B$45</f>
        <v>29.354387402230547</v>
      </c>
      <c r="O188" s="9">
        <f>EXP(-Parameters!$B$46/2*N188^2)</f>
        <v>1.734043165046949E-4</v>
      </c>
      <c r="P188" s="7">
        <f>MAX((Parameters!$B$62 + Parameters!$B$31*'6states,BAU'!A188 - '6states,BAU'!M188 + Parameters!$B$47/Parameters!$B$45)/Parameters!B$62,1)</f>
        <v>1</v>
      </c>
      <c r="Q188" s="8"/>
      <c r="R188" s="8"/>
      <c r="S188" s="7">
        <f>Parameters!B$61*EXP(-Parameters!B$60*A188)+(1-Parameters!B$61)*P188^-Parameters!B$63</f>
        <v>0.50347852411318694</v>
      </c>
      <c r="T188" s="7">
        <f>1-S188/Parameters!$B$12</f>
        <v>0.74826073794340653</v>
      </c>
      <c r="U188" s="7">
        <f t="shared" si="59"/>
        <v>3.972364071581294</v>
      </c>
      <c r="V188" s="7">
        <f>(Parameters!$B$19*(F188+Parameters!$B$20)^T188+Parameters!$B$18*G188^T188)^(1/T188)</f>
        <v>0.77865386738052256</v>
      </c>
      <c r="W188" s="7">
        <f>(Parameters!$B$10*H188^Parameters!$B$9+Parameters!$B$11*V188^Parameters!$B$9)^(Parameters!$B$7/Parameters!$B$9)*O188</f>
        <v>2.9361027101228513E-4</v>
      </c>
      <c r="X188" s="7">
        <f>W188 - D188 - E188 - LN(1+EXP(Parameters!$B$21*C188))/Parameters!$B$21 - IF(C188&gt;0, 0,Parameters!$B$6*C188^2/F188)</f>
        <v>-0.64457724875209066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-654.57724875209067</v>
      </c>
      <c r="AC188" s="23">
        <f t="shared" si="60"/>
        <v>506.81735607063877</v>
      </c>
      <c r="AD188" s="23">
        <f t="shared" si="60"/>
        <v>18.905775065630738</v>
      </c>
      <c r="AE188" s="23">
        <f t="shared" si="61"/>
        <v>0</v>
      </c>
      <c r="AF188" s="23">
        <f t="shared" si="62"/>
        <v>5740.6739398470809</v>
      </c>
      <c r="AG188" s="23">
        <f t="shared" si="63"/>
        <v>216.30463116958902</v>
      </c>
      <c r="AH188" s="23">
        <f t="shared" si="64"/>
        <v>3746.6499387607337</v>
      </c>
      <c r="AI188" s="23">
        <f t="shared" si="65"/>
        <v>9220.7907447185862</v>
      </c>
      <c r="AJ188" s="23">
        <f t="shared" si="66"/>
        <v>1.4127649652706491</v>
      </c>
      <c r="AK188" s="23">
        <f t="shared" si="67"/>
        <v>-3101.513279177469</v>
      </c>
      <c r="AL188" s="9">
        <f t="shared" si="70"/>
        <v>-0.26371309646209457</v>
      </c>
      <c r="AM188" s="9" t="e">
        <f t="shared" si="70"/>
        <v>#NUM!</v>
      </c>
      <c r="AN188" s="9">
        <f t="shared" si="75"/>
        <v>-0.26464254776209734</v>
      </c>
      <c r="AO188" s="9" t="e">
        <f t="shared" si="75"/>
        <v>#NUM!</v>
      </c>
      <c r="AP188" s="23"/>
      <c r="AQ188" s="25">
        <f t="shared" si="57"/>
        <v>1.4127649652706491</v>
      </c>
      <c r="AR188" s="4"/>
      <c r="AS188" s="4"/>
      <c r="AT188" s="4"/>
      <c r="AU188" s="16"/>
      <c r="AV188" s="16"/>
      <c r="AY188" s="21" t="e">
        <f>-Y188*W188*X188^(-Parameters!B$52)*Parameters!B$46*Parameters!B$45*N188</f>
        <v>#NUM!</v>
      </c>
      <c r="AZ188" s="7">
        <f>1000*EXP(-(Parameters!$B$54)*'6states,BAU'!A188)*AQ188*Parameters!B$46*Parameters!B$45*N188</f>
        <v>7.838676900818822E-4</v>
      </c>
      <c r="BA188" s="93">
        <f>SUM(AZ188:AZ$204)*EXP(Parameters!$B$54*A188)</f>
        <v>1.7756681506185739</v>
      </c>
      <c r="BB188" s="43">
        <f t="shared" si="72"/>
        <v>2196.3497966190716</v>
      </c>
      <c r="BC188" s="30">
        <f>IF(C188&lt;0,Parameters!$B$6*AC188^2/AF188,0)</f>
        <v>0</v>
      </c>
      <c r="BD188" s="30">
        <f>Parameters!$B$5*AD188^2/AG188</f>
        <v>1.6524303196818331</v>
      </c>
      <c r="BE188" s="30">
        <f t="shared" si="68"/>
        <v>0</v>
      </c>
      <c r="BF188" s="30">
        <f t="shared" si="69"/>
        <v>8.74034687255867E-2</v>
      </c>
    </row>
    <row r="189" spans="1:58" x14ac:dyDescent="0.3">
      <c r="A189">
        <f>A188+Parameters!$B$65</f>
        <v>185</v>
      </c>
      <c r="B189">
        <v>2210</v>
      </c>
      <c r="C189" s="74">
        <v>0.108596656087244</v>
      </c>
      <c r="D189" s="69">
        <v>4.0456526070197299E-3</v>
      </c>
      <c r="E189" s="75">
        <v>0.549652718127704</v>
      </c>
      <c r="F189" s="7">
        <f>MAX((1-Parameters!$B$4)^Parameters!B$65*F188 + C188*Parameters!B$65 - IF(C188&gt;0,Parameters!$B$5,0)*C188^2/F188*Parameters!B$65, 0.0001)</f>
        <v>1.2140525402294664</v>
      </c>
      <c r="G189" s="7">
        <f>(1-Parameters!$B$4)^Parameters!B$65*G188+D188*Parameters!B$65-Parameters!$B$5*D188^2/G188*Parameters!B$65</f>
        <v>4.5711982992539854E-2</v>
      </c>
      <c r="H189" s="7">
        <f>(1-Parameters!$B$4)^Parameters!B$65*H188+E188*Parameters!B$65-Parameters!$B$5*E188^2/H188*Parameters!B$65</f>
        <v>6.1701402630842326</v>
      </c>
      <c r="I189" s="7">
        <f>I188 *(1-Parameters!$B$4)-C188*(C188&lt;0)*Parameters!B$65</f>
        <v>0</v>
      </c>
      <c r="J189" s="23">
        <f>J188*(1+Parameters!$B$51)^Parameters!B$65</f>
        <v>13.942862724699742</v>
      </c>
      <c r="K189" s="23">
        <f>K188*(1+Parameters!$B$53)^Parameters!B$65</f>
        <v>353.0242378391992</v>
      </c>
      <c r="L189" s="23">
        <f>J189*K189*EXP(-Parameters!$B$42*'6states,BAU'!A189)*(Parameters!$B$37/Parameters!$B$38*('6states,BAU'!F189+'6states,BAU'!I189)/Parameters!$E$25*(EXP(-Parameters!$B$38*Parameters!$E$25*'6states,BAU'!I189/('6states,BAU'!F189+'6states,BAU'!I189))-EXP(-Parameters!$B$38*Parameters!$E$25))  +  Parameters!$B$39*'6states,BAU'!F189)</f>
        <v>855.68123850112579</v>
      </c>
      <c r="M189" s="8">
        <f>M188+L189*Parameters!B$65</f>
        <v>49779.660242218713</v>
      </c>
      <c r="N189" s="7">
        <f>M189*Parameters!$B$45</f>
        <v>29.867796145331226</v>
      </c>
      <c r="O189" s="9">
        <f>EXP(-Parameters!$B$46/2*N189^2)</f>
        <v>1.2774726627645211E-4</v>
      </c>
      <c r="P189" s="7">
        <f>MAX((Parameters!$B$62 + Parameters!$B$31*'6states,BAU'!A189 - '6states,BAU'!M189 + Parameters!$B$47/Parameters!$B$45)/Parameters!B$62,1)</f>
        <v>1</v>
      </c>
      <c r="Q189" s="8"/>
      <c r="R189" s="8"/>
      <c r="S189" s="7">
        <f>Parameters!B$61*EXP(-Parameters!B$60*A189)+(1-Parameters!B$61)*P189^-Parameters!B$63</f>
        <v>0.50338586054948398</v>
      </c>
      <c r="T189" s="7">
        <f>1-S189/Parameters!$B$12</f>
        <v>0.74830706972525807</v>
      </c>
      <c r="U189" s="7">
        <f t="shared" si="59"/>
        <v>3.9730953066835215</v>
      </c>
      <c r="V189" s="7">
        <f>(Parameters!$B$19*(F189+Parameters!$B$20)^T189+Parameters!$B$18*G189^T189)^(1/T189)</f>
        <v>0.79223662669111705</v>
      </c>
      <c r="W189" s="7">
        <f>(Parameters!$B$10*H189^Parameters!$B$9+Parameters!$B$11*V189^Parameters!$B$9)^(Parameters!$B$7/Parameters!$B$9)*O189</f>
        <v>2.1743843008084279E-4</v>
      </c>
      <c r="X189" s="7">
        <f>W189 - D189 - E189 - LN(1+EXP(Parameters!$B$21*C189))/Parameters!$B$21 - IF(C189&gt;0, 0,Parameters!$B$6*C189^2/F189)</f>
        <v>-0.66207758839188691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-672.07758839188693</v>
      </c>
      <c r="AC189" s="23">
        <f t="shared" si="60"/>
        <v>534.53103835186073</v>
      </c>
      <c r="AD189" s="23">
        <f t="shared" si="60"/>
        <v>19.913383770342296</v>
      </c>
      <c r="AE189" s="23">
        <f t="shared" si="61"/>
        <v>0</v>
      </c>
      <c r="AF189" s="23">
        <f t="shared" si="62"/>
        <v>5975.7711546957826</v>
      </c>
      <c r="AG189" s="23">
        <f t="shared" si="63"/>
        <v>225.00208214970124</v>
      </c>
      <c r="AH189" s="23">
        <f t="shared" si="64"/>
        <v>3899.5221578956202</v>
      </c>
      <c r="AI189" s="23">
        <f t="shared" si="65"/>
        <v>9597.0209147007317</v>
      </c>
      <c r="AJ189" s="23">
        <f t="shared" si="66"/>
        <v>1.0702685883379031</v>
      </c>
      <c r="AK189" s="23">
        <f t="shared" si="67"/>
        <v>-3258.8574413220922</v>
      </c>
      <c r="AL189" s="9">
        <f t="shared" si="70"/>
        <v>-0.27763911836620586</v>
      </c>
      <c r="AM189" s="9" t="e">
        <f t="shared" si="70"/>
        <v>#NUM!</v>
      </c>
      <c r="AN189" s="9">
        <f t="shared" si="75"/>
        <v>-0.2786715759297072</v>
      </c>
      <c r="AO189" s="9" t="e">
        <f t="shared" si="75"/>
        <v>#NUM!</v>
      </c>
      <c r="AP189" s="23"/>
      <c r="AQ189" s="25">
        <f t="shared" si="57"/>
        <v>1.0702685883379028</v>
      </c>
      <c r="AR189" s="4"/>
      <c r="AS189" s="4"/>
      <c r="AT189" s="4"/>
      <c r="AU189" s="16"/>
      <c r="AV189" s="16"/>
      <c r="AY189" s="21" t="e">
        <f>-Y189*W189*X189^(-Parameters!B$52)*Parameters!B$46*Parameters!B$45*N189</f>
        <v>#NUM!</v>
      </c>
      <c r="AZ189" s="7">
        <f>1000*EXP(-(Parameters!$B$54)*'6states,BAU'!A189)*AQ189*Parameters!B$46*Parameters!B$45*N189</f>
        <v>5.8338068681821882E-4</v>
      </c>
      <c r="BA189" s="93">
        <f>SUM(AZ189:AZ$204)*EXP(Parameters!$B$54*A189)</f>
        <v>1.3210957978241453</v>
      </c>
      <c r="BB189" s="43">
        <f t="shared" si="72"/>
        <v>3045.8968388234266</v>
      </c>
      <c r="BC189" s="30">
        <f>IF(C189&lt;0,Parameters!$B$6*AC189^2/AF189,0)</f>
        <v>0</v>
      </c>
      <c r="BD189" s="30">
        <f>Parameters!$B$5*AD189^2/AG189</f>
        <v>1.7623963716082371</v>
      </c>
      <c r="BE189" s="30">
        <f t="shared" si="68"/>
        <v>0</v>
      </c>
      <c r="BF189" s="30">
        <f t="shared" si="69"/>
        <v>8.8503108860536112E-2</v>
      </c>
    </row>
    <row r="190" spans="1:58" x14ac:dyDescent="0.3">
      <c r="A190">
        <f>A189+Parameters!$B$65</f>
        <v>186</v>
      </c>
      <c r="B190">
        <v>2211</v>
      </c>
      <c r="C190" s="74">
        <v>0.11139108697055</v>
      </c>
      <c r="D190" s="69">
        <v>4.1535312135901701E-3</v>
      </c>
      <c r="E190" s="75">
        <v>0.56561882862081003</v>
      </c>
      <c r="F190" s="7">
        <f>MAX((1-Parameters!$B$4)^Parameters!B$65*F189 + C189*Parameters!B$65 - IF(C189&gt;0,Parameters!$B$5,0)*C189^2/F189*Parameters!B$65, 0.0001)</f>
        <v>1.2365713513874412</v>
      </c>
      <c r="G190" s="7">
        <f>(1-Parameters!$B$4)^Parameters!B$65*G189+D189*Parameters!B$65-Parameters!$B$5*D189^2/G189*Parameters!B$65</f>
        <v>4.6524299036237851E-2</v>
      </c>
      <c r="H190" s="7">
        <f>(1-Parameters!$B$4)^Parameters!B$65*H189+E189*Parameters!B$65-Parameters!$B$5*E189^2/H189*Parameters!B$65</f>
        <v>6.2827266136676547</v>
      </c>
      <c r="I190" s="7">
        <f>I189 *(1-Parameters!$B$4)-C189*(C189&lt;0)*Parameters!B$65</f>
        <v>0</v>
      </c>
      <c r="J190" s="23">
        <f>J189*(1+Parameters!$B$51)^Parameters!B$65</f>
        <v>13.98329702660137</v>
      </c>
      <c r="K190" s="23">
        <f>K189*(1+Parameters!$B$53)^Parameters!B$65</f>
        <v>360.08472259598318</v>
      </c>
      <c r="L190" s="23">
        <f>J190*K190*EXP(-Parameters!$B$42*'6states,BAU'!A190)*(Parameters!$B$37/Parameters!$B$38*('6states,BAU'!F190+'6states,BAU'!I190)/Parameters!$E$25*(EXP(-Parameters!$B$38*Parameters!$E$25*'6states,BAU'!I190/('6states,BAU'!F190+'6states,BAU'!I190))-EXP(-Parameters!$B$38*Parameters!$E$25))  +  Parameters!$B$39*'6states,BAU'!F190)</f>
        <v>882.69073219779966</v>
      </c>
      <c r="M190" s="8">
        <f>M189+L190*Parameters!B$65</f>
        <v>50662.350974416513</v>
      </c>
      <c r="N190" s="7">
        <f>M190*Parameters!$B$45</f>
        <v>30.397410584649904</v>
      </c>
      <c r="O190" s="9">
        <f>EXP(-Parameters!$B$46/2*N190^2)</f>
        <v>9.2692237104417642E-5</v>
      </c>
      <c r="P190" s="7">
        <f>MAX((Parameters!$B$62 + Parameters!$B$31*'6states,BAU'!A190 - '6states,BAU'!M190 + Parameters!$B$47/Parameters!$B$45)/Parameters!B$62,1)</f>
        <v>1</v>
      </c>
      <c r="Q190" s="8"/>
      <c r="R190" s="8"/>
      <c r="S190" s="7">
        <f>Parameters!B$61*EXP(-Parameters!B$60*A190)+(1-Parameters!B$61)*P190^-Parameters!B$63</f>
        <v>0.50329566542807402</v>
      </c>
      <c r="T190" s="7">
        <f>1-S190/Parameters!$B$12</f>
        <v>0.74835216728596299</v>
      </c>
      <c r="U190" s="7">
        <f t="shared" si="59"/>
        <v>3.9738073211874698</v>
      </c>
      <c r="V190" s="7">
        <f>(Parameters!$B$19*(F190+Parameters!$B$20)^T190+Parameters!$B$18*G190^T190)^(1/T190)</f>
        <v>0.80680891581331493</v>
      </c>
      <c r="W190" s="7">
        <f>(Parameters!$B$10*H190^Parameters!$B$9+Parameters!$B$11*V190^Parameters!$B$9)^(Parameters!$B$7/Parameters!$B$9)*O190</f>
        <v>1.5863068577374109E-4</v>
      </c>
      <c r="X190" s="7">
        <f>W190 - D190 - E190 - LN(1+EXP(Parameters!$B$21*C190))/Parameters!$B$21 - IF(C190&gt;0, 0,Parameters!$B$6*C190^2/F190)</f>
        <v>-0.68100481611917651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-691.00481611917655</v>
      </c>
      <c r="AC190" s="23">
        <f t="shared" si="60"/>
        <v>560.87324103819924</v>
      </c>
      <c r="AD190" s="23">
        <f t="shared" si="60"/>
        <v>20.913742534315634</v>
      </c>
      <c r="AE190" s="23">
        <f t="shared" si="61"/>
        <v>0</v>
      </c>
      <c r="AF190" s="23">
        <f t="shared" si="62"/>
        <v>6226.348987967287</v>
      </c>
      <c r="AG190" s="23">
        <f t="shared" si="63"/>
        <v>234.25783065016668</v>
      </c>
      <c r="AH190" s="23">
        <f t="shared" si="64"/>
        <v>4062.4213643805083</v>
      </c>
      <c r="AI190" s="23">
        <f t="shared" si="65"/>
        <v>9997.9282639404883</v>
      </c>
      <c r="AJ190" s="23">
        <f t="shared" si="66"/>
        <v>0.7987327287824475</v>
      </c>
      <c r="AK190" s="23">
        <f t="shared" si="67"/>
        <v>-3428.9761305621232</v>
      </c>
      <c r="AL190" s="9">
        <f t="shared" si="70"/>
        <v>-0.29263853044425753</v>
      </c>
      <c r="AM190" s="9" t="e">
        <f t="shared" si="70"/>
        <v>#NUM!</v>
      </c>
      <c r="AN190" s="9">
        <f t="shared" si="75"/>
        <v>-0.29367657746271369</v>
      </c>
      <c r="AO190" s="9" t="e">
        <f t="shared" si="75"/>
        <v>#NUM!</v>
      </c>
      <c r="AP190" s="23"/>
      <c r="AQ190" s="25">
        <f t="shared" si="57"/>
        <v>0.7987327287824475</v>
      </c>
      <c r="AR190" s="4"/>
      <c r="AS190" s="4"/>
      <c r="AT190" s="4"/>
      <c r="AU190" s="16"/>
      <c r="AV190" s="16"/>
      <c r="AY190" s="21" t="e">
        <f>-Y190*W190*X190^(-Parameters!B$52)*Parameters!B$46*Parameters!B$45*N190</f>
        <v>#NUM!</v>
      </c>
      <c r="AZ190" s="7">
        <f>1000*EXP(-(Parameters!$B$54)*'6states,BAU'!A190)*AQ190*Parameters!B$46*Parameters!B$45*N190</f>
        <v>4.2780949895480485E-4</v>
      </c>
      <c r="BA190" s="93">
        <f>SUM(AZ190:AZ$204)*EXP(Parameters!$B$54*A190)</f>
        <v>0.96900098384330391</v>
      </c>
      <c r="BB190" s="43">
        <f t="shared" si="72"/>
        <v>4294.0206901488827</v>
      </c>
      <c r="BC190" s="30">
        <f>IF(C190&lt;0,Parameters!$B$6*AC190^2/AF190,0)</f>
        <v>0</v>
      </c>
      <c r="BD190" s="30">
        <f>Parameters!$B$5*AD190^2/AG190</f>
        <v>1.8671078169626671</v>
      </c>
      <c r="BE190" s="30">
        <f t="shared" si="68"/>
        <v>0</v>
      </c>
      <c r="BF190" s="30">
        <f t="shared" si="69"/>
        <v>8.9276599532536277E-2</v>
      </c>
    </row>
    <row r="191" spans="1:58" x14ac:dyDescent="0.3">
      <c r="A191">
        <f>A190+Parameters!$B$65</f>
        <v>187</v>
      </c>
      <c r="B191">
        <v>2212</v>
      </c>
      <c r="C191" s="74">
        <v>0.114526339594858</v>
      </c>
      <c r="D191" s="69">
        <v>4.2706269078424501E-3</v>
      </c>
      <c r="E191" s="75">
        <v>0.58191526357446499</v>
      </c>
      <c r="F191" s="7">
        <f>MAX((1-Parameters!$B$4)^Parameters!B$65*F190 + C190*Parameters!B$65 - IF(C190&gt;0,Parameters!$B$5,0)*C190^2/F190*Parameters!B$65, 0.0001)</f>
        <v>1.2601479246144194</v>
      </c>
      <c r="G191" s="7">
        <f>(1-Parameters!$B$4)^Parameters!B$65*G190+D190*Parameters!B$65-Parameters!$B$5*D190^2/G190*Parameters!B$65</f>
        <v>4.7380638697647082E-2</v>
      </c>
      <c r="H191" s="7">
        <f>(1-Parameters!$B$4)^Parameters!B$65*H190+E190*Parameters!B$65-Parameters!$B$5*E190^2/H190*Parameters!B$65</f>
        <v>6.4022406299201382</v>
      </c>
      <c r="I191" s="7">
        <f>I190 *(1-Parameters!$B$4)-C190*(C190&lt;0)*Parameters!B$65</f>
        <v>0</v>
      </c>
      <c r="J191" s="23">
        <f>J190*(1+Parameters!$B$51)^Parameters!B$65</f>
        <v>14.023848587978513</v>
      </c>
      <c r="K191" s="23">
        <f>K190*(1+Parameters!$B$53)^Parameters!B$65</f>
        <v>367.28641704790283</v>
      </c>
      <c r="L191" s="23">
        <f>J191*K191*EXP(-Parameters!$B$42*'6states,BAU'!A191)*(Parameters!$B$37/Parameters!$B$38*('6states,BAU'!F191+'6states,BAU'!I191)/Parameters!$E$25*(EXP(-Parameters!$B$38*Parameters!$E$25*'6states,BAU'!I191/('6states,BAU'!F191+'6states,BAU'!I191))-EXP(-Parameters!$B$38*Parameters!$E$25))  +  Parameters!$B$39*'6states,BAU'!F191)</f>
        <v>911.01551416052064</v>
      </c>
      <c r="M191" s="8">
        <f>M190+L191*Parameters!B$65</f>
        <v>51573.366488577034</v>
      </c>
      <c r="N191" s="7">
        <f>M191*Parameters!$B$45</f>
        <v>30.944019893146219</v>
      </c>
      <c r="O191" s="9">
        <f>EXP(-Parameters!$B$46/2*N191^2)</f>
        <v>6.6175497639158067E-5</v>
      </c>
      <c r="P191" s="7">
        <f>MAX((Parameters!$B$62 + Parameters!$B$31*'6states,BAU'!A191 - '6states,BAU'!M191 + Parameters!$B$47/Parameters!$B$45)/Parameters!B$62,1)</f>
        <v>1</v>
      </c>
      <c r="Q191" s="8"/>
      <c r="R191" s="8"/>
      <c r="S191" s="7">
        <f>Parameters!B$61*EXP(-Parameters!B$60*A191)+(1-Parameters!B$61)*P191^-Parameters!B$63</f>
        <v>0.50320787299271896</v>
      </c>
      <c r="T191" s="7">
        <f>1-S191/Parameters!$B$12</f>
        <v>0.74839606350364052</v>
      </c>
      <c r="U191" s="7">
        <f t="shared" si="59"/>
        <v>3.9745006136438934</v>
      </c>
      <c r="V191" s="7">
        <f>(Parameters!$B$19*(F191+Parameters!$B$20)^T191+Parameters!$B$18*G191^T191)^(1/T191)</f>
        <v>0.82206879675246247</v>
      </c>
      <c r="W191" s="7">
        <f>(Parameters!$B$10*H191^Parameters!$B$9+Parameters!$B$11*V191^Parameters!$B$9)^(Parameters!$B$7/Parameters!$B$9)*O191</f>
        <v>1.1389215923805151E-4</v>
      </c>
      <c r="X191" s="7">
        <f>W191 - D191 - E191 - LN(1+EXP(Parameters!$B$21*C191))/Parameters!$B$21 - IF(C191&gt;0, 0,Parameters!$B$6*C191^2/F191)</f>
        <v>-0.70059833791792747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-710.59833791792744</v>
      </c>
      <c r="AC191" s="23">
        <f t="shared" si="60"/>
        <v>589.8987312473854</v>
      </c>
      <c r="AD191" s="23">
        <f t="shared" si="60"/>
        <v>21.997013119245057</v>
      </c>
      <c r="AE191" s="23">
        <f t="shared" si="61"/>
        <v>0</v>
      </c>
      <c r="AF191" s="23">
        <f t="shared" si="62"/>
        <v>6490.7309929204021</v>
      </c>
      <c r="AG191" s="23">
        <f t="shared" si="63"/>
        <v>244.04672979426709</v>
      </c>
      <c r="AH191" s="23">
        <f t="shared" si="64"/>
        <v>4234.2865572917954</v>
      </c>
      <c r="AI191" s="23">
        <f t="shared" si="65"/>
        <v>10420.901588387193</v>
      </c>
      <c r="AJ191" s="23">
        <f t="shared" si="66"/>
        <v>0.58663221466102133</v>
      </c>
      <c r="AK191" s="23">
        <f t="shared" si="67"/>
        <v>-3608.6202712303216</v>
      </c>
      <c r="AL191" s="9">
        <f t="shared" si="70"/>
        <v>-0.30862831002030666</v>
      </c>
      <c r="AM191" s="9" t="e">
        <f t="shared" si="70"/>
        <v>#NUM!</v>
      </c>
      <c r="AN191" s="9">
        <f t="shared" si="75"/>
        <v>-0.30978511514216445</v>
      </c>
      <c r="AO191" s="9" t="e">
        <f t="shared" si="75"/>
        <v>#NUM!</v>
      </c>
      <c r="AP191" s="23"/>
      <c r="AQ191" s="25">
        <f t="shared" si="57"/>
        <v>0.58663221466102133</v>
      </c>
      <c r="AR191" s="4"/>
      <c r="AS191" s="4"/>
      <c r="AT191" s="4"/>
      <c r="AU191" s="16"/>
      <c r="AV191" s="16"/>
      <c r="AY191" s="21" t="e">
        <f>-Y191*W191*X191^(-Parameters!B$52)*Parameters!B$46*Parameters!B$45*N191</f>
        <v>#NUM!</v>
      </c>
      <c r="AZ191" s="7">
        <f>1000*EXP(-(Parameters!$B$54)*'6states,BAU'!A191)*AQ191*Parameters!B$46*Parameters!B$45*N191</f>
        <v>3.0882415155161715E-4</v>
      </c>
      <c r="BA191" s="93">
        <f>SUM(AZ191:AZ$204)*EXP(Parameters!$B$54*A191)</f>
        <v>0.70034710878761275</v>
      </c>
      <c r="BB191" s="43">
        <f t="shared" si="72"/>
        <v>6152.4185226181626</v>
      </c>
      <c r="BC191" s="30">
        <f>IF(C191&lt;0,Parameters!$B$6*AC191^2/AF191,0)</f>
        <v>0</v>
      </c>
      <c r="BD191" s="30">
        <f>Parameters!$B$5*AD191^2/AG191</f>
        <v>1.982688260466114</v>
      </c>
      <c r="BE191" s="30">
        <f t="shared" si="68"/>
        <v>0</v>
      </c>
      <c r="BF191" s="30">
        <f t="shared" si="69"/>
        <v>9.01344309665148E-2</v>
      </c>
    </row>
    <row r="192" spans="1:58" x14ac:dyDescent="0.3">
      <c r="A192">
        <f>A191+Parameters!$B$65</f>
        <v>188</v>
      </c>
      <c r="B192">
        <v>2213</v>
      </c>
      <c r="C192" s="74">
        <v>0.118292136923349</v>
      </c>
      <c r="D192" s="69">
        <v>4.4017633600140901E-3</v>
      </c>
      <c r="E192" s="75">
        <v>0.59807430298530395</v>
      </c>
      <c r="F192" s="7">
        <f>MAX((1-Parameters!$B$4)^Parameters!B$65*F191 + C191*Parameters!B$65 - IF(C191&gt;0,Parameters!$B$5,0)*C191^2/F191*Parameters!B$65, 0.0001)</f>
        <v>1.2850024337321424</v>
      </c>
      <c r="G192" s="7">
        <f>(1-Parameters!$B$4)^Parameters!B$65*G191+D191*Parameters!B$65-Parameters!$B$5*D191^2/G191*Parameters!B$65</f>
        <v>4.8286092905198863E-2</v>
      </c>
      <c r="H192" s="7">
        <f>(1-Parameters!$B$4)^Parameters!B$65*H191+E191*Parameters!B$65-Parameters!$B$5*E191^2/H191*Parameters!B$65</f>
        <v>6.5285632604880561</v>
      </c>
      <c r="I192" s="7">
        <f>I191 *(1-Parameters!$B$4)-C191*(C191&lt;0)*Parameters!B$65</f>
        <v>0</v>
      </c>
      <c r="J192" s="23">
        <f>J191*(1+Parameters!$B$51)^Parameters!B$65</f>
        <v>14.064517748883649</v>
      </c>
      <c r="K192" s="23">
        <f>K191*(1+Parameters!$B$53)^Parameters!B$65</f>
        <v>374.63214538886092</v>
      </c>
      <c r="L192" s="23">
        <f>J192*K192*EXP(-Parameters!$B$42*'6states,BAU'!A192)*(Parameters!$B$37/Parameters!$B$38*('6states,BAU'!F192+'6states,BAU'!I192)/Parameters!$E$25*(EXP(-Parameters!$B$38*Parameters!$E$25*'6states,BAU'!I192/('6states,BAU'!F192+'6states,BAU'!I192))-EXP(-Parameters!$B$38*Parameters!$E$25))  +  Parameters!$B$39*'6states,BAU'!F192)</f>
        <v>940.85577033232528</v>
      </c>
      <c r="M192" s="8">
        <f>M191+L192*Parameters!B$65</f>
        <v>52514.222258909358</v>
      </c>
      <c r="N192" s="7">
        <f>M192*Parameters!$B$45</f>
        <v>31.508533355345612</v>
      </c>
      <c r="O192" s="9">
        <f>EXP(-Parameters!$B$46/2*N192^2)</f>
        <v>4.6432257953830922E-5</v>
      </c>
      <c r="P192" s="7">
        <f>MAX((Parameters!$B$62 + Parameters!$B$31*'6states,BAU'!A192 - '6states,BAU'!M192 + Parameters!$B$47/Parameters!$B$45)/Parameters!B$62,1)</f>
        <v>1</v>
      </c>
      <c r="Q192" s="8"/>
      <c r="R192" s="8"/>
      <c r="S192" s="7">
        <f>Parameters!B$61*EXP(-Parameters!B$60*A192)+(1-Parameters!B$61)*P192^-Parameters!B$63</f>
        <v>0.50312241923884526</v>
      </c>
      <c r="T192" s="7">
        <f>1-S192/Parameters!$B$12</f>
        <v>0.74843879038057737</v>
      </c>
      <c r="U192" s="7">
        <f t="shared" si="59"/>
        <v>3.9751756700202781</v>
      </c>
      <c r="V192" s="7">
        <f>(Parameters!$B$19*(F192+Parameters!$B$20)^T192+Parameters!$B$18*G192^T192)^(1/T192)</f>
        <v>0.83815685488321212</v>
      </c>
      <c r="W192" s="7">
        <f>(Parameters!$B$10*H192^Parameters!$B$9+Parameters!$B$11*V192^Parameters!$B$9)^(Parameters!$B$7/Parameters!$B$9)*O192</f>
        <v>8.0381959498184344E-5</v>
      </c>
      <c r="X192" s="7">
        <f>W192 - D192 - E192 - LN(1+EXP(Parameters!$B$21*C192))/Parameters!$B$21 - IF(C192&gt;0, 0,Parameters!$B$6*C192^2/F192)</f>
        <v>-0.72068782130916886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-730.68782130916884</v>
      </c>
      <c r="AC192" s="23">
        <f t="shared" si="60"/>
        <v>623.28368948433058</v>
      </c>
      <c r="AD192" s="23">
        <f t="shared" si="60"/>
        <v>23.192981195734852</v>
      </c>
      <c r="AE192" s="23">
        <f t="shared" si="61"/>
        <v>0</v>
      </c>
      <c r="AF192" s="23">
        <f t="shared" si="62"/>
        <v>6770.7041120737795</v>
      </c>
      <c r="AG192" s="23">
        <f t="shared" si="63"/>
        <v>254.42041136036863</v>
      </c>
      <c r="AH192" s="23">
        <f t="shared" si="64"/>
        <v>4416.2656154965089</v>
      </c>
      <c r="AI192" s="23">
        <f t="shared" si="65"/>
        <v>10868.765905324592</v>
      </c>
      <c r="AJ192" s="23">
        <f t="shared" si="66"/>
        <v>0.4235341890600276</v>
      </c>
      <c r="AK192" s="23">
        <f t="shared" si="67"/>
        <v>-3797.3188743988198</v>
      </c>
      <c r="AL192" s="9">
        <f t="shared" si="70"/>
        <v>-0.32576383202070403</v>
      </c>
      <c r="AM192" s="9" t="e">
        <f t="shared" si="70"/>
        <v>#NUM!</v>
      </c>
      <c r="AN192" s="9">
        <f t="shared" si="75"/>
        <v>-0.32706397014552158</v>
      </c>
      <c r="AO192" s="9" t="e">
        <f t="shared" si="75"/>
        <v>#NUM!</v>
      </c>
      <c r="AP192" s="23"/>
      <c r="AQ192" s="25">
        <f t="shared" si="57"/>
        <v>0.4235341890600276</v>
      </c>
      <c r="AR192" s="4"/>
      <c r="AS192" s="4"/>
      <c r="AT192" s="4"/>
      <c r="AU192" s="16"/>
      <c r="AV192" s="16"/>
      <c r="AY192" s="21" t="e">
        <f>-Y192*W192*X192^(-Parameters!B$52)*Parameters!B$46*Parameters!B$45*N192</f>
        <v>#NUM!</v>
      </c>
      <c r="AZ192" s="7">
        <f>1000*EXP(-(Parameters!$B$54)*'6states,BAU'!A192)*AQ192*Parameters!B$46*Parameters!B$45*N192</f>
        <v>2.1920050112443832E-4</v>
      </c>
      <c r="BA192" s="93">
        <f>SUM(AZ192:AZ$204)*EXP(Parameters!$B$54*A192)</f>
        <v>0.49862290847963836</v>
      </c>
      <c r="BB192" s="43">
        <f t="shared" si="72"/>
        <v>8966.790655121411</v>
      </c>
      <c r="BC192" s="30">
        <f>IF(C192&lt;0,Parameters!$B$6*AC192^2/AF192,0)</f>
        <v>0</v>
      </c>
      <c r="BD192" s="30">
        <f>Parameters!$B$5*AD192^2/AG192</f>
        <v>2.1142736695908906</v>
      </c>
      <c r="BE192" s="30">
        <f t="shared" si="68"/>
        <v>0</v>
      </c>
      <c r="BF192" s="30">
        <f t="shared" si="69"/>
        <v>9.1160064838051169E-2</v>
      </c>
    </row>
    <row r="193" spans="1:58" x14ac:dyDescent="0.3">
      <c r="A193">
        <f>A192+Parameters!$B$65</f>
        <v>189</v>
      </c>
      <c r="B193">
        <v>2214</v>
      </c>
      <c r="C193" s="74">
        <v>0.121576021328005</v>
      </c>
      <c r="D193" s="69">
        <v>4.5280020641471699E-3</v>
      </c>
      <c r="E193" s="75">
        <v>0.61600858433781802</v>
      </c>
      <c r="F193" s="7">
        <f>MAX((1-Parameters!$B$4)^Parameters!B$65*F192 + C192*Parameters!B$65 - IF(C192&gt;0,Parameters!$B$5,0)*C192^2/F192*Parameters!B$65, 0.0001)</f>
        <v>1.3115784209544601</v>
      </c>
      <c r="G193" s="7">
        <f>(1-Parameters!$B$4)^Parameters!B$65*G192+D192*Parameters!B$65-Parameters!$B$5*D192^2/G192*Parameters!B$65</f>
        <v>4.92493959881753E-2</v>
      </c>
      <c r="H193" s="7">
        <f>(1-Parameters!$B$4)^Parameters!B$65*H192+E192*Parameters!B$65-Parameters!$B$5*E192^2/H192*Parameters!B$65</f>
        <v>6.6612020233190279</v>
      </c>
      <c r="I193" s="7">
        <f>I192 *(1-Parameters!$B$4)-C192*(C192&lt;0)*Parameters!B$65</f>
        <v>0</v>
      </c>
      <c r="J193" s="23">
        <f>J192*(1+Parameters!$B$51)^Parameters!B$65</f>
        <v>14.105304850355409</v>
      </c>
      <c r="K193" s="23">
        <f>K192*(1+Parameters!$B$53)^Parameters!B$65</f>
        <v>382.12478829663814</v>
      </c>
      <c r="L193" s="23">
        <f>J193*K193*EXP(-Parameters!$B$42*'6states,BAU'!A193)*(Parameters!$B$37/Parameters!$B$38*('6states,BAU'!F193+'6states,BAU'!I193)/Parameters!$E$25*(EXP(-Parameters!$B$38*Parameters!$E$25*'6states,BAU'!I193/('6states,BAU'!F193+'6states,BAU'!I193))-EXP(-Parameters!$B$38*Parameters!$E$25))  +  Parameters!$B$39*'6states,BAU'!F193)</f>
        <v>972.58646987550753</v>
      </c>
      <c r="M193" s="8">
        <f>M192+L193*Parameters!B$65</f>
        <v>53486.808728784868</v>
      </c>
      <c r="N193" s="7">
        <f>M193*Parameters!$B$45</f>
        <v>32.092085237270915</v>
      </c>
      <c r="O193" s="9">
        <f>EXP(-Parameters!$B$46/2*N193^2)</f>
        <v>3.1976335463536791E-5</v>
      </c>
      <c r="P193" s="7">
        <f>MAX((Parameters!$B$62 + Parameters!$B$31*'6states,BAU'!A193 - '6states,BAU'!M193 + Parameters!$B$47/Parameters!$B$45)/Parameters!B$62,1)</f>
        <v>1</v>
      </c>
      <c r="Q193" s="8"/>
      <c r="R193" s="8"/>
      <c r="S193" s="7">
        <f>Parameters!B$61*EXP(-Parameters!B$60*A193)+(1-Parameters!B$61)*P193^-Parameters!B$63</f>
        <v>0.50303924186688187</v>
      </c>
      <c r="T193" s="7">
        <f>1-S193/Parameters!$B$12</f>
        <v>0.74848037906655907</v>
      </c>
      <c r="U193" s="7">
        <f t="shared" si="59"/>
        <v>3.9758329640001633</v>
      </c>
      <c r="V193" s="7">
        <f>(Parameters!$B$19*(F193+Parameters!$B$20)^T193+Parameters!$B$18*G193^T193)^(1/T193)</f>
        <v>0.85535533743324621</v>
      </c>
      <c r="W193" s="7">
        <f>(Parameters!$B$10*H193^Parameters!$B$9+Parameters!$B$11*V193^Parameters!$B$9)^(Parameters!$B$7/Parameters!$B$9)*O193</f>
        <v>5.5691946610413765E-5</v>
      </c>
      <c r="X193" s="7">
        <f>W193 - D193 - E193 - LN(1+EXP(Parameters!$B$21*C193))/Parameters!$B$21 - IF(C193&gt;0, 0,Parameters!$B$6*C193^2/F193)</f>
        <v>-0.74205691578335986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-752.05691578335984</v>
      </c>
      <c r="AC193" s="23">
        <f t="shared" si="60"/>
        <v>655.29312946242169</v>
      </c>
      <c r="AD193" s="23">
        <f t="shared" si="60"/>
        <v>24.405870585467312</v>
      </c>
      <c r="AE193" s="23">
        <f t="shared" si="61"/>
        <v>0</v>
      </c>
      <c r="AF193" s="23">
        <f t="shared" si="62"/>
        <v>7069.3901528808392</v>
      </c>
      <c r="AG193" s="23">
        <f t="shared" si="63"/>
        <v>265.45358590206962</v>
      </c>
      <c r="AH193" s="23">
        <f t="shared" si="64"/>
        <v>4610.3538324946367</v>
      </c>
      <c r="AI193" s="23">
        <f t="shared" si="65"/>
        <v>11346.431783964759</v>
      </c>
      <c r="AJ193" s="23">
        <f t="shared" si="66"/>
        <v>0.30017884761775493</v>
      </c>
      <c r="AK193" s="23">
        <f t="shared" si="67"/>
        <v>-3999.6768546241246</v>
      </c>
      <c r="AL193" s="9">
        <f t="shared" si="70"/>
        <v>-0.34425578485934805</v>
      </c>
      <c r="AM193" s="9" t="e">
        <f t="shared" si="70"/>
        <v>#NUM!</v>
      </c>
      <c r="AN193" s="9">
        <f t="shared" si="75"/>
        <v>-0.34559727169463489</v>
      </c>
      <c r="AO193" s="9" t="e">
        <f t="shared" si="75"/>
        <v>#NUM!</v>
      </c>
      <c r="AP193" s="23"/>
      <c r="AQ193" s="25">
        <f t="shared" si="57"/>
        <v>0.30017884761775493</v>
      </c>
      <c r="AR193" s="4"/>
      <c r="AS193" s="4"/>
      <c r="AT193" s="4"/>
      <c r="AU193" s="16"/>
      <c r="AV193" s="16"/>
      <c r="AY193" s="21" t="e">
        <f>-Y193*W193*X193^(-Parameters!B$52)*Parameters!B$46*Parameters!B$45*N193</f>
        <v>#NUM!</v>
      </c>
      <c r="AZ193" s="7">
        <f>1000*EXP(-(Parameters!$B$54)*'6states,BAU'!A193)*AQ193*Parameters!B$46*Parameters!B$45*N193</f>
        <v>1.5277741847559567E-4</v>
      </c>
      <c r="BA193" s="93">
        <f>SUM(AZ193:AZ$204)*EXP(Parameters!$B$54*A193)</f>
        <v>0.34974605861672869</v>
      </c>
      <c r="BB193" s="43">
        <f t="shared" si="72"/>
        <v>13325.3127767526</v>
      </c>
      <c r="BC193" s="30">
        <f>IF(C193&lt;0,Parameters!$B$6*AC193^2/AF193,0)</f>
        <v>0</v>
      </c>
      <c r="BD193" s="30">
        <f>Parameters!$B$5*AD193^2/AG193</f>
        <v>2.2438819841534285</v>
      </c>
      <c r="BE193" s="30">
        <f t="shared" si="68"/>
        <v>0</v>
      </c>
      <c r="BF193" s="30">
        <f t="shared" si="69"/>
        <v>9.1940255779671617E-2</v>
      </c>
    </row>
    <row r="194" spans="1:58" x14ac:dyDescent="0.3">
      <c r="A194">
        <f>A193+Parameters!$B$65</f>
        <v>190</v>
      </c>
      <c r="B194">
        <v>2215</v>
      </c>
      <c r="C194" s="74">
        <v>0.12533931305147999</v>
      </c>
      <c r="D194" s="69">
        <v>4.6656107832467198E-3</v>
      </c>
      <c r="E194" s="75">
        <v>0.63409396551362296</v>
      </c>
      <c r="F194" s="7">
        <f>MAX((1-Parameters!$B$4)^Parameters!B$65*F193 + C193*Parameters!B$65 - IF(C193&gt;0,Parameters!$B$5,0)*C193^2/F193*Parameters!B$65, 0.0001)</f>
        <v>1.3393867389386098</v>
      </c>
      <c r="G194" s="7">
        <f>(1-Parameters!$B$4)^Parameters!B$65*G193+D193*Parameters!B$65-Parameters!$B$5*D193^2/G193*Parameters!B$65</f>
        <v>5.0263305376717672E-2</v>
      </c>
      <c r="H194" s="7">
        <f>(1-Parameters!$B$4)^Parameters!B$65*H193+E193*Parameters!B$65-Parameters!$B$5*E193^2/H193*Parameters!B$65</f>
        <v>6.8012543186035979</v>
      </c>
      <c r="I194" s="7">
        <f>I193 *(1-Parameters!$B$4)-C193*(C193&lt;0)*Parameters!B$65</f>
        <v>0</v>
      </c>
      <c r="J194" s="23">
        <f>J193*(1+Parameters!$B$51)^Parameters!B$65</f>
        <v>14.146210234421439</v>
      </c>
      <c r="K194" s="23">
        <f>K193*(1+Parameters!$B$53)^Parameters!B$65</f>
        <v>389.76728406257092</v>
      </c>
      <c r="L194" s="23">
        <f>J194*K194*EXP(-Parameters!$B$42*'6states,BAU'!A194)*(Parameters!$B$37/Parameters!$B$38*('6states,BAU'!F194+'6states,BAU'!I194)/Parameters!$E$25*(EXP(-Parameters!$B$38*Parameters!$E$25*'6states,BAU'!I194/('6states,BAU'!F194+'6states,BAU'!I194))-EXP(-Parameters!$B$38*Parameters!$E$25))  +  Parameters!$B$39*'6states,BAU'!F194)</f>
        <v>1005.9000132278621</v>
      </c>
      <c r="M194" s="8">
        <f>M193+L194*Parameters!B$65</f>
        <v>54492.708742012728</v>
      </c>
      <c r="N194" s="7">
        <f>M194*Parameters!$B$45</f>
        <v>32.695625245207637</v>
      </c>
      <c r="O194" s="9">
        <f>EXP(-Parameters!$B$46/2*N194^2)</f>
        <v>2.1585488510718227E-5</v>
      </c>
      <c r="P194" s="7">
        <f>MAX((Parameters!$B$62 + Parameters!$B$31*'6states,BAU'!A194 - '6states,BAU'!M194 + Parameters!$B$47/Parameters!$B$45)/Parameters!B$62,1)</f>
        <v>1</v>
      </c>
      <c r="Q194" s="8"/>
      <c r="R194" s="8"/>
      <c r="S194" s="7">
        <f>Parameters!B$61*EXP(-Parameters!B$60*A194)+(1-Parameters!B$61)*P194^-Parameters!B$63</f>
        <v>0.50295828023684097</v>
      </c>
      <c r="T194" s="7">
        <f>1-S194/Parameters!$B$12</f>
        <v>0.74852085988157957</v>
      </c>
      <c r="U194" s="7">
        <f t="shared" si="59"/>
        <v>3.9764729572763149</v>
      </c>
      <c r="V194" s="7">
        <f>(Parameters!$B$19*(F194+Parameters!$B$20)^T194+Parameters!$B$18*G194^T194)^(1/T194)</f>
        <v>0.87335454054052175</v>
      </c>
      <c r="W194" s="7">
        <f>(Parameters!$B$10*H194^Parameters!$B$9+Parameters!$B$11*V194^Parameters!$B$9)^(Parameters!$B$7/Parameters!$B$9)*O194</f>
        <v>3.7830048761099083E-5</v>
      </c>
      <c r="X194" s="7">
        <f>W194 - D194 - E194 - LN(1+EXP(Parameters!$B$21*C194))/Parameters!$B$21 - IF(C194&gt;0, 0,Parameters!$B$6*C194^2/F194)</f>
        <v>-0.76406105929958867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-774.06105929958869</v>
      </c>
      <c r="AC194" s="23">
        <f t="shared" si="60"/>
        <v>691.0871233880182</v>
      </c>
      <c r="AD194" s="23">
        <f t="shared" si="60"/>
        <v>25.724917877264694</v>
      </c>
      <c r="AE194" s="23">
        <f t="shared" si="61"/>
        <v>0</v>
      </c>
      <c r="AF194" s="23">
        <f t="shared" si="62"/>
        <v>7385.016767540139</v>
      </c>
      <c r="AG194" s="23">
        <f t="shared" si="63"/>
        <v>277.13829188215072</v>
      </c>
      <c r="AH194" s="23">
        <f t="shared" si="64"/>
        <v>4815.441080901046</v>
      </c>
      <c r="AI194" s="23">
        <f t="shared" si="65"/>
        <v>11851.167116295037</v>
      </c>
      <c r="AJ194" s="23">
        <f t="shared" si="66"/>
        <v>0.2085846725934942</v>
      </c>
      <c r="AK194" s="23">
        <f t="shared" si="67"/>
        <v>-4212.8263408247531</v>
      </c>
      <c r="AL194" s="9">
        <f t="shared" si="70"/>
        <v>-0.36403339338299157</v>
      </c>
      <c r="AM194" s="9" t="e">
        <f t="shared" si="70"/>
        <v>#NUM!</v>
      </c>
      <c r="AN194" s="9">
        <f t="shared" si="75"/>
        <v>-0.36550280375528016</v>
      </c>
      <c r="AO194" s="9" t="e">
        <f t="shared" si="75"/>
        <v>#NUM!</v>
      </c>
      <c r="AP194" s="23"/>
      <c r="AQ194" s="25">
        <f t="shared" si="57"/>
        <v>0.20858467259349417</v>
      </c>
      <c r="AR194" s="4"/>
      <c r="AS194" s="4"/>
      <c r="AT194" s="4"/>
      <c r="AU194" s="16"/>
      <c r="AV194" s="16"/>
      <c r="AY194" s="21" t="e">
        <f>-Y194*W194*X194^(-Parameters!B$52)*Parameters!B$46*Parameters!B$45*N194</f>
        <v>#NUM!</v>
      </c>
      <c r="AZ194" s="7">
        <f>1000*EXP(-(Parameters!$B$54)*'6states,BAU'!A194)*AQ194*Parameters!B$46*Parameters!B$45*N194</f>
        <v>1.0442619334291562E-4</v>
      </c>
      <c r="BA194" s="93">
        <f>SUM(AZ194:AZ$204)*EXP(Parameters!$B$54*A194)</f>
        <v>0.24191147723411682</v>
      </c>
      <c r="BB194" s="43">
        <f t="shared" si="72"/>
        <v>20198.199959342324</v>
      </c>
      <c r="BC194" s="30">
        <f>IF(C194&lt;0,Parameters!$B$6*AC194^2/AF194,0)</f>
        <v>0</v>
      </c>
      <c r="BD194" s="30">
        <f>Parameters!$B$5*AD194^2/AG194</f>
        <v>2.3878742821775849</v>
      </c>
      <c r="BE194" s="30">
        <f t="shared" si="68"/>
        <v>0</v>
      </c>
      <c r="BF194" s="30">
        <f t="shared" si="69"/>
        <v>9.2823397671094349E-2</v>
      </c>
    </row>
    <row r="195" spans="1:58" x14ac:dyDescent="0.3">
      <c r="A195">
        <f>A194+Parameters!$B$65</f>
        <v>191</v>
      </c>
      <c r="B195">
        <v>2216</v>
      </c>
      <c r="C195" s="74">
        <v>0.129163328604332</v>
      </c>
      <c r="D195" s="69">
        <v>4.8060549189682901E-3</v>
      </c>
      <c r="E195" s="75">
        <v>0.653075958057032</v>
      </c>
      <c r="F195" s="7">
        <f>MAX((1-Parameters!$B$4)^Parameters!B$65*F194 + C194*Parameters!B$65 - IF(C194&gt;0,Parameters!$B$5,0)*C194^2/F194*Parameters!B$65, 0.0001)</f>
        <v>1.3687494197961267</v>
      </c>
      <c r="G195" s="7">
        <f>(1-Parameters!$B$4)^Parameters!B$65*G194+D194*Parameters!B$65-Parameters!$B$5*D194^2/G194*Parameters!B$65</f>
        <v>5.1334276406656991E-2</v>
      </c>
      <c r="H195" s="7">
        <f>(1-Parameters!$B$4)^Parameters!B$65*H194+E194*Parameters!B$65-Parameters!$B$5*E194^2/H194*Parameters!B$65</f>
        <v>6.9484315926901452</v>
      </c>
      <c r="I195" s="7">
        <f>I194 *(1-Parameters!$B$4)-C194*(C194&lt;0)*Parameters!B$65</f>
        <v>0</v>
      </c>
      <c r="J195" s="23">
        <f>J194*(1+Parameters!$B$51)^Parameters!B$65</f>
        <v>14.18723424410126</v>
      </c>
      <c r="K195" s="23">
        <f>K194*(1+Parameters!$B$53)^Parameters!B$65</f>
        <v>397.56262974382236</v>
      </c>
      <c r="L195" s="23">
        <f>J195*K195*EXP(-Parameters!$B$42*'6states,BAU'!A195)*(Parameters!$B$37/Parameters!$B$38*('6states,BAU'!F195+'6states,BAU'!I195)/Parameters!$E$25*(EXP(-Parameters!$B$38*Parameters!$E$25*'6states,BAU'!I195/('6states,BAU'!F195+'6states,BAU'!I195))-EXP(-Parameters!$B$38*Parameters!$E$25))  +  Parameters!$B$39*'6states,BAU'!F195)</f>
        <v>1041.0884430319372</v>
      </c>
      <c r="M195" s="8">
        <f>M194+L195*Parameters!B$65</f>
        <v>55533.797185044663</v>
      </c>
      <c r="N195" s="7">
        <f>M195*Parameters!$B$45</f>
        <v>33.320278311026797</v>
      </c>
      <c r="O195" s="9">
        <f>EXP(-Parameters!$B$46/2*N195^2)</f>
        <v>1.4261862882640946E-5</v>
      </c>
      <c r="P195" s="7">
        <f>MAX((Parameters!$B$62 + Parameters!$B$31*'6states,BAU'!A195 - '6states,BAU'!M195 + Parameters!$B$47/Parameters!$B$45)/Parameters!B$62,1)</f>
        <v>1</v>
      </c>
      <c r="Q195" s="8"/>
      <c r="R195" s="8"/>
      <c r="S195" s="7">
        <f>Parameters!B$61*EXP(-Parameters!B$60*A195)+(1-Parameters!B$61)*P195^-Parameters!B$63</f>
        <v>0.50287947532410837</v>
      </c>
      <c r="T195" s="7">
        <f>1-S195/Parameters!$B$12</f>
        <v>0.74856026233794581</v>
      </c>
      <c r="U195" s="7">
        <f t="shared" si="59"/>
        <v>3.9770960998378189</v>
      </c>
      <c r="V195" s="7">
        <f>(Parameters!$B$19*(F195+Parameters!$B$20)^T195+Parameters!$B$18*G195^T195)^(1/T195)</f>
        <v>0.89235947005283445</v>
      </c>
      <c r="W195" s="7">
        <f>(Parameters!$B$10*H195^Parameters!$B$9+Parameters!$B$11*V195^Parameters!$B$9)^(Parameters!$B$7/Parameters!$B$9)*O195</f>
        <v>2.5156096154415587E-5</v>
      </c>
      <c r="X195" s="7">
        <f>W195 - D195 - E195 - LN(1+EXP(Parameters!$B$21*C195))/Parameters!$B$21 - IF(C195&gt;0, 0,Parameters!$B$6*C195^2/F195)</f>
        <v>-0.78702018548417785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-797.02018548417789</v>
      </c>
      <c r="AC195" s="23">
        <f t="shared" si="60"/>
        <v>728.52175061797936</v>
      </c>
      <c r="AD195" s="23">
        <f t="shared" si="60"/>
        <v>27.107659588570709</v>
      </c>
      <c r="AE195" s="23">
        <f t="shared" si="61"/>
        <v>0</v>
      </c>
      <c r="AF195" s="23">
        <f t="shared" si="62"/>
        <v>7720.1767269550992</v>
      </c>
      <c r="AG195" s="23">
        <f t="shared" si="63"/>
        <v>289.54144584681052</v>
      </c>
      <c r="AH195" s="23">
        <f t="shared" si="64"/>
        <v>5033.1877501771005</v>
      </c>
      <c r="AI195" s="23">
        <f t="shared" si="65"/>
        <v>12387.058247191044</v>
      </c>
      <c r="AJ195" s="23">
        <f t="shared" si="66"/>
        <v>0.14188828522118468</v>
      </c>
      <c r="AK195" s="23">
        <f t="shared" si="67"/>
        <v>-4439.041092359942</v>
      </c>
      <c r="AL195" s="9">
        <f t="shared" si="70"/>
        <v>-0.3853050381898242</v>
      </c>
      <c r="AM195" s="9" t="e">
        <f t="shared" si="70"/>
        <v>#NUM!</v>
      </c>
      <c r="AN195" s="9">
        <f t="shared" si="75"/>
        <v>-0.38688023660696463</v>
      </c>
      <c r="AO195" s="9" t="e">
        <f t="shared" si="75"/>
        <v>#NUM!</v>
      </c>
      <c r="AP195" s="23"/>
      <c r="AQ195" s="25">
        <f t="shared" si="57"/>
        <v>0.14188828522118468</v>
      </c>
      <c r="AR195" s="4"/>
      <c r="AS195" s="4"/>
      <c r="AT195" s="4"/>
      <c r="AU195" s="16"/>
      <c r="AV195" s="16"/>
      <c r="AY195" s="21" t="e">
        <f>-Y195*W195*X195^(-Parameters!B$52)*Parameters!B$46*Parameters!B$45*N195</f>
        <v>#NUM!</v>
      </c>
      <c r="AZ195" s="7">
        <f>1000*EXP(-(Parameters!$B$54)*'6states,BAU'!A195)*AQ195*Parameters!B$46*Parameters!B$45*N195</f>
        <v>6.9895438207292902E-5</v>
      </c>
      <c r="BA195" s="93">
        <f>SUM(AZ195:AZ$204)*EXP(Parameters!$B$54*A195)</f>
        <v>0.16536835645695994</v>
      </c>
      <c r="BB195" s="43">
        <f t="shared" si="72"/>
        <v>31286.465783451225</v>
      </c>
      <c r="BC195" s="30">
        <f>IF(C195&lt;0,Parameters!$B$6*AC195^2/AF195,0)</f>
        <v>0</v>
      </c>
      <c r="BD195" s="30">
        <f>Parameters!$B$5*AD195^2/AG195</f>
        <v>2.5378929991204369</v>
      </c>
      <c r="BE195" s="30">
        <f t="shared" si="68"/>
        <v>0</v>
      </c>
      <c r="BF195" s="30">
        <f t="shared" si="69"/>
        <v>9.3622726478034948E-2</v>
      </c>
    </row>
    <row r="196" spans="1:58" x14ac:dyDescent="0.3">
      <c r="A196">
        <f>A195+Parameters!$B$65</f>
        <v>192</v>
      </c>
      <c r="B196">
        <v>2217</v>
      </c>
      <c r="C196" s="74">
        <v>0.132902343485993</v>
      </c>
      <c r="D196" s="69">
        <v>4.9498327940297E-3</v>
      </c>
      <c r="E196" s="75">
        <v>0.67306861134538498</v>
      </c>
      <c r="F196" s="7">
        <f>MAX((1-Parameters!$B$4)^Parameters!B$65*F195 + C195*Parameters!B$65 - IF(C195&gt;0,Parameters!$B$5,0)*C195^2/F195*Parameters!B$65, 0.0001)</f>
        <v>1.3996297906967183</v>
      </c>
      <c r="G196" s="7">
        <f>(1-Parameters!$B$4)^Parameters!B$65*G195+D195*Parameters!B$65-Parameters!$B$5*D195^2/G195*Parameters!B$65</f>
        <v>5.2461449374529574E-2</v>
      </c>
      <c r="H196" s="7">
        <f>(1-Parameters!$B$4)^Parameters!B$65*H195+E195*Parameters!B$65-Parameters!$B$5*E195^2/H195*Parameters!B$65</f>
        <v>7.1030692641605544</v>
      </c>
      <c r="I196" s="7">
        <f>I195 *(1-Parameters!$B$4)-C195*(C195&lt;0)*Parameters!B$65</f>
        <v>0</v>
      </c>
      <c r="J196" s="23">
        <f>J195*(1+Parameters!$B$51)^Parameters!B$65</f>
        <v>14.228377223409153</v>
      </c>
      <c r="K196" s="23">
        <f>K195*(1+Parameters!$B$53)^Parameters!B$65</f>
        <v>405.51388233869881</v>
      </c>
      <c r="L196" s="23">
        <f>J196*K196*EXP(-Parameters!$B$42*'6states,BAU'!A196)*(Parameters!$B$37/Parameters!$B$38*('6states,BAU'!F196+'6states,BAU'!I196)/Parameters!$E$25*(EXP(-Parameters!$B$38*Parameters!$E$25*'6states,BAU'!I196/('6states,BAU'!F196+'6states,BAU'!I196))-EXP(-Parameters!$B$38*Parameters!$E$25))  +  Parameters!$B$39*'6states,BAU'!F196)</f>
        <v>1078.1810969775077</v>
      </c>
      <c r="M196" s="8">
        <f>M195+L196*Parameters!B$65</f>
        <v>56611.978282022174</v>
      </c>
      <c r="N196" s="7">
        <f>M196*Parameters!$B$45</f>
        <v>33.967186969213301</v>
      </c>
      <c r="O196" s="9">
        <f>EXP(-Parameters!$B$46/2*N196^2)</f>
        <v>9.2084741413319489E-6</v>
      </c>
      <c r="P196" s="7">
        <f>MAX((Parameters!$B$62 + Parameters!$B$31*'6states,BAU'!A196 - '6states,BAU'!M196 + Parameters!$B$47/Parameters!$B$45)/Parameters!B$62,1)</f>
        <v>1</v>
      </c>
      <c r="Q196" s="8"/>
      <c r="R196" s="8"/>
      <c r="S196" s="7">
        <f>Parameters!B$61*EXP(-Parameters!B$60*A196)+(1-Parameters!B$61)*P196^-Parameters!B$63</f>
        <v>0.5028027696764128</v>
      </c>
      <c r="T196" s="7">
        <f>1-S196/Parameters!$B$12</f>
        <v>0.7485986151617936</v>
      </c>
      <c r="U196" s="7">
        <f t="shared" si="59"/>
        <v>3.9777028302511814</v>
      </c>
      <c r="V196" s="7">
        <f>(Parameters!$B$19*(F196+Parameters!$B$20)^T196+Parameters!$B$18*G196^T196)^(1/T196)</f>
        <v>0.91234674051502784</v>
      </c>
      <c r="W196" s="7">
        <f>(Parameters!$B$10*H196^Parameters!$B$9+Parameters!$B$11*V196^Parameters!$B$9)^(Parameters!$B$7/Parameters!$B$9)*O196</f>
        <v>1.6350293663748962E-5</v>
      </c>
      <c r="X196" s="7">
        <f>W196 - D196 - E196 - LN(1+EXP(Parameters!$B$21*C196))/Parameters!$B$21 - IF(C196&gt;0, 0,Parameters!$B$6*C196^2/F196)</f>
        <v>-0.810904437331744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-820.90443733174402</v>
      </c>
      <c r="AC196" s="23">
        <f t="shared" si="60"/>
        <v>766.82053781074717</v>
      </c>
      <c r="AD196" s="23">
        <f t="shared" si="60"/>
        <v>28.559567466100866</v>
      </c>
      <c r="AE196" s="23">
        <f t="shared" si="61"/>
        <v>0</v>
      </c>
      <c r="AF196" s="23">
        <f t="shared" si="62"/>
        <v>8075.590246842532</v>
      </c>
      <c r="AG196" s="23">
        <f t="shared" si="63"/>
        <v>302.69230600849312</v>
      </c>
      <c r="AH196" s="23">
        <f t="shared" si="64"/>
        <v>5264.0623173461918</v>
      </c>
      <c r="AI196" s="23">
        <f t="shared" si="65"/>
        <v>12955.258134274121</v>
      </c>
      <c r="AJ196" s="23">
        <f t="shared" si="66"/>
        <v>9.4337997748858538E-2</v>
      </c>
      <c r="AK196" s="23">
        <f t="shared" si="67"/>
        <v>-4678.7600612428987</v>
      </c>
      <c r="AL196" s="9">
        <f t="shared" si="70"/>
        <v>-0.4081559703235329</v>
      </c>
      <c r="AM196" s="9" t="e">
        <f t="shared" si="70"/>
        <v>#NUM!</v>
      </c>
      <c r="AN196" s="9">
        <f t="shared" si="75"/>
        <v>-0.40983186086063589</v>
      </c>
      <c r="AO196" s="9" t="e">
        <f t="shared" si="75"/>
        <v>#NUM!</v>
      </c>
      <c r="AP196" s="23"/>
      <c r="AQ196" s="25">
        <f t="shared" ref="AQ196:AQ204" si="76">W196*K196*J196</f>
        <v>9.4337997748858538E-2</v>
      </c>
      <c r="AR196" s="4"/>
      <c r="AS196" s="4"/>
      <c r="AT196" s="4"/>
      <c r="AU196" s="16"/>
      <c r="AV196" s="16"/>
      <c r="AY196" s="21" t="e">
        <f>-Y196*W196*X196^(-Parameters!B$52)*Parameters!B$46*Parameters!B$45*N196</f>
        <v>#NUM!</v>
      </c>
      <c r="AZ196" s="7">
        <f>1000*EXP(-(Parameters!$B$54)*'6states,BAU'!A196)*AQ196*Parameters!B$46*Parameters!B$45*N196</f>
        <v>4.5740001190845212E-5</v>
      </c>
      <c r="BA196" s="93">
        <f>SUM(AZ196:AZ$204)*EXP(Parameters!$B$54*A196)</f>
        <v>0.1122222794879825</v>
      </c>
      <c r="BB196" s="43">
        <f t="shared" si="72"/>
        <v>49596.710878859616</v>
      </c>
      <c r="BC196" s="30">
        <f>IF(C196&lt;0,Parameters!$B$6*AC196^2/AF196,0)</f>
        <v>0</v>
      </c>
      <c r="BD196" s="30">
        <f>Parameters!$B$5*AD196^2/AG196</f>
        <v>2.6946469324128812</v>
      </c>
      <c r="BE196" s="30">
        <f t="shared" si="68"/>
        <v>0</v>
      </c>
      <c r="BF196" s="30">
        <f t="shared" si="69"/>
        <v>9.4351811721634996E-2</v>
      </c>
    </row>
    <row r="197" spans="1:58" x14ac:dyDescent="0.3">
      <c r="A197">
        <f>A196+Parameters!$B$65</f>
        <v>193</v>
      </c>
      <c r="B197">
        <v>2218</v>
      </c>
      <c r="C197" s="74">
        <v>0.13711100051729799</v>
      </c>
      <c r="D197" s="69">
        <v>5.1014370617105597E-3</v>
      </c>
      <c r="E197" s="75">
        <v>0.69331612021784905</v>
      </c>
      <c r="F197" s="7">
        <f>MAX((1-Parameters!$B$4)^Parameters!B$65*F196 + C196*Parameters!B$65 - IF(C196&gt;0,Parameters!$B$5,0)*C196^2/F196*Parameters!B$65, 0.0001)</f>
        <v>1.4318756311568646</v>
      </c>
      <c r="G197" s="7">
        <f>(1-Parameters!$B$4)^Parameters!B$65*G196+D196*Parameters!B$65-Parameters!$B$5*D196^2/G196*Parameters!B$65</f>
        <v>5.3644431311065499E-2</v>
      </c>
      <c r="H197" s="7">
        <f>(1-Parameters!$B$4)^Parameters!B$65*H196+E196*Parameters!B$65-Parameters!$B$5*E196^2/H196*Parameters!B$65</f>
        <v>7.2655765648086579</v>
      </c>
      <c r="I197" s="7">
        <f>I196 *(1-Parameters!$B$4)-C196*(C196&lt;0)*Parameters!B$65</f>
        <v>0</v>
      </c>
      <c r="J197" s="23">
        <f>J196*(1+Parameters!$B$51)^Parameters!B$65</f>
        <v>14.269639517357037</v>
      </c>
      <c r="K197" s="23">
        <f>K196*(1+Parameters!$B$53)^Parameters!B$65</f>
        <v>413.62415998547277</v>
      </c>
      <c r="L197" s="23">
        <f>J197*K197*EXP(-Parameters!$B$42*'6states,BAU'!A197)*(Parameters!$B$37/Parameters!$B$38*('6states,BAU'!F197+'6states,BAU'!I197)/Parameters!$E$25*(EXP(-Parameters!$B$38*Parameters!$E$25*'6states,BAU'!I197/('6states,BAU'!F197+'6states,BAU'!I197))-EXP(-Parameters!$B$38*Parameters!$E$25))  +  Parameters!$B$39*'6states,BAU'!F197)</f>
        <v>1117.1170797598136</v>
      </c>
      <c r="M197" s="8">
        <f>M196+L197*Parameters!B$65</f>
        <v>57729.095361781991</v>
      </c>
      <c r="N197" s="7">
        <f>M197*Parameters!$B$45</f>
        <v>34.637457217069191</v>
      </c>
      <c r="O197" s="9">
        <f>EXP(-Parameters!$B$46/2*N197^2)</f>
        <v>5.8007572025679737E-6</v>
      </c>
      <c r="P197" s="7">
        <f>MAX((Parameters!$B$62 + Parameters!$B$31*'6states,BAU'!A197 - '6states,BAU'!M197 + Parameters!$B$47/Parameters!$B$45)/Parameters!B$62,1)</f>
        <v>1</v>
      </c>
      <c r="Q197" s="8"/>
      <c r="R197" s="8"/>
      <c r="S197" s="7">
        <f>Parameters!B$61*EXP(-Parameters!B$60*A197)+(1-Parameters!B$61)*P197^-Parameters!B$63</f>
        <v>0.50272810737193996</v>
      </c>
      <c r="T197" s="7">
        <f>1-S197/Parameters!$B$12</f>
        <v>0.74863594631402997</v>
      </c>
      <c r="U197" s="7">
        <f t="shared" ref="U197:U204" si="77">1/(1-T197)</f>
        <v>3.9782935759354969</v>
      </c>
      <c r="V197" s="7">
        <f>(Parameters!$B$19*(F197+Parameters!$B$20)^T197+Parameters!$B$18*G197^T197)^(1/T197)</f>
        <v>0.93322114605494211</v>
      </c>
      <c r="W197" s="7">
        <f>(Parameters!$B$10*H197^Parameters!$B$9+Parameters!$B$11*V197^Parameters!$B$9)^(Parameters!$B$7/Parameters!$B$9)*O197</f>
        <v>1.0369786477041236E-5</v>
      </c>
      <c r="X197" s="7">
        <f>W197 - D197 - E197 - LN(1+EXP(Parameters!$B$21*C197))/Parameters!$B$21 - IF(C197&gt;0, 0,Parameters!$B$6*C197^2/F197)</f>
        <v>-0.83551818801038058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-845.51818801038053</v>
      </c>
      <c r="AC197" s="23">
        <f t="shared" ref="AC197:AD204" si="78">C197*$J197*$K197</f>
        <v>809.26582400007942</v>
      </c>
      <c r="AD197" s="23">
        <f t="shared" si="78"/>
        <v>30.110046982035527</v>
      </c>
      <c r="AE197" s="23">
        <f t="shared" ref="AE197:AE204" si="79">I197*J197*K197</f>
        <v>0</v>
      </c>
      <c r="AF197" s="23">
        <f t="shared" ref="AF197:AF204" si="80">F197*J197*K197</f>
        <v>8451.3132290038466</v>
      </c>
      <c r="AG197" s="23">
        <f t="shared" ref="AG197:AG204" si="81">G197*J197*K197</f>
        <v>316.62379199463373</v>
      </c>
      <c r="AH197" s="23">
        <f t="shared" ref="AH197:AH204" si="82">V197*J197*K197</f>
        <v>5508.1209887398618</v>
      </c>
      <c r="AI197" s="23">
        <f t="shared" ref="AI197:AI204" si="83">AH197/AH$4*100</f>
        <v>13555.905105605376</v>
      </c>
      <c r="AJ197" s="23">
        <f t="shared" ref="AJ197:AJ204" si="84">W197*J197*K197</f>
        <v>6.1205255350674281E-2</v>
      </c>
      <c r="AK197" s="23">
        <f t="shared" ref="AK197:AK204" si="85">X197*J197*K197</f>
        <v>-4931.451979317806</v>
      </c>
      <c r="AL197" s="9">
        <f t="shared" si="70"/>
        <v>-0.43265099627912651</v>
      </c>
      <c r="AM197" s="9" t="e">
        <f t="shared" si="70"/>
        <v>#NUM!</v>
      </c>
      <c r="AN197" s="9">
        <f t="shared" si="75"/>
        <v>-0.43449408235999398</v>
      </c>
      <c r="AO197" s="9" t="e">
        <f t="shared" si="75"/>
        <v>#NUM!</v>
      </c>
      <c r="AP197" s="23"/>
      <c r="AQ197" s="25">
        <f t="shared" si="76"/>
        <v>6.1205255350674281E-2</v>
      </c>
      <c r="AR197" s="4"/>
      <c r="AS197" s="4"/>
      <c r="AT197" s="4"/>
      <c r="AU197" s="16"/>
      <c r="AV197" s="16"/>
      <c r="AY197" s="21" t="e">
        <f>-Y197*W197*X197^(-Parameters!B$52)*Parameters!B$46*Parameters!B$45*N197</f>
        <v>#NUM!</v>
      </c>
      <c r="AZ197" s="7">
        <f>1000*EXP(-(Parameters!$B$54)*'6states,BAU'!A197)*AQ197*Parameters!B$46*Parameters!B$45*N197</f>
        <v>2.9217356223214458E-5</v>
      </c>
      <c r="BA197" s="93">
        <f>SUM(AZ197:AZ$204)*EXP(Parameters!$B$54*A197)</f>
        <v>7.620567952947703E-2</v>
      </c>
      <c r="BB197" s="43">
        <f t="shared" si="72"/>
        <v>80573.361818656776</v>
      </c>
      <c r="BC197" s="30">
        <f>IF(C197&lt;0,Parameters!$B$6*AC197^2/AF197,0)</f>
        <v>0</v>
      </c>
      <c r="BD197" s="30">
        <f>Parameters!$B$5*AD197^2/AG197</f>
        <v>2.8633821973673808</v>
      </c>
      <c r="BE197" s="30">
        <f t="shared" ref="BE197:BE204" si="86">ABS(BC197/AC197)</f>
        <v>0</v>
      </c>
      <c r="BF197" s="30">
        <f t="shared" ref="BF197:BF204" si="87">BD197/AD197</f>
        <v>9.5097234457181434E-2</v>
      </c>
    </row>
    <row r="198" spans="1:58" x14ac:dyDescent="0.3">
      <c r="A198">
        <f>A197+Parameters!$B$65</f>
        <v>194</v>
      </c>
      <c r="B198">
        <v>2219</v>
      </c>
      <c r="C198" s="74">
        <v>0.14131165060532799</v>
      </c>
      <c r="D198" s="69">
        <v>5.2593701593055299E-3</v>
      </c>
      <c r="E198" s="75">
        <v>0.71435460690704</v>
      </c>
      <c r="F198" s="7">
        <f>MAX((1-Parameters!$B$4)^Parameters!B$65*F197 + C197*Parameters!B$65 - IF(C197&gt;0,Parameters!$B$5,0)*C197^2/F197*Parameters!B$65, 0.0001)</f>
        <v>1.4657924230985773</v>
      </c>
      <c r="G198" s="7">
        <f>(1-Parameters!$B$4)^Parameters!B$65*G197+D197*Parameters!B$65-Parameters!$B$5*D197^2/G197*Parameters!B$65</f>
        <v>5.4886501086983994E-2</v>
      </c>
      <c r="H198" s="7">
        <f>(1-Parameters!$B$4)^Parameters!B$65*H197+E197*Parameters!B$65-Parameters!$B$5*E197^2/H197*Parameters!B$65</f>
        <v>7.4357283737059205</v>
      </c>
      <c r="I198" s="7">
        <f>I197 *(1-Parameters!$B$4)-C197*(C197&lt;0)*Parameters!B$65</f>
        <v>0</v>
      </c>
      <c r="J198" s="23">
        <f>J197*(1+Parameters!$B$51)^Parameters!B$65</f>
        <v>14.311021471957371</v>
      </c>
      <c r="K198" s="23">
        <f>K197*(1+Parameters!$B$53)^Parameters!B$65</f>
        <v>421.89664318518226</v>
      </c>
      <c r="L198" s="23">
        <f>J198*K198*EXP(-Parameters!$B$42*'6states,BAU'!A198)*(Parameters!$B$37/Parameters!$B$38*('6states,BAU'!F198+'6states,BAU'!I198)/Parameters!$E$25*(EXP(-Parameters!$B$38*Parameters!$E$25*'6states,BAU'!I198/('6states,BAU'!F198+'6states,BAU'!I198))-EXP(-Parameters!$B$38*Parameters!$E$25))  +  Parameters!$B$39*'6states,BAU'!F198)</f>
        <v>1158.1924367553463</v>
      </c>
      <c r="M198" s="8">
        <f>M197+L198*Parameters!B$65</f>
        <v>58887.287798537334</v>
      </c>
      <c r="N198" s="7">
        <f>M198*Parameters!$B$45</f>
        <v>35.3323726791224</v>
      </c>
      <c r="O198" s="9">
        <f>EXP(-Parameters!$B$46/2*N198^2)</f>
        <v>3.558453849708217E-6</v>
      </c>
      <c r="P198" s="7">
        <f>MAX((Parameters!$B$62 + Parameters!$B$31*'6states,BAU'!A198 - '6states,BAU'!M198 + Parameters!$B$47/Parameters!$B$45)/Parameters!B$62,1)</f>
        <v>1</v>
      </c>
      <c r="Q198" s="8"/>
      <c r="R198" s="8"/>
      <c r="S198" s="7">
        <f>Parameters!B$61*EXP(-Parameters!B$60*A198)+(1-Parameters!B$61)*P198^-Parameters!B$63</f>
        <v>0.50265543397856316</v>
      </c>
      <c r="T198" s="7">
        <f>1-S198/Parameters!$B$12</f>
        <v>0.74867228301071842</v>
      </c>
      <c r="U198" s="7">
        <f t="shared" si="77"/>
        <v>3.9788687534317879</v>
      </c>
      <c r="V198" s="7">
        <f>(Parameters!$B$19*(F198+Parameters!$B$20)^T198+Parameters!$B$18*G198^T198)^(1/T198)</f>
        <v>0.95517539434251852</v>
      </c>
      <c r="W198" s="7">
        <f>(Parameters!$B$10*H198^Parameters!$B$9+Parameters!$B$11*V198^Parameters!$B$9)^(Parameters!$B$7/Parameters!$B$9)*O198</f>
        <v>6.4056735832665282E-6</v>
      </c>
      <c r="X198" s="7">
        <f>W198 - D198 - E198 - LN(1+EXP(Parameters!$B$21*C198))/Parameters!$B$21 - IF(C198&gt;0, 0,Parameters!$B$6*C198^2/F198)</f>
        <v>-0.86091922199809023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-870.91922199809028</v>
      </c>
      <c r="AC198" s="23">
        <f t="shared" si="78"/>
        <v>853.20751593291959</v>
      </c>
      <c r="AD198" s="23">
        <f t="shared" si="78"/>
        <v>31.754877462478699</v>
      </c>
      <c r="AE198" s="23">
        <f t="shared" si="79"/>
        <v>0</v>
      </c>
      <c r="AF198" s="23">
        <f t="shared" si="80"/>
        <v>8850.1203321028825</v>
      </c>
      <c r="AG198" s="23">
        <f t="shared" si="81"/>
        <v>331.39217502643373</v>
      </c>
      <c r="AH198" s="23">
        <f t="shared" si="82"/>
        <v>5767.1311742253456</v>
      </c>
      <c r="AI198" s="23">
        <f t="shared" si="83"/>
        <v>14193.348891427107</v>
      </c>
      <c r="AJ198" s="23">
        <f t="shared" si="84"/>
        <v>3.8675996086977221E-2</v>
      </c>
      <c r="AK198" s="23">
        <f t="shared" si="85"/>
        <v>-5198.0339035980178</v>
      </c>
      <c r="AL198" s="9">
        <f t="shared" ref="AL198:AM204" si="88">LN(AJ198)-LN(AJ197)</f>
        <v>-0.45901390612770454</v>
      </c>
      <c r="AM198" s="9" t="e">
        <f t="shared" si="88"/>
        <v>#NUM!</v>
      </c>
      <c r="AN198" s="9">
        <f t="shared" si="75"/>
        <v>-0.46098387762477061</v>
      </c>
      <c r="AO198" s="9" t="e">
        <f t="shared" si="75"/>
        <v>#NUM!</v>
      </c>
      <c r="AP198" s="23"/>
      <c r="AQ198" s="25">
        <f t="shared" si="76"/>
        <v>3.8675996086977221E-2</v>
      </c>
      <c r="AR198" s="4"/>
      <c r="AS198" s="4"/>
      <c r="AT198" s="4"/>
      <c r="AU198" s="16"/>
      <c r="AV198" s="16"/>
      <c r="AY198" s="21" t="e">
        <f>-Y198*W198*X198^(-Parameters!B$52)*Parameters!B$46*Parameters!B$45*N198</f>
        <v>#NUM!</v>
      </c>
      <c r="AZ198" s="7">
        <f>1000*EXP(-(Parameters!$B$54)*'6states,BAU'!A198)*AQ198*Parameters!B$46*Parameters!B$45*N198</f>
        <v>1.8183470361313909E-5</v>
      </c>
      <c r="BA198" s="93">
        <f>SUM(AZ198:AZ$204)*EXP(Parameters!$B$54*A198)</f>
        <v>5.2447521685207804E-2</v>
      </c>
      <c r="BB198" s="43">
        <f t="shared" si="72"/>
        <v>134400.48364635065</v>
      </c>
      <c r="BC198" s="30">
        <f>IF(C198&lt;0,Parameters!$B$6*AC198^2/AF198,0)</f>
        <v>0</v>
      </c>
      <c r="BD198" s="30">
        <f>Parameters!$B$5*AD198^2/AG198</f>
        <v>3.042836610661082</v>
      </c>
      <c r="BE198" s="30">
        <f t="shared" si="86"/>
        <v>0</v>
      </c>
      <c r="BF198" s="30">
        <f t="shared" si="87"/>
        <v>9.5822653205211467E-2</v>
      </c>
    </row>
    <row r="199" spans="1:58" x14ac:dyDescent="0.3">
      <c r="A199">
        <f>A198+Parameters!$B$65</f>
        <v>195</v>
      </c>
      <c r="B199">
        <v>2220</v>
      </c>
      <c r="C199" s="74">
        <v>0.14552854358481901</v>
      </c>
      <c r="D199" s="69">
        <v>5.41690166076878E-3</v>
      </c>
      <c r="E199" s="75">
        <v>0.73633201627382905</v>
      </c>
      <c r="F199" s="7">
        <f>MAX((1-Parameters!$B$4)^Parameters!B$65*F198 + C198*Parameters!B$65 - IF(C198&gt;0,Parameters!$B$5,0)*C198^2/F198*Parameters!B$65, 0.0001)</f>
        <v>1.5012823943519438</v>
      </c>
      <c r="G199" s="7">
        <f>(1-Parameters!$B$4)^Parameters!B$65*G198+D198*Parameters!B$65-Parameters!$B$5*D198^2/G198*Parameters!B$65</f>
        <v>5.6189543525065264E-2</v>
      </c>
      <c r="H199" s="7">
        <f>(1-Parameters!$B$4)^Parameters!B$65*H198+E198*Parameters!B$65-Parameters!$B$5*E198^2/H198*Parameters!B$65</f>
        <v>7.6137472170498732</v>
      </c>
      <c r="I199" s="7">
        <f>I198 *(1-Parameters!$B$4)-C198*(C198&lt;0)*Parameters!B$65</f>
        <v>0</v>
      </c>
      <c r="J199" s="23">
        <f>J198*(1+Parameters!$B$51)^Parameters!B$65</f>
        <v>14.352523434226047</v>
      </c>
      <c r="K199" s="23">
        <f>K198*(1+Parameters!$B$53)^Parameters!B$65</f>
        <v>430.33457604888594</v>
      </c>
      <c r="L199" s="23">
        <f>J199*K199*EXP(-Parameters!$B$42*'6states,BAU'!A199)*(Parameters!$B$37/Parameters!$B$38*('6states,BAU'!F199+'6states,BAU'!I199)/Parameters!$E$25*(EXP(-Parameters!$B$38*Parameters!$E$25*'6states,BAU'!I199/('6states,BAU'!F199+'6states,BAU'!I199))-EXP(-Parameters!$B$38*Parameters!$E$25))  +  Parameters!$B$39*'6states,BAU'!F199)</f>
        <v>1201.3941199427502</v>
      </c>
      <c r="M199" s="8">
        <f>M198+L199*Parameters!B$65</f>
        <v>60088.681918480084</v>
      </c>
      <c r="N199" s="7">
        <f>M199*Parameters!$B$45</f>
        <v>36.053209151088048</v>
      </c>
      <c r="O199" s="9">
        <f>EXP(-Parameters!$B$46/2*N199^2)</f>
        <v>2.1216200312430702E-6</v>
      </c>
      <c r="P199" s="7">
        <f>MAX((Parameters!$B$62 + Parameters!$B$31*'6states,BAU'!A199 - '6states,BAU'!M199 + Parameters!$B$47/Parameters!$B$45)/Parameters!B$62,1)</f>
        <v>1</v>
      </c>
      <c r="Q199" s="8"/>
      <c r="R199" s="8"/>
      <c r="S199" s="7">
        <f>Parameters!B$61*EXP(-Parameters!B$60*A199)+(1-Parameters!B$61)*P199^-Parameters!B$63</f>
        <v>0.50258469651416016</v>
      </c>
      <c r="T199" s="7">
        <f>1-S199/Parameters!$B$12</f>
        <v>0.74870765174291987</v>
      </c>
      <c r="U199" s="7">
        <f t="shared" si="77"/>
        <v>3.979428768666557</v>
      </c>
      <c r="V199" s="7">
        <f>(Parameters!$B$19*(F199+Parameters!$B$20)^T199+Parameters!$B$18*G199^T199)^(1/T199)</f>
        <v>0.97814967588137702</v>
      </c>
      <c r="W199" s="7">
        <f>(Parameters!$B$10*H199^Parameters!$B$9+Parameters!$B$11*V199^Parameters!$B$9)^(Parameters!$B$7/Parameters!$B$9)*O199</f>
        <v>3.8464135310343516E-6</v>
      </c>
      <c r="X199" s="7">
        <f>W199 - D199 - E199 - LN(1+EXP(Parameters!$B$21*C199))/Parameters!$B$21 - IF(C199&gt;0, 0,Parameters!$B$6*C199^2/F199)</f>
        <v>-0.88727361510588587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-897.27361510588582</v>
      </c>
      <c r="AC199" s="23">
        <f t="shared" si="78"/>
        <v>898.84061743075915</v>
      </c>
      <c r="AD199" s="23">
        <f t="shared" si="78"/>
        <v>33.456881470742786</v>
      </c>
      <c r="AE199" s="23">
        <f t="shared" si="79"/>
        <v>0</v>
      </c>
      <c r="AF199" s="23">
        <f t="shared" si="80"/>
        <v>9272.5011948652209</v>
      </c>
      <c r="AG199" s="23">
        <f t="shared" si="81"/>
        <v>347.04837106945877</v>
      </c>
      <c r="AH199" s="23">
        <f t="shared" si="82"/>
        <v>6041.4310275597973</v>
      </c>
      <c r="AI199" s="23">
        <f t="shared" si="83"/>
        <v>14868.421713880483</v>
      </c>
      <c r="AJ199" s="23">
        <f t="shared" si="84"/>
        <v>2.375693886549413E-2</v>
      </c>
      <c r="AK199" s="23">
        <f t="shared" si="85"/>
        <v>-5480.1452992414215</v>
      </c>
      <c r="AL199" s="9">
        <f t="shared" si="88"/>
        <v>-0.48734450087978187</v>
      </c>
      <c r="AM199" s="9" t="e">
        <f t="shared" si="88"/>
        <v>#NUM!</v>
      </c>
      <c r="AN199" s="9">
        <f t="shared" si="75"/>
        <v>-0.48943956248240522</v>
      </c>
      <c r="AO199" s="9" t="e">
        <f t="shared" si="75"/>
        <v>#NUM!</v>
      </c>
      <c r="AP199" s="23"/>
      <c r="AQ199" s="25">
        <f t="shared" si="76"/>
        <v>2.375693886549413E-2</v>
      </c>
      <c r="AR199" s="4"/>
      <c r="AS199" s="4"/>
      <c r="AT199" s="4"/>
      <c r="AU199" s="16"/>
      <c r="AV199" s="16"/>
      <c r="AY199" s="21" t="e">
        <f>-Y199*W199*X199^(-Parameters!B$52)*Parameters!B$46*Parameters!B$45*N199</f>
        <v>#NUM!</v>
      </c>
      <c r="AZ199" s="7">
        <f>1000*EXP(-(Parameters!$B$54)*'6states,BAU'!A199)*AQ199*Parameters!B$46*Parameters!B$45*N199</f>
        <v>1.1004064681926583E-5</v>
      </c>
      <c r="BA199" s="93">
        <f>SUM(AZ199:AZ$204)*EXP(Parameters!$B$54*A199)</f>
        <v>3.7252226036252625E-2</v>
      </c>
      <c r="BB199" s="43">
        <f t="shared" si="72"/>
        <v>230676.56515882112</v>
      </c>
      <c r="BC199" s="30">
        <f>IF(C199&lt;0,Parameters!$B$6*AC199^2/AF199,0)</f>
        <v>0</v>
      </c>
      <c r="BD199" s="30">
        <f>Parameters!$B$5*AD199^2/AG199</f>
        <v>3.2253801229434411</v>
      </c>
      <c r="BE199" s="30">
        <f t="shared" si="86"/>
        <v>0</v>
      </c>
      <c r="BF199" s="30">
        <f t="shared" si="87"/>
        <v>9.6404087325471621E-2</v>
      </c>
    </row>
    <row r="200" spans="1:58" x14ac:dyDescent="0.3">
      <c r="A200">
        <f>A199+Parameters!$B$65</f>
        <v>196</v>
      </c>
      <c r="B200">
        <v>2221</v>
      </c>
      <c r="C200" s="74">
        <v>0.14996045696906901</v>
      </c>
      <c r="D200" s="69">
        <v>5.5838151901697799E-3</v>
      </c>
      <c r="E200" s="75">
        <v>0.75870720619395404</v>
      </c>
      <c r="F200" s="7">
        <f>MAX((1-Parameters!$B$4)^Parameters!B$65*F199 + C199*Parameters!B$65 - IF(C199&gt;0,Parameters!$B$5,0)*C199^2/F199*Parameters!B$65, 0.0001)</f>
        <v>1.5382732978056153</v>
      </c>
      <c r="G200" s="7">
        <f>(1-Parameters!$B$4)^Parameters!B$65*G199+D199*Parameters!B$65-Parameters!$B$5*D199^2/G199*Parameters!B$65</f>
        <v>5.7549911437369192E-2</v>
      </c>
      <c r="H200" s="7">
        <f>(1-Parameters!$B$4)^Parameters!B$65*H199+E199*Parameters!B$65-Parameters!$B$5*E199^2/H199*Parameters!B$65</f>
        <v>7.7999632332409261</v>
      </c>
      <c r="I200" s="7">
        <f>I199 *(1-Parameters!$B$4)-C199*(C199&lt;0)*Parameters!B$65</f>
        <v>0</v>
      </c>
      <c r="J200" s="23">
        <f>J199*(1+Parameters!$B$51)^Parameters!B$65</f>
        <v>14.394145752185301</v>
      </c>
      <c r="K200" s="23">
        <f>K199*(1+Parameters!$B$53)^Parameters!B$65</f>
        <v>438.94126756986367</v>
      </c>
      <c r="L200" s="23">
        <f>J200*K200*EXP(-Parameters!$B$42*'6states,BAU'!A200)*(Parameters!$B$37/Parameters!$B$38*('6states,BAU'!F200+'6states,BAU'!I200)/Parameters!$E$25*(EXP(-Parameters!$B$38*Parameters!$E$25*'6states,BAU'!I200/('6states,BAU'!F200+'6states,BAU'!I200))-EXP(-Parameters!$B$38*Parameters!$E$25))  +  Parameters!$B$39*'6states,BAU'!F200)</f>
        <v>1246.7273016222309</v>
      </c>
      <c r="M200" s="8">
        <f>M199+L200*Parameters!B$65</f>
        <v>61335.409220102316</v>
      </c>
      <c r="N200" s="7">
        <f>M200*Parameters!$B$45</f>
        <v>36.801245532061387</v>
      </c>
      <c r="O200" s="9">
        <f>EXP(-Parameters!$B$46/2*N200^2)</f>
        <v>1.2268835405144959E-6</v>
      </c>
      <c r="P200" s="7">
        <f>MAX((Parameters!$B$62 + Parameters!$B$31*'6states,BAU'!A200 - '6states,BAU'!M200 + Parameters!$B$47/Parameters!$B$45)/Parameters!B$62,1)</f>
        <v>1</v>
      </c>
      <c r="Q200" s="8"/>
      <c r="R200" s="8"/>
      <c r="S200" s="7">
        <f>Parameters!B$61*EXP(-Parameters!B$60*A200)+(1-Parameters!B$61)*P200^-Parameters!B$63</f>
        <v>0.50251584340798661</v>
      </c>
      <c r="T200" s="7">
        <f>1-S200/Parameters!$B$12</f>
        <v>0.7487420782960067</v>
      </c>
      <c r="U200" s="7">
        <f t="shared" si="77"/>
        <v>3.97997401720969</v>
      </c>
      <c r="V200" s="7">
        <f>(Parameters!$B$19*(F200+Parameters!$B$20)^T200+Parameters!$B$18*G200^T200)^(1/T200)</f>
        <v>1.0020966590878326</v>
      </c>
      <c r="W200" s="7">
        <f>(Parameters!$B$10*H200^Parameters!$B$9+Parameters!$B$11*V200^Parameters!$B$9)^(Parameters!$B$7/Parameters!$B$9)*O200</f>
        <v>2.2404768413938133E-6</v>
      </c>
      <c r="X200" s="7">
        <f>W200 - D200 - E200 - LN(1+EXP(Parameters!$B$21*C200))/Parameters!$B$21 - IF(C200&gt;0, 0,Parameters!$B$6*C200^2/F200)</f>
        <v>-0.91424923787635148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-924.24923787635146</v>
      </c>
      <c r="AC200" s="23">
        <f t="shared" si="78"/>
        <v>947.47784713908209</v>
      </c>
      <c r="AD200" s="23">
        <f t="shared" si="78"/>
        <v>35.279575043544973</v>
      </c>
      <c r="AE200" s="23">
        <f t="shared" si="79"/>
        <v>0</v>
      </c>
      <c r="AF200" s="23">
        <f t="shared" si="80"/>
        <v>9719.0946331740088</v>
      </c>
      <c r="AG200" s="23">
        <f t="shared" si="81"/>
        <v>363.61096314190507</v>
      </c>
      <c r="AH200" s="23">
        <f t="shared" si="82"/>
        <v>6331.4316611721424</v>
      </c>
      <c r="AI200" s="23">
        <f t="shared" si="83"/>
        <v>15582.135351952502</v>
      </c>
      <c r="AJ200" s="23">
        <f t="shared" si="84"/>
        <v>1.4155746235733544E-2</v>
      </c>
      <c r="AK200" s="23">
        <f t="shared" si="85"/>
        <v>-5776.3954389009477</v>
      </c>
      <c r="AL200" s="9">
        <f t="shared" si="88"/>
        <v>-0.51775401451370717</v>
      </c>
      <c r="AM200" s="9" t="e">
        <f t="shared" si="88"/>
        <v>#NUM!</v>
      </c>
      <c r="AN200" s="9">
        <f t="shared" ref="AN200:AO204" si="89">AVERAGE(AL198:AL202)</f>
        <v>-0.51999415733821486</v>
      </c>
      <c r="AO200" s="9" t="e">
        <f t="shared" si="89"/>
        <v>#NUM!</v>
      </c>
      <c r="AP200" s="23"/>
      <c r="AQ200" s="25">
        <f t="shared" si="76"/>
        <v>1.4155746235733544E-2</v>
      </c>
      <c r="AR200" s="4"/>
      <c r="AS200" s="4"/>
      <c r="AT200" s="4"/>
      <c r="AU200" s="16"/>
      <c r="AV200" s="16"/>
      <c r="AY200" s="21" t="e">
        <f>-Y200*W200*X200^(-Parameters!B$52)*Parameters!B$46*Parameters!B$45*N200</f>
        <v>#NUM!</v>
      </c>
      <c r="AZ200" s="7">
        <f>1000*EXP(-(Parameters!$B$54)*'6states,BAU'!A200)*AQ200*Parameters!B$46*Parameters!B$45*N200</f>
        <v>6.4620494379278498E-6</v>
      </c>
      <c r="BA200" s="93">
        <f>SUM(AZ200:AZ$204)*EXP(Parameters!$B$54*A200)</f>
        <v>2.7884434493391574E-2</v>
      </c>
      <c r="BB200" s="43">
        <f t="shared" si="72"/>
        <v>408061.11514387798</v>
      </c>
      <c r="BC200" s="30">
        <f>IF(C200&lt;0,Parameters!$B$6*AC200^2/AF200,0)</f>
        <v>0</v>
      </c>
      <c r="BD200" s="30">
        <f>Parameters!$B$5*AD200^2/AG200</f>
        <v>3.4230222447043688</v>
      </c>
      <c r="BE200" s="30">
        <f t="shared" si="86"/>
        <v>0</v>
      </c>
      <c r="BF200" s="30">
        <f t="shared" si="87"/>
        <v>9.7025608740450853E-2</v>
      </c>
    </row>
    <row r="201" spans="1:58" x14ac:dyDescent="0.3">
      <c r="A201">
        <f>A200+Parameters!$B$65</f>
        <v>197</v>
      </c>
      <c r="B201">
        <v>2222</v>
      </c>
      <c r="C201" s="74">
        <v>0.154122998787946</v>
      </c>
      <c r="D201" s="69">
        <v>5.74665811596112E-3</v>
      </c>
      <c r="E201" s="75">
        <v>0.78232012594274503</v>
      </c>
      <c r="F201" s="7">
        <f>MAX((1-Parameters!$B$4)^Parameters!B$65*F200 + C200*Parameters!B$65 - IF(C200&gt;0,Parameters!$B$5,0)*C200^2/F200*Parameters!B$65, 0.0001)</f>
        <v>1.5768572854791232</v>
      </c>
      <c r="G201" s="7">
        <f>(1-Parameters!$B$4)^Parameters!B$65*G200+D200*Parameters!B$65-Parameters!$B$5*D200^2/G200*Parameters!B$65</f>
        <v>5.897206413020805E-2</v>
      </c>
      <c r="H201" s="7">
        <f>(1-Parameters!$B$4)^Parameters!B$65*H200+E200*Parameters!B$65-Parameters!$B$5*E200^2/H200*Parameters!B$65</f>
        <v>7.994252836921163</v>
      </c>
      <c r="I201" s="7">
        <f>I200 *(1-Parameters!$B$4)-C200*(C200&lt;0)*Parameters!B$65</f>
        <v>0</v>
      </c>
      <c r="J201" s="23">
        <f>J200*(1+Parameters!$B$51)^Parameters!B$65</f>
        <v>14.435888774866637</v>
      </c>
      <c r="K201" s="23">
        <f>K200*(1+Parameters!$B$53)^Parameters!B$65</f>
        <v>447.72009292126097</v>
      </c>
      <c r="L201" s="23">
        <f>J201*K201*EXP(-Parameters!$B$42*'6states,BAU'!A201)*(Parameters!$B$37/Parameters!$B$38*('6states,BAU'!F201+'6states,BAU'!I201)/Parameters!$E$25*(EXP(-Parameters!$B$38*Parameters!$E$25*'6states,BAU'!I201/('6states,BAU'!F201+'6states,BAU'!I201))-EXP(-Parameters!$B$38*Parameters!$E$25))  +  Parameters!$B$39*'6states,BAU'!F201)</f>
        <v>1294.330591674541</v>
      </c>
      <c r="M201" s="8">
        <f>M200+L201*Parameters!B$65</f>
        <v>62629.739811776853</v>
      </c>
      <c r="N201" s="7">
        <f>M201*Parameters!$B$45</f>
        <v>37.577843887066109</v>
      </c>
      <c r="O201" s="9">
        <f>EXP(-Parameters!$B$46/2*N201^2)</f>
        <v>6.8657646811906403E-7</v>
      </c>
      <c r="P201" s="7">
        <f>MAX((Parameters!$B$62 + Parameters!$B$31*'6states,BAU'!A201 - '6states,BAU'!M201 + Parameters!$B$47/Parameters!$B$45)/Parameters!B$62,1)</f>
        <v>1</v>
      </c>
      <c r="Q201" s="8"/>
      <c r="R201" s="8"/>
      <c r="S201" s="7">
        <f>Parameters!B$61*EXP(-Parameters!B$60*A201)+(1-Parameters!B$61)*P201^-Parameters!B$63</f>
        <v>0.50244882446307859</v>
      </c>
      <c r="T201" s="7">
        <f>1-S201/Parameters!$B$12</f>
        <v>0.74877558776846076</v>
      </c>
      <c r="U201" s="7">
        <f t="shared" si="77"/>
        <v>3.9805048845267352</v>
      </c>
      <c r="V201" s="7">
        <f>(Parameters!$B$19*(F201+Parameters!$B$20)^T201+Parameters!$B$18*G201^T201)^(1/T201)</f>
        <v>1.0270766574973473</v>
      </c>
      <c r="W201" s="7">
        <f>(Parameters!$B$10*H201^Parameters!$B$9+Parameters!$B$11*V201^Parameters!$B$9)^(Parameters!$B$7/Parameters!$B$9)*O201</f>
        <v>1.2630834244685317E-6</v>
      </c>
      <c r="X201" s="7">
        <f>W201 - D201 - E201 - LN(1+EXP(Parameters!$B$21*C201))/Parameters!$B$21 - IF(C201&gt;0, 0,Parameters!$B$6*C201^2/F201)</f>
        <v>-0.94218851976322771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-952.18851976322776</v>
      </c>
      <c r="AC201" s="23">
        <f t="shared" si="78"/>
        <v>996.13353978161933</v>
      </c>
      <c r="AD201" s="23">
        <f t="shared" si="78"/>
        <v>37.142016026065228</v>
      </c>
      <c r="AE201" s="23">
        <f t="shared" si="79"/>
        <v>0</v>
      </c>
      <c r="AF201" s="23">
        <f t="shared" si="80"/>
        <v>10191.603082392165</v>
      </c>
      <c r="AG201" s="23">
        <f t="shared" si="81"/>
        <v>381.15045419715256</v>
      </c>
      <c r="AH201" s="23">
        <f t="shared" si="82"/>
        <v>6638.2403308124822</v>
      </c>
      <c r="AI201" s="23">
        <f t="shared" si="83"/>
        <v>16337.21484634338</v>
      </c>
      <c r="AJ201" s="23">
        <f t="shared" si="84"/>
        <v>8.1636081087836463E-3</v>
      </c>
      <c r="AK201" s="23">
        <f t="shared" si="85"/>
        <v>-6089.5881387869285</v>
      </c>
      <c r="AL201" s="9">
        <f t="shared" si="88"/>
        <v>-0.55043439461170607</v>
      </c>
      <c r="AM201" s="9" t="e">
        <f t="shared" si="88"/>
        <v>#NUM!</v>
      </c>
      <c r="AN201" s="9">
        <f t="shared" si="89"/>
        <v>-0.55282477337428548</v>
      </c>
      <c r="AO201" s="9" t="e">
        <f t="shared" si="89"/>
        <v>#NUM!</v>
      </c>
      <c r="AP201" s="23"/>
      <c r="AQ201" s="25">
        <f t="shared" si="76"/>
        <v>8.1636081087836446E-3</v>
      </c>
      <c r="AR201" s="4"/>
      <c r="AS201" s="4"/>
      <c r="AT201" s="4"/>
      <c r="AU201" s="16"/>
      <c r="AV201" s="16"/>
      <c r="AY201" s="21" t="e">
        <f>-Y201*W201*X201^(-Parameters!B$52)*Parameters!B$46*Parameters!B$45*N201</f>
        <v>#NUM!</v>
      </c>
      <c r="AZ201" s="7">
        <f>1000*EXP(-(Parameters!$B$54)*'6states,BAU'!A201)*AQ201*Parameters!B$46*Parameters!B$45*N201</f>
        <v>3.6740516727484647E-6</v>
      </c>
      <c r="BA201" s="93">
        <f>SUM(AZ201:AZ$204)*EXP(Parameters!$B$54*A201)</f>
        <v>2.2373475082062624E-2</v>
      </c>
      <c r="BB201" s="43">
        <f t="shared" si="72"/>
        <v>745944.22236448701</v>
      </c>
      <c r="BC201" s="30">
        <f>IF(C201&lt;0,Parameters!$B$6*AC201^2/AF201,0)</f>
        <v>0</v>
      </c>
      <c r="BD201" s="30">
        <f>Parameters!$B$5*AD201^2/AG201</f>
        <v>3.6193826854707503</v>
      </c>
      <c r="BE201" s="30">
        <f t="shared" si="86"/>
        <v>0</v>
      </c>
      <c r="BF201" s="30">
        <f t="shared" si="87"/>
        <v>9.7447125189186523E-2</v>
      </c>
    </row>
    <row r="202" spans="1:58" x14ac:dyDescent="0.3">
      <c r="A202">
        <f>A201+Parameters!$B$65</f>
        <v>198</v>
      </c>
      <c r="B202">
        <v>2223</v>
      </c>
      <c r="C202" s="74">
        <v>0.15920041640382901</v>
      </c>
      <c r="D202" s="69">
        <v>5.9286641061037397E-3</v>
      </c>
      <c r="E202" s="75">
        <v>0.80524460267520803</v>
      </c>
      <c r="F202" s="7">
        <f>MAX((1-Parameters!$B$4)^Parameters!B$65*F201 + C201*Parameters!B$65 - IF(C201&gt;0,Parameters!$B$5,0)*C201^2/F201*Parameters!B$65, 0.0001)</f>
        <v>1.6167318845247969</v>
      </c>
      <c r="G202" s="7">
        <f>(1-Parameters!$B$4)^Parameters!B$65*G201+D201*Parameters!B$65-Parameters!$B$5*D201^2/G201*Parameters!B$65</f>
        <v>6.0449384099533564E-2</v>
      </c>
      <c r="H202" s="7">
        <f>(1-Parameters!$B$4)^Parameters!B$65*H201+E201*Parameters!B$65-Parameters!$B$5*E201^2/H201*Parameters!B$65</f>
        <v>8.1971763630065446</v>
      </c>
      <c r="I202" s="7">
        <f>I201 *(1-Parameters!$B$4)-C201*(C201&lt;0)*Parameters!B$65</f>
        <v>0</v>
      </c>
      <c r="J202" s="23">
        <f>J201*(1+Parameters!$B$51)^Parameters!B$65</f>
        <v>14.477752852313749</v>
      </c>
      <c r="K202" s="23">
        <f>K201*(1+Parameters!$B$53)^Parameters!B$65</f>
        <v>456.6744947796862</v>
      </c>
      <c r="L202" s="23">
        <f>J202*K202*EXP(-Parameters!$B$42*'6states,BAU'!A202)*(Parameters!$B$37/Parameters!$B$38*('6states,BAU'!F202+'6states,BAU'!I202)/Parameters!$E$25*(EXP(-Parameters!$B$38*Parameters!$E$25*'6states,BAU'!I202/('6states,BAU'!F202+'6states,BAU'!I202))-EXP(-Parameters!$B$38*Parameters!$E$25))  +  Parameters!$B$39*'6states,BAU'!F202)</f>
        <v>1344.0198674058165</v>
      </c>
      <c r="M202" s="8">
        <f>M201+L202*Parameters!B$65</f>
        <v>63973.759679182673</v>
      </c>
      <c r="N202" s="7">
        <f>M202*Parameters!$B$45</f>
        <v>38.384255807509604</v>
      </c>
      <c r="O202" s="9">
        <f>EXP(-Parameters!$B$46/2*N202^2)</f>
        <v>3.7095744157376489E-7</v>
      </c>
      <c r="P202" s="7">
        <f>MAX((Parameters!$B$62 + Parameters!$B$31*'6states,BAU'!A202 - '6states,BAU'!M202 + Parameters!$B$47/Parameters!$B$45)/Parameters!B$62,1)</f>
        <v>1</v>
      </c>
      <c r="Q202" s="8"/>
      <c r="R202" s="8"/>
      <c r="S202" s="7">
        <f>Parameters!B$61*EXP(-Parameters!B$60*A202)+(1-Parameters!B$61)*P202^-Parameters!B$63</f>
        <v>0.50238359081965733</v>
      </c>
      <c r="T202" s="7">
        <f>1-S202/Parameters!$B$12</f>
        <v>0.74880820459017139</v>
      </c>
      <c r="U202" s="7">
        <f t="shared" si="77"/>
        <v>3.9810217462256814</v>
      </c>
      <c r="V202" s="7">
        <f>(Parameters!$B$19*(F202+Parameters!$B$20)^T202+Parameters!$B$18*G202^T202)^(1/T202)</f>
        <v>1.0528968009850799</v>
      </c>
      <c r="W202" s="7">
        <f>(Parameters!$B$10*H202^Parameters!$B$9+Parameters!$B$11*V202^Parameters!$B$9)^(Parameters!$B$7/Parameters!$B$9)*O202</f>
        <v>6.8758727836357534E-7</v>
      </c>
      <c r="X202" s="7">
        <f>W202 - D202 - E202 - LN(1+EXP(Parameters!$B$21*C202))/Parameters!$B$21 - IF(C202&gt;0, 0,Parameters!$B$6*C202^2/F202)</f>
        <v>-0.97037299559786239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-980.37299559786243</v>
      </c>
      <c r="AC202" s="23">
        <f t="shared" si="78"/>
        <v>1052.5727318286658</v>
      </c>
      <c r="AD202" s="23">
        <f t="shared" si="78"/>
        <v>39.198076959967537</v>
      </c>
      <c r="AE202" s="23">
        <f t="shared" si="79"/>
        <v>0</v>
      </c>
      <c r="AF202" s="23">
        <f t="shared" si="80"/>
        <v>10689.217621216243</v>
      </c>
      <c r="AG202" s="23">
        <f t="shared" si="81"/>
        <v>399.66838527362057</v>
      </c>
      <c r="AH202" s="23">
        <f t="shared" si="82"/>
        <v>6961.3540415329808</v>
      </c>
      <c r="AI202" s="23">
        <f t="shared" si="83"/>
        <v>17132.422288191745</v>
      </c>
      <c r="AJ202" s="23">
        <f t="shared" si="84"/>
        <v>4.5460661241108341E-3</v>
      </c>
      <c r="AK202" s="23">
        <f t="shared" si="85"/>
        <v>-6415.7379606240902</v>
      </c>
      <c r="AL202" s="9">
        <f t="shared" si="88"/>
        <v>-0.58542397055817474</v>
      </c>
      <c r="AM202" s="9" t="e">
        <f t="shared" si="88"/>
        <v>#NUM!</v>
      </c>
      <c r="AN202" s="9">
        <f t="shared" si="89"/>
        <v>-0.58806138885401915</v>
      </c>
      <c r="AO202" s="9" t="e">
        <f t="shared" si="89"/>
        <v>#NUM!</v>
      </c>
      <c r="AP202" s="23"/>
      <c r="AQ202" s="25">
        <f t="shared" si="76"/>
        <v>4.5460661241108332E-3</v>
      </c>
      <c r="AR202" s="4"/>
      <c r="AS202" s="4"/>
      <c r="AT202" s="4"/>
      <c r="AU202" s="16"/>
      <c r="AV202" s="16"/>
      <c r="AY202" s="21" t="e">
        <f>-Y202*W202*X202^(-Parameters!B$52)*Parameters!B$46*Parameters!B$45*N202</f>
        <v>#NUM!</v>
      </c>
      <c r="AZ202" s="7">
        <f>1000*EXP(-(Parameters!$B$54)*'6states,BAU'!A202)*AQ202*Parameters!B$46*Parameters!B$45*N202</f>
        <v>2.0177919766302477E-6</v>
      </c>
      <c r="BA202" s="93">
        <f>SUM(AZ202:AZ$204)*EXP(Parameters!$B$54*A202)</f>
        <v>1.9340909343158356E-2</v>
      </c>
      <c r="BB202" s="43">
        <f t="shared" si="72"/>
        <v>1411273.4684309219</v>
      </c>
      <c r="BC202" s="30">
        <f>IF(C202&lt;0,Parameters!$B$6*AC202^2/AF202,0)</f>
        <v>0</v>
      </c>
      <c r="BD202" s="30">
        <f>Parameters!$B$5*AD202^2/AG202</f>
        <v>3.8444102510325604</v>
      </c>
      <c r="BE202" s="30">
        <f t="shared" si="86"/>
        <v>0</v>
      </c>
      <c r="BF202" s="30">
        <f t="shared" si="87"/>
        <v>9.8076501430384058E-2</v>
      </c>
    </row>
    <row r="203" spans="1:58" x14ac:dyDescent="0.3">
      <c r="A203">
        <f>A202+Parameters!$B$65</f>
        <v>199</v>
      </c>
      <c r="B203">
        <v>2224</v>
      </c>
      <c r="C203" s="74">
        <v>0.163444885274488</v>
      </c>
      <c r="D203" s="69">
        <v>6.09561981304136E-3</v>
      </c>
      <c r="E203" s="75">
        <v>0.83017841337744902</v>
      </c>
      <c r="F203" s="7">
        <f>MAX((1-Parameters!$B$4)^Parameters!B$65*F202 + C202*Parameters!B$65 - IF(C202&gt;0,Parameters!$B$5,0)*C202^2/F202*Parameters!B$65, 0.0001)</f>
        <v>1.6585633188812743</v>
      </c>
      <c r="G203" s="7">
        <f>(1-Parameters!$B$4)^Parameters!B$65*G202+D202*Parameters!B$65-Parameters!$B$5*D202^2/G202*Parameters!B$65</f>
        <v>6.19943193120941E-2</v>
      </c>
      <c r="H203" s="7">
        <f>(1-Parameters!$B$4)^Parameters!B$65*H202+E202*Parameters!B$65-Parameters!$B$5*E202^2/H202*Parameters!B$65</f>
        <v>8.4077158617806305</v>
      </c>
      <c r="I203" s="7">
        <f>I202 *(1-Parameters!$B$4)-C202*(C202&lt;0)*Parameters!B$65</f>
        <v>0</v>
      </c>
      <c r="J203" s="23">
        <f>J202*(1+Parameters!$B$51)^Parameters!B$65</f>
        <v>14.519738335585458</v>
      </c>
      <c r="K203" s="23">
        <f>K202*(1+Parameters!$B$53)^Parameters!B$65</f>
        <v>465.80798467527995</v>
      </c>
      <c r="L203" s="23">
        <f>J203*K203*EXP(-Parameters!$B$42*'6states,BAU'!A203)*(Parameters!$B$37/Parameters!$B$38*('6states,BAU'!F203+'6states,BAU'!I203)/Parameters!$E$25*(EXP(-Parameters!$B$38*Parameters!$E$25*'6states,BAU'!I203/('6states,BAU'!F203+'6states,BAU'!I203))-EXP(-Parameters!$B$38*Parameters!$E$25))  +  Parameters!$B$39*'6states,BAU'!F203)</f>
        <v>1396.41530339275</v>
      </c>
      <c r="M203" s="8">
        <f>M202+L203*Parameters!B$65</f>
        <v>65370.174982575423</v>
      </c>
      <c r="N203" s="7">
        <f>M203*Parameters!$B$45</f>
        <v>39.222104989545251</v>
      </c>
      <c r="O203" s="9">
        <f>EXP(-Parameters!$B$46/2*N203^2)</f>
        <v>1.9298490296128056E-7</v>
      </c>
      <c r="P203" s="7">
        <f>MAX((Parameters!$B$62 + Parameters!$B$31*'6states,BAU'!A203 - '6states,BAU'!M203 + Parameters!$B$47/Parameters!$B$45)/Parameters!B$62,1)</f>
        <v>1</v>
      </c>
      <c r="Q203" s="8"/>
      <c r="R203" s="8"/>
      <c r="S203" s="7">
        <f>Parameters!B$61*EXP(-Parameters!B$60*A203)+(1-Parameters!B$61)*P203^-Parameters!B$63</f>
        <v>0.50232009491950769</v>
      </c>
      <c r="T203" s="7">
        <f>1-S203/Parameters!$B$12</f>
        <v>0.74883995254024616</v>
      </c>
      <c r="U203" s="7">
        <f t="shared" si="77"/>
        <v>3.981524968298316</v>
      </c>
      <c r="V203" s="7">
        <f>(Parameters!$B$19*(F203+Parameters!$B$20)^T203+Parameters!$B$18*G203^T203)^(1/T203)</f>
        <v>1.0799806561744969</v>
      </c>
      <c r="W203" s="7">
        <f>(Parameters!$B$10*H203^Parameters!$B$9+Parameters!$B$11*V203^Parameters!$B$9)^(Parameters!$B$7/Parameters!$B$9)*O203</f>
        <v>3.6043922424281137E-7</v>
      </c>
      <c r="X203" s="7">
        <f>W203 - D203 - E203 - LN(1+EXP(Parameters!$B$21*C203))/Parameters!$B$21 - IF(C203&gt;0, 0,Parameters!$B$6*C203^2/F203)</f>
        <v>-0.99971855802575416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-1009.7185580257542</v>
      </c>
      <c r="AC203" s="23">
        <f t="shared" si="78"/>
        <v>1105.4447800316773</v>
      </c>
      <c r="AD203" s="23">
        <f t="shared" si="78"/>
        <v>41.227176317373754</v>
      </c>
      <c r="AE203" s="23">
        <f t="shared" si="79"/>
        <v>0</v>
      </c>
      <c r="AF203" s="23">
        <f t="shared" si="80"/>
        <v>11217.543822984966</v>
      </c>
      <c r="AG203" s="23">
        <f t="shared" si="81"/>
        <v>419.29300240922521</v>
      </c>
      <c r="AH203" s="23">
        <f t="shared" si="82"/>
        <v>7304.3520260565292</v>
      </c>
      <c r="AI203" s="23">
        <f t="shared" si="83"/>
        <v>17976.566441728006</v>
      </c>
      <c r="AJ203" s="23">
        <f t="shared" si="84"/>
        <v>2.4377982724190892E-3</v>
      </c>
      <c r="AK203" s="23">
        <f t="shared" si="85"/>
        <v>-6761.5065446337658</v>
      </c>
      <c r="AL203" s="9">
        <f t="shared" si="88"/>
        <v>-0.62316698630805778</v>
      </c>
      <c r="AM203" s="9" t="e">
        <f t="shared" si="88"/>
        <v>#NUM!</v>
      </c>
      <c r="AN203" s="9">
        <f t="shared" si="89"/>
        <v>-0.6056382324390972</v>
      </c>
      <c r="AO203" s="9" t="e">
        <f t="shared" si="89"/>
        <v>#NUM!</v>
      </c>
      <c r="AP203" s="23"/>
      <c r="AQ203" s="25">
        <f t="shared" si="76"/>
        <v>2.4377982724190892E-3</v>
      </c>
      <c r="AR203" s="4"/>
      <c r="AS203" s="4"/>
      <c r="AT203" s="4"/>
      <c r="AU203" s="16"/>
      <c r="AV203" s="16"/>
      <c r="AY203" s="21" t="e">
        <f>-Y203*W203*X203^(-Parameters!B$52)*Parameters!B$46*Parameters!B$45*N203</f>
        <v>#NUM!</v>
      </c>
      <c r="AZ203" s="7">
        <f>1000*EXP(-(Parameters!$B$54)*'6states,BAU'!A203)*AQ203*Parameters!B$46*Parameters!B$45*N203</f>
        <v>1.0675112092479393E-6</v>
      </c>
      <c r="BA203" s="93">
        <f>SUM(AZ203:AZ$204)*EXP(Parameters!$B$54*A203)</f>
        <v>1.7852214335184833E-2</v>
      </c>
      <c r="BB203" s="43">
        <f t="shared" si="72"/>
        <v>2773613.0010964447</v>
      </c>
      <c r="BC203" s="30">
        <f>IF(C203&lt;0,Parameters!$B$6*AC203^2/AF203,0)</f>
        <v>0</v>
      </c>
      <c r="BD203" s="30">
        <f>Parameters!$B$5*AD203^2/AG203</f>
        <v>4.0536809756842898</v>
      </c>
      <c r="BE203" s="30">
        <f t="shared" si="86"/>
        <v>0</v>
      </c>
      <c r="BF203" s="30">
        <f t="shared" si="87"/>
        <v>9.8325457569016367E-2</v>
      </c>
    </row>
    <row r="204" spans="1:58" ht="15" thickBot="1" x14ac:dyDescent="0.35">
      <c r="A204">
        <f>A203+Parameters!$B$65</f>
        <v>200</v>
      </c>
      <c r="B204">
        <v>2225</v>
      </c>
      <c r="C204" s="81">
        <v>-8.4100666385179899E-7</v>
      </c>
      <c r="D204" s="82">
        <v>2.2412106231400601E-16</v>
      </c>
      <c r="E204" s="83">
        <v>3.6421584912592703E-11</v>
      </c>
      <c r="F204" s="7">
        <f>MAX((1-Parameters!$B$4)^Parameters!B$65*F203 + C203*Parameters!B$65 - IF(C203&gt;0,Parameters!$B$5,0)*C203^2/F203*Parameters!B$65, 0.0001)</f>
        <v>1.7015777214405359</v>
      </c>
      <c r="G204" s="7">
        <f>(1-Parameters!$B$4)^Parameters!B$65*G203+D203*Parameters!B$65-Parameters!$B$5*D203^2/G203*Parameters!B$65</f>
        <v>6.3591141833120687E-2</v>
      </c>
      <c r="H204" s="7">
        <f>(1-Parameters!$B$4)^Parameters!B$65*H203+E203*Parameters!B$65-Parameters!$B$5*E203^2/H203*Parameters!B$65</f>
        <v>8.6270770766886038</v>
      </c>
      <c r="I204" s="7">
        <f>I203 *(1-Parameters!$B$4)-C203*(C203&lt;0)*Parameters!B$65</f>
        <v>0</v>
      </c>
      <c r="J204" s="23">
        <f>J203*(1+Parameters!$B$51)^Parameters!B$65</f>
        <v>14.561845576758655</v>
      </c>
      <c r="K204" s="23">
        <f>K203*(1+Parameters!$B$53)^Parameters!B$65</f>
        <v>475.12414436878555</v>
      </c>
      <c r="L204" s="23">
        <f>J204*K204*EXP(-Parameters!$B$42*'6states,BAU'!A204)*(Parameters!$B$37/Parameters!$B$38*('6states,BAU'!F204+'6states,BAU'!I204)/Parameters!$E$25*(EXP(-Parameters!$B$38*Parameters!$E$25*'6states,BAU'!I204/('6states,BAU'!F204+'6states,BAU'!I204))-EXP(-Parameters!$B$38*Parameters!$E$25))  +  Parameters!$B$39*'6states,BAU'!F204)</f>
        <v>1450.9391273244946</v>
      </c>
      <c r="M204" s="8">
        <f>M203+L204*Parameters!B$65</f>
        <v>66821.114109899921</v>
      </c>
      <c r="N204" s="7">
        <f>M204*Parameters!$B$45</f>
        <v>40.092668465939951</v>
      </c>
      <c r="O204" s="9">
        <f>EXP(-Parameters!$B$46/2*N204^2)</f>
        <v>9.6416185462599729E-8</v>
      </c>
      <c r="P204" s="7">
        <f>MAX((Parameters!$B$62 + Parameters!$B$31*'6states,BAU'!A204 - '6states,BAU'!M204 + Parameters!$B$47/Parameters!$B$45)/Parameters!B$62,1)</f>
        <v>1</v>
      </c>
      <c r="Q204" s="8"/>
      <c r="R204" s="8"/>
      <c r="S204" s="7">
        <f>Parameters!B$61*EXP(-Parameters!B$60*A204)+(1-Parameters!B$61)*P204^-Parameters!B$63</f>
        <v>0.50225829047130632</v>
      </c>
      <c r="T204" s="7">
        <f>1-S204/Parameters!$B$12</f>
        <v>0.74887085476434678</v>
      </c>
      <c r="U204" s="7">
        <f t="shared" si="77"/>
        <v>3.9820149073562345</v>
      </c>
      <c r="V204" s="7">
        <f>(Parameters!$B$19*(F204+Parameters!$B$20)^T204+Parameters!$B$18*G204^T204)^(1/T204)</f>
        <v>1.1078354732337659</v>
      </c>
      <c r="W204" s="7">
        <f>(Parameters!$B$10*H204^Parameters!$B$9+Parameters!$B$11*V204^Parameters!$B$9)^(Parameters!$B$7/Parameters!$B$9)*O204</f>
        <v>1.8147126950330049E-7</v>
      </c>
      <c r="X204" s="7">
        <f>W204 - D204 - E204 - LN(1+EXP(Parameters!$B$21*C204))/Parameters!$B$21 - IF(C204&gt;0, 0,Parameters!$B$6*C204^2/F204)</f>
        <v>-2.3098886922886639E-3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-12.309888692288663</v>
      </c>
      <c r="AC204" s="23">
        <f t="shared" si="78"/>
        <v>-5.8186597023814936E-3</v>
      </c>
      <c r="AD204" s="23">
        <f t="shared" si="78"/>
        <v>1.5506229020454494E-12</v>
      </c>
      <c r="AE204" s="23">
        <f t="shared" si="79"/>
        <v>0</v>
      </c>
      <c r="AF204" s="23">
        <f t="shared" si="80"/>
        <v>11772.679270899202</v>
      </c>
      <c r="AG204" s="23">
        <f t="shared" si="81"/>
        <v>439.96704225640821</v>
      </c>
      <c r="AH204" s="23">
        <f t="shared" si="82"/>
        <v>7664.7640286830956</v>
      </c>
      <c r="AI204" s="23">
        <f t="shared" si="83"/>
        <v>18863.567819605269</v>
      </c>
      <c r="AJ204" s="23">
        <f t="shared" si="84"/>
        <v>1.2555424450060467E-3</v>
      </c>
      <c r="AK204" s="23">
        <f t="shared" si="85"/>
        <v>-15.981390907474657</v>
      </c>
      <c r="AL204" s="9">
        <f t="shared" si="88"/>
        <v>-0.66352757827845021</v>
      </c>
      <c r="AM204" s="9" t="e">
        <f t="shared" si="88"/>
        <v>#NUM!</v>
      </c>
      <c r="AN204" s="9">
        <f t="shared" si="89"/>
        <v>-0.62403951171489425</v>
      </c>
      <c r="AO204" s="9" t="e">
        <f t="shared" si="89"/>
        <v>#NUM!</v>
      </c>
      <c r="AP204" s="23"/>
      <c r="AQ204" s="25">
        <f t="shared" si="76"/>
        <v>1.2555424450060469E-3</v>
      </c>
      <c r="AR204" s="4"/>
      <c r="AS204" s="4"/>
      <c r="AT204" s="4"/>
      <c r="AU204" s="16"/>
      <c r="AV204" s="16"/>
      <c r="AY204" s="21" t="e">
        <f>-Y204*W204*X204^(-Parameters!B$52)*Parameters!B$46*Parameters!B$45*N204</f>
        <v>#NUM!</v>
      </c>
      <c r="AZ204" s="7">
        <f>EXP(-(Parameters!B$55+Parameters!B$53)*'6states,BAU'!A204)*AQ204*Parameters!B$46*Parameters!B$45*1000*N204/Parameters!$B$54</f>
        <v>1.545928096084489E-5</v>
      </c>
      <c r="BA204" s="93">
        <f>SUM(AZ204:AZ$204)*EXP(Parameters!$B$54*A204)</f>
        <v>1.7295636658976342E-2</v>
      </c>
      <c r="BB204" s="43">
        <f t="shared" si="72"/>
        <v>-4.6341784258442642</v>
      </c>
      <c r="BC204" s="30">
        <f>IF(C204&lt;0,Parameters!$B$6*AC204^2/AF204,0)</f>
        <v>1.4379394848464384E-8</v>
      </c>
      <c r="BD204" s="30">
        <f>Parameters!$B$5*AD204^2/AG204</f>
        <v>5.4650261347225505E-27</v>
      </c>
      <c r="BE204" s="30">
        <f t="shared" si="86"/>
        <v>2.471255509680194E-6</v>
      </c>
      <c r="BF204" s="30">
        <f t="shared" si="87"/>
        <v>3.5244069512410492E-15</v>
      </c>
    </row>
    <row r="205" spans="1:58" x14ac:dyDescent="0.3">
      <c r="C205" s="9"/>
      <c r="D205" s="9"/>
      <c r="E205" s="9"/>
      <c r="F205" s="7"/>
      <c r="G205" s="7"/>
      <c r="H205" s="7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F205" s="23"/>
      <c r="AG205" s="23"/>
      <c r="AH205" s="23"/>
      <c r="AI205" s="23"/>
      <c r="AJ205" s="9"/>
      <c r="AK205" s="9"/>
      <c r="AL205" s="9"/>
      <c r="AM205" s="9"/>
      <c r="AN205" s="9"/>
      <c r="AO205" s="9"/>
      <c r="AP205" s="9"/>
      <c r="AQ205" s="25"/>
      <c r="AY205" s="21"/>
      <c r="AZ205" s="7"/>
    </row>
    <row r="206" spans="1:58" x14ac:dyDescent="0.3">
      <c r="C206" s="9"/>
      <c r="D206" s="9"/>
      <c r="E206" s="9"/>
      <c r="F206" s="7"/>
      <c r="G206" s="7"/>
      <c r="H206" s="7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F206" s="23"/>
      <c r="AG206" s="23"/>
      <c r="AH206" s="23"/>
      <c r="AI206" s="23"/>
      <c r="AJ206" s="9"/>
      <c r="AK206" s="9"/>
      <c r="AL206" s="9"/>
      <c r="AM206" s="9"/>
      <c r="AN206" s="9"/>
      <c r="AO206" s="9"/>
      <c r="AP206" s="9"/>
      <c r="AQ206" s="25"/>
      <c r="AY206" s="21"/>
      <c r="AZ206" s="7"/>
    </row>
    <row r="207" spans="1:58" x14ac:dyDescent="0.3">
      <c r="C207" s="9"/>
      <c r="D207" s="9"/>
      <c r="E207" s="9"/>
      <c r="F207" s="7"/>
      <c r="G207" s="7"/>
      <c r="H207" s="7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F207" s="23"/>
      <c r="AG207" s="23"/>
      <c r="AH207" s="23"/>
      <c r="AI207" s="23"/>
      <c r="AJ207" s="9"/>
      <c r="AK207" s="9"/>
      <c r="AL207" s="9"/>
      <c r="AM207" s="9"/>
      <c r="AN207" s="9"/>
      <c r="AO207" s="9"/>
      <c r="AP207" s="9"/>
      <c r="AQ207" s="25"/>
      <c r="AY207" s="21"/>
      <c r="AZ207" s="7"/>
    </row>
    <row r="208" spans="1:58" x14ac:dyDescent="0.3">
      <c r="C208" s="9"/>
      <c r="D208" s="9"/>
      <c r="E208" s="9"/>
      <c r="F208" s="7"/>
      <c r="G208" s="7"/>
      <c r="H208" s="7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F208" s="23"/>
      <c r="AG208" s="23"/>
      <c r="AH208" s="23"/>
      <c r="AI208" s="23"/>
      <c r="AJ208" s="9"/>
      <c r="AK208" s="9"/>
      <c r="AL208" s="9"/>
      <c r="AM208" s="9"/>
      <c r="AN208" s="9"/>
      <c r="AO208" s="9"/>
      <c r="AP208" s="9"/>
      <c r="AQ208" s="25"/>
      <c r="AY208" s="21"/>
      <c r="AZ208" s="7"/>
    </row>
    <row r="209" spans="3:52" x14ac:dyDescent="0.3">
      <c r="C209" s="9"/>
      <c r="D209" s="9"/>
      <c r="E209" s="9"/>
      <c r="F209" s="7"/>
      <c r="G209" s="7"/>
      <c r="H209" s="7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F209" s="23"/>
      <c r="AG209" s="23"/>
      <c r="AH209" s="23"/>
      <c r="AI209" s="23"/>
      <c r="AJ209" s="9"/>
      <c r="AK209" s="9"/>
      <c r="AL209" s="9"/>
      <c r="AM209" s="9"/>
      <c r="AN209" s="9"/>
      <c r="AO209" s="9"/>
      <c r="AP209" s="9"/>
      <c r="AQ209" s="25"/>
      <c r="AY209" s="21"/>
      <c r="AZ209" s="7"/>
    </row>
    <row r="210" spans="3:52" x14ac:dyDescent="0.3">
      <c r="C210" s="9"/>
      <c r="D210" s="9"/>
      <c r="E210" s="9"/>
      <c r="F210" s="7"/>
      <c r="G210" s="7"/>
      <c r="H210" s="7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F210" s="23"/>
      <c r="AG210" s="23"/>
      <c r="AH210" s="23"/>
      <c r="AI210" s="23"/>
      <c r="AJ210" s="9"/>
      <c r="AK210" s="9"/>
      <c r="AL210" s="9"/>
      <c r="AM210" s="9"/>
      <c r="AN210" s="9"/>
      <c r="AO210" s="9"/>
      <c r="AP210" s="9"/>
      <c r="AQ210" s="25"/>
      <c r="AY210" s="21"/>
      <c r="AZ210" s="7"/>
    </row>
    <row r="211" spans="3:52" x14ac:dyDescent="0.3">
      <c r="C211" s="9"/>
      <c r="D211" s="9"/>
      <c r="E211" s="9"/>
      <c r="F211" s="7"/>
      <c r="G211" s="7"/>
      <c r="H211" s="7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F211" s="23"/>
      <c r="AG211" s="23"/>
      <c r="AH211" s="23"/>
      <c r="AI211" s="23"/>
      <c r="AJ211" s="9"/>
      <c r="AK211" s="9"/>
      <c r="AL211" s="9"/>
      <c r="AM211" s="9"/>
      <c r="AN211" s="9"/>
      <c r="AO211" s="9"/>
      <c r="AP211" s="9"/>
      <c r="AQ211" s="25"/>
      <c r="AY211" s="21"/>
      <c r="AZ211" s="7"/>
    </row>
    <row r="212" spans="3:52" x14ac:dyDescent="0.3">
      <c r="C212" s="9"/>
      <c r="D212" s="9"/>
      <c r="E212" s="9"/>
      <c r="F212" s="7"/>
      <c r="G212" s="7"/>
      <c r="H212" s="7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F212" s="23"/>
      <c r="AG212" s="23"/>
      <c r="AH212" s="23"/>
      <c r="AI212" s="23"/>
      <c r="AJ212" s="9"/>
      <c r="AK212" s="9"/>
      <c r="AL212" s="9"/>
      <c r="AM212" s="9"/>
      <c r="AN212" s="9"/>
      <c r="AO212" s="9"/>
      <c r="AP212" s="9"/>
      <c r="AQ212" s="25"/>
      <c r="AY212" s="21"/>
      <c r="AZ212" s="7"/>
    </row>
    <row r="213" spans="3:52" x14ac:dyDescent="0.3">
      <c r="C213" s="9"/>
      <c r="D213" s="9"/>
      <c r="E213" s="9"/>
      <c r="F213" s="7"/>
      <c r="G213" s="7"/>
      <c r="H213" s="7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F213" s="23"/>
      <c r="AG213" s="23"/>
      <c r="AH213" s="23"/>
      <c r="AI213" s="23"/>
      <c r="AJ213" s="9"/>
      <c r="AK213" s="9"/>
      <c r="AL213" s="9"/>
      <c r="AM213" s="9"/>
      <c r="AN213" s="9"/>
      <c r="AO213" s="9"/>
      <c r="AP213" s="9"/>
      <c r="AQ213" s="25"/>
      <c r="AY213" s="21"/>
      <c r="AZ213" s="7"/>
    </row>
    <row r="214" spans="3:52" x14ac:dyDescent="0.3">
      <c r="C214" s="9"/>
      <c r="D214" s="9"/>
      <c r="E214" s="9"/>
      <c r="F214" s="7"/>
      <c r="G214" s="7"/>
      <c r="H214" s="7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F214" s="23"/>
      <c r="AG214" s="23"/>
      <c r="AH214" s="23"/>
      <c r="AI214" s="23"/>
      <c r="AJ214" s="9"/>
      <c r="AK214" s="9"/>
      <c r="AL214" s="9"/>
      <c r="AM214" s="9"/>
      <c r="AN214" s="9"/>
      <c r="AO214" s="9"/>
      <c r="AP214" s="9"/>
      <c r="AQ214" s="25"/>
      <c r="AY214" s="21"/>
      <c r="AZ214" s="7"/>
    </row>
    <row r="215" spans="3:52" x14ac:dyDescent="0.3">
      <c r="C215" s="9"/>
      <c r="D215" s="9"/>
      <c r="E215" s="9"/>
      <c r="F215" s="7"/>
      <c r="G215" s="7"/>
      <c r="H215" s="7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F215" s="23"/>
      <c r="AG215" s="23"/>
      <c r="AH215" s="23"/>
      <c r="AI215" s="23"/>
      <c r="AJ215" s="9"/>
      <c r="AK215" s="9"/>
      <c r="AL215" s="9"/>
      <c r="AM215" s="9"/>
      <c r="AN215" s="9"/>
      <c r="AO215" s="9"/>
      <c r="AP215" s="9"/>
      <c r="AQ215" s="25"/>
      <c r="AY215" s="21"/>
      <c r="AZ215" s="7"/>
    </row>
    <row r="216" spans="3:52" x14ac:dyDescent="0.3">
      <c r="C216" s="9"/>
      <c r="D216" s="9"/>
      <c r="E216" s="9"/>
      <c r="F216" s="7"/>
      <c r="G216" s="7"/>
      <c r="H216" s="7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F216" s="23"/>
      <c r="AG216" s="23"/>
      <c r="AH216" s="23"/>
      <c r="AI216" s="23"/>
      <c r="AJ216" s="9"/>
      <c r="AK216" s="9"/>
      <c r="AL216" s="9"/>
      <c r="AM216" s="9"/>
      <c r="AN216" s="9"/>
      <c r="AO216" s="9"/>
      <c r="AP216" s="9"/>
      <c r="AQ216" s="25"/>
      <c r="AY216" s="21"/>
      <c r="AZ216" s="7"/>
    </row>
    <row r="217" spans="3:52" x14ac:dyDescent="0.3">
      <c r="C217" s="9"/>
      <c r="D217" s="9"/>
      <c r="E217" s="9"/>
      <c r="F217" s="7"/>
      <c r="G217" s="7"/>
      <c r="H217" s="7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F217" s="23"/>
      <c r="AG217" s="23"/>
      <c r="AH217" s="23"/>
      <c r="AI217" s="23"/>
      <c r="AJ217" s="9"/>
      <c r="AK217" s="9"/>
      <c r="AL217" s="9"/>
      <c r="AM217" s="9"/>
      <c r="AN217" s="9"/>
      <c r="AO217" s="9"/>
      <c r="AP217" s="9"/>
      <c r="AQ217" s="25"/>
      <c r="AY217" s="21"/>
      <c r="AZ217" s="7"/>
    </row>
    <row r="218" spans="3:52" x14ac:dyDescent="0.3">
      <c r="C218" s="9"/>
      <c r="D218" s="9"/>
      <c r="E218" s="9"/>
      <c r="F218" s="7"/>
      <c r="G218" s="7"/>
      <c r="H218" s="7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F218" s="23"/>
      <c r="AG218" s="23"/>
      <c r="AH218" s="23"/>
      <c r="AI218" s="23"/>
      <c r="AJ218" s="9"/>
      <c r="AK218" s="9"/>
      <c r="AL218" s="9"/>
      <c r="AM218" s="9"/>
      <c r="AN218" s="9"/>
      <c r="AO218" s="9"/>
      <c r="AP218" s="9"/>
      <c r="AQ218" s="25"/>
      <c r="AY218" s="21"/>
      <c r="AZ218" s="7"/>
    </row>
    <row r="219" spans="3:52" x14ac:dyDescent="0.3">
      <c r="C219" s="9"/>
      <c r="D219" s="9"/>
      <c r="E219" s="9"/>
      <c r="F219" s="7"/>
      <c r="G219" s="7"/>
      <c r="H219" s="7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F219" s="23"/>
      <c r="AG219" s="23"/>
      <c r="AH219" s="23"/>
      <c r="AI219" s="23"/>
      <c r="AJ219" s="9"/>
      <c r="AK219" s="9"/>
      <c r="AL219" s="9"/>
      <c r="AM219" s="9"/>
      <c r="AN219" s="9"/>
      <c r="AO219" s="9"/>
      <c r="AP219" s="9"/>
      <c r="AQ219" s="25"/>
      <c r="AY219" s="21"/>
      <c r="AZ219" s="7"/>
    </row>
    <row r="220" spans="3:52" x14ac:dyDescent="0.3">
      <c r="C220" s="9"/>
      <c r="D220" s="9"/>
      <c r="E220" s="9"/>
      <c r="F220" s="7"/>
      <c r="G220" s="7"/>
      <c r="H220" s="7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F220" s="23"/>
      <c r="AG220" s="23"/>
      <c r="AH220" s="23"/>
      <c r="AI220" s="23"/>
      <c r="AJ220" s="9"/>
      <c r="AK220" s="9"/>
      <c r="AL220" s="9"/>
      <c r="AM220" s="9"/>
      <c r="AN220" s="9"/>
      <c r="AO220" s="9"/>
      <c r="AP220" s="9"/>
      <c r="AQ220" s="25"/>
      <c r="AY220" s="21"/>
      <c r="AZ220" s="7"/>
    </row>
    <row r="221" spans="3:52" x14ac:dyDescent="0.3">
      <c r="C221" s="9"/>
      <c r="D221" s="9"/>
      <c r="E221" s="9"/>
      <c r="F221" s="7"/>
      <c r="G221" s="7"/>
      <c r="H221" s="7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F221" s="23"/>
      <c r="AG221" s="23"/>
      <c r="AH221" s="23"/>
      <c r="AI221" s="23"/>
      <c r="AJ221" s="9"/>
      <c r="AK221" s="9"/>
      <c r="AL221" s="9"/>
      <c r="AM221" s="9"/>
      <c r="AN221" s="9"/>
      <c r="AO221" s="9"/>
      <c r="AP221" s="9"/>
      <c r="AQ221" s="25"/>
      <c r="AY221" s="21"/>
      <c r="AZ221" s="7"/>
    </row>
    <row r="222" spans="3:52" x14ac:dyDescent="0.3">
      <c r="C222" s="9"/>
      <c r="D222" s="9"/>
      <c r="E222" s="9"/>
      <c r="F222" s="7"/>
      <c r="G222" s="7"/>
      <c r="H222" s="7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F222" s="23"/>
      <c r="AG222" s="23"/>
      <c r="AH222" s="23"/>
      <c r="AI222" s="23"/>
      <c r="AJ222" s="9"/>
      <c r="AK222" s="9"/>
      <c r="AL222" s="9"/>
      <c r="AM222" s="9"/>
      <c r="AN222" s="9"/>
      <c r="AO222" s="9"/>
      <c r="AP222" s="9"/>
      <c r="AQ222" s="25"/>
      <c r="AY222" s="21"/>
      <c r="AZ222" s="7"/>
    </row>
    <row r="223" spans="3:52" x14ac:dyDescent="0.3">
      <c r="C223" s="9"/>
      <c r="D223" s="9"/>
      <c r="E223" s="9"/>
      <c r="F223" s="7"/>
      <c r="G223" s="7"/>
      <c r="H223" s="7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F223" s="23"/>
      <c r="AG223" s="23"/>
      <c r="AH223" s="23"/>
      <c r="AI223" s="23"/>
      <c r="AJ223" s="9"/>
      <c r="AK223" s="9"/>
      <c r="AL223" s="9"/>
      <c r="AM223" s="9"/>
      <c r="AN223" s="9"/>
      <c r="AO223" s="9"/>
      <c r="AP223" s="9"/>
      <c r="AQ223" s="25"/>
      <c r="AY223" s="21"/>
      <c r="AZ223" s="7"/>
    </row>
    <row r="224" spans="3:52" x14ac:dyDescent="0.3">
      <c r="C224" s="9"/>
      <c r="D224" s="9"/>
      <c r="E224" s="9"/>
      <c r="F224" s="7"/>
      <c r="G224" s="7"/>
      <c r="H224" s="7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F224" s="23"/>
      <c r="AG224" s="23"/>
      <c r="AH224" s="23"/>
      <c r="AI224" s="23"/>
      <c r="AJ224" s="9"/>
      <c r="AK224" s="9"/>
      <c r="AL224" s="9"/>
      <c r="AM224" s="9"/>
      <c r="AN224" s="9"/>
      <c r="AO224" s="9"/>
      <c r="AP224" s="9"/>
      <c r="AQ224" s="25"/>
      <c r="AY224" s="21"/>
      <c r="AZ224" s="7"/>
    </row>
    <row r="225" spans="3:52" x14ac:dyDescent="0.3">
      <c r="C225" s="9"/>
      <c r="D225" s="9"/>
      <c r="E225" s="9"/>
      <c r="F225" s="7"/>
      <c r="G225" s="7"/>
      <c r="H225" s="7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F225" s="23"/>
      <c r="AG225" s="23"/>
      <c r="AH225" s="23"/>
      <c r="AI225" s="23"/>
      <c r="AJ225" s="9"/>
      <c r="AK225" s="9"/>
      <c r="AL225" s="9"/>
      <c r="AM225" s="9"/>
      <c r="AN225" s="9"/>
      <c r="AO225" s="9"/>
      <c r="AP225" s="9"/>
      <c r="AQ225" s="25"/>
      <c r="AY225" s="21"/>
      <c r="AZ225" s="7"/>
    </row>
    <row r="226" spans="3:52" x14ac:dyDescent="0.3">
      <c r="C226" s="9"/>
      <c r="D226" s="9"/>
      <c r="E226" s="9"/>
      <c r="F226" s="7"/>
      <c r="G226" s="7"/>
      <c r="H226" s="7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F226" s="23"/>
      <c r="AG226" s="23"/>
      <c r="AH226" s="23"/>
      <c r="AI226" s="23"/>
      <c r="AJ226" s="9"/>
      <c r="AK226" s="9"/>
      <c r="AL226" s="9"/>
      <c r="AM226" s="9"/>
      <c r="AN226" s="9"/>
      <c r="AO226" s="9"/>
      <c r="AP226" s="9"/>
      <c r="AQ226" s="25"/>
      <c r="AY226" s="21"/>
      <c r="AZ226" s="7"/>
    </row>
    <row r="227" spans="3:52" x14ac:dyDescent="0.3">
      <c r="C227" s="9"/>
      <c r="D227" s="9"/>
      <c r="E227" s="9"/>
      <c r="F227" s="7"/>
      <c r="G227" s="7"/>
      <c r="H227" s="7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F227" s="23"/>
      <c r="AG227" s="23"/>
      <c r="AH227" s="23"/>
      <c r="AI227" s="23"/>
      <c r="AJ227" s="9"/>
      <c r="AK227" s="9"/>
      <c r="AL227" s="9"/>
      <c r="AM227" s="9"/>
      <c r="AN227" s="9"/>
      <c r="AO227" s="9"/>
      <c r="AP227" s="9"/>
      <c r="AQ227" s="25"/>
      <c r="AY227" s="21"/>
      <c r="AZ227" s="7"/>
    </row>
    <row r="228" spans="3:52" x14ac:dyDescent="0.3">
      <c r="C228" s="9"/>
      <c r="D228" s="9"/>
      <c r="E228" s="9"/>
      <c r="F228" s="7"/>
      <c r="G228" s="7"/>
      <c r="H228" s="7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F228" s="23"/>
      <c r="AG228" s="23"/>
      <c r="AH228" s="23"/>
      <c r="AI228" s="23"/>
      <c r="AJ228" s="9"/>
      <c r="AK228" s="9"/>
      <c r="AL228" s="9"/>
      <c r="AM228" s="9"/>
      <c r="AN228" s="9"/>
      <c r="AO228" s="9"/>
      <c r="AP228" s="9"/>
      <c r="AQ228" s="25"/>
      <c r="AY228" s="21"/>
      <c r="AZ228" s="7"/>
    </row>
    <row r="229" spans="3:52" x14ac:dyDescent="0.3">
      <c r="C229" s="9"/>
      <c r="D229" s="9"/>
      <c r="E229" s="9"/>
      <c r="F229" s="7"/>
      <c r="G229" s="7"/>
      <c r="H229" s="7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F229" s="23"/>
      <c r="AG229" s="23"/>
      <c r="AH229" s="23"/>
      <c r="AI229" s="23"/>
      <c r="AJ229" s="9"/>
      <c r="AK229" s="9"/>
      <c r="AL229" s="9"/>
      <c r="AM229" s="9"/>
      <c r="AN229" s="9"/>
      <c r="AO229" s="9"/>
      <c r="AP229" s="9"/>
      <c r="AQ229" s="25"/>
      <c r="AY229" s="21"/>
      <c r="AZ229" s="7"/>
    </row>
    <row r="230" spans="3:52" x14ac:dyDescent="0.3">
      <c r="C230" s="9"/>
      <c r="D230" s="9"/>
      <c r="E230" s="9"/>
      <c r="F230" s="7"/>
      <c r="G230" s="7"/>
      <c r="H230" s="7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F230" s="23"/>
      <c r="AG230" s="23"/>
      <c r="AH230" s="23"/>
      <c r="AI230" s="23"/>
      <c r="AJ230" s="9"/>
      <c r="AK230" s="9"/>
      <c r="AL230" s="9"/>
      <c r="AM230" s="9"/>
      <c r="AN230" s="9"/>
      <c r="AO230" s="9"/>
      <c r="AP230" s="9"/>
      <c r="AQ230" s="25"/>
      <c r="AY230" s="21"/>
      <c r="AZ230" s="7"/>
    </row>
    <row r="231" spans="3:52" x14ac:dyDescent="0.3">
      <c r="C231" s="9"/>
      <c r="D231" s="9"/>
      <c r="E231" s="9"/>
      <c r="F231" s="7"/>
      <c r="G231" s="7"/>
      <c r="H231" s="7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F231" s="23"/>
      <c r="AG231" s="23"/>
      <c r="AH231" s="23"/>
      <c r="AI231" s="23"/>
      <c r="AJ231" s="9"/>
      <c r="AK231" s="9"/>
      <c r="AL231" s="9"/>
      <c r="AM231" s="9"/>
      <c r="AN231" s="9"/>
      <c r="AO231" s="9"/>
      <c r="AP231" s="9"/>
      <c r="AQ231" s="25"/>
      <c r="AY231" s="21"/>
      <c r="AZ231" s="7"/>
    </row>
    <row r="232" spans="3:52" x14ac:dyDescent="0.3">
      <c r="C232" s="9"/>
      <c r="D232" s="9"/>
      <c r="E232" s="9"/>
      <c r="F232" s="7"/>
      <c r="G232" s="7"/>
      <c r="H232" s="7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F232" s="23"/>
      <c r="AG232" s="23"/>
      <c r="AH232" s="23"/>
      <c r="AI232" s="23"/>
      <c r="AJ232" s="9"/>
      <c r="AK232" s="9"/>
      <c r="AL232" s="9"/>
      <c r="AM232" s="9"/>
      <c r="AN232" s="9"/>
      <c r="AO232" s="9"/>
      <c r="AP232" s="9"/>
      <c r="AQ232" s="25"/>
      <c r="AY232" s="21"/>
      <c r="AZ232" s="7"/>
    </row>
    <row r="233" spans="3:52" x14ac:dyDescent="0.3">
      <c r="C233" s="9"/>
      <c r="D233" s="9"/>
      <c r="E233" s="9"/>
      <c r="F233" s="7"/>
      <c r="G233" s="7"/>
      <c r="H233" s="7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F233" s="23"/>
      <c r="AG233" s="23"/>
      <c r="AH233" s="23"/>
      <c r="AI233" s="23"/>
      <c r="AJ233" s="9"/>
      <c r="AK233" s="9"/>
      <c r="AL233" s="9"/>
      <c r="AM233" s="9"/>
      <c r="AN233" s="9"/>
      <c r="AO233" s="9"/>
      <c r="AP233" s="9"/>
      <c r="AQ233" s="25"/>
      <c r="AY233" s="21"/>
      <c r="AZ233" s="7"/>
    </row>
    <row r="234" spans="3:52" x14ac:dyDescent="0.3">
      <c r="C234" s="9"/>
      <c r="D234" s="9"/>
      <c r="E234" s="9"/>
      <c r="F234" s="7"/>
      <c r="G234" s="7"/>
      <c r="H234" s="7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F234" s="23"/>
      <c r="AG234" s="23"/>
      <c r="AH234" s="23"/>
      <c r="AI234" s="23"/>
      <c r="AJ234" s="9"/>
      <c r="AK234" s="9"/>
      <c r="AL234" s="9"/>
      <c r="AM234" s="9"/>
      <c r="AN234" s="9"/>
      <c r="AO234" s="9"/>
      <c r="AP234" s="9"/>
      <c r="AQ234" s="25"/>
      <c r="AY234" s="21"/>
      <c r="AZ234" s="7"/>
    </row>
    <row r="235" spans="3:52" x14ac:dyDescent="0.3">
      <c r="C235" s="9"/>
      <c r="D235" s="9"/>
      <c r="E235" s="9"/>
      <c r="F235" s="7"/>
      <c r="G235" s="7"/>
      <c r="H235" s="7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F235" s="23"/>
      <c r="AG235" s="23"/>
      <c r="AH235" s="23"/>
      <c r="AI235" s="23"/>
      <c r="AJ235" s="9"/>
      <c r="AK235" s="9"/>
      <c r="AL235" s="9"/>
      <c r="AM235" s="9"/>
      <c r="AN235" s="9"/>
      <c r="AO235" s="9"/>
      <c r="AP235" s="9"/>
      <c r="AQ235" s="25"/>
      <c r="AY235" s="21"/>
      <c r="AZ235" s="7"/>
    </row>
    <row r="236" spans="3:52" x14ac:dyDescent="0.3">
      <c r="C236" s="9"/>
      <c r="D236" s="9"/>
      <c r="E236" s="9"/>
      <c r="F236" s="7"/>
      <c r="G236" s="7"/>
      <c r="H236" s="7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F236" s="23"/>
      <c r="AG236" s="23"/>
      <c r="AH236" s="23"/>
      <c r="AI236" s="23"/>
      <c r="AJ236" s="9"/>
      <c r="AK236" s="9"/>
      <c r="AL236" s="9"/>
      <c r="AM236" s="9"/>
      <c r="AN236" s="9"/>
      <c r="AO236" s="9"/>
      <c r="AP236" s="9"/>
      <c r="AQ236" s="25"/>
      <c r="AY236" s="21"/>
      <c r="AZ236" s="7"/>
    </row>
    <row r="237" spans="3:52" x14ac:dyDescent="0.3">
      <c r="C237" s="9"/>
      <c r="D237" s="9"/>
      <c r="E237" s="9"/>
      <c r="F237" s="7"/>
      <c r="G237" s="7"/>
      <c r="H237" s="7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F237" s="23"/>
      <c r="AG237" s="23"/>
      <c r="AH237" s="23"/>
      <c r="AI237" s="23"/>
      <c r="AJ237" s="9"/>
      <c r="AK237" s="9"/>
      <c r="AL237" s="9"/>
      <c r="AM237" s="9"/>
      <c r="AN237" s="9"/>
      <c r="AO237" s="9"/>
      <c r="AP237" s="9"/>
      <c r="AQ237" s="25"/>
      <c r="AY237" s="21"/>
      <c r="AZ237" s="7"/>
    </row>
    <row r="238" spans="3:52" x14ac:dyDescent="0.3">
      <c r="C238" s="9"/>
      <c r="D238" s="9"/>
      <c r="E238" s="9"/>
      <c r="F238" s="7"/>
      <c r="G238" s="7"/>
      <c r="H238" s="7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F238" s="23"/>
      <c r="AG238" s="23"/>
      <c r="AH238" s="23"/>
      <c r="AI238" s="23"/>
      <c r="AJ238" s="9"/>
      <c r="AK238" s="9"/>
      <c r="AL238" s="9"/>
      <c r="AM238" s="9"/>
      <c r="AN238" s="9"/>
      <c r="AO238" s="9"/>
      <c r="AP238" s="9"/>
      <c r="AQ238" s="25"/>
      <c r="AY238" s="21"/>
      <c r="AZ238" s="7"/>
    </row>
    <row r="239" spans="3:52" x14ac:dyDescent="0.3">
      <c r="C239" s="9"/>
      <c r="D239" s="9"/>
      <c r="E239" s="9"/>
      <c r="F239" s="7"/>
      <c r="G239" s="7"/>
      <c r="H239" s="7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F239" s="23"/>
      <c r="AG239" s="23"/>
      <c r="AH239" s="23"/>
      <c r="AI239" s="23"/>
      <c r="AJ239" s="9"/>
      <c r="AK239" s="9"/>
      <c r="AL239" s="9"/>
      <c r="AM239" s="9"/>
      <c r="AN239" s="9"/>
      <c r="AO239" s="9"/>
      <c r="AP239" s="9"/>
      <c r="AQ239" s="25"/>
      <c r="AY239" s="21"/>
      <c r="AZ239" s="7"/>
    </row>
    <row r="240" spans="3:52" x14ac:dyDescent="0.3">
      <c r="C240" s="9"/>
      <c r="D240" s="9"/>
      <c r="E240" s="9"/>
      <c r="F240" s="7"/>
      <c r="G240" s="7"/>
      <c r="H240" s="7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F240" s="23"/>
      <c r="AG240" s="23"/>
      <c r="AH240" s="23"/>
      <c r="AI240" s="23"/>
      <c r="AJ240" s="9"/>
      <c r="AK240" s="9"/>
      <c r="AL240" s="9"/>
      <c r="AM240" s="9"/>
      <c r="AN240" s="9"/>
      <c r="AO240" s="9"/>
      <c r="AP240" s="9"/>
      <c r="AQ240" s="25"/>
      <c r="AY240" s="21"/>
      <c r="AZ240" s="7"/>
    </row>
    <row r="241" spans="3:52" x14ac:dyDescent="0.3">
      <c r="C241" s="9"/>
      <c r="D241" s="9"/>
      <c r="E241" s="9"/>
      <c r="F241" s="7"/>
      <c r="G241" s="7"/>
      <c r="H241" s="7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F241" s="23"/>
      <c r="AG241" s="23"/>
      <c r="AH241" s="23"/>
      <c r="AI241" s="23"/>
      <c r="AJ241" s="9"/>
      <c r="AK241" s="9"/>
      <c r="AL241" s="9"/>
      <c r="AM241" s="9"/>
      <c r="AN241" s="9"/>
      <c r="AO241" s="9"/>
      <c r="AP241" s="9"/>
      <c r="AQ241" s="25"/>
      <c r="AY241" s="21"/>
      <c r="AZ241" s="7"/>
    </row>
    <row r="242" spans="3:52" x14ac:dyDescent="0.3">
      <c r="C242" s="9"/>
      <c r="D242" s="9"/>
      <c r="E242" s="9"/>
      <c r="F242" s="7"/>
      <c r="G242" s="7"/>
      <c r="H242" s="7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F242" s="23"/>
      <c r="AG242" s="23"/>
      <c r="AH242" s="23"/>
      <c r="AI242" s="23"/>
      <c r="AJ242" s="9"/>
      <c r="AK242" s="9"/>
      <c r="AL242" s="9"/>
      <c r="AM242" s="9"/>
      <c r="AN242" s="9"/>
      <c r="AO242" s="9"/>
      <c r="AP242" s="9"/>
      <c r="AQ242" s="25"/>
      <c r="AY242" s="21"/>
      <c r="AZ242" s="7"/>
    </row>
    <row r="243" spans="3:52" x14ac:dyDescent="0.3">
      <c r="C243" s="9"/>
      <c r="D243" s="9"/>
      <c r="E243" s="9"/>
      <c r="F243" s="7"/>
      <c r="G243" s="7"/>
      <c r="H243" s="7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F243" s="23"/>
      <c r="AG243" s="23"/>
      <c r="AH243" s="23"/>
      <c r="AI243" s="23"/>
      <c r="AJ243" s="9"/>
      <c r="AK243" s="9"/>
      <c r="AL243" s="9"/>
      <c r="AM243" s="9"/>
      <c r="AN243" s="9"/>
      <c r="AO243" s="9"/>
      <c r="AP243" s="9"/>
      <c r="AQ243" s="25"/>
      <c r="AY243" s="21"/>
      <c r="AZ243" s="7"/>
    </row>
    <row r="244" spans="3:52" x14ac:dyDescent="0.3">
      <c r="C244" s="9"/>
      <c r="D244" s="9"/>
      <c r="E244" s="9"/>
      <c r="F244" s="7"/>
      <c r="G244" s="7"/>
      <c r="H244" s="7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F244" s="23"/>
      <c r="AG244" s="23"/>
      <c r="AH244" s="23"/>
      <c r="AI244" s="23"/>
      <c r="AJ244" s="9"/>
      <c r="AK244" s="9"/>
      <c r="AL244" s="9"/>
      <c r="AM244" s="9"/>
      <c r="AN244" s="9"/>
      <c r="AO244" s="9"/>
      <c r="AP244" s="9"/>
      <c r="AQ244" s="25"/>
      <c r="AY244" s="21"/>
      <c r="AZ244" s="7"/>
    </row>
    <row r="245" spans="3:52" x14ac:dyDescent="0.3">
      <c r="C245" s="9"/>
      <c r="D245" s="9"/>
      <c r="E245" s="9"/>
      <c r="F245" s="7"/>
      <c r="G245" s="7"/>
      <c r="H245" s="7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F245" s="23"/>
      <c r="AG245" s="23"/>
      <c r="AH245" s="23"/>
      <c r="AI245" s="23"/>
      <c r="AJ245" s="9"/>
      <c r="AK245" s="9"/>
      <c r="AL245" s="9"/>
      <c r="AM245" s="9"/>
      <c r="AN245" s="9"/>
      <c r="AO245" s="9"/>
      <c r="AP245" s="9"/>
      <c r="AQ245" s="25"/>
      <c r="AY245" s="21"/>
      <c r="AZ245" s="7"/>
    </row>
    <row r="246" spans="3:52" x14ac:dyDescent="0.3">
      <c r="C246" s="9"/>
      <c r="D246" s="9"/>
      <c r="E246" s="9"/>
      <c r="F246" s="7"/>
      <c r="G246" s="7"/>
      <c r="H246" s="7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F246" s="23"/>
      <c r="AG246" s="23"/>
      <c r="AH246" s="23"/>
      <c r="AI246" s="23"/>
      <c r="AJ246" s="9"/>
      <c r="AK246" s="9"/>
      <c r="AL246" s="9"/>
      <c r="AM246" s="9"/>
      <c r="AN246" s="9"/>
      <c r="AO246" s="9"/>
      <c r="AP246" s="9"/>
      <c r="AQ246" s="25"/>
      <c r="AY246" s="21"/>
      <c r="AZ246" s="7"/>
    </row>
    <row r="247" spans="3:52" x14ac:dyDescent="0.3">
      <c r="C247" s="9"/>
      <c r="D247" s="9"/>
      <c r="E247" s="9"/>
      <c r="F247" s="7"/>
      <c r="G247" s="7"/>
      <c r="H247" s="7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F247" s="23"/>
      <c r="AG247" s="23"/>
      <c r="AH247" s="23"/>
      <c r="AI247" s="23"/>
      <c r="AJ247" s="9"/>
      <c r="AK247" s="9"/>
      <c r="AL247" s="9"/>
      <c r="AM247" s="9"/>
      <c r="AN247" s="9"/>
      <c r="AO247" s="9"/>
      <c r="AP247" s="9"/>
      <c r="AQ247" s="25"/>
      <c r="AY247" s="21"/>
      <c r="AZ247" s="7"/>
    </row>
    <row r="248" spans="3:52" x14ac:dyDescent="0.3">
      <c r="C248" s="9"/>
      <c r="D248" s="9"/>
      <c r="E248" s="9"/>
      <c r="F248" s="7"/>
      <c r="G248" s="7"/>
      <c r="H248" s="7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F248" s="23"/>
      <c r="AG248" s="23"/>
      <c r="AH248" s="23"/>
      <c r="AI248" s="23"/>
      <c r="AJ248" s="9"/>
      <c r="AK248" s="9"/>
      <c r="AL248" s="9"/>
      <c r="AM248" s="9"/>
      <c r="AN248" s="9"/>
      <c r="AO248" s="9"/>
      <c r="AP248" s="9"/>
      <c r="AQ248" s="25"/>
      <c r="AY248" s="21"/>
      <c r="AZ248" s="7"/>
    </row>
    <row r="249" spans="3:52" x14ac:dyDescent="0.3">
      <c r="C249" s="9"/>
      <c r="D249" s="9"/>
      <c r="E249" s="9"/>
      <c r="F249" s="7"/>
      <c r="G249" s="7"/>
      <c r="H249" s="7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F249" s="23"/>
      <c r="AG249" s="23"/>
      <c r="AH249" s="23"/>
      <c r="AI249" s="23"/>
      <c r="AJ249" s="9"/>
      <c r="AK249" s="9"/>
      <c r="AL249" s="9"/>
      <c r="AM249" s="9"/>
      <c r="AN249" s="9"/>
      <c r="AO249" s="9"/>
      <c r="AP249" s="9"/>
      <c r="AQ249" s="25"/>
      <c r="AY249" s="21"/>
      <c r="AZ249" s="7"/>
    </row>
    <row r="250" spans="3:52" x14ac:dyDescent="0.3">
      <c r="C250" s="9"/>
      <c r="D250" s="9"/>
      <c r="E250" s="9"/>
      <c r="F250" s="7"/>
      <c r="G250" s="7"/>
      <c r="H250" s="7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F250" s="23"/>
      <c r="AG250" s="23"/>
      <c r="AH250" s="23"/>
      <c r="AI250" s="23"/>
      <c r="AJ250" s="9"/>
      <c r="AK250" s="9"/>
      <c r="AL250" s="9"/>
      <c r="AM250" s="9"/>
      <c r="AN250" s="9"/>
      <c r="AO250" s="9"/>
      <c r="AP250" s="9"/>
      <c r="AQ250" s="25"/>
      <c r="AY250" s="21"/>
      <c r="AZ250" s="7"/>
    </row>
    <row r="251" spans="3:52" x14ac:dyDescent="0.3">
      <c r="C251" s="9"/>
      <c r="D251" s="9"/>
      <c r="E251" s="9"/>
      <c r="F251" s="7"/>
      <c r="G251" s="7"/>
      <c r="H251" s="7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F251" s="23"/>
      <c r="AG251" s="23"/>
      <c r="AH251" s="23"/>
      <c r="AI251" s="23"/>
      <c r="AJ251" s="9"/>
      <c r="AK251" s="9"/>
      <c r="AL251" s="9"/>
      <c r="AM251" s="9"/>
      <c r="AN251" s="9"/>
      <c r="AO251" s="9"/>
      <c r="AP251" s="9"/>
      <c r="AQ251" s="25"/>
      <c r="AY251" s="21"/>
      <c r="AZ251" s="7"/>
    </row>
    <row r="252" spans="3:52" x14ac:dyDescent="0.3">
      <c r="C252" s="9"/>
      <c r="D252" s="9"/>
      <c r="E252" s="9"/>
      <c r="F252" s="7"/>
      <c r="G252" s="7"/>
      <c r="H252" s="7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F252" s="23"/>
      <c r="AG252" s="23"/>
      <c r="AH252" s="23"/>
      <c r="AI252" s="23"/>
      <c r="AJ252" s="9"/>
      <c r="AK252" s="9"/>
      <c r="AL252" s="9"/>
      <c r="AM252" s="9"/>
      <c r="AN252" s="9"/>
      <c r="AO252" s="9"/>
      <c r="AP252" s="9"/>
      <c r="AQ252" s="25"/>
      <c r="AY252" s="21"/>
      <c r="AZ252" s="7"/>
    </row>
    <row r="253" spans="3:52" x14ac:dyDescent="0.3">
      <c r="C253" s="9"/>
      <c r="D253" s="9"/>
      <c r="E253" s="9"/>
      <c r="F253" s="7"/>
      <c r="G253" s="7"/>
      <c r="H253" s="7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F253" s="23"/>
      <c r="AG253" s="23"/>
      <c r="AH253" s="23"/>
      <c r="AI253" s="23"/>
      <c r="AJ253" s="9"/>
      <c r="AK253" s="9"/>
      <c r="AL253" s="9"/>
      <c r="AM253" s="9"/>
      <c r="AN253" s="9"/>
      <c r="AO253" s="9"/>
      <c r="AP253" s="9"/>
      <c r="AQ253" s="25"/>
      <c r="AY253" s="21"/>
      <c r="AZ253" s="7"/>
    </row>
    <row r="254" spans="3:52" x14ac:dyDescent="0.3">
      <c r="C254" s="9"/>
      <c r="D254" s="9"/>
      <c r="E254" s="9"/>
      <c r="F254" s="7"/>
      <c r="G254" s="7"/>
      <c r="H254" s="7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F254" s="23"/>
      <c r="AG254" s="23"/>
      <c r="AH254" s="23"/>
      <c r="AI254" s="23"/>
      <c r="AJ254" s="9"/>
      <c r="AK254" s="9"/>
      <c r="AL254" s="9"/>
      <c r="AM254" s="9"/>
      <c r="AN254" s="9"/>
      <c r="AO254" s="9"/>
      <c r="AP254" s="9"/>
      <c r="AQ254" s="25"/>
      <c r="AY254" s="21"/>
      <c r="AZ254" s="7"/>
    </row>
    <row r="255" spans="3:52" x14ac:dyDescent="0.3">
      <c r="C255" s="9"/>
      <c r="D255" s="9"/>
      <c r="E255" s="9"/>
      <c r="F255" s="7"/>
      <c r="G255" s="7"/>
      <c r="H255" s="7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F255" s="23"/>
      <c r="AG255" s="23"/>
      <c r="AH255" s="23"/>
      <c r="AI255" s="23"/>
      <c r="AJ255" s="9"/>
      <c r="AK255" s="9"/>
      <c r="AL255" s="9"/>
      <c r="AM255" s="9"/>
      <c r="AN255" s="9"/>
      <c r="AO255" s="9"/>
      <c r="AP255" s="9"/>
      <c r="AQ255" s="25"/>
      <c r="AY255" s="21"/>
      <c r="AZ255" s="7"/>
    </row>
    <row r="256" spans="3:52" x14ac:dyDescent="0.3">
      <c r="C256" s="9"/>
      <c r="D256" s="9"/>
      <c r="E256" s="9"/>
      <c r="F256" s="7"/>
      <c r="G256" s="7"/>
      <c r="H256" s="7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F256" s="23"/>
      <c r="AG256" s="23"/>
      <c r="AH256" s="23"/>
      <c r="AI256" s="23"/>
      <c r="AJ256" s="9"/>
      <c r="AK256" s="9"/>
      <c r="AL256" s="9"/>
      <c r="AM256" s="9"/>
      <c r="AN256" s="9"/>
      <c r="AO256" s="9"/>
      <c r="AP256" s="9"/>
      <c r="AQ256" s="25"/>
      <c r="AY256" s="21"/>
      <c r="AZ256" s="7"/>
    </row>
    <row r="257" spans="3:52" x14ac:dyDescent="0.3">
      <c r="C257" s="9"/>
      <c r="D257" s="9"/>
      <c r="E257" s="9"/>
      <c r="F257" s="7"/>
      <c r="G257" s="7"/>
      <c r="H257" s="7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F257" s="23"/>
      <c r="AG257" s="23"/>
      <c r="AH257" s="23"/>
      <c r="AI257" s="23"/>
      <c r="AJ257" s="9"/>
      <c r="AK257" s="9"/>
      <c r="AL257" s="9"/>
      <c r="AM257" s="9"/>
      <c r="AN257" s="9"/>
      <c r="AO257" s="9"/>
      <c r="AP257" s="9"/>
      <c r="AQ257" s="25"/>
      <c r="AY257" s="21"/>
      <c r="AZ257" s="7"/>
    </row>
    <row r="258" spans="3:52" x14ac:dyDescent="0.3">
      <c r="C258" s="9"/>
      <c r="D258" s="9"/>
      <c r="E258" s="9"/>
      <c r="F258" s="7"/>
      <c r="G258" s="7"/>
      <c r="H258" s="7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F258" s="23"/>
      <c r="AG258" s="23"/>
      <c r="AH258" s="23"/>
      <c r="AI258" s="23"/>
      <c r="AJ258" s="9"/>
      <c r="AK258" s="9"/>
      <c r="AL258" s="9"/>
      <c r="AM258" s="9"/>
      <c r="AN258" s="9"/>
      <c r="AO258" s="9"/>
      <c r="AP258" s="9"/>
      <c r="AQ258" s="25"/>
      <c r="AY258" s="21"/>
      <c r="AZ258" s="7"/>
    </row>
    <row r="259" spans="3:52" x14ac:dyDescent="0.3">
      <c r="C259" s="9"/>
      <c r="D259" s="9"/>
      <c r="E259" s="9"/>
      <c r="F259" s="7"/>
      <c r="G259" s="7"/>
      <c r="H259" s="7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F259" s="23"/>
      <c r="AG259" s="23"/>
      <c r="AH259" s="23"/>
      <c r="AI259" s="23"/>
      <c r="AJ259" s="9"/>
      <c r="AK259" s="9"/>
      <c r="AL259" s="9"/>
      <c r="AM259" s="9"/>
      <c r="AN259" s="9"/>
      <c r="AO259" s="9"/>
      <c r="AP259" s="9"/>
      <c r="AQ259" s="25"/>
      <c r="AY259" s="21"/>
      <c r="AZ259" s="7"/>
    </row>
    <row r="260" spans="3:52" x14ac:dyDescent="0.3">
      <c r="C260" s="9"/>
      <c r="D260" s="9"/>
      <c r="E260" s="9"/>
      <c r="F260" s="7"/>
      <c r="G260" s="7"/>
      <c r="H260" s="7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F260" s="23"/>
      <c r="AG260" s="23"/>
      <c r="AH260" s="23"/>
      <c r="AI260" s="23"/>
      <c r="AJ260" s="9"/>
      <c r="AK260" s="9"/>
      <c r="AL260" s="9"/>
      <c r="AM260" s="9"/>
      <c r="AN260" s="9"/>
      <c r="AO260" s="9"/>
      <c r="AP260" s="9"/>
      <c r="AQ260" s="25"/>
      <c r="AY260" s="21"/>
      <c r="AZ260" s="7"/>
    </row>
    <row r="261" spans="3:52" x14ac:dyDescent="0.3">
      <c r="C261" s="9"/>
      <c r="D261" s="9"/>
      <c r="E261" s="9"/>
      <c r="F261" s="7"/>
      <c r="G261" s="7"/>
      <c r="H261" s="7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F261" s="23"/>
      <c r="AG261" s="23"/>
      <c r="AH261" s="23"/>
      <c r="AI261" s="23"/>
      <c r="AJ261" s="9"/>
      <c r="AK261" s="9"/>
      <c r="AL261" s="9"/>
      <c r="AM261" s="9"/>
      <c r="AN261" s="9"/>
      <c r="AO261" s="9"/>
      <c r="AP261" s="9"/>
      <c r="AQ261" s="25"/>
      <c r="AY261" s="21"/>
      <c r="AZ261" s="7"/>
    </row>
    <row r="262" spans="3:52" x14ac:dyDescent="0.3">
      <c r="C262" s="9"/>
      <c r="D262" s="9"/>
      <c r="E262" s="9"/>
      <c r="F262" s="7"/>
      <c r="G262" s="7"/>
      <c r="H262" s="7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F262" s="23"/>
      <c r="AG262" s="23"/>
      <c r="AH262" s="23"/>
      <c r="AI262" s="23"/>
      <c r="AJ262" s="9"/>
      <c r="AK262" s="9"/>
      <c r="AL262" s="9"/>
      <c r="AM262" s="9"/>
      <c r="AN262" s="9"/>
      <c r="AO262" s="9"/>
      <c r="AP262" s="9"/>
      <c r="AQ262" s="25"/>
      <c r="AY262" s="21"/>
      <c r="AZ262" s="7"/>
    </row>
    <row r="263" spans="3:52" x14ac:dyDescent="0.3">
      <c r="C263" s="9"/>
      <c r="D263" s="9"/>
      <c r="E263" s="9"/>
      <c r="F263" s="7"/>
      <c r="G263" s="7"/>
      <c r="H263" s="7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F263" s="23"/>
      <c r="AG263" s="23"/>
      <c r="AH263" s="23"/>
      <c r="AI263" s="23"/>
      <c r="AJ263" s="9"/>
      <c r="AK263" s="9"/>
      <c r="AL263" s="9"/>
      <c r="AM263" s="9"/>
      <c r="AN263" s="9"/>
      <c r="AO263" s="9"/>
      <c r="AP263" s="9"/>
      <c r="AQ263" s="25"/>
      <c r="AY263" s="21"/>
      <c r="AZ263" s="7"/>
    </row>
    <row r="264" spans="3:52" x14ac:dyDescent="0.3">
      <c r="C264" s="9"/>
      <c r="D264" s="9"/>
      <c r="E264" s="9"/>
      <c r="F264" s="7"/>
      <c r="G264" s="7"/>
      <c r="H264" s="7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F264" s="23"/>
      <c r="AG264" s="23"/>
      <c r="AH264" s="23"/>
      <c r="AI264" s="23"/>
      <c r="AJ264" s="9"/>
      <c r="AK264" s="9"/>
      <c r="AL264" s="9"/>
      <c r="AM264" s="9"/>
      <c r="AN264" s="9"/>
      <c r="AO264" s="9"/>
      <c r="AP264" s="9"/>
      <c r="AQ264" s="25"/>
      <c r="AY264" s="21"/>
      <c r="AZ264" s="7"/>
    </row>
    <row r="265" spans="3:52" x14ac:dyDescent="0.3">
      <c r="C265" s="9"/>
      <c r="D265" s="9"/>
      <c r="E265" s="9"/>
      <c r="F265" s="7"/>
      <c r="G265" s="7"/>
      <c r="H265" s="7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F265" s="23"/>
      <c r="AG265" s="23"/>
      <c r="AH265" s="23"/>
      <c r="AI265" s="23"/>
      <c r="AJ265" s="9"/>
      <c r="AK265" s="9"/>
      <c r="AL265" s="9"/>
      <c r="AM265" s="9"/>
      <c r="AN265" s="9"/>
      <c r="AO265" s="9"/>
      <c r="AP265" s="9"/>
      <c r="AQ265" s="25"/>
      <c r="AY265" s="21"/>
      <c r="AZ265" s="7"/>
    </row>
    <row r="266" spans="3:52" x14ac:dyDescent="0.3">
      <c r="C266" s="9"/>
      <c r="D266" s="9"/>
      <c r="E266" s="9"/>
      <c r="F266" s="7"/>
      <c r="G266" s="7"/>
      <c r="H266" s="7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F266" s="23"/>
      <c r="AG266" s="23"/>
      <c r="AH266" s="23"/>
      <c r="AI266" s="23"/>
      <c r="AJ266" s="9"/>
      <c r="AK266" s="9"/>
      <c r="AL266" s="9"/>
      <c r="AM266" s="9"/>
      <c r="AN266" s="9"/>
      <c r="AO266" s="9"/>
      <c r="AP266" s="9"/>
      <c r="AQ266" s="25"/>
      <c r="AY266" s="21"/>
      <c r="AZ266" s="7"/>
    </row>
    <row r="267" spans="3:52" x14ac:dyDescent="0.3">
      <c r="C267" s="9"/>
      <c r="D267" s="9"/>
      <c r="E267" s="9"/>
      <c r="F267" s="7"/>
      <c r="G267" s="7"/>
      <c r="H267" s="7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F267" s="23"/>
      <c r="AG267" s="23"/>
      <c r="AH267" s="23"/>
      <c r="AI267" s="23"/>
      <c r="AJ267" s="9"/>
      <c r="AK267" s="9"/>
      <c r="AL267" s="9"/>
      <c r="AM267" s="9"/>
      <c r="AN267" s="9"/>
      <c r="AO267" s="9"/>
      <c r="AP267" s="9"/>
      <c r="AQ267" s="25"/>
      <c r="AY267" s="21"/>
      <c r="AZ267" s="7"/>
    </row>
    <row r="268" spans="3:52" x14ac:dyDescent="0.3">
      <c r="C268" s="9"/>
      <c r="D268" s="9"/>
      <c r="E268" s="9"/>
      <c r="F268" s="7"/>
      <c r="G268" s="7"/>
      <c r="H268" s="7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F268" s="23"/>
      <c r="AG268" s="23"/>
      <c r="AH268" s="23"/>
      <c r="AI268" s="23"/>
      <c r="AJ268" s="9"/>
      <c r="AK268" s="9"/>
      <c r="AL268" s="9"/>
      <c r="AM268" s="9"/>
      <c r="AN268" s="9"/>
      <c r="AO268" s="9"/>
      <c r="AP268" s="9"/>
      <c r="AQ268" s="25"/>
      <c r="AY268" s="21"/>
      <c r="AZ268" s="7"/>
    </row>
    <row r="269" spans="3:52" x14ac:dyDescent="0.3">
      <c r="C269" s="9"/>
      <c r="D269" s="9"/>
      <c r="E269" s="9"/>
      <c r="F269" s="7"/>
      <c r="G269" s="7"/>
      <c r="H269" s="7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F269" s="23"/>
      <c r="AG269" s="23"/>
      <c r="AH269" s="23"/>
      <c r="AI269" s="23"/>
      <c r="AJ269" s="9"/>
      <c r="AK269" s="9"/>
      <c r="AL269" s="9"/>
      <c r="AM269" s="9"/>
      <c r="AN269" s="9"/>
      <c r="AO269" s="9"/>
      <c r="AP269" s="9"/>
      <c r="AQ269" s="25"/>
      <c r="AY269" s="21"/>
      <c r="AZ269" s="7"/>
    </row>
    <row r="270" spans="3:52" x14ac:dyDescent="0.3">
      <c r="C270" s="9"/>
      <c r="D270" s="9"/>
      <c r="E270" s="9"/>
      <c r="F270" s="7"/>
      <c r="G270" s="7"/>
      <c r="H270" s="7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F270" s="23"/>
      <c r="AG270" s="23"/>
      <c r="AH270" s="23"/>
      <c r="AI270" s="23"/>
      <c r="AJ270" s="9"/>
      <c r="AK270" s="9"/>
      <c r="AL270" s="9"/>
      <c r="AM270" s="9"/>
      <c r="AN270" s="9"/>
      <c r="AO270" s="9"/>
      <c r="AP270" s="9"/>
      <c r="AQ270" s="25"/>
      <c r="AY270" s="21"/>
      <c r="AZ270" s="7"/>
    </row>
    <row r="271" spans="3:52" x14ac:dyDescent="0.3">
      <c r="C271" s="9"/>
      <c r="D271" s="9"/>
      <c r="E271" s="9"/>
      <c r="F271" s="7"/>
      <c r="G271" s="7"/>
      <c r="H271" s="7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F271" s="23"/>
      <c r="AG271" s="23"/>
      <c r="AH271" s="23"/>
      <c r="AI271" s="23"/>
      <c r="AJ271" s="9"/>
      <c r="AK271" s="9"/>
      <c r="AL271" s="9"/>
      <c r="AM271" s="9"/>
      <c r="AN271" s="9"/>
      <c r="AO271" s="9"/>
      <c r="AP271" s="9"/>
      <c r="AQ271" s="25"/>
      <c r="AY271" s="21"/>
      <c r="AZ271" s="7"/>
    </row>
    <row r="272" spans="3:52" x14ac:dyDescent="0.3">
      <c r="C272" s="9"/>
      <c r="D272" s="9"/>
      <c r="E272" s="9"/>
      <c r="F272" s="7"/>
      <c r="G272" s="7"/>
      <c r="H272" s="7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F272" s="23"/>
      <c r="AG272" s="23"/>
      <c r="AH272" s="23"/>
      <c r="AI272" s="23"/>
      <c r="AJ272" s="9"/>
      <c r="AK272" s="9"/>
      <c r="AL272" s="9"/>
      <c r="AM272" s="9"/>
      <c r="AN272" s="9"/>
      <c r="AO272" s="9"/>
      <c r="AP272" s="9"/>
      <c r="AQ272" s="25"/>
      <c r="AY272" s="21"/>
      <c r="AZ272" s="7"/>
    </row>
    <row r="273" spans="3:52" x14ac:dyDescent="0.3">
      <c r="C273" s="9"/>
      <c r="D273" s="9"/>
      <c r="E273" s="9"/>
      <c r="F273" s="7"/>
      <c r="G273" s="7"/>
      <c r="H273" s="7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F273" s="23"/>
      <c r="AG273" s="23"/>
      <c r="AH273" s="23"/>
      <c r="AI273" s="23"/>
      <c r="AJ273" s="9"/>
      <c r="AK273" s="9"/>
      <c r="AL273" s="9"/>
      <c r="AM273" s="9"/>
      <c r="AN273" s="9"/>
      <c r="AO273" s="9"/>
      <c r="AP273" s="9"/>
      <c r="AQ273" s="25"/>
      <c r="AY273" s="21"/>
      <c r="AZ273" s="7"/>
    </row>
    <row r="274" spans="3:52" x14ac:dyDescent="0.3">
      <c r="C274" s="9"/>
      <c r="D274" s="9"/>
      <c r="E274" s="9"/>
      <c r="F274" s="7"/>
      <c r="G274" s="7"/>
      <c r="H274" s="7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F274" s="23"/>
      <c r="AG274" s="23"/>
      <c r="AH274" s="23"/>
      <c r="AI274" s="23"/>
      <c r="AJ274" s="9"/>
      <c r="AK274" s="9"/>
      <c r="AL274" s="9"/>
      <c r="AM274" s="9"/>
      <c r="AN274" s="9"/>
      <c r="AO274" s="9"/>
      <c r="AP274" s="9"/>
      <c r="AQ274" s="25"/>
      <c r="AY274" s="21"/>
      <c r="AZ274" s="7"/>
    </row>
    <row r="275" spans="3:52" x14ac:dyDescent="0.3">
      <c r="C275" s="9"/>
      <c r="D275" s="9"/>
      <c r="E275" s="9"/>
      <c r="F275" s="7"/>
      <c r="G275" s="7"/>
      <c r="H275" s="7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F275" s="23"/>
      <c r="AG275" s="23"/>
      <c r="AH275" s="23"/>
      <c r="AI275" s="23"/>
      <c r="AJ275" s="9"/>
      <c r="AK275" s="9"/>
      <c r="AL275" s="9"/>
      <c r="AM275" s="9"/>
      <c r="AN275" s="9"/>
      <c r="AO275" s="9"/>
      <c r="AP275" s="9"/>
      <c r="AQ275" s="25"/>
      <c r="AY275" s="21"/>
      <c r="AZ275" s="7"/>
    </row>
    <row r="276" spans="3:52" x14ac:dyDescent="0.3">
      <c r="C276" s="9"/>
      <c r="D276" s="9"/>
      <c r="E276" s="9"/>
      <c r="F276" s="7"/>
      <c r="G276" s="7"/>
      <c r="H276" s="7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F276" s="23"/>
      <c r="AG276" s="23"/>
      <c r="AH276" s="23"/>
      <c r="AI276" s="23"/>
      <c r="AJ276" s="9"/>
      <c r="AK276" s="9"/>
      <c r="AL276" s="9"/>
      <c r="AM276" s="9"/>
      <c r="AN276" s="9"/>
      <c r="AO276" s="9"/>
      <c r="AP276" s="9"/>
      <c r="AQ276" s="25"/>
      <c r="AY276" s="21"/>
      <c r="AZ276" s="7"/>
    </row>
    <row r="277" spans="3:52" x14ac:dyDescent="0.3">
      <c r="C277" s="9"/>
      <c r="D277" s="9"/>
      <c r="E277" s="9"/>
      <c r="F277" s="7"/>
      <c r="G277" s="7"/>
      <c r="H277" s="7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F277" s="23"/>
      <c r="AG277" s="23"/>
      <c r="AH277" s="23"/>
      <c r="AI277" s="23"/>
      <c r="AJ277" s="9"/>
      <c r="AK277" s="9"/>
      <c r="AL277" s="9"/>
      <c r="AM277" s="9"/>
      <c r="AN277" s="9"/>
      <c r="AO277" s="9"/>
      <c r="AP277" s="9"/>
      <c r="AQ277" s="25"/>
      <c r="AY277" s="21"/>
      <c r="AZ277" s="7"/>
    </row>
    <row r="278" spans="3:52" x14ac:dyDescent="0.3">
      <c r="C278" s="9"/>
      <c r="D278" s="9"/>
      <c r="E278" s="9"/>
      <c r="F278" s="7"/>
      <c r="G278" s="7"/>
      <c r="H278" s="7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F278" s="23"/>
      <c r="AG278" s="23"/>
      <c r="AH278" s="23"/>
      <c r="AI278" s="23"/>
      <c r="AJ278" s="9"/>
      <c r="AK278" s="9"/>
      <c r="AL278" s="9"/>
      <c r="AM278" s="9"/>
      <c r="AN278" s="9"/>
      <c r="AO278" s="9"/>
      <c r="AP278" s="9"/>
      <c r="AQ278" s="25"/>
      <c r="AY278" s="21"/>
      <c r="AZ278" s="7"/>
    </row>
    <row r="279" spans="3:52" x14ac:dyDescent="0.3">
      <c r="C279" s="9"/>
      <c r="D279" s="9"/>
      <c r="E279" s="9"/>
      <c r="F279" s="7"/>
      <c r="G279" s="7"/>
      <c r="H279" s="7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F279" s="23"/>
      <c r="AG279" s="23"/>
      <c r="AH279" s="23"/>
      <c r="AI279" s="23"/>
      <c r="AJ279" s="9"/>
      <c r="AK279" s="9"/>
      <c r="AL279" s="9"/>
      <c r="AM279" s="9"/>
      <c r="AN279" s="9"/>
      <c r="AO279" s="9"/>
      <c r="AP279" s="9"/>
      <c r="AQ279" s="25"/>
      <c r="AY279" s="21"/>
      <c r="AZ279" s="7"/>
    </row>
    <row r="280" spans="3:52" x14ac:dyDescent="0.3">
      <c r="C280" s="9"/>
      <c r="D280" s="9"/>
      <c r="E280" s="9"/>
      <c r="F280" s="7"/>
      <c r="G280" s="7"/>
      <c r="H280" s="7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F280" s="23"/>
      <c r="AG280" s="23"/>
      <c r="AH280" s="23"/>
      <c r="AI280" s="23"/>
      <c r="AJ280" s="9"/>
      <c r="AK280" s="9"/>
      <c r="AL280" s="9"/>
      <c r="AM280" s="9"/>
      <c r="AN280" s="9"/>
      <c r="AO280" s="9"/>
      <c r="AP280" s="9"/>
      <c r="AQ280" s="25"/>
      <c r="AY280" s="21"/>
      <c r="AZ280" s="7"/>
    </row>
    <row r="281" spans="3:52" x14ac:dyDescent="0.3">
      <c r="C281" s="9"/>
      <c r="D281" s="9"/>
      <c r="E281" s="9"/>
      <c r="F281" s="7"/>
      <c r="G281" s="7"/>
      <c r="H281" s="7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F281" s="23"/>
      <c r="AG281" s="23"/>
      <c r="AH281" s="23"/>
      <c r="AI281" s="23"/>
      <c r="AJ281" s="9"/>
      <c r="AK281" s="9"/>
      <c r="AL281" s="9"/>
      <c r="AM281" s="9"/>
      <c r="AN281" s="9"/>
      <c r="AO281" s="9"/>
      <c r="AP281" s="9"/>
      <c r="AQ281" s="25"/>
      <c r="AY281" s="21"/>
      <c r="AZ281" s="7"/>
    </row>
    <row r="282" spans="3:52" x14ac:dyDescent="0.3">
      <c r="C282" s="9"/>
      <c r="D282" s="9"/>
      <c r="E282" s="9"/>
      <c r="F282" s="7"/>
      <c r="G282" s="7"/>
      <c r="H282" s="7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F282" s="23"/>
      <c r="AG282" s="23"/>
      <c r="AH282" s="23"/>
      <c r="AI282" s="23"/>
      <c r="AJ282" s="9"/>
      <c r="AK282" s="9"/>
      <c r="AL282" s="9"/>
      <c r="AM282" s="9"/>
      <c r="AN282" s="9"/>
      <c r="AO282" s="9"/>
      <c r="AP282" s="9"/>
      <c r="AQ282" s="25"/>
      <c r="AY282" s="21"/>
      <c r="AZ282" s="7"/>
    </row>
    <row r="283" spans="3:52" x14ac:dyDescent="0.3">
      <c r="C283" s="9"/>
      <c r="D283" s="9"/>
      <c r="E283" s="9"/>
      <c r="F283" s="7"/>
      <c r="G283" s="7"/>
      <c r="H283" s="7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F283" s="23"/>
      <c r="AG283" s="23"/>
      <c r="AH283" s="23"/>
      <c r="AI283" s="23"/>
      <c r="AJ283" s="9"/>
      <c r="AK283" s="9"/>
      <c r="AL283" s="9"/>
      <c r="AM283" s="9"/>
      <c r="AN283" s="9"/>
      <c r="AO283" s="9"/>
      <c r="AP283" s="9"/>
      <c r="AQ283" s="25"/>
      <c r="AY283" s="21"/>
      <c r="AZ283" s="7"/>
    </row>
    <row r="284" spans="3:52" x14ac:dyDescent="0.3">
      <c r="C284" s="9"/>
      <c r="D284" s="9"/>
      <c r="E284" s="9"/>
      <c r="F284" s="7"/>
      <c r="G284" s="7"/>
      <c r="H284" s="7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F284" s="23"/>
      <c r="AG284" s="23"/>
      <c r="AH284" s="23"/>
      <c r="AI284" s="23"/>
      <c r="AJ284" s="9"/>
      <c r="AK284" s="9"/>
      <c r="AL284" s="9"/>
      <c r="AM284" s="9"/>
      <c r="AN284" s="9"/>
      <c r="AO284" s="9"/>
      <c r="AP284" s="9"/>
      <c r="AQ284" s="25"/>
      <c r="AY284" s="21"/>
      <c r="AZ284" s="7"/>
    </row>
    <row r="285" spans="3:52" x14ac:dyDescent="0.3">
      <c r="C285" s="9"/>
      <c r="D285" s="9"/>
      <c r="E285" s="9"/>
      <c r="F285" s="7"/>
      <c r="G285" s="7"/>
      <c r="H285" s="7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F285" s="23"/>
      <c r="AG285" s="23"/>
      <c r="AH285" s="23"/>
      <c r="AI285" s="23"/>
      <c r="AJ285" s="9"/>
      <c r="AK285" s="9"/>
      <c r="AL285" s="9"/>
      <c r="AM285" s="9"/>
      <c r="AN285" s="9"/>
      <c r="AO285" s="9"/>
      <c r="AP285" s="9"/>
      <c r="AQ285" s="25"/>
      <c r="AY285" s="21"/>
      <c r="AZ285" s="7"/>
    </row>
    <row r="286" spans="3:52" x14ac:dyDescent="0.3">
      <c r="C286" s="9"/>
      <c r="D286" s="9"/>
      <c r="E286" s="9"/>
      <c r="F286" s="7"/>
      <c r="G286" s="7"/>
      <c r="H286" s="7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F286" s="23"/>
      <c r="AG286" s="23"/>
      <c r="AH286" s="23"/>
      <c r="AI286" s="23"/>
      <c r="AJ286" s="9"/>
      <c r="AK286" s="9"/>
      <c r="AL286" s="9"/>
      <c r="AM286" s="9"/>
      <c r="AN286" s="9"/>
      <c r="AO286" s="9"/>
      <c r="AP286" s="9"/>
      <c r="AQ286" s="25"/>
      <c r="AY286" s="21"/>
      <c r="AZ286" s="7"/>
    </row>
    <row r="287" spans="3:52" x14ac:dyDescent="0.3">
      <c r="C287" s="9"/>
      <c r="D287" s="9"/>
      <c r="E287" s="9"/>
      <c r="F287" s="7"/>
      <c r="G287" s="7"/>
      <c r="H287" s="7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F287" s="23"/>
      <c r="AG287" s="23"/>
      <c r="AH287" s="23"/>
      <c r="AI287" s="23"/>
      <c r="AJ287" s="9"/>
      <c r="AK287" s="9"/>
      <c r="AL287" s="9"/>
      <c r="AM287" s="9"/>
      <c r="AN287" s="9"/>
      <c r="AO287" s="9"/>
      <c r="AP287" s="9"/>
      <c r="AQ287" s="25"/>
      <c r="AY287" s="21"/>
      <c r="AZ287" s="7"/>
    </row>
    <row r="288" spans="3:52" x14ac:dyDescent="0.3">
      <c r="C288" s="9"/>
      <c r="D288" s="9"/>
      <c r="E288" s="9"/>
      <c r="F288" s="7"/>
      <c r="G288" s="7"/>
      <c r="H288" s="7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F288" s="23"/>
      <c r="AG288" s="23"/>
      <c r="AH288" s="23"/>
      <c r="AI288" s="23"/>
      <c r="AJ288" s="9"/>
      <c r="AK288" s="9"/>
      <c r="AL288" s="9"/>
      <c r="AM288" s="9"/>
      <c r="AN288" s="9"/>
      <c r="AO288" s="9"/>
      <c r="AP288" s="9"/>
      <c r="AQ288" s="25"/>
      <c r="AY288" s="21"/>
      <c r="AZ288" s="7"/>
    </row>
    <row r="289" spans="3:52" x14ac:dyDescent="0.3">
      <c r="C289" s="9"/>
      <c r="D289" s="9"/>
      <c r="E289" s="9"/>
      <c r="F289" s="7"/>
      <c r="G289" s="7"/>
      <c r="H289" s="7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F289" s="23"/>
      <c r="AG289" s="23"/>
      <c r="AH289" s="23"/>
      <c r="AI289" s="23"/>
      <c r="AJ289" s="9"/>
      <c r="AK289" s="9"/>
      <c r="AL289" s="9"/>
      <c r="AM289" s="9"/>
      <c r="AN289" s="9"/>
      <c r="AO289" s="9"/>
      <c r="AP289" s="9"/>
      <c r="AQ289" s="25"/>
      <c r="AY289" s="21"/>
      <c r="AZ289" s="7"/>
    </row>
    <row r="290" spans="3:52" x14ac:dyDescent="0.3">
      <c r="C290" s="9"/>
      <c r="D290" s="9"/>
      <c r="E290" s="9"/>
      <c r="F290" s="7"/>
      <c r="G290" s="7"/>
      <c r="H290" s="7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F290" s="23"/>
      <c r="AG290" s="23"/>
      <c r="AH290" s="23"/>
      <c r="AI290" s="23"/>
      <c r="AJ290" s="9"/>
      <c r="AK290" s="9"/>
      <c r="AL290" s="9"/>
      <c r="AM290" s="9"/>
      <c r="AN290" s="9"/>
      <c r="AO290" s="9"/>
      <c r="AP290" s="9"/>
      <c r="AQ290" s="25"/>
      <c r="AY290" s="21"/>
      <c r="AZ290" s="7"/>
    </row>
    <row r="291" spans="3:52" x14ac:dyDescent="0.3">
      <c r="C291" s="9"/>
      <c r="D291" s="9"/>
      <c r="E291" s="9"/>
      <c r="F291" s="7"/>
      <c r="G291" s="7"/>
      <c r="H291" s="7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F291" s="23"/>
      <c r="AG291" s="23"/>
      <c r="AH291" s="23"/>
      <c r="AI291" s="23"/>
      <c r="AJ291" s="9"/>
      <c r="AK291" s="9"/>
      <c r="AL291" s="9"/>
      <c r="AM291" s="9"/>
      <c r="AN291" s="9"/>
      <c r="AO291" s="9"/>
      <c r="AP291" s="9"/>
      <c r="AQ291" s="25"/>
      <c r="AY291" s="21"/>
      <c r="AZ291" s="7"/>
    </row>
    <row r="292" spans="3:52" x14ac:dyDescent="0.3">
      <c r="C292" s="9"/>
      <c r="D292" s="9"/>
      <c r="E292" s="9"/>
      <c r="F292" s="7"/>
      <c r="G292" s="7"/>
      <c r="H292" s="7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F292" s="23"/>
      <c r="AG292" s="23"/>
      <c r="AH292" s="23"/>
      <c r="AI292" s="23"/>
      <c r="AJ292" s="9"/>
      <c r="AK292" s="9"/>
      <c r="AL292" s="9"/>
      <c r="AM292" s="9"/>
      <c r="AN292" s="9"/>
      <c r="AO292" s="9"/>
      <c r="AP292" s="9"/>
      <c r="AQ292" s="25"/>
      <c r="AY292" s="21"/>
      <c r="AZ292" s="7"/>
    </row>
    <row r="293" spans="3:52" x14ac:dyDescent="0.3">
      <c r="C293" s="9"/>
      <c r="D293" s="9"/>
      <c r="E293" s="9"/>
      <c r="F293" s="7"/>
      <c r="G293" s="7"/>
      <c r="H293" s="7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F293" s="23"/>
      <c r="AG293" s="23"/>
      <c r="AH293" s="23"/>
      <c r="AI293" s="23"/>
      <c r="AJ293" s="9"/>
      <c r="AK293" s="9"/>
      <c r="AL293" s="9"/>
      <c r="AM293" s="9"/>
      <c r="AN293" s="9"/>
      <c r="AO293" s="9"/>
      <c r="AP293" s="9"/>
      <c r="AQ293" s="25"/>
      <c r="AY293" s="21"/>
      <c r="AZ293" s="7"/>
    </row>
    <row r="294" spans="3:52" x14ac:dyDescent="0.3">
      <c r="C294" s="9"/>
      <c r="D294" s="9"/>
      <c r="E294" s="9"/>
      <c r="F294" s="7"/>
      <c r="G294" s="7"/>
      <c r="H294" s="7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F294" s="23"/>
      <c r="AG294" s="23"/>
      <c r="AH294" s="23"/>
      <c r="AI294" s="23"/>
      <c r="AJ294" s="9"/>
      <c r="AK294" s="9"/>
      <c r="AL294" s="9"/>
      <c r="AM294" s="9"/>
      <c r="AN294" s="9"/>
      <c r="AO294" s="9"/>
      <c r="AP294" s="9"/>
      <c r="AQ294" s="25"/>
      <c r="AY294" s="21"/>
      <c r="AZ294" s="7"/>
    </row>
    <row r="295" spans="3:52" x14ac:dyDescent="0.3">
      <c r="C295" s="9"/>
      <c r="D295" s="9"/>
      <c r="E295" s="9"/>
      <c r="F295" s="7"/>
      <c r="G295" s="7"/>
      <c r="H295" s="7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F295" s="23"/>
      <c r="AG295" s="23"/>
      <c r="AH295" s="23"/>
      <c r="AI295" s="23"/>
      <c r="AJ295" s="9"/>
      <c r="AK295" s="9"/>
      <c r="AL295" s="9"/>
      <c r="AM295" s="9"/>
      <c r="AN295" s="9"/>
      <c r="AO295" s="9"/>
      <c r="AP295" s="9"/>
      <c r="AQ295" s="25"/>
      <c r="AY295" s="21"/>
      <c r="AZ295" s="7"/>
    </row>
    <row r="296" spans="3:52" x14ac:dyDescent="0.3">
      <c r="C296" s="9"/>
      <c r="D296" s="9"/>
      <c r="E296" s="9"/>
      <c r="F296" s="7"/>
      <c r="G296" s="7"/>
      <c r="H296" s="7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F296" s="23"/>
      <c r="AG296" s="23"/>
      <c r="AH296" s="23"/>
      <c r="AI296" s="23"/>
      <c r="AJ296" s="9"/>
      <c r="AK296" s="9"/>
      <c r="AL296" s="9"/>
      <c r="AM296" s="9"/>
      <c r="AN296" s="9"/>
      <c r="AO296" s="9"/>
      <c r="AP296" s="9"/>
      <c r="AQ296" s="25"/>
      <c r="AY296" s="21"/>
      <c r="AZ296" s="7"/>
    </row>
    <row r="297" spans="3:52" x14ac:dyDescent="0.3">
      <c r="C297" s="9"/>
      <c r="D297" s="9"/>
      <c r="E297" s="9"/>
      <c r="F297" s="7"/>
      <c r="G297" s="7"/>
      <c r="H297" s="7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F297" s="23"/>
      <c r="AG297" s="23"/>
      <c r="AH297" s="23"/>
      <c r="AI297" s="23"/>
      <c r="AJ297" s="9"/>
      <c r="AK297" s="9"/>
      <c r="AL297" s="9"/>
      <c r="AM297" s="9"/>
      <c r="AN297" s="9"/>
      <c r="AO297" s="9"/>
      <c r="AP297" s="9"/>
      <c r="AQ297" s="25"/>
      <c r="AY297" s="21"/>
      <c r="AZ297" s="7"/>
    </row>
    <row r="298" spans="3:52" x14ac:dyDescent="0.3">
      <c r="C298" s="9"/>
      <c r="D298" s="9"/>
      <c r="E298" s="9"/>
      <c r="F298" s="7"/>
      <c r="G298" s="7"/>
      <c r="H298" s="7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F298" s="23"/>
      <c r="AG298" s="23"/>
      <c r="AH298" s="23"/>
      <c r="AI298" s="23"/>
      <c r="AJ298" s="9"/>
      <c r="AK298" s="9"/>
      <c r="AL298" s="9"/>
      <c r="AM298" s="9"/>
      <c r="AN298" s="9"/>
      <c r="AO298" s="9"/>
      <c r="AP298" s="9"/>
      <c r="AQ298" s="25"/>
      <c r="AY298" s="21"/>
      <c r="AZ298" s="7"/>
    </row>
    <row r="299" spans="3:52" x14ac:dyDescent="0.3">
      <c r="C299" s="9"/>
      <c r="D299" s="9"/>
      <c r="E299" s="9"/>
      <c r="F299" s="7"/>
      <c r="G299" s="7"/>
      <c r="H299" s="7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F299" s="23"/>
      <c r="AG299" s="23"/>
      <c r="AH299" s="23"/>
      <c r="AI299" s="23"/>
      <c r="AJ299" s="9"/>
      <c r="AK299" s="9"/>
      <c r="AL299" s="9"/>
      <c r="AM299" s="9"/>
      <c r="AN299" s="9"/>
      <c r="AO299" s="9"/>
      <c r="AP299" s="9"/>
      <c r="AQ299" s="25"/>
      <c r="AY299" s="21"/>
      <c r="AZ299" s="7"/>
    </row>
    <row r="300" spans="3:52" x14ac:dyDescent="0.3">
      <c r="C300" s="9"/>
      <c r="D300" s="9"/>
      <c r="E300" s="9"/>
      <c r="F300" s="7"/>
      <c r="G300" s="7"/>
      <c r="H300" s="7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F300" s="23"/>
      <c r="AG300" s="23"/>
      <c r="AH300" s="23"/>
      <c r="AI300" s="23"/>
      <c r="AJ300" s="9"/>
      <c r="AK300" s="9"/>
      <c r="AL300" s="9"/>
      <c r="AM300" s="9"/>
      <c r="AN300" s="9"/>
      <c r="AO300" s="9"/>
      <c r="AP300" s="9"/>
      <c r="AQ300" s="25"/>
      <c r="AY300" s="21"/>
      <c r="AZ300" s="7"/>
    </row>
    <row r="301" spans="3:52" x14ac:dyDescent="0.3">
      <c r="C301" s="9"/>
      <c r="D301" s="9"/>
      <c r="E301" s="9"/>
      <c r="F301" s="7"/>
      <c r="G301" s="7"/>
      <c r="H301" s="7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F301" s="23"/>
      <c r="AG301" s="23"/>
      <c r="AH301" s="23"/>
      <c r="AI301" s="23"/>
      <c r="AJ301" s="9"/>
      <c r="AK301" s="9"/>
      <c r="AL301" s="9"/>
      <c r="AM301" s="9"/>
      <c r="AN301" s="9"/>
      <c r="AO301" s="9"/>
      <c r="AP301" s="9"/>
      <c r="AQ301" s="25"/>
      <c r="AY301" s="21"/>
      <c r="AZ301" s="7"/>
    </row>
    <row r="302" spans="3:52" x14ac:dyDescent="0.3">
      <c r="C302" s="9"/>
      <c r="D302" s="9"/>
      <c r="E302" s="9"/>
      <c r="F302" s="7"/>
      <c r="G302" s="7"/>
      <c r="H302" s="7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F302" s="23"/>
      <c r="AG302" s="23"/>
      <c r="AH302" s="23"/>
      <c r="AI302" s="23"/>
      <c r="AJ302" s="9"/>
      <c r="AK302" s="9"/>
      <c r="AL302" s="9"/>
      <c r="AM302" s="9"/>
      <c r="AN302" s="9"/>
      <c r="AO302" s="9"/>
      <c r="AP302" s="9"/>
      <c r="AQ302" s="25"/>
      <c r="AY302" s="21"/>
      <c r="AZ302" s="7"/>
    </row>
    <row r="303" spans="3:52" x14ac:dyDescent="0.3">
      <c r="C303" s="9"/>
      <c r="D303" s="9"/>
      <c r="E303" s="9"/>
      <c r="F303" s="7"/>
      <c r="G303" s="7"/>
      <c r="H303" s="7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F303" s="23"/>
      <c r="AG303" s="23"/>
      <c r="AH303" s="23"/>
      <c r="AI303" s="23"/>
      <c r="AJ303" s="9"/>
      <c r="AK303" s="9"/>
      <c r="AL303" s="9"/>
      <c r="AM303" s="9"/>
      <c r="AN303" s="9"/>
      <c r="AO303" s="9"/>
      <c r="AP303" s="9"/>
      <c r="AQ303" s="25"/>
      <c r="AY303" s="21"/>
      <c r="AZ303" s="7"/>
    </row>
    <row r="304" spans="3:52" x14ac:dyDescent="0.3">
      <c r="C304" s="9"/>
      <c r="D304" s="9"/>
      <c r="E304" s="9"/>
      <c r="F304" s="7"/>
      <c r="G304" s="7"/>
      <c r="H304" s="7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F304" s="23"/>
      <c r="AG304" s="23"/>
      <c r="AH304" s="23"/>
      <c r="AI304" s="23"/>
      <c r="AJ304" s="9"/>
      <c r="AK304" s="9"/>
      <c r="AL304" s="9"/>
      <c r="AM304" s="9"/>
      <c r="AN304" s="9"/>
      <c r="AO304" s="9"/>
      <c r="AP304" s="9"/>
      <c r="AQ304" s="25"/>
      <c r="AY304" s="21"/>
      <c r="AZ304" s="7"/>
    </row>
    <row r="305" spans="6:6" x14ac:dyDescent="0.3">
      <c r="F30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topLeftCell="A187" zoomScaleNormal="100" workbookViewId="0">
      <selection activeCell="B4" sqref="B4:D204"/>
    </sheetView>
  </sheetViews>
  <sheetFormatPr defaultRowHeight="14.4" x14ac:dyDescent="0.3"/>
  <cols>
    <col min="2" max="2" width="11.109375" bestFit="1" customWidth="1"/>
    <col min="3" max="7" width="9.33203125" bestFit="1" customWidth="1"/>
    <col min="8" max="8" width="9.33203125" style="7" bestFit="1" customWidth="1"/>
    <col min="9" max="9" width="10.33203125" bestFit="1" customWidth="1"/>
    <col min="10" max="10" width="12.33203125" bestFit="1" customWidth="1"/>
    <col min="11" max="11" width="10.33203125" bestFit="1" customWidth="1"/>
    <col min="12" max="12" width="13.44140625" bestFit="1" customWidth="1"/>
    <col min="13" max="14" width="9.33203125" bestFit="1" customWidth="1"/>
    <col min="15" max="15" width="12.33203125" bestFit="1" customWidth="1"/>
    <col min="16" max="16" width="9.33203125" bestFit="1" customWidth="1"/>
    <col min="17" max="17" width="9.33203125" customWidth="1"/>
    <col min="18" max="18" width="9.33203125" style="23" customWidth="1"/>
    <col min="19" max="20" width="9.33203125" bestFit="1" customWidth="1"/>
    <col min="21" max="21" width="10.109375" bestFit="1" customWidth="1"/>
    <col min="22" max="22" width="9.33203125" bestFit="1" customWidth="1"/>
    <col min="23" max="23" width="10" bestFit="1" customWidth="1"/>
    <col min="24" max="24" width="13.33203125" customWidth="1"/>
    <col min="25" max="25" width="9.33203125" bestFit="1" customWidth="1"/>
    <col min="26" max="26" width="11.109375" bestFit="1" customWidth="1"/>
    <col min="27" max="27" width="9.33203125" bestFit="1" customWidth="1"/>
  </cols>
  <sheetData>
    <row r="1" spans="1:28" x14ac:dyDescent="0.3">
      <c r="A1" s="1" t="s">
        <v>199</v>
      </c>
      <c r="R1"/>
    </row>
    <row r="2" spans="1:28" s="2" customFormat="1" x14ac:dyDescent="0.3">
      <c r="B2" s="14"/>
      <c r="C2" s="14"/>
      <c r="D2" s="14"/>
      <c r="E2" s="27"/>
      <c r="F2" s="27"/>
      <c r="G2" s="27"/>
      <c r="H2" s="15"/>
    </row>
    <row r="3" spans="1:28" x14ac:dyDescent="0.3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t="s">
        <v>170</v>
      </c>
      <c r="L3" t="s">
        <v>171</v>
      </c>
      <c r="M3" t="s">
        <v>172</v>
      </c>
      <c r="N3" s="67" t="s">
        <v>173</v>
      </c>
      <c r="O3" t="s">
        <v>174</v>
      </c>
      <c r="P3" t="s">
        <v>177</v>
      </c>
      <c r="Q3" s="67" t="s">
        <v>178</v>
      </c>
      <c r="R3" s="67" t="s">
        <v>179</v>
      </c>
      <c r="S3" t="s">
        <v>180</v>
      </c>
      <c r="T3" t="s">
        <v>181</v>
      </c>
      <c r="U3" s="7" t="s">
        <v>182</v>
      </c>
      <c r="V3" s="67" t="s">
        <v>183</v>
      </c>
      <c r="W3" t="s">
        <v>184</v>
      </c>
      <c r="X3" t="s">
        <v>185</v>
      </c>
      <c r="Y3" t="s">
        <v>196</v>
      </c>
      <c r="Z3" t="s">
        <v>197</v>
      </c>
      <c r="AA3" t="s">
        <v>198</v>
      </c>
      <c r="AB3" t="s">
        <v>193</v>
      </c>
    </row>
    <row r="4" spans="1:28" x14ac:dyDescent="0.3">
      <c r="A4">
        <v>0</v>
      </c>
      <c r="B4" s="19">
        <v>5.1149915150295849E-2</v>
      </c>
      <c r="C4" s="45">
        <v>8.1950705841287927E-3</v>
      </c>
      <c r="D4" s="18">
        <v>0.29987339521323852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23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53.20000000000001</v>
      </c>
      <c r="L4" s="8">
        <f xml:space="preserve"> M4/Parameters!$B$45</f>
        <v>2300</v>
      </c>
      <c r="M4" s="7">
        <f>Parameters!B47</f>
        <v>1.38</v>
      </c>
      <c r="N4" s="7">
        <f>'6states'!O4</f>
        <v>0.98104277196026479</v>
      </c>
      <c r="O4" s="7">
        <f>Parameters!B62+(Parameters!B31-K4)*Parameters!B65</f>
        <v>49.999999999999993</v>
      </c>
      <c r="P4" s="7">
        <f>Parameters!B$61*EXP(-Parameters!B$60*A4)+(1-Parameters!B$61)*(O4/Parameters!B$62)^-Parameters!B$63</f>
        <v>1</v>
      </c>
      <c r="Q4" s="9">
        <f>1-P4/Parameters!$B$12</f>
        <v>0.5</v>
      </c>
      <c r="R4" s="23">
        <f>1/(1-Q4)</f>
        <v>2</v>
      </c>
      <c r="S4" s="7">
        <f>(Parameters!$B$19*(E4+Parameters!$B$20)^Q4+Parameters!$B$18*F4^Q4)^(1/Q4)</f>
        <v>0.55006250755068387</v>
      </c>
      <c r="T4" s="7">
        <f>(Parameters!$B$10*G4^Parameters!$B$9 + Parameters!$B$11*S4^Parameters!$B$9) ^ (Parameters!$B$7/Parameters!$B$9) * N4</f>
        <v>1.5023869881199998</v>
      </c>
      <c r="U4" s="7">
        <f>T4-B4-C4-D4</f>
        <v>1.1431686071723366</v>
      </c>
      <c r="V4" s="7">
        <f>EXP(-Parameters!$B$55*A4)</f>
        <v>1</v>
      </c>
      <c r="W4" s="7">
        <f>IF(U4&gt;0,U4^(1-Parameters!$B$52)/(1-Parameters!$B$52)*V4,-10+U4*1000)</f>
        <v>-2.7264237374399718</v>
      </c>
      <c r="X4" s="28">
        <f>SUM(W4:W353)*Parameters!$B$65</f>
        <v>-183.08580948318027</v>
      </c>
      <c r="Y4" s="7"/>
      <c r="Z4" s="7"/>
      <c r="AA4" s="7"/>
      <c r="AB4" s="13">
        <f>(B4+C4+D4)/T4</f>
        <v>0.23909843721235119</v>
      </c>
    </row>
    <row r="5" spans="1:28" x14ac:dyDescent="0.3">
      <c r="A5">
        <f>A4+Parameters!$B$65</f>
        <v>1</v>
      </c>
      <c r="B5" s="19">
        <v>5.2043239799206033E-2</v>
      </c>
      <c r="C5" s="45">
        <v>8.0002242542222459E-3</v>
      </c>
      <c r="D5" s="18">
        <v>0.29894404522721502</v>
      </c>
      <c r="E5" s="7">
        <f>MAX((1-Parameters!$B$4)^Parameters!B$65*E4+B4*Parameters!B$65-Parameters!$B$5*B4^2/E4*Parameters!B$65,0.0001)</f>
        <v>0.78893310074484468</v>
      </c>
      <c r="F5" s="9">
        <f>(1-Parameters!$B$4)^Parameters!B$65*F4+C4*Parameters!B$65-Parameters!$B$5*C4^2/F4*Parameters!B$65</f>
        <v>0.15070003198757148</v>
      </c>
      <c r="G5" s="7">
        <f>(1-Parameters!$B$4)^Parameters!B$65*G4+D4*Parameters!B$65-Parameters!$B$5*D4^2/G4*Parameters!B$65</f>
        <v>4.3555861990852582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23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53.569073607368281</v>
      </c>
      <c r="L5" s="8">
        <f>L4+K5*Parameters!B$65</f>
        <v>2353.5690736073684</v>
      </c>
      <c r="M5" s="7">
        <f>L5*Parameters!$B$45</f>
        <v>1.4121414441644209</v>
      </c>
      <c r="N5" s="7">
        <f>'6states'!O5</f>
        <v>0.98034918198039067</v>
      </c>
      <c r="O5" s="7">
        <f>MAX(O4+(Parameters!B$31-K5)*Parameters!B$65,30)</f>
        <v>49.630926392631714</v>
      </c>
      <c r="P5" s="7">
        <f>Parameters!B$61*EXP(-Parameters!B$60*A5)+(1-Parameters!B$61)*(O5/Parameters!B$62)^-Parameters!B$63</f>
        <v>0.98705120052481687</v>
      </c>
      <c r="Q5" s="9">
        <f>1-P5/Parameters!$B$12</f>
        <v>0.50647439973759156</v>
      </c>
      <c r="R5" s="23">
        <f t="shared" ref="R5:R68" si="0">1/(1-Q5)</f>
        <v>2.0262373410179699</v>
      </c>
      <c r="S5" s="7">
        <f>(Parameters!$B$19*(E5+Parameters!$B$20)^Q5+Parameters!$B$18*F5^Q5)^(1/Q5)</f>
        <v>0.54869104694277226</v>
      </c>
      <c r="T5" s="7">
        <f>(Parameters!$B$10*G5^Parameters!$B$9 + Parameters!$B$11*S5^Parameters!$B$9) ^ (Parameters!$B$7/Parameters!$B$9) * N5</f>
        <v>1.5015949193151041</v>
      </c>
      <c r="U5" s="7">
        <f t="shared" ref="U5:U68" si="1">T5-B5-C5-D5</f>
        <v>1.1426074100344608</v>
      </c>
      <c r="V5" s="7">
        <f>EXP(-Parameters!$B$55*A5)</f>
        <v>0.98501343333449787</v>
      </c>
      <c r="W5" s="7">
        <f>IF(U5&gt;0,U5^(1-Parameters!$B$52)/(1-Parameters!$B$52)*V5,-10+U5*1000)</f>
        <v>-2.6860255923657714</v>
      </c>
      <c r="X5" s="7"/>
      <c r="Y5" s="9">
        <f t="shared" ref="Y5:Y36" si="2">SUM(B4:B6)/3</f>
        <v>5.1982376285555042E-2</v>
      </c>
      <c r="Z5" s="9">
        <f t="shared" ref="Z5:Z36" si="3">SUM(C4:C6)/3</f>
        <v>7.9990837201913481E-3</v>
      </c>
      <c r="AA5" s="7">
        <f t="shared" ref="AA5:AA36" si="4">SUM(D4:D6)/3</f>
        <v>0.29901691067238795</v>
      </c>
      <c r="AB5" s="13">
        <f t="shared" ref="AB5:AB64" si="5">(B5+C5+D5)/T5</f>
        <v>0.23907080708849354</v>
      </c>
    </row>
    <row r="6" spans="1:28" x14ac:dyDescent="0.3">
      <c r="A6">
        <f>A5+Parameters!$B$65</f>
        <v>2</v>
      </c>
      <c r="B6" s="19">
        <v>5.2753973907163257E-2</v>
      </c>
      <c r="C6" s="45">
        <v>7.801956322223004E-3</v>
      </c>
      <c r="D6" s="18">
        <v>0.29823329157671025</v>
      </c>
      <c r="E6" s="7">
        <f>MAX((1-Parameters!$B$4)^Parameters!B$65*E5+B5*Parameters!B$65-Parameters!$B$5*B5^2/E5*Parameters!B$65,0.0001)</f>
        <v>0.78791933256081548</v>
      </c>
      <c r="F6" s="9">
        <f>(1-Parameters!$B$4)^Parameters!B$65*F5+C5*Parameters!B$65-Parameters!$B$5*C5^2/F5*Parameters!B$65</f>
        <v>0.14879651570600341</v>
      </c>
      <c r="G6" s="7">
        <f>(1-Parameters!$B$4)^Parameters!B$65*G5+D5*Parameters!B$65-Parameters!$B$5*D5^2/G5*Parameters!B$65</f>
        <v>4.3600459585910425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23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54.004968274513089</v>
      </c>
      <c r="L6" s="8">
        <f>L5+K6*Parameters!B$65</f>
        <v>2407.5740418818814</v>
      </c>
      <c r="M6" s="7">
        <f>M5+Parameters!$B$45*K6</f>
        <v>1.4445444251291288</v>
      </c>
      <c r="N6" s="7">
        <f>'6states'!O6</f>
        <v>0.97970493867942077</v>
      </c>
      <c r="O6" s="7">
        <f>MAX(O5+(Parameters!B$31-K6)*Parameters!B$65,30)</f>
        <v>48.825958118118628</v>
      </c>
      <c r="P6" s="7">
        <f>Parameters!B$61*EXP(-Parameters!B$60*A6)+(1-Parameters!B$61)*(O6/Parameters!B$62)^-Parameters!B$63</f>
        <v>0.97490551108818091</v>
      </c>
      <c r="Q6" s="9">
        <f>1-P6/Parameters!$B$12</f>
        <v>0.5125472444559096</v>
      </c>
      <c r="R6" s="23">
        <f t="shared" si="0"/>
        <v>2.0514808637891666</v>
      </c>
      <c r="S6" s="7">
        <f>(Parameters!$B$19*(E6+Parameters!$B$20)^Q6+Parameters!$B$18*F6^Q6)^(1/Q6)</f>
        <v>0.54775244244449561</v>
      </c>
      <c r="T6" s="7">
        <f>(Parameters!$B$10*G6^Parameters!$B$9 + Parameters!$B$11*S6^Parameters!$B$9) ^ (Parameters!$B$7/Parameters!$B$9) * N6</f>
        <v>1.5008437261687018</v>
      </c>
      <c r="U6" s="7">
        <f t="shared" si="1"/>
        <v>1.1420545043626054</v>
      </c>
      <c r="V6" s="7">
        <f>EXP(-Parameters!$B$55*A6)</f>
        <v>0.9702514638494153</v>
      </c>
      <c r="W6" s="7">
        <f>IF(U6&gt;0,U6^(1-Parameters!$B$52)/(1-Parameters!$B$52)*V6,-10+U6*1000)</f>
        <v>-2.6462195365694394</v>
      </c>
      <c r="X6" s="7"/>
      <c r="Y6" s="9">
        <f t="shared" si="2"/>
        <v>5.2708298895472037E-2</v>
      </c>
      <c r="Z6" s="9">
        <f t="shared" si="3"/>
        <v>7.8032078963224567E-3</v>
      </c>
      <c r="AA6" s="7">
        <f t="shared" si="4"/>
        <v>0.29827971647118612</v>
      </c>
      <c r="AB6" s="13">
        <f t="shared" si="5"/>
        <v>0.23905834801468662</v>
      </c>
    </row>
    <row r="7" spans="1:28" x14ac:dyDescent="0.3">
      <c r="A7">
        <f>A6+Parameters!$B$65</f>
        <v>3</v>
      </c>
      <c r="B7" s="19">
        <v>5.3327682980046809E-2</v>
      </c>
      <c r="C7" s="45">
        <v>7.6074431125221194E-3</v>
      </c>
      <c r="D7" s="18">
        <v>0.29766181260963304</v>
      </c>
      <c r="E7" s="7">
        <f>MAX((1-Parameters!$B$4)^Parameters!B$65*E6+B6*Parameters!B$65-Parameters!$B$5*B6^2/E6*Parameters!B$65,0.0001)</f>
        <v>0.78758111612809956</v>
      </c>
      <c r="F7" s="9">
        <f>(1-Parameters!$B$4)^Parameters!B$65*F6+C6*Parameters!B$65-Parameters!$B$5*C6^2/F6*Parameters!B$65</f>
        <v>0.1468300855194275</v>
      </c>
      <c r="G7" s="7">
        <f>(1-Parameters!$B$4)^Parameters!B$65*G6+D6*Parameters!B$65-Parameters!$B$5*D6^2/G6*Parameters!B$65</f>
        <v>4.3636327816960385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23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54.494739079231913</v>
      </c>
      <c r="L7" s="8">
        <f>L6+K7*Parameters!B$65</f>
        <v>2462.0687809611131</v>
      </c>
      <c r="M7" s="7">
        <f>M6+Parameters!$B$45*K7</f>
        <v>1.477241268576668</v>
      </c>
      <c r="N7" s="7">
        <f>'6states'!O7</f>
        <v>0.97909684677450015</v>
      </c>
      <c r="O7" s="7">
        <f>MAX(O6+(Parameters!B$31-K7)*Parameters!B$65,30)</f>
        <v>47.531219038886718</v>
      </c>
      <c r="P7" s="7">
        <f>Parameters!B$61*EXP(-Parameters!B$60*A7)+(1-Parameters!B$61)*(O7/Parameters!B$62)^-Parameters!B$63</f>
        <v>0.9636350800020167</v>
      </c>
      <c r="Q7" s="9">
        <f>1-P7/Parameters!$B$12</f>
        <v>0.51818245999899171</v>
      </c>
      <c r="R7" s="23">
        <f t="shared" si="0"/>
        <v>2.0754744627974882</v>
      </c>
      <c r="S7" s="7">
        <f>(Parameters!$B$19*(E7+Parameters!$B$20)^Q7+Parameters!$B$18*F7^Q7)^(1/Q7)</f>
        <v>0.54712187775693055</v>
      </c>
      <c r="T7" s="7">
        <f>(Parameters!$B$10*G7^Parameters!$B$9 + Parameters!$B$11*S7^Parameters!$B$9) ^ (Parameters!$B$7/Parameters!$B$9) * N7</f>
        <v>1.5001185447378107</v>
      </c>
      <c r="U7" s="7">
        <f t="shared" si="1"/>
        <v>1.1415216060356086</v>
      </c>
      <c r="V7" s="7">
        <f>EXP(-Parameters!$B$55*A7)</f>
        <v>0.95571072560413495</v>
      </c>
      <c r="W7" s="7">
        <f>IF(U7&gt;0,U7^(1-Parameters!$B$52)/(1-Parameters!$B$52)*V7,-10+U7*1000)</f>
        <v>-2.6069876153430993</v>
      </c>
      <c r="X7" s="7"/>
      <c r="Y7" s="9">
        <f t="shared" si="2"/>
        <v>5.3290662960875201E-2</v>
      </c>
      <c r="Z7" s="9">
        <f t="shared" si="3"/>
        <v>7.6100195261165132E-3</v>
      </c>
      <c r="AA7" s="7">
        <f t="shared" si="4"/>
        <v>0.29769335578211747</v>
      </c>
      <c r="AB7" s="13">
        <f t="shared" si="5"/>
        <v>0.23904573405888882</v>
      </c>
    </row>
    <row r="8" spans="1:28" x14ac:dyDescent="0.3">
      <c r="A8">
        <f>A7+Parameters!$B$65</f>
        <v>4</v>
      </c>
      <c r="B8" s="19">
        <v>5.3790331995415532E-2</v>
      </c>
      <c r="C8" s="45">
        <v>7.420659143604417E-3</v>
      </c>
      <c r="D8" s="18">
        <v>0.29718496316000909</v>
      </c>
      <c r="E8" s="7">
        <f>MAX((1-Parameters!$B$4)^Parameters!B$65*E7+B7*Parameters!B$65-Parameters!$B$5*B7^2/E7*Parameters!B$65,0.0001)</f>
        <v>0.78775909119145293</v>
      </c>
      <c r="F8" s="9">
        <f>(1-Parameters!$B$4)^Parameters!B$65*F7+C7*Parameters!B$65-Parameters!$B$5*C7^2/F7*Parameters!B$65</f>
        <v>0.14480776548656699</v>
      </c>
      <c r="G8" s="7">
        <f>(1-Parameters!$B$4)^Parameters!B$65*G7+D7*Parameters!B$65-Parameters!$B$5*D7^2/G7*Parameters!B$65</f>
        <v>4.3665173235540378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23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55.028653869263721</v>
      </c>
      <c r="L8" s="8">
        <f>L7+K8*Parameters!B$65</f>
        <v>2517.0974348303766</v>
      </c>
      <c r="M8" s="7">
        <f>M7+Parameters!$B$45*K8</f>
        <v>1.5102584608982264</v>
      </c>
      <c r="N8" s="7">
        <f>'6states'!O8</f>
        <v>0.9785060323575272</v>
      </c>
      <c r="O8" s="7">
        <f>MAX(O7+(Parameters!B$31-K8)*Parameters!B$65,30)</f>
        <v>45.702565169623</v>
      </c>
      <c r="P8" s="7">
        <f>Parameters!B$61*EXP(-Parameters!B$60*A8)+(1-Parameters!B$61)*(O8/Parameters!B$62)^-Parameters!B$63</f>
        <v>0.95332747866295287</v>
      </c>
      <c r="Q8" s="9">
        <f>1-P8/Parameters!$B$12</f>
        <v>0.52333626066852357</v>
      </c>
      <c r="R8" s="23">
        <f t="shared" si="0"/>
        <v>2.0979149817489908</v>
      </c>
      <c r="S8" s="7">
        <f>(Parameters!$B$19*(E8+Parameters!$B$20)^Q8+Parameters!$B$18*F8^Q8)^(1/Q8)</f>
        <v>0.5467063328588363</v>
      </c>
      <c r="T8" s="7">
        <f>(Parameters!$B$10*G8^Parameters!$B$9 + Parameters!$B$11*S8^Parameters!$B$9) ^ (Parameters!$B$7/Parameters!$B$9) * N8</f>
        <v>1.4993921867953959</v>
      </c>
      <c r="U8" s="7">
        <f t="shared" si="1"/>
        <v>1.1409962324963669</v>
      </c>
      <c r="V8" s="7">
        <f>EXP(-Parameters!$B$55*A8)</f>
        <v>0.94138790310193321</v>
      </c>
      <c r="W8" s="7">
        <f>IF(U8&gt;0,U8^(1-Parameters!$B$52)/(1-Parameters!$B$52)*V8,-10+U8*1000)</f>
        <v>-2.5683316003884951</v>
      </c>
      <c r="X8" s="7"/>
      <c r="Y8" s="9">
        <f t="shared" si="2"/>
        <v>5.3755839743633571E-2</v>
      </c>
      <c r="Z8" s="9">
        <f t="shared" si="3"/>
        <v>7.4235038845327575E-3</v>
      </c>
      <c r="AA8" s="7">
        <f t="shared" si="4"/>
        <v>0.29720949973368299</v>
      </c>
      <c r="AB8" s="13">
        <f t="shared" si="5"/>
        <v>0.23902749224338532</v>
      </c>
    </row>
    <row r="9" spans="1:28" x14ac:dyDescent="0.3">
      <c r="A9">
        <f>A8+Parameters!$B$65</f>
        <v>5</v>
      </c>
      <c r="B9" s="19">
        <v>5.4149504255438366E-2</v>
      </c>
      <c r="C9" s="45">
        <v>7.2424093974717378E-3</v>
      </c>
      <c r="D9" s="18">
        <v>0.29678172343140685</v>
      </c>
      <c r="E9" s="7">
        <f>MAX((1-Parameters!$B$4)^Parameters!B$65*E8+B8*Parameters!B$65-Parameters!$B$5*B8^2/E8*Parameters!B$65,0.0001)</f>
        <v>0.78832642627198646</v>
      </c>
      <c r="F9" s="9">
        <f>(1-Parameters!$B$4)^Parameters!B$65*F8+C8*Parameters!B$65-Parameters!$B$5*C8^2/F8*Parameters!B$65</f>
        <v>0.14273974526161304</v>
      </c>
      <c r="G9" s="7">
        <f>(1-Parameters!$B$4)^Parameters!B$65*G8+D8*Parameters!B$65-Parameters!$B$5*D8^2/G8*Parameters!B$65</f>
        <v>4.3688219524820848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23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55.598890892336911</v>
      </c>
      <c r="L9" s="8">
        <f>L8+K9*Parameters!B$65</f>
        <v>2572.6963257227135</v>
      </c>
      <c r="M9" s="7">
        <f>M8+Parameters!$B$45*K9</f>
        <v>1.5436177954336285</v>
      </c>
      <c r="N9" s="7">
        <f>'6states'!O9</f>
        <v>0.97793074740096342</v>
      </c>
      <c r="O9" s="7">
        <f>MAX(O8+(Parameters!B$31-K9)*Parameters!B$65,30)</f>
        <v>43.303674277286092</v>
      </c>
      <c r="P9" s="7">
        <f>Parameters!B$61*EXP(-Parameters!B$60*A9)+(1-Parameters!B$61)*(O9/Parameters!B$62)^-Parameters!B$63</f>
        <v>0.94409916603317812</v>
      </c>
      <c r="Q9" s="9">
        <f>1-P9/Parameters!$B$12</f>
        <v>0.52795041698341094</v>
      </c>
      <c r="R9" s="23">
        <f t="shared" si="0"/>
        <v>2.1184215302333134</v>
      </c>
      <c r="S9" s="7">
        <f>(Parameters!$B$19*(E9+Parameters!$B$20)^Q9+Parameters!$B$18*F9^Q9)^(1/Q9)</f>
        <v>0.54643025797229272</v>
      </c>
      <c r="T9" s="7">
        <f>(Parameters!$B$10*G9^Parameters!$B$9 + Parameters!$B$11*S9^Parameters!$B$9) ^ (Parameters!$B$7/Parameters!$B$9) * N9</f>
        <v>1.4986615226120277</v>
      </c>
      <c r="U9" s="7">
        <f t="shared" si="1"/>
        <v>1.140487885527711</v>
      </c>
      <c r="V9" s="7">
        <f>EXP(-Parameters!$B$55*A9)</f>
        <v>0.92727973053399881</v>
      </c>
      <c r="W9" s="7">
        <f>IF(U9&gt;0,U9^(1-Parameters!$B$52)/(1-Parameters!$B$52)*V9,-10+U9*1000)</f>
        <v>-2.530235737518618</v>
      </c>
      <c r="X9" s="7"/>
      <c r="Y9" s="9">
        <f t="shared" si="2"/>
        <v>5.4110893733099276E-2</v>
      </c>
      <c r="Z9" s="9">
        <f t="shared" si="3"/>
        <v>7.2444321271830777E-3</v>
      </c>
      <c r="AA9" s="7">
        <f t="shared" si="4"/>
        <v>0.29680616341449362</v>
      </c>
      <c r="AB9" s="13">
        <f t="shared" si="5"/>
        <v>0.23899568493628473</v>
      </c>
    </row>
    <row r="10" spans="1:28" x14ac:dyDescent="0.3">
      <c r="A10">
        <f>A9+Parameters!$B$65</f>
        <v>6</v>
      </c>
      <c r="B10" s="19">
        <v>5.439284494844393E-2</v>
      </c>
      <c r="C10" s="45">
        <v>7.0702278404730784E-3</v>
      </c>
      <c r="D10" s="18">
        <v>0.29645180365206492</v>
      </c>
      <c r="E10" s="7">
        <f>MAX((1-Parameters!$B$4)^Parameters!B$65*E9+B9*Parameters!B$65-Parameters!$B$5*B9^2/E9*Parameters!B$65,0.0001)</f>
        <v>0.78917071268892314</v>
      </c>
      <c r="F10" s="9">
        <f>(1-Parameters!$B$4)^Parameters!B$65*F9+C9*Parameters!B$65-Parameters!$B$5*C9^2/F9*Parameters!B$65</f>
        <v>0.14063635524476659</v>
      </c>
      <c r="G10" s="7">
        <f>(1-Parameters!$B$4)^Parameters!B$65*G9+D9*Parameters!B$65-Parameters!$B$5*D9^2/G9*Parameters!B$65</f>
        <v>4.3706438730741048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23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56.198343881306798</v>
      </c>
      <c r="L10" s="8">
        <f>L9+K10*Parameters!B$65</f>
        <v>2628.8946696040202</v>
      </c>
      <c r="M10" s="7">
        <f>M9+Parameters!$B$45*K10</f>
        <v>1.5773368017624125</v>
      </c>
      <c r="N10" s="7">
        <f>'6states'!O10</f>
        <v>0.97738495858521579</v>
      </c>
      <c r="O10" s="7">
        <f>MAX(O9+(Parameters!B$31-K10)*Parameters!B$65,30)</f>
        <v>40.305330395979297</v>
      </c>
      <c r="P10" s="7">
        <f>Parameters!B$61*EXP(-Parameters!B$60*A10)+(1-Parameters!B$61)*(O10/Parameters!B$62)^-Parameters!B$63</f>
        <v>0.93611454804832261</v>
      </c>
      <c r="Q10" s="9">
        <f>1-P10/Parameters!$B$12</f>
        <v>0.53194272597583869</v>
      </c>
      <c r="R10" s="23">
        <f t="shared" si="0"/>
        <v>2.1364906721829509</v>
      </c>
      <c r="S10" s="7">
        <f>(Parameters!$B$19*(E10+Parameters!$B$20)^Q10+Parameters!$B$18*F10^Q10)^(1/Q10)</f>
        <v>0.54622227582200555</v>
      </c>
      <c r="T10" s="7">
        <f>(Parameters!$B$10*G10^Parameters!$B$9 + Parameters!$B$11*S10^Parameters!$B$9) ^ (Parameters!$B$7/Parameters!$B$9) * N10</f>
        <v>1.4979456033661662</v>
      </c>
      <c r="U10" s="7">
        <f t="shared" si="1"/>
        <v>1.1400307269251844</v>
      </c>
      <c r="V10" s="7">
        <f>EXP(-Parameters!$B$55*A10)</f>
        <v>0.91338299103478215</v>
      </c>
      <c r="W10" s="7">
        <f>IF(U10&gt;0,U10^(1-Parameters!$B$52)/(1-Parameters!$B$52)*V10,-10+U10*1000)</f>
        <v>-2.4926659467638395</v>
      </c>
      <c r="X10" s="7"/>
      <c r="Y10" s="9">
        <f t="shared" si="2"/>
        <v>5.4341572794550548E-2</v>
      </c>
      <c r="Z10" s="9">
        <f t="shared" si="3"/>
        <v>7.0700177079082924E-3</v>
      </c>
      <c r="AA10" s="7">
        <f t="shared" si="4"/>
        <v>0.29648539185810896</v>
      </c>
      <c r="AB10" s="13">
        <f t="shared" si="5"/>
        <v>0.2389371654328967</v>
      </c>
    </row>
    <row r="11" spans="1:28" x14ac:dyDescent="0.3">
      <c r="A11">
        <f>A10+Parameters!$B$65</f>
        <v>7</v>
      </c>
      <c r="B11" s="19">
        <v>5.4482369179769355E-2</v>
      </c>
      <c r="C11" s="45">
        <v>6.8974158857800592E-3</v>
      </c>
      <c r="D11" s="18">
        <v>0.29622264849085511</v>
      </c>
      <c r="E11" s="7">
        <f>MAX((1-Parameters!$B$4)^Parameters!B$65*E10+B10*Parameters!B$65-Parameters!$B$5*B10^2/E10*Parameters!B$65,0.0001)</f>
        <v>0.79017574441770577</v>
      </c>
      <c r="F11" s="9">
        <f>(1-Parameters!$B$4)^Parameters!B$65*F10+C10*Parameters!B$65-Parameters!$B$5*C10^2/F10*Parameters!B$65</f>
        <v>0.13850511395399073</v>
      </c>
      <c r="G11" s="7">
        <f>(1-Parameters!$B$4)^Parameters!B$65*G10+D10*Parameters!B$65-Parameters!$B$5*D10^2/G10*Parameters!B$65</f>
        <v>4.3720744597023158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23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56.819348484400194</v>
      </c>
      <c r="L11" s="8">
        <f>L10+K11*Parameters!B$65</f>
        <v>2685.7140180884203</v>
      </c>
      <c r="M11" s="7">
        <f>M10+Parameters!$B$45*K11</f>
        <v>1.6114284108530526</v>
      </c>
      <c r="N11" s="7">
        <f>'6states'!O11</f>
        <v>0.97686742238389623</v>
      </c>
      <c r="O11" s="7">
        <f>MAX(O10+(Parameters!B$31-K11)*Parameters!B$65,30)</f>
        <v>36.685981911579105</v>
      </c>
      <c r="P11" s="7">
        <f>Parameters!B$61*EXP(-Parameters!B$60*A11)+(1-Parameters!B$61)*(O11/Parameters!B$62)^-Parameters!B$63</f>
        <v>0.92961683484914404</v>
      </c>
      <c r="Q11" s="9">
        <f>1-P11/Parameters!$B$12</f>
        <v>0.53519158257542798</v>
      </c>
      <c r="R11" s="23">
        <f t="shared" si="0"/>
        <v>2.1514240330259886</v>
      </c>
      <c r="S11" s="7">
        <f>(Parameters!$B$19*(E11+Parameters!$B$20)^Q11+Parameters!$B$18*F11^Q11)^(1/Q11)</f>
        <v>0.54600087347254223</v>
      </c>
      <c r="T11" s="7">
        <f>(Parameters!$B$10*G11^Parameters!$B$9 + Parameters!$B$11*S11^Parameters!$B$9) ^ (Parameters!$B$7/Parameters!$B$9) * N11</f>
        <v>1.4972378717010333</v>
      </c>
      <c r="U11" s="7">
        <f t="shared" si="1"/>
        <v>1.1396354381446288</v>
      </c>
      <c r="V11" s="7">
        <f>EXP(-Parameters!$B$55*A11)</f>
        <v>0.89969451594850369</v>
      </c>
      <c r="W11" s="7">
        <f>IF(U11&gt;0,U11^(1-Parameters!$B$52)/(1-Parameters!$B$52)*V11,-10+U11*1000)</f>
        <v>-2.4556074819080225</v>
      </c>
      <c r="X11" s="7"/>
      <c r="Y11" s="9">
        <f t="shared" si="2"/>
        <v>5.4408164753638612E-2</v>
      </c>
      <c r="Z11" s="9">
        <f t="shared" si="3"/>
        <v>6.8946649773232518E-3</v>
      </c>
      <c r="AA11" s="7">
        <f t="shared" si="4"/>
        <v>0.2962754641138341</v>
      </c>
      <c r="AB11" s="13">
        <f t="shared" si="5"/>
        <v>0.23884142948516746</v>
      </c>
    </row>
    <row r="12" spans="1:28" x14ac:dyDescent="0.3">
      <c r="A12">
        <f>A11+Parameters!$B$65</f>
        <v>8</v>
      </c>
      <c r="B12" s="19">
        <v>5.4349280132702564E-2</v>
      </c>
      <c r="C12" s="45">
        <v>6.716351205716618E-3</v>
      </c>
      <c r="D12" s="18">
        <v>0.29615194019858232</v>
      </c>
      <c r="E12" s="7">
        <f>MAX((1-Parameters!$B$4)^Parameters!B$65*E11+B11*Parameters!B$65-Parameters!$B$5*B11^2/E11*Parameters!B$65,0.0001)</f>
        <v>0.79119951704560876</v>
      </c>
      <c r="F12" s="9">
        <f>(1-Parameters!$B$4)^Parameters!B$65*F11+C11*Parameters!B$65-Parameters!$B$5*C11^2/F11*Parameters!B$65</f>
        <v>0.13634707377251246</v>
      </c>
      <c r="G12" s="7">
        <f>(1-Parameters!$B$4)^Parameters!B$65*G11+D11*Parameters!B$65-Parameters!$B$5*D11^2/G11*Parameters!B$65</f>
        <v>4.3732235507832913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23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57.452059049335254</v>
      </c>
      <c r="L12" s="8">
        <f>L11+K12*Parameters!B$65</f>
        <v>2743.1660771377556</v>
      </c>
      <c r="M12" s="7">
        <f>M11+Parameters!$B$45*K12</f>
        <v>1.6458996462826536</v>
      </c>
      <c r="N12" s="7">
        <f>'6states'!O12</f>
        <v>0.97636030885549907</v>
      </c>
      <c r="O12" s="7">
        <f>MAX(O11+(Parameters!B$31-K12)*Parameters!B$65,30)</f>
        <v>32.433922862243854</v>
      </c>
      <c r="P12" s="7">
        <f>Parameters!B$61*EXP(-Parameters!B$60*A12)+(1-Parameters!B$61)*(O12/Parameters!B$62)^-Parameters!B$63</f>
        <v>0.92498371664417078</v>
      </c>
      <c r="Q12" s="9">
        <f>1-P12/Parameters!$B$12</f>
        <v>0.53750814167791461</v>
      </c>
      <c r="R12" s="23">
        <f t="shared" si="0"/>
        <v>2.1622002247304142</v>
      </c>
      <c r="S12" s="7">
        <f>(Parameters!$B$19*(E12+Parameters!$B$20)^Q12+Parameters!$B$18*F12^Q12)^(1/Q12)</f>
        <v>0.54565561118358041</v>
      </c>
      <c r="T12" s="7">
        <f>(Parameters!$B$10*G12^Parameters!$B$9 + Parameters!$B$11*S12^Parameters!$B$9) ^ (Parameters!$B$7/Parameters!$B$9) * N12</f>
        <v>1.4965032278016455</v>
      </c>
      <c r="U12" s="7">
        <f t="shared" si="1"/>
        <v>1.1392856562646438</v>
      </c>
      <c r="V12" s="7">
        <f>EXP(-Parameters!$B$55*A12)</f>
        <v>0.88621118410665478</v>
      </c>
      <c r="W12" s="7">
        <f>IF(U12&gt;0,U12^(1-Parameters!$B$52)/(1-Parameters!$B$52)*V12,-10+U12*1000)</f>
        <v>-2.4190662472298454</v>
      </c>
      <c r="X12" s="7"/>
      <c r="Y12" s="9">
        <f t="shared" si="2"/>
        <v>5.4369526977032658E-2</v>
      </c>
      <c r="Z12" s="9">
        <f t="shared" si="3"/>
        <v>6.7220944343966771E-3</v>
      </c>
      <c r="AA12" s="7">
        <f t="shared" si="4"/>
        <v>0.29614779742645703</v>
      </c>
      <c r="AB12" s="13">
        <f t="shared" si="5"/>
        <v>0.23870150421376107</v>
      </c>
    </row>
    <row r="13" spans="1:28" x14ac:dyDescent="0.3">
      <c r="A13">
        <f>A12+Parameters!$B$65</f>
        <v>9</v>
      </c>
      <c r="B13" s="19">
        <v>5.4276931618626081E-2</v>
      </c>
      <c r="C13" s="45">
        <v>6.5525162116933551E-3</v>
      </c>
      <c r="D13" s="18">
        <v>0.2960688035899337</v>
      </c>
      <c r="E13" s="7">
        <f>MAX((1-Parameters!$B$4)^Parameters!B$65*E12+B12*Parameters!B$65-Parameters!$B$5*B12^2/E12*Parameters!B$65,0.0001)</f>
        <v>0.79204897286707188</v>
      </c>
      <c r="F13" s="9">
        <f>(1-Parameters!$B$4)^Parameters!B$65*F12+C12*Parameters!B$65-Parameters!$B$5*C12^2/F12*Parameters!B$65</f>
        <v>0.13415635178169869</v>
      </c>
      <c r="G13" s="7">
        <f>(1-Parameters!$B$4)^Parameters!B$65*G12+D12*Parameters!B$65-Parameters!$B$5*D12^2/G12*Parameters!B$65</f>
        <v>4.3742445070621034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23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58.082491085829297</v>
      </c>
      <c r="L13" s="8">
        <f>L12+K13*Parameters!B$65</f>
        <v>2801.2485682235847</v>
      </c>
      <c r="M13" s="7">
        <f>M12+Parameters!$B$45*K13</f>
        <v>1.6807491409341513</v>
      </c>
      <c r="N13" s="7">
        <f>'6states'!O13</f>
        <v>0.97586282908784605</v>
      </c>
      <c r="O13" s="7">
        <f>MAX(O12+(Parameters!B$31-K13)*Parameters!B$65,30)</f>
        <v>30</v>
      </c>
      <c r="P13" s="7">
        <f>Parameters!B$61*EXP(-Parameters!B$60*A13)+(1-Parameters!B$61)*(O13/Parameters!B$62)^-Parameters!B$63</f>
        <v>0.91834064646024083</v>
      </c>
      <c r="Q13" s="9">
        <f>1-P13/Parameters!$B$12</f>
        <v>0.54082967676987959</v>
      </c>
      <c r="R13" s="23">
        <f t="shared" si="0"/>
        <v>2.177841096012719</v>
      </c>
      <c r="S13" s="7">
        <f>(Parameters!$B$19*(E13+Parameters!$B$20)^Q13+Parameters!$B$18*F13^Q13)^(1/Q13)</f>
        <v>0.54532219513282632</v>
      </c>
      <c r="T13" s="7">
        <f>(Parameters!$B$10*G13^Parameters!$B$9 + Parameters!$B$11*S13^Parameters!$B$9) ^ (Parameters!$B$7/Parameters!$B$9) * N13</f>
        <v>1.4957741954162855</v>
      </c>
      <c r="U13" s="7">
        <f t="shared" si="1"/>
        <v>1.1388759439960325</v>
      </c>
      <c r="V13" s="7">
        <f>EXP(-Parameters!$B$55*A13)</f>
        <v>0.87292992111632683</v>
      </c>
      <c r="W13" s="7">
        <f>IF(U13&gt;0,U13^(1-Parameters!$B$52)/(1-Parameters!$B$52)*V13,-10+U13*1000)</f>
        <v>-2.3831127416924445</v>
      </c>
      <c r="X13" s="7"/>
      <c r="Y13" s="9">
        <f t="shared" si="2"/>
        <v>5.4289155085419705E-2</v>
      </c>
      <c r="Z13" s="9">
        <f t="shared" si="3"/>
        <v>6.5567234542599105E-3</v>
      </c>
      <c r="AA13" s="7">
        <f t="shared" si="4"/>
        <v>0.29605803630298261</v>
      </c>
      <c r="AB13" s="13">
        <f t="shared" si="5"/>
        <v>0.2386043645584657</v>
      </c>
    </row>
    <row r="14" spans="1:28" x14ac:dyDescent="0.3">
      <c r="A14">
        <f>A13+Parameters!$B$65</f>
        <v>10</v>
      </c>
      <c r="B14" s="19">
        <v>5.4241253504930489E-2</v>
      </c>
      <c r="C14" s="45">
        <v>6.4013029453697566E-3</v>
      </c>
      <c r="D14" s="18">
        <v>0.29595336512043185</v>
      </c>
      <c r="E14" s="7">
        <f>MAX((1-Parameters!$B$4)^Parameters!B$65*E13+B13*Parameters!B$65-Parameters!$B$5*B13^2/E13*Parameters!B$65,0.0001)</f>
        <v>0.79278657566574362</v>
      </c>
      <c r="F14" s="9">
        <f>(1-Parameters!$B$4)^Parameters!B$65*F13+C13*Parameters!B$65-Parameters!$B$5*C13^2/F13*Parameters!B$65</f>
        <v>0.13195039294543631</v>
      </c>
      <c r="G14" s="7">
        <f>(1-Parameters!$B$4)^Parameters!B$65*G13+D13*Parameters!B$65-Parameters!$B$5*D13^2/G13*Parameters!B$65</f>
        <v>4.3751340452153897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23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58.71502423928866</v>
      </c>
      <c r="L14" s="8">
        <f>L13+K14*Parameters!B$65</f>
        <v>2859.9635924628733</v>
      </c>
      <c r="M14" s="7">
        <f>M13+Parameters!$B$45*K14</f>
        <v>1.7159781554777245</v>
      </c>
      <c r="N14" s="7">
        <f>'6states'!O14</f>
        <v>0.9753745118124546</v>
      </c>
      <c r="O14" s="7">
        <f>MAX(O13+(Parameters!B$31-K14)*Parameters!B$65,30)</f>
        <v>30</v>
      </c>
      <c r="P14" s="7">
        <f>Parameters!B$61*EXP(-Parameters!B$60*A14)+(1-Parameters!B$61)*(O14/Parameters!B$62)^-Parameters!B$63</f>
        <v>0.90789463674288928</v>
      </c>
      <c r="Q14" s="9">
        <f>1-P14/Parameters!$B$12</f>
        <v>0.54605268162855536</v>
      </c>
      <c r="R14" s="23">
        <f t="shared" si="0"/>
        <v>2.2028987936035014</v>
      </c>
      <c r="S14" s="7">
        <f>(Parameters!$B$19*(E14+Parameters!$B$20)^Q14+Parameters!$B$18*F14^Q14)^(1/Q14)</f>
        <v>0.5451720342651809</v>
      </c>
      <c r="T14" s="7">
        <f>(Parameters!$B$10*G14^Parameters!$B$9 + Parameters!$B$11*S14^Parameters!$B$9) ^ (Parameters!$B$7/Parameters!$B$9) * N14</f>
        <v>1.4950764526713785</v>
      </c>
      <c r="U14" s="7">
        <f t="shared" si="1"/>
        <v>1.1384805311006463</v>
      </c>
      <c r="V14" s="7">
        <f>EXP(-Parameters!$B$55*A14)</f>
        <v>0.85984769865920552</v>
      </c>
      <c r="W14" s="7">
        <f>IF(U14&gt;0,U14^(1-Parameters!$B$52)/(1-Parameters!$B$52)*V14,-10+U14*1000)</f>
        <v>-2.3476833829133827</v>
      </c>
      <c r="X14" s="7"/>
      <c r="Y14" s="9">
        <f t="shared" si="2"/>
        <v>5.4248911651725788E-2</v>
      </c>
      <c r="Z14" s="9">
        <f t="shared" si="3"/>
        <v>6.4047732048393771E-3</v>
      </c>
      <c r="AA14" s="7">
        <f t="shared" si="4"/>
        <v>0.29594746654925408</v>
      </c>
      <c r="AB14" s="13">
        <f t="shared" si="5"/>
        <v>0.23851350272661459</v>
      </c>
    </row>
    <row r="15" spans="1:28" x14ac:dyDescent="0.3">
      <c r="A15">
        <f>A14+Parameters!$B$65</f>
        <v>11</v>
      </c>
      <c r="B15" s="19">
        <v>5.4228549831620794E-2</v>
      </c>
      <c r="C15" s="45">
        <v>6.2605004574550196E-3</v>
      </c>
      <c r="D15" s="18">
        <v>0.29582023093739679</v>
      </c>
      <c r="E15" s="7">
        <f>MAX((1-Parameters!$B$4)^Parameters!B$65*E14+B14*Parameters!B$65-Parameters!$B$5*B14^2/E14*Parameters!B$65,0.0001)</f>
        <v>0.79345044937248799</v>
      </c>
      <c r="F15" s="9">
        <f>(1-Parameters!$B$4)^Parameters!B$65*F14+C14*Parameters!B$65-Parameters!$B$5*C14^2/F14*Parameters!B$65</f>
        <v>0.12974147007851139</v>
      </c>
      <c r="G15" s="7">
        <f>(1-Parameters!$B$4)^Parameters!B$65*G14+D14*Parameters!B$65-Parameters!$B$5*D14^2/G14*Parameters!B$65</f>
        <v>4.3758718878527523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23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59.352392455391097</v>
      </c>
      <c r="L15" s="8">
        <f>L14+K15*Parameters!B$65</f>
        <v>2919.3159849182643</v>
      </c>
      <c r="M15" s="7">
        <f>M14+Parameters!$B$45*K15</f>
        <v>1.7515895909509591</v>
      </c>
      <c r="N15" s="7">
        <f>'6states'!O15</f>
        <v>0.9748947666730019</v>
      </c>
      <c r="O15" s="7">
        <f>MAX(O14+(Parameters!B$31-K15)*Parameters!B$65,30)</f>
        <v>30</v>
      </c>
      <c r="P15" s="7">
        <f>Parameters!B$61*EXP(-Parameters!B$60*A15)+(1-Parameters!B$61)*(O15/Parameters!B$62)^-Parameters!B$63</f>
        <v>0.89772689575543252</v>
      </c>
      <c r="Q15" s="9">
        <f>1-P15/Parameters!$B$12</f>
        <v>0.55113655212228374</v>
      </c>
      <c r="R15" s="23">
        <f t="shared" si="0"/>
        <v>2.227849036779733</v>
      </c>
      <c r="S15" s="7">
        <f>(Parameters!$B$19*(E15+Parameters!$B$20)^Q15+Parameters!$B$18*F15^Q15)^(1/Q15)</f>
        <v>0.54496679476537091</v>
      </c>
      <c r="T15" s="7">
        <f>(Parameters!$B$10*G15^Parameters!$B$9 + Parameters!$B$11*S15^Parameters!$B$9) ^ (Parameters!$B$7/Parameters!$B$9) * N15</f>
        <v>1.4943705521183219</v>
      </c>
      <c r="U15" s="7">
        <f t="shared" si="1"/>
        <v>1.1380612708918494</v>
      </c>
      <c r="V15" s="7">
        <f>EXP(-Parameters!$B$55*A15)</f>
        <v>0.84696153380107075</v>
      </c>
      <c r="W15" s="7">
        <f>IF(U15&gt;0,U15^(1-Parameters!$B$52)/(1-Parameters!$B$52)*V15,-10+U15*1000)</f>
        <v>-2.3127978062885202</v>
      </c>
      <c r="X15" s="7"/>
      <c r="Y15" s="9">
        <f t="shared" si="2"/>
        <v>5.4233195343926288E-2</v>
      </c>
      <c r="Z15" s="9">
        <f t="shared" si="3"/>
        <v>6.2634548201380745E-3</v>
      </c>
      <c r="AA15" s="7">
        <f t="shared" si="4"/>
        <v>0.29581783196178241</v>
      </c>
      <c r="AB15" s="13">
        <f t="shared" si="5"/>
        <v>0.23843435667371246</v>
      </c>
    </row>
    <row r="16" spans="1:28" x14ac:dyDescent="0.3">
      <c r="A16">
        <f>A15+Parameters!$B$65</f>
        <v>12</v>
      </c>
      <c r="B16" s="19">
        <v>5.4229782695227588E-2</v>
      </c>
      <c r="C16" s="45">
        <v>6.1285610575894482E-3</v>
      </c>
      <c r="D16" s="18">
        <v>0.29567989982751852</v>
      </c>
      <c r="E16" s="7">
        <f>MAX((1-Parameters!$B$4)^Parameters!B$65*E15+B15*Parameters!B$65-Parameters!$B$5*B15^2/E15*Parameters!B$65,0.0001)</f>
        <v>0.79406470347547742</v>
      </c>
      <c r="F16" s="9">
        <f>(1-Parameters!$B$4)^Parameters!B$65*F15+C15*Parameters!B$65-Parameters!$B$5*C15^2/F15*Parameters!B$65</f>
        <v>0.12753914002333272</v>
      </c>
      <c r="G16" s="7">
        <f>(1-Parameters!$B$4)^Parameters!B$65*G15+D15*Parameters!B$65-Parameters!$B$5*D15^2/G15*Parameters!B$65</f>
        <v>4.3764515661105738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23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59.996379652898682</v>
      </c>
      <c r="L16" s="8">
        <f>L15+K16*Parameters!B$65</f>
        <v>2979.312364571163</v>
      </c>
      <c r="M16" s="7">
        <f>M15+Parameters!$B$45*K16</f>
        <v>1.7875874187426983</v>
      </c>
      <c r="N16" s="7">
        <f>'6states'!O16</f>
        <v>0.97442318690237895</v>
      </c>
      <c r="O16" s="7">
        <f>MAX(O15+(Parameters!B$31-K16)*Parameters!B$65,30)</f>
        <v>30</v>
      </c>
      <c r="P16" s="7">
        <f>Parameters!B$61*EXP(-Parameters!B$60*A16)+(1-Parameters!B$61)*(O16/Parameters!B$62)^-Parameters!B$63</f>
        <v>0.88783001076438384</v>
      </c>
      <c r="Q16" s="9">
        <f>1-P16/Parameters!$B$12</f>
        <v>0.55608499461780814</v>
      </c>
      <c r="R16" s="23">
        <f t="shared" si="0"/>
        <v>2.2526834819179915</v>
      </c>
      <c r="S16" s="7">
        <f>(Parameters!$B$19*(E16+Parameters!$B$20)^Q16+Parameters!$B$18*F16^Q16)^(1/Q16)</f>
        <v>0.54472592567036071</v>
      </c>
      <c r="T16" s="7">
        <f>(Parameters!$B$10*G16^Parameters!$B$9 + Parameters!$B$11*S16^Parameters!$B$9) ^ (Parameters!$B$7/Parameters!$B$9) * N16</f>
        <v>1.4936583594856396</v>
      </c>
      <c r="U16" s="7">
        <f t="shared" si="1"/>
        <v>1.1376201159053041</v>
      </c>
      <c r="V16" s="7">
        <f>EXP(-Parameters!$B$55*A16)</f>
        <v>0.83426848831164502</v>
      </c>
      <c r="W16" s="7">
        <f>IF(U16&gt;0,U16^(1-Parameters!$B$52)/(1-Parameters!$B$52)*V16,-10+U16*1000)</f>
        <v>-2.2784460704639256</v>
      </c>
      <c r="X16" s="7"/>
      <c r="Y16" s="9">
        <f t="shared" si="2"/>
        <v>5.4232928455253231E-2</v>
      </c>
      <c r="Z16" s="9">
        <f t="shared" si="3"/>
        <v>6.1311927099935619E-3</v>
      </c>
      <c r="AA16" s="7">
        <f t="shared" si="4"/>
        <v>0.29567951463184389</v>
      </c>
      <c r="AB16" s="13">
        <f t="shared" si="5"/>
        <v>0.23836658585229747</v>
      </c>
    </row>
    <row r="17" spans="1:28" x14ac:dyDescent="0.3">
      <c r="A17">
        <f>A16+Parameters!$B$65</f>
        <v>13</v>
      </c>
      <c r="B17" s="19">
        <v>5.4240452838911296E-2</v>
      </c>
      <c r="C17" s="45">
        <v>6.0045166149362188E-3</v>
      </c>
      <c r="D17" s="18">
        <v>0.29553841313061635</v>
      </c>
      <c r="E17" s="7">
        <f>MAX((1-Parameters!$B$4)^Parameters!B$65*E16+B16*Parameters!B$65-Parameters!$B$5*B16^2/E16*Parameters!B$65,0.0001)</f>
        <v>0.79464425247106629</v>
      </c>
      <c r="F17" s="9">
        <f>(1-Parameters!$B$4)^Parameters!B$65*F16+C16*Parameters!B$65-Parameters!$B$5*C16^2/F16*Parameters!B$65</f>
        <v>0.12535099714042272</v>
      </c>
      <c r="G17" s="7">
        <f>(1-Parameters!$B$4)^Parameters!B$65*G16+D16*Parameters!B$65-Parameters!$B$5*D16^2/G16*Parameters!B$65</f>
        <v>4.3768760668153792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23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60.648138371940348</v>
      </c>
      <c r="L17" s="8">
        <f>L16+K17*Parameters!B$65</f>
        <v>3039.9605029431032</v>
      </c>
      <c r="M17" s="7">
        <f>M16+Parameters!$B$45*K17</f>
        <v>1.8239763017658626</v>
      </c>
      <c r="N17" s="7">
        <f>'6states'!O17</f>
        <v>0.9739592654903938</v>
      </c>
      <c r="O17" s="7">
        <f>MAX(O16+(Parameters!B$31-K17)*Parameters!B$65,30)</f>
        <v>30</v>
      </c>
      <c r="P17" s="7">
        <f>Parameters!B$61*EXP(-Parameters!B$60*A17)+(1-Parameters!B$61)*(O17/Parameters!B$62)^-Parameters!B$63</f>
        <v>0.87819676650227319</v>
      </c>
      <c r="Q17" s="9">
        <f>1-P17/Parameters!$B$12</f>
        <v>0.56090161674886341</v>
      </c>
      <c r="R17" s="23">
        <f t="shared" si="0"/>
        <v>2.2773939466501361</v>
      </c>
      <c r="S17" s="7">
        <f>(Parameters!$B$19*(E17+Parameters!$B$20)^Q17+Parameters!$B$18*F17^Q17)^(1/Q17)</f>
        <v>0.54446243785177439</v>
      </c>
      <c r="T17" s="7">
        <f>(Parameters!$B$10*G17^Parameters!$B$9 + Parameters!$B$11*S17^Parameters!$B$9) ^ (Parameters!$B$7/Parameters!$B$9) * N17</f>
        <v>1.4929413859954688</v>
      </c>
      <c r="U17" s="7">
        <f t="shared" si="1"/>
        <v>1.1371580034110047</v>
      </c>
      <c r="V17" s="7">
        <f>EXP(-Parameters!$B$55*A17)</f>
        <v>0.82176566799463491</v>
      </c>
      <c r="W17" s="7">
        <f>IF(U17&gt;0,U17^(1-Parameters!$B$52)/(1-Parameters!$B$52)*V17,-10+U17*1000)</f>
        <v>-2.244619153916743</v>
      </c>
      <c r="X17" s="7"/>
      <c r="Y17" s="9">
        <f t="shared" si="2"/>
        <v>5.4239239024583191E-2</v>
      </c>
      <c r="Z17" s="9">
        <f t="shared" si="3"/>
        <v>5.9924093126929217E-3</v>
      </c>
      <c r="AA17" s="7">
        <f t="shared" si="4"/>
        <v>0.29550550282878624</v>
      </c>
      <c r="AB17" s="13">
        <f t="shared" si="5"/>
        <v>0.23831034890042474</v>
      </c>
    </row>
    <row r="18" spans="1:28" x14ac:dyDescent="0.3">
      <c r="A18">
        <f>A17+Parameters!$B$65</f>
        <v>14</v>
      </c>
      <c r="B18" s="19">
        <v>5.424748153961069E-2</v>
      </c>
      <c r="C18" s="45">
        <v>5.8441502655530988E-3</v>
      </c>
      <c r="D18" s="18">
        <v>0.29529819552822373</v>
      </c>
      <c r="E18" s="7">
        <f>MAX((1-Parameters!$B$4)^Parameters!B$65*E17+B17*Parameters!B$65-Parameters!$B$5*B17^2/E17*Parameters!B$65,0.0001)</f>
        <v>0.79519926256527118</v>
      </c>
      <c r="F18" s="9">
        <f>(1-Parameters!$B$4)^Parameters!B$65*F17+C17*Parameters!B$65-Parameters!$B$5*C17^2/F17*Parameters!B$65</f>
        <v>0.12318330992453291</v>
      </c>
      <c r="G18" s="7">
        <f>(1-Parameters!$B$4)^Parameters!B$65*G17+D17*Parameters!B$65-Parameters!$B$5*D17^2/G17*Parameters!B$65</f>
        <v>4.3771534288982128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23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61.308499716213056</v>
      </c>
      <c r="L18" s="8">
        <f>L17+K18*Parameters!B$65</f>
        <v>3101.2690026593164</v>
      </c>
      <c r="M18" s="7">
        <f>M17+Parameters!$B$45*K18</f>
        <v>1.8607614015955904</v>
      </c>
      <c r="N18" s="7">
        <f>'6states'!O18</f>
        <v>0.97350263443429697</v>
      </c>
      <c r="O18" s="7">
        <f>MAX(O17+(Parameters!B$31-K18)*Parameters!B$65,30)</f>
        <v>30</v>
      </c>
      <c r="P18" s="7">
        <f>Parameters!B$61*EXP(-Parameters!B$60*A18)+(1-Parameters!B$61)*(O18/Parameters!B$62)^-Parameters!B$63</f>
        <v>0.86882013990739781</v>
      </c>
      <c r="Q18" s="9">
        <f>1-P18/Parameters!$B$12</f>
        <v>0.56558993004630109</v>
      </c>
      <c r="R18" s="23">
        <f t="shared" si="0"/>
        <v>2.3019724199915159</v>
      </c>
      <c r="S18" s="7">
        <f>(Parameters!$B$19*(E18+Parameters!$B$20)^Q18+Parameters!$B$18*F18^Q18)^(1/Q18)</f>
        <v>0.54418584563393135</v>
      </c>
      <c r="T18" s="7">
        <f>(Parameters!$B$10*G18^Parameters!$B$9 + Parameters!$B$11*S18^Parameters!$B$9) ^ (Parameters!$B$7/Parameters!$B$9) * N18</f>
        <v>1.4922212397024937</v>
      </c>
      <c r="U18" s="7">
        <f t="shared" si="1"/>
        <v>1.1368314123691061</v>
      </c>
      <c r="V18" s="7">
        <f>EXP(-Parameters!$B$55*A18)</f>
        <v>0.80945022202781236</v>
      </c>
      <c r="W18" s="7">
        <f>IF(U18&gt;0,U18^(1-Parameters!$B$52)/(1-Parameters!$B$52)*V18,-10+U18*1000)</f>
        <v>-2.2112023096325757</v>
      </c>
      <c r="X18" s="7"/>
      <c r="Y18" s="9">
        <f t="shared" si="2"/>
        <v>5.4245138639377556E-2</v>
      </c>
      <c r="Z18" s="9">
        <f t="shared" si="3"/>
        <v>5.8976057153474724E-3</v>
      </c>
      <c r="AA18" s="7">
        <f t="shared" si="4"/>
        <v>0.29537826806235462</v>
      </c>
      <c r="AB18" s="13">
        <f t="shared" si="5"/>
        <v>0.23816161965650759</v>
      </c>
    </row>
    <row r="19" spans="1:28" x14ac:dyDescent="0.3">
      <c r="A19">
        <f>A18+Parameters!$B$65</f>
        <v>15</v>
      </c>
      <c r="B19" s="46">
        <f>B18</f>
        <v>5.424748153961069E-2</v>
      </c>
      <c r="C19" s="46">
        <f t="shared" ref="C19" si="6">C18</f>
        <v>5.8441502655530988E-3</v>
      </c>
      <c r="D19" s="46">
        <f t="shared" ref="D19" si="7">D18</f>
        <v>0.29529819552822373</v>
      </c>
      <c r="E19" s="7">
        <f>MAX((1-Parameters!$B$4)^Parameters!B$65*E18+B18*Parameters!B$65-Parameters!$B$5*B18^2/E18*Parameters!B$65,0.0001)</f>
        <v>0.79572801634665569</v>
      </c>
      <c r="F19" s="9">
        <f>(1-Parameters!$B$4)^Parameters!B$65*F18+C18*Parameters!B$65-Parameters!$B$5*C18^2/F18*Parameters!B$65</f>
        <v>0.12100196765934196</v>
      </c>
      <c r="G19" s="7">
        <f>(1-Parameters!$B$4)^Parameters!B$65*G18+D18*Parameters!B$65-Parameters!$B$5*D18^2/G18*Parameters!B$65</f>
        <v>4.3772068168390588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23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61.977400637357526</v>
      </c>
      <c r="L19" s="8">
        <f>L18+K19*Parameters!B$65</f>
        <v>3163.2464032966741</v>
      </c>
      <c r="M19" s="7">
        <f>M18+Parameters!$B$45*K19</f>
        <v>1.8979478419780049</v>
      </c>
      <c r="N19" s="7">
        <f>'6states'!O19</f>
        <v>0.9730529918401094</v>
      </c>
      <c r="O19" s="7">
        <f>MAX(O18+(Parameters!B$31-K19)*Parameters!B$65,30)</f>
        <v>30</v>
      </c>
      <c r="P19" s="7">
        <f>Parameters!B$61*EXP(-Parameters!B$60*A19)+(1-Parameters!B$61)*(O19/Parameters!B$62)^-Parameters!B$63</f>
        <v>0.85969329500369984</v>
      </c>
      <c r="Q19" s="9">
        <f>1-P19/Parameters!$B$12</f>
        <v>0.57015335249815013</v>
      </c>
      <c r="R19" s="23">
        <f t="shared" si="0"/>
        <v>2.3264110719758411</v>
      </c>
      <c r="S19" s="7">
        <f>(Parameters!$B$19*(E19+Parameters!$B$20)^Q19+Parameters!$B$18*F19^Q19)^(1/Q19)</f>
        <v>0.54387531440042725</v>
      </c>
      <c r="T19" s="7">
        <f>(Parameters!$B$10*G19^Parameters!$B$9 + Parameters!$B$11*S19^Parameters!$B$9) ^ (Parameters!$B$7/Parameters!$B$9) * N19</f>
        <v>1.4914878598331542</v>
      </c>
      <c r="U19" s="7">
        <f t="shared" si="1"/>
        <v>1.1360980324997667</v>
      </c>
      <c r="V19" s="7">
        <f>EXP(-Parameters!$B$55*A19)</f>
        <v>0.79731934231298707</v>
      </c>
      <c r="W19" s="7">
        <f>IF(U19&gt;0,U19^(1-Parameters!$B$52)/(1-Parameters!$B$52)*V19,-10+U19*1000)</f>
        <v>-2.1785559738927884</v>
      </c>
      <c r="X19" s="7"/>
      <c r="Y19" s="9">
        <f t="shared" si="2"/>
        <v>5.4261023015006703E-2</v>
      </c>
      <c r="Z19" s="9">
        <f t="shared" si="3"/>
        <v>5.7729033851812396E-3</v>
      </c>
      <c r="AA19" s="7">
        <f t="shared" si="4"/>
        <v>0.29520496924828787</v>
      </c>
      <c r="AB19" s="13">
        <f t="shared" si="5"/>
        <v>0.23827872616619442</v>
      </c>
    </row>
    <row r="20" spans="1:28" x14ac:dyDescent="0.3">
      <c r="A20">
        <f>A19+Parameters!$B$65</f>
        <v>16</v>
      </c>
      <c r="B20" s="19">
        <v>5.4288105965798729E-2</v>
      </c>
      <c r="C20" s="45">
        <v>5.6304096244375219E-3</v>
      </c>
      <c r="D20" s="18">
        <v>0.29501851668841617</v>
      </c>
      <c r="E20" s="7">
        <f>MAX((1-Parameters!$B$4)^Parameters!B$65*E19+B19*Parameters!B$65-Parameters!$B$5*B19^2/E19*Parameters!B$65,0.0001)</f>
        <v>0.79622597059163625</v>
      </c>
      <c r="F20" s="9">
        <f>(1-Parameters!$B$4)^Parameters!B$65*F19+C19*Parameters!B$65-Parameters!$B$5*C19^2/F19*Parameters!B$65</f>
        <v>0.11895283352330768</v>
      </c>
      <c r="G20" s="7">
        <f>(1-Parameters!$B$4)^Parameters!B$65*G19+D19*Parameters!B$65-Parameters!$B$5*D19^2/G19*Parameters!B$65</f>
        <v>4.3772570896614429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23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62.654550283254267</v>
      </c>
      <c r="L20" s="8">
        <f>L19+K20*Parameters!B$65</f>
        <v>3225.9009535799282</v>
      </c>
      <c r="M20" s="7">
        <f>M19+Parameters!$B$45*K20</f>
        <v>1.9355405721479575</v>
      </c>
      <c r="N20" s="7">
        <f>'6states'!O20</f>
        <v>0.97260996070426087</v>
      </c>
      <c r="O20" s="7">
        <f>MAX(O19+(Parameters!B$31-K20)*Parameters!B$65,30)</f>
        <v>30</v>
      </c>
      <c r="P20" s="7">
        <f>Parameters!B$61*EXP(-Parameters!B$60*A20)+(1-Parameters!B$61)*(O20/Parameters!B$62)^-Parameters!B$63</f>
        <v>0.85080957791703637</v>
      </c>
      <c r="Q20" s="9">
        <f>1-P20/Parameters!$B$12</f>
        <v>0.57459521104148181</v>
      </c>
      <c r="R20" s="23">
        <f t="shared" si="0"/>
        <v>2.3507022627747411</v>
      </c>
      <c r="S20" s="7">
        <f>(Parameters!$B$19*(E20+Parameters!$B$20)^Q20+Parameters!$B$18*F20^Q20)^(1/Q20)</f>
        <v>0.54361268398510054</v>
      </c>
      <c r="T20" s="7">
        <f>(Parameters!$B$10*G20^Parameters!$B$9 + Parameters!$B$11*S20^Parameters!$B$9) ^ (Parameters!$B$7/Parameters!$B$9) * N20</f>
        <v>1.4907717913772141</v>
      </c>
      <c r="U20" s="7">
        <f t="shared" si="1"/>
        <v>1.1358347590985618</v>
      </c>
      <c r="V20" s="7">
        <f>EXP(-Parameters!$B$55*A20)</f>
        <v>0.7853702628357192</v>
      </c>
      <c r="W20" s="7">
        <f>IF(U20&gt;0,U20^(1-Parameters!$B$52)/(1-Parameters!$B$52)*V20,-10+U20*1000)</f>
        <v>-2.1460809752099625</v>
      </c>
      <c r="X20" s="7"/>
      <c r="Y20" s="9">
        <f t="shared" si="2"/>
        <v>5.4274564490402716E-2</v>
      </c>
      <c r="Z20" s="9">
        <f t="shared" si="3"/>
        <v>5.7016565048093812E-3</v>
      </c>
      <c r="AA20" s="7">
        <f t="shared" si="4"/>
        <v>0.29511174296835202</v>
      </c>
      <c r="AB20" s="13">
        <f t="shared" si="5"/>
        <v>0.23808944758121045</v>
      </c>
    </row>
    <row r="21" spans="1:28" x14ac:dyDescent="0.3">
      <c r="A21">
        <f>A20+Parameters!$B$65</f>
        <v>17</v>
      </c>
      <c r="B21" s="46">
        <f>B20</f>
        <v>5.4288105965798729E-2</v>
      </c>
      <c r="C21" s="46">
        <f t="shared" ref="C21" si="8">C20</f>
        <v>5.6304096244375219E-3</v>
      </c>
      <c r="D21" s="46">
        <f t="shared" ref="D21" si="9">D20</f>
        <v>0.29501851668841617</v>
      </c>
      <c r="E21" s="7">
        <f>MAX((1-Parameters!$B$4)^Parameters!B$65*E20+B20*Parameters!B$65-Parameters!$B$5*B20^2/E20*Parameters!B$65,0.0001)</f>
        <v>0.79673000317269205</v>
      </c>
      <c r="F21" s="9">
        <f>(1-Parameters!$B$4)^Parameters!B$65*F20+C20*Parameters!B$65-Parameters!$B$5*C20^2/F20*Parameters!B$65</f>
        <v>0.11683460502302891</v>
      </c>
      <c r="G21" s="7">
        <f>(1-Parameters!$B$4)^Parameters!B$65*G20+D20*Parameters!B$65-Parameters!$B$5*D20^2/G20*Parameters!B$65</f>
        <v>4.3770624677602461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23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63.342936059611596</v>
      </c>
      <c r="L21" s="8">
        <f>L20+K21*Parameters!B$65</f>
        <v>3289.2438896395397</v>
      </c>
      <c r="M21" s="7">
        <f>M20+Parameters!$B$45*K21</f>
        <v>1.9735463337837245</v>
      </c>
      <c r="N21" s="7">
        <f>'6states'!O21</f>
        <v>0.97217342714600752</v>
      </c>
      <c r="O21" s="7">
        <f>MAX(O20+(Parameters!B$31-K21)*Parameters!B$65,30)</f>
        <v>30</v>
      </c>
      <c r="P21" s="7">
        <f>Parameters!B$61*EXP(-Parameters!B$60*A21)+(1-Parameters!B$61)*(O21/Parameters!B$62)^-Parameters!B$63</f>
        <v>0.84216251202421066</v>
      </c>
      <c r="Q21" s="9">
        <f>1-P21/Parameters!$B$12</f>
        <v>0.57891874398789467</v>
      </c>
      <c r="R21" s="23">
        <f t="shared" si="0"/>
        <v>2.3748385512824912</v>
      </c>
      <c r="S21" s="7">
        <f>(Parameters!$B$19*(E21+Parameters!$B$20)^Q21+Parameters!$B$18*F21^Q21)^(1/Q21)</f>
        <v>0.54330293420683629</v>
      </c>
      <c r="T21" s="7">
        <f>(Parameters!$B$10*G21^Parameters!$B$9 + Parameters!$B$11*S21^Parameters!$B$9) ^ (Parameters!$B$7/Parameters!$B$9) * N21</f>
        <v>1.4900379921861977</v>
      </c>
      <c r="U21" s="7">
        <f t="shared" si="1"/>
        <v>1.1351009599075454</v>
      </c>
      <c r="V21" s="7">
        <f>EXP(-Parameters!$B$55*A21)</f>
        <v>0.7736002590346287</v>
      </c>
      <c r="W21" s="7">
        <f>IF(U21&gt;0,U21^(1-Parameters!$B$52)/(1-Parameters!$B$52)*V21,-10+U21*1000)</f>
        <v>-2.1143967876738117</v>
      </c>
      <c r="X21" s="7"/>
      <c r="Y21" s="9">
        <f t="shared" si="2"/>
        <v>5.4302675671624619E-2</v>
      </c>
      <c r="Z21" s="9">
        <f t="shared" si="3"/>
        <v>5.5634821801764421E-3</v>
      </c>
      <c r="AA21" s="7">
        <f t="shared" si="4"/>
        <v>0.29493869426018543</v>
      </c>
      <c r="AB21" s="13">
        <f t="shared" si="5"/>
        <v>0.23820669952038301</v>
      </c>
    </row>
    <row r="22" spans="1:28" x14ac:dyDescent="0.3">
      <c r="A22">
        <f>A21+Parameters!$B$65</f>
        <v>18</v>
      </c>
      <c r="B22" s="19">
        <v>5.4331815083276412E-2</v>
      </c>
      <c r="C22" s="45">
        <v>5.4296272916542834E-3</v>
      </c>
      <c r="D22" s="18">
        <v>0.29477904940372396</v>
      </c>
      <c r="E22" s="7">
        <f>MAX((1-Parameters!$B$4)^Parameters!B$65*E21+B21*Parameters!B$65-Parameters!$B$5*B21^2/E21*Parameters!B$65,0.0001)</f>
        <v>0.797204673746294</v>
      </c>
      <c r="F22" s="9">
        <f>(1-Parameters!$B$4)^Parameters!B$65*F21+C21*Parameters!B$65-Parameters!$B$5*C21^2/F21*Parameters!B$65</f>
        <v>0.11484478132261994</v>
      </c>
      <c r="G22" s="7">
        <f>(1-Parameters!$B$4)^Parameters!B$65*G21+D21*Parameters!B$65-Parameters!$B$5*D21^2/G21*Parameters!B$65</f>
        <v>4.3768792034683477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23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64.039857555401341</v>
      </c>
      <c r="L22" s="8">
        <f>L21+K22*Parameters!B$65</f>
        <v>3353.283747194941</v>
      </c>
      <c r="M22" s="7">
        <f>M21+Parameters!$B$45*K22</f>
        <v>2.0119702483169655</v>
      </c>
      <c r="N22" s="7">
        <f>'6states'!O22</f>
        <v>0.97174296681717764</v>
      </c>
      <c r="O22" s="7">
        <f>MAX(O21+(Parameters!B$31-K22)*Parameters!B$65,30)</f>
        <v>30</v>
      </c>
      <c r="P22" s="7">
        <f>Parameters!B$61*EXP(-Parameters!B$60*A22)+(1-Parameters!B$61)*(O22/Parameters!B$62)^-Parameters!B$63</f>
        <v>0.83374579323122699</v>
      </c>
      <c r="Q22" s="9">
        <f>1-P22/Parameters!$B$12</f>
        <v>0.58312710338438656</v>
      </c>
      <c r="R22" s="23">
        <f t="shared" si="0"/>
        <v>2.398812703148872</v>
      </c>
      <c r="S22" s="7">
        <f>(Parameters!$B$19*(E22+Parameters!$B$20)^Q22+Parameters!$B$18*F22^Q22)^(1/Q22)</f>
        <v>0.54303977417132532</v>
      </c>
      <c r="T22" s="7">
        <f>(Parameters!$B$10*G22^Parameters!$B$9 + Parameters!$B$11*S22^Parameters!$B$9) ^ (Parameters!$B$7/Parameters!$B$9) * N22</f>
        <v>1.4893217272760042</v>
      </c>
      <c r="U22" s="7">
        <f t="shared" si="1"/>
        <v>1.1347812354973497</v>
      </c>
      <c r="V22" s="7">
        <f>EXP(-Parameters!$B$55*A22)</f>
        <v>0.76200664718015654</v>
      </c>
      <c r="W22" s="7">
        <f>IF(U22&gt;0,U22^(1-Parameters!$B$52)/(1-Parameters!$B$52)*V22,-10+U22*1000)</f>
        <v>-2.0829146014889721</v>
      </c>
      <c r="X22" s="7"/>
      <c r="Y22" s="9">
        <f t="shared" si="2"/>
        <v>5.4317245377450522E-2</v>
      </c>
      <c r="Z22" s="9">
        <f t="shared" si="3"/>
        <v>5.4965547359153632E-3</v>
      </c>
      <c r="AA22" s="7">
        <f t="shared" si="4"/>
        <v>0.29485887183195469</v>
      </c>
      <c r="AB22" s="13">
        <f t="shared" si="5"/>
        <v>0.23805500536617799</v>
      </c>
    </row>
    <row r="23" spans="1:28" x14ac:dyDescent="0.3">
      <c r="A23">
        <f>A22+Parameters!$B$65</f>
        <v>19</v>
      </c>
      <c r="B23" s="46">
        <f>B22</f>
        <v>5.4331815083276412E-2</v>
      </c>
      <c r="C23" s="46">
        <f t="shared" ref="C23" si="10">C22</f>
        <v>5.4296272916542834E-3</v>
      </c>
      <c r="D23" s="46">
        <f t="shared" ref="D23" si="11">D22</f>
        <v>0.29477904940372396</v>
      </c>
      <c r="E23" s="7">
        <f>MAX((1-Parameters!$B$4)^Parameters!B$65*E22+B22*Parameters!B$65-Parameters!$B$5*B22^2/E22*Parameters!B$65,0.0001)</f>
        <v>0.79768944377219875</v>
      </c>
      <c r="F23" s="9">
        <f>(1-Parameters!$B$4)^Parameters!B$65*F22+C22*Parameters!B$65-Parameters!$B$5*C22^2/F22*Parameters!B$65</f>
        <v>0.11279397015232288</v>
      </c>
      <c r="G23" s="7">
        <f>(1-Parameters!$B$4)^Parameters!B$65*G22+D22*Parameters!B$65-Parameters!$B$5*D22^2/G22*Parameters!B$65</f>
        <v>4.3764994355627076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23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64.748577498921946</v>
      </c>
      <c r="L23" s="8">
        <f>L22+K23*Parameters!B$65</f>
        <v>3418.0323246938628</v>
      </c>
      <c r="M23" s="7">
        <f>M22+Parameters!$B$45*K23</f>
        <v>2.0508193948163185</v>
      </c>
      <c r="N23" s="7">
        <f>'6states'!O23</f>
        <v>0.97131823580702792</v>
      </c>
      <c r="O23" s="7">
        <f>MAX(O22+(Parameters!B$31-K23)*Parameters!B$65,30)</f>
        <v>30</v>
      </c>
      <c r="P23" s="7">
        <f>Parameters!B$61*EXP(-Parameters!B$60*A23)+(1-Parameters!B$61)*(O23/Parameters!B$62)^-Parameters!B$63</f>
        <v>0.82555328537732731</v>
      </c>
      <c r="Q23" s="9">
        <f>1-P23/Parameters!$B$12</f>
        <v>0.58722335731133635</v>
      </c>
      <c r="R23" s="23">
        <f t="shared" si="0"/>
        <v>2.4226176982457046</v>
      </c>
      <c r="S23" s="7">
        <f>(Parameters!$B$19*(E23+Parameters!$B$20)^Q23+Parameters!$B$18*F23^Q23)^(1/Q23)</f>
        <v>0.54273655717087343</v>
      </c>
      <c r="T23" s="7">
        <f>(Parameters!$B$10*G23^Parameters!$B$9 + Parameters!$B$11*S23^Parameters!$B$9) ^ (Parameters!$B$7/Parameters!$B$9) * N23</f>
        <v>1.4885916970383779</v>
      </c>
      <c r="U23" s="7">
        <f t="shared" si="1"/>
        <v>1.1340512052597234</v>
      </c>
      <c r="V23" s="7">
        <f>EXP(-Parameters!$B$55*A23)</f>
        <v>0.75058678376263543</v>
      </c>
      <c r="W23" s="7">
        <f>IF(U23&gt;0,U23^(1-Parameters!$B$52)/(1-Parameters!$B$52)*V23,-10+U23*1000)</f>
        <v>-2.052161030036137</v>
      </c>
      <c r="X23" s="7"/>
      <c r="Y23" s="9">
        <f t="shared" si="2"/>
        <v>5.435536365467878E-2</v>
      </c>
      <c r="Z23" s="9">
        <f t="shared" si="3"/>
        <v>5.3297619292667865E-3</v>
      </c>
      <c r="AA23" s="7">
        <f t="shared" si="4"/>
        <v>0.2946653682416101</v>
      </c>
      <c r="AB23" s="13">
        <f t="shared" si="5"/>
        <v>0.23817175151791414</v>
      </c>
    </row>
    <row r="24" spans="1:28" x14ac:dyDescent="0.3">
      <c r="A24">
        <f>A23+Parameters!$B$65</f>
        <v>20</v>
      </c>
      <c r="B24" s="19">
        <v>5.440246079748353E-2</v>
      </c>
      <c r="C24" s="45">
        <v>5.1300312044917935E-3</v>
      </c>
      <c r="D24" s="18">
        <v>0.29443800591738234</v>
      </c>
      <c r="E24" s="7">
        <f>MAX((1-Parameters!$B$4)^Parameters!B$65*E23+B23*Parameters!B$65-Parameters!$B$5*B23^2/E23*Parameters!B$65,0.0001)</f>
        <v>0.79814597206391724</v>
      </c>
      <c r="F24" s="9">
        <f>(1-Parameters!$B$4)^Parameters!B$65*F23+C23*Parameters!B$65-Parameters!$B$5*C23^2/F23*Parameters!B$65</f>
        <v>0.11086748767403949</v>
      </c>
      <c r="G24" s="7">
        <f>(1-Parameters!$B$4)^Parameters!B$65*G23+D23*Parameters!B$65-Parameters!$B$5*D23^2/G23*Parameters!B$65</f>
        <v>4.3761418323170922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23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65.466111270995015</v>
      </c>
      <c r="L24" s="8">
        <f>L23+K24*Parameters!B$65</f>
        <v>3483.4984359648579</v>
      </c>
      <c r="M24" s="7">
        <f>M23+Parameters!$B$45*K24</f>
        <v>2.0900990615789157</v>
      </c>
      <c r="N24" s="7">
        <f>'6states'!O24</f>
        <v>0.97089928275306225</v>
      </c>
      <c r="O24" s="7">
        <f>MAX(O23+(Parameters!B$31-K24)*Parameters!B$65,30)</f>
        <v>30</v>
      </c>
      <c r="P24" s="7">
        <f>Parameters!B$61*EXP(-Parameters!B$60*A24)+(1-Parameters!B$61)*(O24/Parameters!B$62)^-Parameters!B$63</f>
        <v>0.81757901576145753</v>
      </c>
      <c r="Q24" s="9">
        <f>1-P24/Parameters!$B$12</f>
        <v>0.59121049211927124</v>
      </c>
      <c r="R24" s="23">
        <f t="shared" si="0"/>
        <v>2.4462467375551302</v>
      </c>
      <c r="S24" s="7">
        <f>(Parameters!$B$19*(E24+Parameters!$B$20)^Q24+Parameters!$B$18*F24^Q24)^(1/Q24)</f>
        <v>0.54247832115032202</v>
      </c>
      <c r="T24" s="7">
        <f>(Parameters!$B$10*G24^Parameters!$B$9 + Parameters!$B$11*S24^Parameters!$B$9) ^ (Parameters!$B$7/Parameters!$B$9) * N24</f>
        <v>1.4878794304149949</v>
      </c>
      <c r="U24" s="7">
        <f t="shared" si="1"/>
        <v>1.1339089324956373</v>
      </c>
      <c r="V24" s="7">
        <f>EXP(-Parameters!$B$55*A24)</f>
        <v>0.7393380648895318</v>
      </c>
      <c r="W24" s="7">
        <f>IF(U24&gt;0,U24^(1-Parameters!$B$52)/(1-Parameters!$B$52)*V24,-10+U24*1000)</f>
        <v>-2.0214949481284901</v>
      </c>
      <c r="X24" s="7"/>
      <c r="Y24" s="9">
        <f t="shared" si="2"/>
        <v>5.4378912226081155E-2</v>
      </c>
      <c r="Z24" s="9">
        <f t="shared" si="3"/>
        <v>5.2298965668792904E-3</v>
      </c>
      <c r="AA24" s="7">
        <f t="shared" si="4"/>
        <v>0.29455168707949619</v>
      </c>
      <c r="AB24" s="13">
        <f t="shared" si="5"/>
        <v>0.23790267590474667</v>
      </c>
    </row>
    <row r="25" spans="1:28" x14ac:dyDescent="0.3">
      <c r="A25">
        <f>A24+Parameters!$B$65</f>
        <v>21</v>
      </c>
      <c r="B25" s="46">
        <f>B24</f>
        <v>5.440246079748353E-2</v>
      </c>
      <c r="C25" s="46">
        <f t="shared" ref="C25:C28" si="12">C24</f>
        <v>5.1300312044917935E-3</v>
      </c>
      <c r="D25" s="46">
        <f t="shared" ref="D25:D28" si="13">D24</f>
        <v>0.29443800591738234</v>
      </c>
      <c r="E25" s="7">
        <f>MAX((1-Parameters!$B$4)^Parameters!B$65*E24+B24*Parameters!B$65-Parameters!$B$5*B24^2/E24*Parameters!B$65,0.0001)</f>
        <v>0.79863692282551413</v>
      </c>
      <c r="F25" s="9">
        <f>(1-Parameters!$B$4)^Parameters!B$65*F24+C24*Parameters!B$65-Parameters!$B$5*C24^2/F24*Parameters!B$65</f>
        <v>0.10878657845038807</v>
      </c>
      <c r="G25" s="7">
        <f>(1-Parameters!$B$4)^Parameters!B$65*G24+D24*Parameters!B$65-Parameters!$B$5*D24^2/G24*Parameters!B$65</f>
        <v>4.3755099754932472</v>
      </c>
      <c r="H25" s="7">
        <f>H24 *(1-Parameters!$B$4)-B24*(B24&lt;0)*Parameters!B$65</f>
        <v>0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23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66.197716405409253</v>
      </c>
      <c r="L25" s="8">
        <f>L24+K25*Parameters!B$65</f>
        <v>3549.6961523702671</v>
      </c>
      <c r="M25" s="7">
        <f>M24+Parameters!$B$45*K25</f>
        <v>2.1298176914221614</v>
      </c>
      <c r="N25" s="7">
        <f>'6states'!O25</f>
        <v>0.97048594168832281</v>
      </c>
      <c r="O25" s="7">
        <f>MAX(O24+(Parameters!B$31-K25)*Parameters!B$65,30)</f>
        <v>30</v>
      </c>
      <c r="P25" s="7">
        <f>Parameters!B$61*EXP(-Parameters!B$60*A25)+(1-Parameters!B$61)*(O25/Parameters!B$62)^-Parameters!B$63</f>
        <v>0.80981717078790472</v>
      </c>
      <c r="Q25" s="9">
        <f>1-P25/Parameters!$B$12</f>
        <v>0.59509141460604764</v>
      </c>
      <c r="R25" s="23">
        <f t="shared" si="0"/>
        <v>2.4696932494702688</v>
      </c>
      <c r="S25" s="7">
        <f>(Parameters!$B$19*(E25+Parameters!$B$20)^Q25+Parameters!$B$18*F25^Q25)^(1/Q25)</f>
        <v>0.54214005124116038</v>
      </c>
      <c r="T25" s="7">
        <f>(Parameters!$B$10*G25^Parameters!$B$9 + Parameters!$B$11*S25^Parameters!$B$9) ^ (Parameters!$B$7/Parameters!$B$9) * N25</f>
        <v>1.4871405213080384</v>
      </c>
      <c r="U25" s="7">
        <f t="shared" si="1"/>
        <v>1.1331700233886808</v>
      </c>
      <c r="V25" s="7">
        <f>EXP(-Parameters!$B$55*A25)</f>
        <v>0.72825792569172154</v>
      </c>
      <c r="W25" s="7">
        <f>IF(U25&gt;0,U25^(1-Parameters!$B$52)/(1-Parameters!$B$52)*V25,-10+U25*1000)</f>
        <v>-1.9916540254049535</v>
      </c>
      <c r="X25" s="7"/>
      <c r="Y25" s="9">
        <f t="shared" si="2"/>
        <v>5.440246079748353E-2</v>
      </c>
      <c r="Z25" s="9">
        <f t="shared" si="3"/>
        <v>5.1300312044917935E-3</v>
      </c>
      <c r="AA25" s="7">
        <f t="shared" si="4"/>
        <v>0.29443800591738234</v>
      </c>
      <c r="AB25" s="13">
        <f t="shared" si="5"/>
        <v>0.23802088158287638</v>
      </c>
    </row>
    <row r="26" spans="1:28" x14ac:dyDescent="0.3">
      <c r="A26">
        <f>A25+Parameters!$B$65</f>
        <v>22</v>
      </c>
      <c r="B26" s="46">
        <f t="shared" ref="B26:B28" si="14">B25</f>
        <v>5.440246079748353E-2</v>
      </c>
      <c r="C26" s="46">
        <f t="shared" si="12"/>
        <v>5.1300312044917935E-3</v>
      </c>
      <c r="D26" s="46">
        <f t="shared" si="13"/>
        <v>0.29443800591738234</v>
      </c>
      <c r="E26" s="7">
        <f>MAX((1-Parameters!$B$4)^Parameters!B$65*E25+B25*Parameters!B$65-Parameters!$B$5*B25^2/E25*Parameters!B$65,0.0001)</f>
        <v>0.79909927230373123</v>
      </c>
      <c r="F26" s="9">
        <f>(1-Parameters!$B$4)^Parameters!B$65*F25+C25*Parameters!B$65-Parameters!$B$5*C25^2/F25*Parameters!B$65</f>
        <v>0.10683201781292925</v>
      </c>
      <c r="G26" s="7">
        <f>(1-Parameters!$B$4)^Parameters!B$65*G25+D25*Parameters!B$65-Parameters!$B$5*D25^2/G25*Parameters!B$65</f>
        <v>4.3749150016711891</v>
      </c>
      <c r="H26" s="7">
        <f>H25 *(1-Parameters!$B$4)-B25*(B25&lt;0)*Parameters!B$65</f>
        <v>0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23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66.938341934692176</v>
      </c>
      <c r="L26" s="8">
        <f>L25+K26*Parameters!B$65</f>
        <v>3616.6344943049594</v>
      </c>
      <c r="M26" s="7">
        <f>M25+Parameters!$B$45*K26</f>
        <v>2.1699806965829769</v>
      </c>
      <c r="N26" s="7">
        <f>'6states'!O26</f>
        <v>0.97007792572068596</v>
      </c>
      <c r="O26" s="7">
        <f>MAX(O25+(Parameters!B$31-K26)*Parameters!B$65,30)</f>
        <v>30</v>
      </c>
      <c r="P26" s="7">
        <f>Parameters!B$61*EXP(-Parameters!B$60*A26)+(1-Parameters!B$61)*(O26/Parameters!B$62)^-Parameters!B$63</f>
        <v>0.80226209172792795</v>
      </c>
      <c r="Q26" s="9">
        <f>1-P26/Parameters!$B$12</f>
        <v>0.59886895413603602</v>
      </c>
      <c r="R26" s="23">
        <f t="shared" si="0"/>
        <v>2.4929508955014446</v>
      </c>
      <c r="S26" s="7">
        <f>(Parameters!$B$19*(E26+Parameters!$B$20)^Q26+Parameters!$B$18*F26^Q26)^(1/Q26)</f>
        <v>0.54184779910780523</v>
      </c>
      <c r="T26" s="7">
        <f>(Parameters!$B$10*G26^Parameters!$B$9 + Parameters!$B$11*S26^Parameters!$B$9) ^ (Parameters!$B$7/Parameters!$B$9) * N26</f>
        <v>1.4864200859568153</v>
      </c>
      <c r="U26" s="7">
        <f t="shared" si="1"/>
        <v>1.1324495880374577</v>
      </c>
      <c r="V26" s="7">
        <f>EXP(-Parameters!$B$55*A26)</f>
        <v>0.71734383973866223</v>
      </c>
      <c r="W26" s="7">
        <f>IF(U26&gt;0,U26^(1-Parameters!$B$52)/(1-Parameters!$B$52)*V26,-10+U26*1000)</f>
        <v>-1.9622426970005606</v>
      </c>
      <c r="X26" s="7"/>
      <c r="Y26" s="9">
        <f t="shared" si="2"/>
        <v>5.440246079748353E-2</v>
      </c>
      <c r="Z26" s="9">
        <f t="shared" si="3"/>
        <v>5.1300312044917935E-3</v>
      </c>
      <c r="AA26" s="7">
        <f t="shared" si="4"/>
        <v>0.29443800591738234</v>
      </c>
      <c r="AB26" s="13">
        <f t="shared" si="5"/>
        <v>0.23813624510563933</v>
      </c>
    </row>
    <row r="27" spans="1:28" x14ac:dyDescent="0.3">
      <c r="A27">
        <f>A26+Parameters!$B$65</f>
        <v>23</v>
      </c>
      <c r="B27" s="46">
        <f t="shared" si="14"/>
        <v>5.440246079748353E-2</v>
      </c>
      <c r="C27" s="46">
        <f t="shared" si="12"/>
        <v>5.1300312044917935E-3</v>
      </c>
      <c r="D27" s="46">
        <f t="shared" si="13"/>
        <v>0.29443800591738234</v>
      </c>
      <c r="E27" s="7">
        <f>MAX((1-Parameters!$B$4)^Parameters!B$65*E26+B26*Parameters!B$65-Parameters!$B$5*B26^2/E26*Parameters!B$65,0.0001)</f>
        <v>0.79953468416051598</v>
      </c>
      <c r="F27" s="9">
        <f>(1-Parameters!$B$4)^Parameters!B$65*F26+C26*Parameters!B$65-Parameters!$B$5*C26^2/F26*Parameters!B$65</f>
        <v>0.10499597302933966</v>
      </c>
      <c r="G27" s="7">
        <f>(1-Parameters!$B$4)^Parameters!B$65*G26+D26*Parameters!B$65-Parameters!$B$5*D26^2/G26*Parameters!B$65</f>
        <v>4.3743547571460324</v>
      </c>
      <c r="H27" s="7">
        <f>H26 *(1-Parameters!$B$4)-B26*(B26&lt;0)*Parameters!B$65</f>
        <v>0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23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67.688193114212922</v>
      </c>
      <c r="L27" s="8">
        <f>L26+K27*Parameters!B$65</f>
        <v>3684.3226874191723</v>
      </c>
      <c r="M27" s="7">
        <f>M26+Parameters!$B$45*K27</f>
        <v>2.2105936124515044</v>
      </c>
      <c r="N27" s="7">
        <f>'6states'!O27</f>
        <v>0.96967507082444016</v>
      </c>
      <c r="O27" s="7">
        <f>MAX(O26+(Parameters!B$31-K27)*Parameters!B$65,30)</f>
        <v>30</v>
      </c>
      <c r="P27" s="7">
        <f>Parameters!B$61*EXP(-Parameters!B$60*A27)+(1-Parameters!B$61)*(O27/Parameters!B$62)^-Parameters!B$63</f>
        <v>0.79490827059429447</v>
      </c>
      <c r="Q27" s="9">
        <f>1-P27/Parameters!$B$12</f>
        <v>0.60254586470285276</v>
      </c>
      <c r="R27" s="23">
        <f t="shared" si="0"/>
        <v>2.5160135753836692</v>
      </c>
      <c r="S27" s="7">
        <f>(Parameters!$B$19*(E27+Parameters!$B$20)^Q27+Parameters!$B$18*F27^Q27)^(1/Q27)</f>
        <v>0.54159815303492442</v>
      </c>
      <c r="T27" s="7">
        <f>(Parameters!$B$10*G27^Parameters!$B$9 + Parameters!$B$11*S27^Parameters!$B$9) ^ (Parameters!$B$7/Parameters!$B$9) * N27</f>
        <v>1.4857171772561097</v>
      </c>
      <c r="U27" s="7">
        <f t="shared" si="1"/>
        <v>1.1317466793367521</v>
      </c>
      <c r="V27" s="7">
        <f>EXP(-Parameters!$B$55*A27)</f>
        <v>0.70659331846233153</v>
      </c>
      <c r="W27" s="7">
        <f>IF(U27&gt;0,U27^(1-Parameters!$B$52)/(1-Parameters!$B$52)*V27,-10+U27*1000)</f>
        <v>-1.9332554892003804</v>
      </c>
      <c r="X27" s="7"/>
      <c r="Y27" s="9">
        <f t="shared" si="2"/>
        <v>5.440246079748353E-2</v>
      </c>
      <c r="Z27" s="9">
        <f t="shared" si="3"/>
        <v>5.1300312044917935E-3</v>
      </c>
      <c r="AA27" s="7">
        <f t="shared" si="4"/>
        <v>0.29443800591738234</v>
      </c>
      <c r="AB27" s="13">
        <f t="shared" si="5"/>
        <v>0.2382489099123741</v>
      </c>
    </row>
    <row r="28" spans="1:28" x14ac:dyDescent="0.3">
      <c r="A28">
        <f>A27+Parameters!$B$65</f>
        <v>24</v>
      </c>
      <c r="B28" s="46">
        <f t="shared" si="14"/>
        <v>5.440246079748353E-2</v>
      </c>
      <c r="C28" s="46">
        <f t="shared" si="12"/>
        <v>5.1300312044917935E-3</v>
      </c>
      <c r="D28" s="46">
        <f t="shared" si="13"/>
        <v>0.29443800591738234</v>
      </c>
      <c r="E28" s="7">
        <f>MAX((1-Parameters!$B$4)^Parameters!B$65*E27+B27*Parameters!B$65-Parameters!$B$5*B27^2/E27*Parameters!B$65,0.0001)</f>
        <v>0.79994472558085106</v>
      </c>
      <c r="F28" s="9">
        <f>(1-Parameters!$B$4)^Parameters!B$65*F27+C27*Parameters!B$65-Parameters!$B$5*C27^2/F27*Parameters!B$65</f>
        <v>0.10327110772534817</v>
      </c>
      <c r="G28" s="7">
        <f>(1-Parameters!$B$4)^Parameters!B$65*G27+D27*Parameters!B$65-Parameters!$B$5*D27^2/G27*Parameters!B$65</f>
        <v>4.3738272140592569</v>
      </c>
      <c r="H28" s="7">
        <f>H27 *(1-Parameters!$B$4)-B27*(B27&lt;0)*Parameters!B$65</f>
        <v>0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23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68.447472684147257</v>
      </c>
      <c r="L28" s="8">
        <f>L27+K28*Parameters!B$65</f>
        <v>3752.7701601033195</v>
      </c>
      <c r="M28" s="7">
        <f>M27+Parameters!$B$45*K28</f>
        <v>2.2516620960619926</v>
      </c>
      <c r="N28" s="7">
        <f>'6states'!O28</f>
        <v>0.9692772899903872</v>
      </c>
      <c r="O28" s="7">
        <f>MAX(O27+(Parameters!B$31-K28)*Parameters!B$65,30)</f>
        <v>30</v>
      </c>
      <c r="P28" s="7">
        <f>Parameters!B$61*EXP(-Parameters!B$60*A28)+(1-Parameters!B$61)*(O28/Parameters!B$62)^-Parameters!B$63</f>
        <v>0.78775034612571304</v>
      </c>
      <c r="Q28" s="9">
        <f>1-P28/Parameters!$B$12</f>
        <v>0.60612482693714353</v>
      </c>
      <c r="R28" s="23">
        <f t="shared" si="0"/>
        <v>2.5388754315835369</v>
      </c>
      <c r="S28" s="7">
        <f>(Parameters!$B$19*(E28+Parameters!$B$20)^Q28+Parameters!$B$18*F28^Q28)^(1/Q28)</f>
        <v>0.5413878969490894</v>
      </c>
      <c r="T28" s="7">
        <f>(Parameters!$B$10*G28^Parameters!$B$9 + Parameters!$B$11*S28^Parameters!$B$9) ^ (Parameters!$B$7/Parameters!$B$9) * N28</f>
        <v>1.4850310001055114</v>
      </c>
      <c r="U28" s="7">
        <f t="shared" si="1"/>
        <v>1.1310605021861537</v>
      </c>
      <c r="V28" s="7">
        <f>EXP(-Parameters!$B$55*A28)</f>
        <v>0.69600391058979738</v>
      </c>
      <c r="W28" s="7">
        <f>IF(U28&gt;0,U28^(1-Parameters!$B$52)/(1-Parameters!$B$52)*V28,-10+U28*1000)</f>
        <v>-1.9046868901741818</v>
      </c>
      <c r="X28" s="7"/>
      <c r="Y28" s="9">
        <f t="shared" si="2"/>
        <v>5.4446132487253128E-2</v>
      </c>
      <c r="Z28" s="9">
        <f t="shared" si="3"/>
        <v>5.0036618894314967E-3</v>
      </c>
      <c r="AA28" s="7">
        <f t="shared" si="4"/>
        <v>0.29428892085703068</v>
      </c>
      <c r="AB28" s="13">
        <f t="shared" si="5"/>
        <v>0.23835899580157455</v>
      </c>
    </row>
    <row r="29" spans="1:28" x14ac:dyDescent="0.3">
      <c r="A29">
        <f>A28+Parameters!$B$65</f>
        <v>25</v>
      </c>
      <c r="B29" s="19">
        <v>5.4533475866792323E-2</v>
      </c>
      <c r="C29" s="45">
        <v>4.7509232593109041E-3</v>
      </c>
      <c r="D29" s="18">
        <v>0.2939907507363273</v>
      </c>
      <c r="E29" s="7">
        <f>MAX((1-Parameters!$B$4)^Parameters!B$65*E28+B28*Parameters!B$65-Parameters!$B$5*B28^2/E28*Parameters!B$65,0.0001)</f>
        <v>0.80033087283357185</v>
      </c>
      <c r="F29" s="9">
        <f>(1-Parameters!$B$4)^Parameters!B$65*F28+C28*Parameters!B$65-Parameters!$B$5*C28^2/F28*Parameters!B$65</f>
        <v>0.10165055002005768</v>
      </c>
      <c r="G29" s="7">
        <f>(1-Parameters!$B$4)^Parameters!B$65*G28+D28*Parameters!B$65-Parameters!$B$5*D28^2/G28*Parameters!B$65</f>
        <v>4.3733304630355674</v>
      </c>
      <c r="H29" s="7">
        <f>H28 *(1-Parameters!$B$4)-B28*(B28&lt;0)*Parameters!B$65</f>
        <v>0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23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69.216381116139985</v>
      </c>
      <c r="L29" s="8">
        <f>L28+K29*Parameters!B$65</f>
        <v>3821.9865412194595</v>
      </c>
      <c r="M29" s="7">
        <f>M28+Parameters!$B$45*K29</f>
        <v>2.2931919247316768</v>
      </c>
      <c r="N29" s="7">
        <f>'6states'!O29</f>
        <v>0.96888449829552137</v>
      </c>
      <c r="O29" s="7">
        <f>MAX(O28+(Parameters!B$31-K29)*Parameters!B$65,30)</f>
        <v>30</v>
      </c>
      <c r="P29" s="7">
        <f>Parameters!B$61*EXP(-Parameters!B$60*A29)+(1-Parameters!B$61)*(O29/Parameters!B$62)^-Parameters!B$63</f>
        <v>0.78078309987823724</v>
      </c>
      <c r="Q29" s="9">
        <f>1-P29/Parameters!$B$12</f>
        <v>0.60960845006088138</v>
      </c>
      <c r="R29" s="23">
        <f t="shared" si="0"/>
        <v>2.5615308532060941</v>
      </c>
      <c r="S29" s="7">
        <f>(Parameters!$B$19*(E29+Parameters!$B$20)^Q29+Parameters!$B$18*F29^Q29)^(1/Q29)</f>
        <v>0.54121400347873583</v>
      </c>
      <c r="T29" s="7">
        <f>(Parameters!$B$10*G29^Parameters!$B$9 + Parameters!$B$11*S29^Parameters!$B$9) ^ (Parameters!$B$7/Parameters!$B$9) * N29</f>
        <v>1.4843607963110941</v>
      </c>
      <c r="U29" s="7">
        <f t="shared" si="1"/>
        <v>1.1310856464486636</v>
      </c>
      <c r="V29" s="7">
        <f>EXP(-Parameters!$B$55*A29)</f>
        <v>0.68557320158429325</v>
      </c>
      <c r="W29" s="7">
        <f>IF(U29&gt;0,U29^(1-Parameters!$B$52)/(1-Parameters!$B$52)*V29,-10+U29*1000)</f>
        <v>-1.8761275755553284</v>
      </c>
      <c r="X29" s="7"/>
      <c r="Y29" s="9">
        <f t="shared" si="2"/>
        <v>5.4489804177022726E-2</v>
      </c>
      <c r="Z29" s="9">
        <f t="shared" si="3"/>
        <v>4.8772925743712009E-3</v>
      </c>
      <c r="AA29" s="7">
        <f t="shared" si="4"/>
        <v>0.29413983579667896</v>
      </c>
      <c r="AB29" s="13">
        <f t="shared" si="5"/>
        <v>0.23799816779073077</v>
      </c>
    </row>
    <row r="30" spans="1:28" x14ac:dyDescent="0.3">
      <c r="A30">
        <f>A29+Parameters!$B$65</f>
        <v>26</v>
      </c>
      <c r="B30" s="46">
        <f>B29</f>
        <v>5.4533475866792323E-2</v>
      </c>
      <c r="C30" s="46">
        <f t="shared" ref="C30:C33" si="15">C29</f>
        <v>4.7509232593109041E-3</v>
      </c>
      <c r="D30" s="46">
        <f t="shared" ref="D30:D33" si="16">D29</f>
        <v>0.2939907507363273</v>
      </c>
      <c r="E30" s="7">
        <f>MAX((1-Parameters!$B$4)^Parameters!B$65*E29+B29*Parameters!B$65-Parameters!$B$5*B29^2/E29*Parameters!B$65,0.0001)</f>
        <v>0.80080769864886236</v>
      </c>
      <c r="F30" s="9">
        <f>(1-Parameters!$B$4)^Parameters!B$65*F29+C29*Parameters!B$65-Parameters!$B$5*C29^2/F29*Parameters!B$65</f>
        <v>9.9785605973464406E-2</v>
      </c>
      <c r="G30" s="7">
        <f>(1-Parameters!$B$4)^Parameters!B$65*G29+D29*Parameters!B$65-Parameters!$B$5*D29^2/G29*Parameters!B$65</f>
        <v>4.3724756289630049</v>
      </c>
      <c r="H30" s="7">
        <f>H29 *(1-Parameters!$B$4)-B29*(B29&lt;0)*Parameters!B$65</f>
        <v>0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23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70.005011004320352</v>
      </c>
      <c r="L30" s="8">
        <f>L29+K30*Parameters!B$65</f>
        <v>3891.9915522237798</v>
      </c>
      <c r="M30" s="7">
        <f>M29+Parameters!$B$45*K30</f>
        <v>2.3351949313342688</v>
      </c>
      <c r="N30" s="7">
        <f>'6states'!O30</f>
        <v>0.96849642790759993</v>
      </c>
      <c r="O30" s="7">
        <f>MAX(O29+(Parameters!B$31-K30)*Parameters!B$65,30)</f>
        <v>30</v>
      </c>
      <c r="P30" s="7">
        <f>Parameters!B$61*EXP(-Parameters!B$60*A30)+(1-Parameters!B$61)*(O30/Parameters!B$62)^-Parameters!B$63</f>
        <v>0.77400145242078833</v>
      </c>
      <c r="Q30" s="9">
        <f>1-P30/Parameters!$B$12</f>
        <v>0.61299927378960584</v>
      </c>
      <c r="R30" s="23">
        <f t="shared" si="0"/>
        <v>2.5839744793045862</v>
      </c>
      <c r="S30" s="7">
        <f>(Parameters!$B$19*(E30+Parameters!$B$20)^Q30+Parameters!$B$18*F30^Q30)^(1/Q30)</f>
        <v>0.54094110388571381</v>
      </c>
      <c r="T30" s="7">
        <f>(Parameters!$B$10*G30^Parameters!$B$9 + Parameters!$B$11*S30^Parameters!$B$9) ^ (Parameters!$B$7/Parameters!$B$9) * N30</f>
        <v>1.4836527218972906</v>
      </c>
      <c r="U30" s="7">
        <f t="shared" si="1"/>
        <v>1.1303775720348601</v>
      </c>
      <c r="V30" s="7">
        <f>EXP(-Parameters!$B$55*A30)</f>
        <v>0.67529881309466844</v>
      </c>
      <c r="W30" s="7">
        <f>IF(U30&gt;0,U30^(1-Parameters!$B$52)/(1-Parameters!$B$52)*V30,-10+U30*1000)</f>
        <v>-1.8484159433957379</v>
      </c>
      <c r="X30" s="7"/>
      <c r="Y30" s="9">
        <f t="shared" si="2"/>
        <v>5.4533475866792323E-2</v>
      </c>
      <c r="Z30" s="9">
        <f t="shared" si="3"/>
        <v>4.7509232593109041E-3</v>
      </c>
      <c r="AA30" s="7">
        <f t="shared" si="4"/>
        <v>0.2939907507363273</v>
      </c>
      <c r="AB30" s="13">
        <f t="shared" si="5"/>
        <v>0.23811175260115006</v>
      </c>
    </row>
    <row r="31" spans="1:28" x14ac:dyDescent="0.3">
      <c r="A31">
        <f>A30+Parameters!$B$65</f>
        <v>27</v>
      </c>
      <c r="B31" s="46">
        <f t="shared" ref="B31:B33" si="17">B30</f>
        <v>5.4533475866792323E-2</v>
      </c>
      <c r="C31" s="46">
        <f t="shared" si="15"/>
        <v>4.7509232593109041E-3</v>
      </c>
      <c r="D31" s="46">
        <f t="shared" si="16"/>
        <v>0.2939907507363273</v>
      </c>
      <c r="E31" s="7">
        <f>MAX((1-Parameters!$B$4)^Parameters!B$65*E30+B30*Parameters!B$65-Parameters!$B$5*B30^2/E30*Parameters!B$65,0.0001)</f>
        <v>0.80125674464599805</v>
      </c>
      <c r="F31" s="9">
        <f>(1-Parameters!$B$4)^Parameters!B$65*F30+C30*Parameters!B$65-Parameters!$B$5*C30^2/F30*Parameters!B$65</f>
        <v>9.803381694458789E-2</v>
      </c>
      <c r="G31" s="7">
        <f>(1-Parameters!$B$4)^Parameters!B$65*G30+D30*Parameters!B$65-Parameters!$B$5*D30^2/G30*Parameters!B$65</f>
        <v>4.3716707001996218</v>
      </c>
      <c r="H31" s="7">
        <f>H30 *(1-Parameters!$B$4)-B30*(B30&lt;0)*Parameters!B$65</f>
        <v>0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23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70.803297271022672</v>
      </c>
      <c r="L31" s="8">
        <f>L30+K31*Parameters!B$65</f>
        <v>3962.7948494948023</v>
      </c>
      <c r="M31" s="7">
        <f>M30+Parameters!$B$45*K31</f>
        <v>2.3776769096968824</v>
      </c>
      <c r="N31" s="7">
        <f>'6states'!O31</f>
        <v>0.96811286898171212</v>
      </c>
      <c r="O31" s="7">
        <f>MAX(O30+(Parameters!B$31-K31)*Parameters!B$65,30)</f>
        <v>30</v>
      </c>
      <c r="P31" s="7">
        <f>Parameters!B$61*EXP(-Parameters!B$60*A31)+(1-Parameters!B$61)*(O31/Parameters!B$62)^-Parameters!B$63</f>
        <v>0.76740045963202563</v>
      </c>
      <c r="Q31" s="9">
        <f>1-P31/Parameters!$B$12</f>
        <v>0.61629977018398718</v>
      </c>
      <c r="R31" s="23">
        <f t="shared" si="0"/>
        <v>2.6062012015982048</v>
      </c>
      <c r="S31" s="7">
        <f>(Parameters!$B$19*(E31+Parameters!$B$20)^Q31+Parameters!$B$18*F31^Q31)^(1/Q31)</f>
        <v>0.54070753282359574</v>
      </c>
      <c r="T31" s="7">
        <f>(Parameters!$B$10*G31^Parameters!$B$9 + Parameters!$B$11*S31^Parameters!$B$9) ^ (Parameters!$B$7/Parameters!$B$9) * N31</f>
        <v>1.4829619453982992</v>
      </c>
      <c r="U31" s="7">
        <f t="shared" si="1"/>
        <v>1.1296867955358687</v>
      </c>
      <c r="V31" s="7">
        <f>EXP(-Parameters!$B$55*A31)</f>
        <v>0.66517840241309079</v>
      </c>
      <c r="W31" s="7">
        <f>IF(U31&gt;0,U31^(1-Parameters!$B$52)/(1-Parameters!$B$52)*V31,-10+U31*1000)</f>
        <v>-1.8211041204338176</v>
      </c>
      <c r="X31" s="7"/>
      <c r="Y31" s="9">
        <f t="shared" si="2"/>
        <v>5.4533475866792323E-2</v>
      </c>
      <c r="Z31" s="9">
        <f t="shared" si="3"/>
        <v>4.7509232593109041E-3</v>
      </c>
      <c r="AA31" s="7">
        <f t="shared" si="4"/>
        <v>0.2939907507363273</v>
      </c>
      <c r="AB31" s="13">
        <f t="shared" si="5"/>
        <v>0.23822266711472939</v>
      </c>
    </row>
    <row r="32" spans="1:28" x14ac:dyDescent="0.3">
      <c r="A32">
        <f>A31+Parameters!$B$65</f>
        <v>28</v>
      </c>
      <c r="B32" s="46">
        <f t="shared" si="17"/>
        <v>5.4533475866792323E-2</v>
      </c>
      <c r="C32" s="46">
        <f t="shared" si="15"/>
        <v>4.7509232593109041E-3</v>
      </c>
      <c r="D32" s="46">
        <f t="shared" si="16"/>
        <v>0.2939907507363273</v>
      </c>
      <c r="E32" s="7">
        <f>MAX((1-Parameters!$B$4)^Parameters!B$65*E31+B31*Parameters!B$65-Parameters!$B$5*B31^2/E31*Parameters!B$65,0.0001)</f>
        <v>0.80167962686636884</v>
      </c>
      <c r="F32" s="9">
        <f>(1-Parameters!$B$4)^Parameters!B$65*F31+C31*Parameters!B$65-Parameters!$B$5*C31^2/F31*Parameters!B$65</f>
        <v>9.6388173466917526E-2</v>
      </c>
      <c r="G32" s="7">
        <f>(1-Parameters!$B$4)^Parameters!B$65*G31+D31*Parameters!B$65-Parameters!$B$5*D31^2/G31*Parameters!B$65</f>
        <v>4.3709127618865757</v>
      </c>
      <c r="H32" s="7">
        <f>H31 *(1-Parameters!$B$4)-B31*(B31&lt;0)*Parameters!B$65</f>
        <v>0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23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71.611454903872854</v>
      </c>
      <c r="L32" s="8">
        <f>L31+K32*Parameters!B$65</f>
        <v>4034.4063043986753</v>
      </c>
      <c r="M32" s="7">
        <f>M31+Parameters!$B$45*K32</f>
        <v>2.420643782639206</v>
      </c>
      <c r="N32" s="7">
        <f>'6states'!O32</f>
        <v>0.96773377001725802</v>
      </c>
      <c r="O32" s="7">
        <f>MAX(O31+(Parameters!B$31-K32)*Parameters!B$65,30)</f>
        <v>30</v>
      </c>
      <c r="P32" s="7">
        <f>Parameters!B$61*EXP(-Parameters!B$60*A32)+(1-Parameters!B$61)*(O32/Parameters!B$62)^-Parameters!B$63</f>
        <v>0.76097530909586231</v>
      </c>
      <c r="Q32" s="9">
        <f>1-P32/Parameters!$B$12</f>
        <v>0.61951234545206879</v>
      </c>
      <c r="R32" s="23">
        <f t="shared" si="0"/>
        <v>2.6282061666051426</v>
      </c>
      <c r="S32" s="7">
        <f>(Parameters!$B$19*(E32+Parameters!$B$20)^Q32+Parameters!$B$18*F32^Q32)^(1/Q32)</f>
        <v>0.54051034135417719</v>
      </c>
      <c r="T32" s="7">
        <f>(Parameters!$B$10*G32^Parameters!$B$9 + Parameters!$B$11*S32^Parameters!$B$9) ^ (Parameters!$B$7/Parameters!$B$9) * N32</f>
        <v>1.4822876868117854</v>
      </c>
      <c r="U32" s="7">
        <f t="shared" si="1"/>
        <v>1.1290125369493549</v>
      </c>
      <c r="V32" s="7">
        <f>EXP(-Parameters!$B$55*A32)</f>
        <v>0.65520966194087471</v>
      </c>
      <c r="W32" s="7">
        <f>IF(U32&gt;0,U32^(1-Parameters!$B$52)/(1-Parameters!$B$52)*V32,-10+U32*1000)</f>
        <v>-1.7941868988052307</v>
      </c>
      <c r="X32" s="7"/>
      <c r="Y32" s="9">
        <f t="shared" si="2"/>
        <v>5.4533475866792323E-2</v>
      </c>
      <c r="Z32" s="9">
        <f t="shared" si="3"/>
        <v>4.7509232593109041E-3</v>
      </c>
      <c r="AA32" s="7">
        <f t="shared" si="4"/>
        <v>0.2939907507363273</v>
      </c>
      <c r="AB32" s="13">
        <f t="shared" si="5"/>
        <v>0.23833102912854995</v>
      </c>
    </row>
    <row r="33" spans="1:28" x14ac:dyDescent="0.3">
      <c r="A33">
        <f>A32+Parameters!$B$65</f>
        <v>29</v>
      </c>
      <c r="B33" s="46">
        <f t="shared" si="17"/>
        <v>5.4533475866792323E-2</v>
      </c>
      <c r="C33" s="46">
        <f t="shared" si="15"/>
        <v>4.7509232593109041E-3</v>
      </c>
      <c r="D33" s="46">
        <f t="shared" si="16"/>
        <v>0.2939907507363273</v>
      </c>
      <c r="E33" s="7">
        <f>MAX((1-Parameters!$B$4)^Parameters!B$65*E32+B32*Parameters!B$65-Parameters!$B$5*B32^2/E32*Parameters!B$65,0.0001)</f>
        <v>0.80207786761724031</v>
      </c>
      <c r="F33" s="9">
        <f>(1-Parameters!$B$4)^Parameters!B$65*F32+C32*Parameters!B$65-Parameters!$B$5*C32^2/F32*Parameters!B$65</f>
        <v>9.4842110062860099E-2</v>
      </c>
      <c r="G33" s="7">
        <f>(1-Parameters!$B$4)^Parameters!B$65*G32+D32*Parameters!B$65-Parameters!$B$5*D32^2/G32*Parameters!B$65</f>
        <v>4.3701990695713402</v>
      </c>
      <c r="H33" s="7">
        <f>H32 *(1-Parameters!$B$4)-B32*(B32&lt;0)*Parameters!B$65</f>
        <v>0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23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72.429696504044799</v>
      </c>
      <c r="L33" s="8">
        <f>L32+K33*Parameters!B$65</f>
        <v>4106.8360009027201</v>
      </c>
      <c r="M33" s="7">
        <f>M32+Parameters!$B$45*K33</f>
        <v>2.4641016005416327</v>
      </c>
      <c r="N33" s="7">
        <f>'6states'!O33</f>
        <v>0.96735884394713334</v>
      </c>
      <c r="O33" s="7">
        <f>MAX(O32+(Parameters!B$31-K33)*Parameters!B$65,30)</f>
        <v>30</v>
      </c>
      <c r="P33" s="7">
        <f>Parameters!B$61*EXP(-Parameters!B$60*A33)+(1-Parameters!B$61)*(O33/Parameters!B$62)^-Parameters!B$63</f>
        <v>0.75472131659300157</v>
      </c>
      <c r="Q33" s="9">
        <f>1-P33/Parameters!$B$12</f>
        <v>0.62263934170349922</v>
      </c>
      <c r="R33" s="23">
        <f t="shared" si="0"/>
        <v>2.6499847772002703</v>
      </c>
      <c r="S33" s="7">
        <f>(Parameters!$B$19*(E33+Parameters!$B$20)^Q33+Parameters!$B$18*F33^Q33)^(1/Q33)</f>
        <v>0.54034675252226205</v>
      </c>
      <c r="T33" s="7">
        <f>(Parameters!$B$10*G33^Parameters!$B$9 + Parameters!$B$11*S33^Parameters!$B$9) ^ (Parameters!$B$7/Parameters!$B$9) * N33</f>
        <v>1.4816288424321589</v>
      </c>
      <c r="U33" s="7">
        <f t="shared" si="1"/>
        <v>1.1283536925697284</v>
      </c>
      <c r="V33" s="7">
        <f>EXP(-Parameters!$B$55*A33)</f>
        <v>0.64539031866231678</v>
      </c>
      <c r="W33" s="7">
        <f>IF(U33&gt;0,U33^(1-Parameters!$B$52)/(1-Parameters!$B$52)*V33,-10+U33*1000)</f>
        <v>-1.7676593018798279</v>
      </c>
      <c r="X33" s="7"/>
      <c r="Y33" s="9">
        <f t="shared" si="2"/>
        <v>5.457601566961684E-2</v>
      </c>
      <c r="Z33" s="9">
        <f t="shared" si="3"/>
        <v>4.5969769478410765E-3</v>
      </c>
      <c r="AA33" s="7">
        <f t="shared" si="4"/>
        <v>0.29384386111978678</v>
      </c>
      <c r="AB33" s="13">
        <f t="shared" si="5"/>
        <v>0.23843700915170754</v>
      </c>
    </row>
    <row r="34" spans="1:28" x14ac:dyDescent="0.3">
      <c r="A34">
        <f>A33+Parameters!$B$65</f>
        <v>30</v>
      </c>
      <c r="B34" s="19">
        <v>5.4661095275265872E-2</v>
      </c>
      <c r="C34" s="45">
        <v>4.289084324901422E-3</v>
      </c>
      <c r="D34" s="18">
        <v>0.29355008188670573</v>
      </c>
      <c r="E34" s="7">
        <f>MAX((1-Parameters!$B$4)^Parameters!B$65*E33+B33*Parameters!B$65-Parameters!$B$5*B33^2/E33*Parameters!B$65,0.0001)</f>
        <v>0.8024529008766611</v>
      </c>
      <c r="F34" s="9">
        <f>(1-Parameters!$B$4)^Parameters!B$65*F33+C33*Parameters!B$65-Parameters!$B$5*C33^2/F33*Parameters!B$65</f>
        <v>9.3389476728629864E-2</v>
      </c>
      <c r="G34" s="7">
        <f>(1-Parameters!$B$4)^Parameters!B$65*G33+D33*Parameters!B$65-Parameters!$B$5*D33^2/G33*Parameters!B$65</f>
        <v>4.3695270392279886</v>
      </c>
      <c r="H34" s="7">
        <f>H33 *(1-Parameters!$B$4)-B33*(B33&lt;0)*Parameters!B$65</f>
        <v>0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23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73.258232531318555</v>
      </c>
      <c r="L34" s="8">
        <f>L33+K34*Parameters!B$65</f>
        <v>4180.0942334340389</v>
      </c>
      <c r="M34" s="7">
        <f>M33+Parameters!$B$45*K34</f>
        <v>2.5080565400604238</v>
      </c>
      <c r="N34" s="7">
        <f>'6states'!O34</f>
        <v>0.96698796017949651</v>
      </c>
      <c r="O34" s="7">
        <f>MAX(O33+(Parameters!B$31-K34)*Parameters!B$65,30)</f>
        <v>30</v>
      </c>
      <c r="P34" s="7">
        <f>Parameters!B$61*EXP(-Parameters!B$60*A34)+(1-Parameters!B$61)*(O34/Parameters!B$62)^-Parameters!B$63</f>
        <v>0.74863392268593321</v>
      </c>
      <c r="Q34" s="9">
        <f>1-P34/Parameters!$B$12</f>
        <v>0.62568303865703334</v>
      </c>
      <c r="R34" s="23">
        <f t="shared" si="0"/>
        <v>2.6715326936087016</v>
      </c>
      <c r="S34" s="7">
        <f>(Parameters!$B$19*(E34+Parameters!$B$20)^Q34+Parameters!$B$18*F34^Q34)^(1/Q34)</f>
        <v>0.54021415478765444</v>
      </c>
      <c r="T34" s="7">
        <f>(Parameters!$B$10*G34^Parameters!$B$9 + Parameters!$B$11*S34^Parameters!$B$9) ^ (Parameters!$B$7/Parameters!$B$9) * N34</f>
        <v>1.4809845844487706</v>
      </c>
      <c r="U34" s="7">
        <f t="shared" si="1"/>
        <v>1.1284843229618975</v>
      </c>
      <c r="V34" s="7">
        <f>EXP(-Parameters!$B$55*A34)</f>
        <v>0.63571813362641427</v>
      </c>
      <c r="W34" s="7">
        <f>IF(U34&gt;0,U34^(1-Parameters!$B$52)/(1-Parameters!$B$52)*V34,-10+U34*1000)</f>
        <v>-1.7410976116818477</v>
      </c>
      <c r="X34" s="7"/>
      <c r="Y34" s="9">
        <f t="shared" si="2"/>
        <v>5.4618555472441356E-2</v>
      </c>
      <c r="Z34" s="9">
        <f t="shared" si="3"/>
        <v>4.4430306363712497E-3</v>
      </c>
      <c r="AA34" s="7">
        <f t="shared" si="4"/>
        <v>0.29369697150324625</v>
      </c>
      <c r="AB34" s="13">
        <f t="shared" si="5"/>
        <v>0.23801750888452042</v>
      </c>
    </row>
    <row r="35" spans="1:28" x14ac:dyDescent="0.3">
      <c r="A35">
        <f>A34+Parameters!$B$65</f>
        <v>31</v>
      </c>
      <c r="B35" s="46">
        <f>B34</f>
        <v>5.4661095275265872E-2</v>
      </c>
      <c r="C35" s="46">
        <f t="shared" ref="C35:D35" si="18">C34</f>
        <v>4.289084324901422E-3</v>
      </c>
      <c r="D35" s="46">
        <f t="shared" si="18"/>
        <v>0.29355008188670573</v>
      </c>
      <c r="E35" s="7">
        <f>MAX((1-Parameters!$B$4)^Parameters!B$65*E34+B34*Parameters!B$65-Parameters!$B$5*B34^2/E34*Parameters!B$65,0.0001)</f>
        <v>0.80291633086183412</v>
      </c>
      <c r="F35" s="9">
        <f>(1-Parameters!$B$4)^Parameters!B$65*F34+C34*Parameters!B$65-Parameters!$B$5*C34^2/F34*Parameters!B$65</f>
        <v>9.1607378842423426E-2</v>
      </c>
      <c r="G35" s="7">
        <f>(1-Parameters!$B$4)^Parameters!B$65*G34+D34*Parameters!B$65-Parameters!$B$5*D34^2/G34*Parameters!B$65</f>
        <v>4.3685128227825922</v>
      </c>
      <c r="H35" s="7">
        <f>H34 *(1-Parameters!$B$4)-B34*(B34&lt;0)*Parameters!B$65</f>
        <v>0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23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74.107447695483614</v>
      </c>
      <c r="L35" s="8">
        <f>L34+K35*Parameters!B$65</f>
        <v>4254.2016811295225</v>
      </c>
      <c r="M35" s="7">
        <f>M34+Parameters!$B$45*K35</f>
        <v>2.5525210086777141</v>
      </c>
      <c r="N35" s="7">
        <f>'6states'!O35</f>
        <v>0.96662086518298562</v>
      </c>
      <c r="O35" s="7">
        <f>MAX(O34+(Parameters!B$31-K35)*Parameters!B$65,30)</f>
        <v>30</v>
      </c>
      <c r="P35" s="7">
        <f>Parameters!B$61*EXP(-Parameters!B$60*A35)+(1-Parameters!B$61)*(O35/Parameters!B$62)^-Parameters!B$63</f>
        <v>0.74270868939490153</v>
      </c>
      <c r="Q35" s="9">
        <f>1-P35/Parameters!$B$12</f>
        <v>0.62864565530254923</v>
      </c>
      <c r="R35" s="23">
        <f t="shared" si="0"/>
        <v>2.692845833848311</v>
      </c>
      <c r="S35" s="7">
        <f>(Parameters!$B$19*(E35+Parameters!$B$20)^Q35+Parameters!$B$18*F35^Q35)^(1/Q35)</f>
        <v>0.53993131897074531</v>
      </c>
      <c r="T35" s="7">
        <f>(Parameters!$B$10*G35^Parameters!$B$9 + Parameters!$B$11*S35^Parameters!$B$9) ^ (Parameters!$B$7/Parameters!$B$9) * N35</f>
        <v>1.4802942073351972</v>
      </c>
      <c r="U35" s="7">
        <f t="shared" si="1"/>
        <v>1.1277939458483242</v>
      </c>
      <c r="V35" s="7">
        <f>EXP(-Parameters!$B$55*A35)</f>
        <v>0.62619090143635336</v>
      </c>
      <c r="W35" s="7">
        <f>IF(U35&gt;0,U35^(1-Parameters!$B$52)/(1-Parameters!$B$52)*V35,-10+U35*1000)</f>
        <v>-1.715371906147064</v>
      </c>
      <c r="X35" s="7"/>
      <c r="Y35" s="9">
        <f t="shared" si="2"/>
        <v>5.4661095275265879E-2</v>
      </c>
      <c r="Z35" s="9">
        <f t="shared" si="3"/>
        <v>4.289084324901422E-3</v>
      </c>
      <c r="AA35" s="7">
        <f t="shared" si="4"/>
        <v>0.29355008188670573</v>
      </c>
      <c r="AB35" s="13">
        <f t="shared" si="5"/>
        <v>0.2381285150885232</v>
      </c>
    </row>
    <row r="36" spans="1:28" x14ac:dyDescent="0.3">
      <c r="A36">
        <f>A35+Parameters!$B$65</f>
        <v>32</v>
      </c>
      <c r="B36" s="46">
        <f t="shared" ref="B36:B43" si="19">B35</f>
        <v>5.4661095275265872E-2</v>
      </c>
      <c r="C36" s="46">
        <f t="shared" ref="C36:C43" si="20">C35</f>
        <v>4.289084324901422E-3</v>
      </c>
      <c r="D36" s="46">
        <f t="shared" ref="D36:D43" si="21">D35</f>
        <v>0.29355008188670573</v>
      </c>
      <c r="E36" s="7">
        <f>MAX((1-Parameters!$B$4)^Parameters!B$65*E35+B35*Parameters!B$65-Parameters!$B$5*B35^2/E35*Parameters!B$65,0.0001)</f>
        <v>0.80335276017284662</v>
      </c>
      <c r="F36" s="9">
        <f>(1-Parameters!$B$4)^Parameters!B$65*F35+C35*Parameters!B$65-Parameters!$B$5*C35^2/F35*Parameters!B$65</f>
        <v>8.9933542853036758E-2</v>
      </c>
      <c r="G36" s="7">
        <f>(1-Parameters!$B$4)^Parameters!B$65*G35+D35*Parameters!B$65-Parameters!$B$5*D35^2/G35*Parameters!B$65</f>
        <v>4.3675578220115971</v>
      </c>
      <c r="H36" s="7">
        <f>H35 *(1-Parameters!$B$4)-B35*(B35&lt;0)*Parameters!B$65</f>
        <v>0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23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74.966998831818884</v>
      </c>
      <c r="L36" s="8">
        <f>L35+K36*Parameters!B$65</f>
        <v>4329.1686799613417</v>
      </c>
      <c r="M36" s="7">
        <f>M35+Parameters!$B$45*K36</f>
        <v>2.5975012079768054</v>
      </c>
      <c r="N36" s="7">
        <f>'6states'!O36</f>
        <v>0.96625718808659344</v>
      </c>
      <c r="O36" s="7">
        <f>MAX(O35+(Parameters!B$31-K36)*Parameters!B$65,30)</f>
        <v>30</v>
      </c>
      <c r="P36" s="7">
        <f>Parameters!B$61*EXP(-Parameters!B$60*A36)+(1-Parameters!B$61)*(O36/Parameters!B$62)^-Parameters!B$63</f>
        <v>0.7369412969624215</v>
      </c>
      <c r="Q36" s="9">
        <f>1-P36/Parameters!$B$12</f>
        <v>0.63152935151878919</v>
      </c>
      <c r="R36" s="23">
        <f t="shared" si="0"/>
        <v>2.713920373635927</v>
      </c>
      <c r="S36" s="7">
        <f>(Parameters!$B$19*(E36+Parameters!$B$20)^Q36+Parameters!$B$18*F36^Q36)^(1/Q36)</f>
        <v>0.53968588367644199</v>
      </c>
      <c r="T36" s="7">
        <f>(Parameters!$B$10*G36^Parameters!$B$9 + Parameters!$B$11*S36^Parameters!$B$9) ^ (Parameters!$B$7/Parameters!$B$9) * N36</f>
        <v>1.4796199195786006</v>
      </c>
      <c r="U36" s="7">
        <f t="shared" si="1"/>
        <v>1.1271196580917273</v>
      </c>
      <c r="V36" s="7">
        <f>EXP(-Parameters!$B$55*A36)</f>
        <v>0.61680644974664667</v>
      </c>
      <c r="W36" s="7">
        <f>IF(U36&gt;0,U36^(1-Parameters!$B$52)/(1-Parameters!$B$52)*V36,-10+U36*1000)</f>
        <v>-1.6900180904788964</v>
      </c>
      <c r="X36" s="7"/>
      <c r="Y36" s="9">
        <f t="shared" si="2"/>
        <v>5.4661095275265879E-2</v>
      </c>
      <c r="Z36" s="9">
        <f t="shared" si="3"/>
        <v>4.289084324901422E-3</v>
      </c>
      <c r="AA36" s="7">
        <f t="shared" si="4"/>
        <v>0.29355008188670573</v>
      </c>
      <c r="AB36" s="13">
        <f t="shared" si="5"/>
        <v>0.23823703426976434</v>
      </c>
    </row>
    <row r="37" spans="1:28" x14ac:dyDescent="0.3">
      <c r="A37">
        <f>A36+Parameters!$B$65</f>
        <v>33</v>
      </c>
      <c r="B37" s="46">
        <f t="shared" si="19"/>
        <v>5.4661095275265872E-2</v>
      </c>
      <c r="C37" s="46">
        <f t="shared" si="20"/>
        <v>4.289084324901422E-3</v>
      </c>
      <c r="D37" s="46">
        <f t="shared" si="21"/>
        <v>0.29355008188670573</v>
      </c>
      <c r="E37" s="7">
        <f>MAX((1-Parameters!$B$4)^Parameters!B$65*E36+B36*Parameters!B$65-Parameters!$B$5*B36^2/E36*Parameters!B$65,0.0001)</f>
        <v>0.80376375967442171</v>
      </c>
      <c r="F37" s="9">
        <f>(1-Parameters!$B$4)^Parameters!B$65*F36+C36*Parameters!B$65-Parameters!$B$5*C36^2/F36*Parameters!B$65</f>
        <v>8.8361253572422069E-2</v>
      </c>
      <c r="G37" s="7">
        <f>(1-Parameters!$B$4)^Parameters!B$65*G36+D36*Parameters!B$65-Parameters!$B$5*D36^2/G36*Parameters!B$65</f>
        <v>4.3666585776262492</v>
      </c>
      <c r="H37" s="7">
        <f>H36 *(1-Parameters!$B$4)-B36*(B36&lt;0)*Parameters!B$65</f>
        <v>0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23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75.837111522425516</v>
      </c>
      <c r="L37" s="8">
        <f>L36+K37*Parameters!B$65</f>
        <v>4405.0057914837671</v>
      </c>
      <c r="M37" s="7">
        <f>M36+Parameters!$B$45*K37</f>
        <v>2.6430034748902607</v>
      </c>
      <c r="N37" s="7">
        <f>'6states'!O37</f>
        <v>0.9658966337018694</v>
      </c>
      <c r="O37" s="7">
        <f>MAX(O36+(Parameters!B$31-K37)*Parameters!B$65,30)</f>
        <v>30</v>
      </c>
      <c r="P37" s="7">
        <f>Parameters!B$61*EXP(-Parameters!B$60*A37)+(1-Parameters!B$61)*(O37/Parameters!B$62)^-Parameters!B$63</f>
        <v>0.73132754070398465</v>
      </c>
      <c r="Q37" s="9">
        <f>1-P37/Parameters!$B$12</f>
        <v>0.63433622964800773</v>
      </c>
      <c r="R37" s="23">
        <f t="shared" si="0"/>
        <v>2.7347527457734961</v>
      </c>
      <c r="S37" s="7">
        <f>(Parameters!$B$19*(E37+Parameters!$B$20)^Q37+Parameters!$B$18*F37^Q37)^(1/Q37)</f>
        <v>0.53947510652293196</v>
      </c>
      <c r="T37" s="7">
        <f>(Parameters!$B$10*G37^Parameters!$B$9 + Parameters!$B$11*S37^Parameters!$B$9) ^ (Parameters!$B$7/Parameters!$B$9) * N37</f>
        <v>1.4789605547587268</v>
      </c>
      <c r="U37" s="7">
        <f t="shared" si="1"/>
        <v>1.1264602932718537</v>
      </c>
      <c r="V37" s="7">
        <f>EXP(-Parameters!$B$55*A37)</f>
        <v>0.60756263876780681</v>
      </c>
      <c r="W37" s="7">
        <f>IF(U37&gt;0,U37^(1-Parameters!$B$52)/(1-Parameters!$B$52)*V37,-10+U37*1000)</f>
        <v>-1.6650315016441974</v>
      </c>
      <c r="X37" s="7"/>
      <c r="Y37" s="9">
        <f t="shared" ref="Y37:Y63" si="22">SUM(B36:B38)/3</f>
        <v>5.4661095275265879E-2</v>
      </c>
      <c r="Z37" s="9">
        <f t="shared" ref="Z37:Z63" si="23">SUM(C36:C38)/3</f>
        <v>4.289084324901422E-3</v>
      </c>
      <c r="AA37" s="7">
        <f t="shared" ref="AA37:AA63" si="24">SUM(D36:D38)/3</f>
        <v>0.29355008188670573</v>
      </c>
      <c r="AB37" s="13">
        <f t="shared" si="5"/>
        <v>0.23834324746029406</v>
      </c>
    </row>
    <row r="38" spans="1:28" x14ac:dyDescent="0.3">
      <c r="A38">
        <f>A37+Parameters!$B$65</f>
        <v>34</v>
      </c>
      <c r="B38" s="46">
        <f t="shared" si="19"/>
        <v>5.4661095275265872E-2</v>
      </c>
      <c r="C38" s="46">
        <f t="shared" si="20"/>
        <v>4.289084324901422E-3</v>
      </c>
      <c r="D38" s="46">
        <f t="shared" si="21"/>
        <v>0.29355008188670573</v>
      </c>
      <c r="E38" s="7">
        <f>MAX((1-Parameters!$B$4)^Parameters!B$65*E37+B37*Parameters!B$65-Parameters!$B$5*B37^2/E37*Parameters!B$65,0.0001)</f>
        <v>0.80415080910034364</v>
      </c>
      <c r="F38" s="9">
        <f>(1-Parameters!$B$4)^Parameters!B$65*F37+C37*Parameters!B$65-Parameters!$B$5*C37^2/F37*Parameters!B$65</f>
        <v>8.6884221483104748E-2</v>
      </c>
      <c r="G38" s="7">
        <f>(1-Parameters!$B$4)^Parameters!B$65*G37+D37*Parameters!B$65-Parameters!$B$5*D37^2/G37*Parameters!B$65</f>
        <v>4.3658118326432795</v>
      </c>
      <c r="H38" s="7">
        <f>H37 *(1-Parameters!$B$4)-B37*(B37&lt;0)*Parameters!B$65</f>
        <v>0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23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76.718009084457918</v>
      </c>
      <c r="L38" s="8">
        <f>L37+K38*Parameters!B$65</f>
        <v>4481.7238005682248</v>
      </c>
      <c r="M38" s="7">
        <f>M37+Parameters!$B$45*K38</f>
        <v>2.6890342803409353</v>
      </c>
      <c r="N38" s="7">
        <f>'6states'!O38</f>
        <v>0.96553846244845176</v>
      </c>
      <c r="O38" s="7">
        <f>MAX(O37+(Parameters!B$31-K38)*Parameters!B$65,30)</f>
        <v>30</v>
      </c>
      <c r="P38" s="7">
        <f>Parameters!B$61*EXP(-Parameters!B$60*A38)+(1-Parameters!B$61)*(O38/Parameters!B$62)^-Parameters!B$63</f>
        <v>0.72586332794265762</v>
      </c>
      <c r="Q38" s="9">
        <f>1-P38/Parameters!$B$12</f>
        <v>0.63706833602867119</v>
      </c>
      <c r="R38" s="23">
        <f t="shared" si="0"/>
        <v>2.7553396390318783</v>
      </c>
      <c r="S38" s="7">
        <f>(Parameters!$B$19*(E38+Parameters!$B$20)^Q38+Parameters!$B$18*F38^Q38)^(1/Q38)</f>
        <v>0.53929640275646662</v>
      </c>
      <c r="T38" s="7">
        <f>(Parameters!$B$10*G38^Parameters!$B$9 + Parameters!$B$11*S38^Parameters!$B$9) ^ (Parameters!$B$7/Parameters!$B$9) * N38</f>
        <v>1.4783143041954703</v>
      </c>
      <c r="U38" s="7">
        <f t="shared" si="1"/>
        <v>1.1258140427085972</v>
      </c>
      <c r="V38" s="7">
        <f>EXP(-Parameters!$B$55*A38)</f>
        <v>0.59845736077844469</v>
      </c>
      <c r="W38" s="7">
        <f>IF(U38&gt;0,U38^(1-Parameters!$B$52)/(1-Parameters!$B$52)*V38,-10+U38*1000)</f>
        <v>-1.6404078433211149</v>
      </c>
      <c r="X38" s="7"/>
      <c r="Y38" s="9">
        <f t="shared" si="22"/>
        <v>5.4661095275265879E-2</v>
      </c>
      <c r="Z38" s="9">
        <f t="shared" si="23"/>
        <v>4.289084324901422E-3</v>
      </c>
      <c r="AA38" s="7">
        <f t="shared" si="24"/>
        <v>0.29355008188670573</v>
      </c>
      <c r="AB38" s="13">
        <f t="shared" si="5"/>
        <v>0.23844744009205207</v>
      </c>
    </row>
    <row r="39" spans="1:28" x14ac:dyDescent="0.3">
      <c r="A39">
        <f>A38+Parameters!$B$65</f>
        <v>35</v>
      </c>
      <c r="B39" s="46">
        <f t="shared" si="19"/>
        <v>5.4661095275265872E-2</v>
      </c>
      <c r="C39" s="46">
        <f t="shared" si="20"/>
        <v>4.289084324901422E-3</v>
      </c>
      <c r="D39" s="46">
        <f t="shared" si="21"/>
        <v>0.29355008188670573</v>
      </c>
      <c r="E39" s="7">
        <f>MAX((1-Parameters!$B$4)^Parameters!B$65*E38+B38*Parameters!B$65-Parameters!$B$5*B38^2/E38*Parameters!B$65,0.0001)</f>
        <v>0.80451530231026214</v>
      </c>
      <c r="F39" s="9">
        <f>(1-Parameters!$B$4)^Parameters!B$65*F38+C38*Parameters!B$65-Parameters!$B$5*C38^2/F38*Parameters!B$65</f>
        <v>8.5496555420832135E-2</v>
      </c>
      <c r="G39" s="7">
        <f>(1-Parameters!$B$4)^Parameters!B$65*G38+D38*Parameters!B$65-Parameters!$B$5*D38^2/G38*Parameters!B$65</f>
        <v>4.3650145205290691</v>
      </c>
      <c r="H39" s="7">
        <f>H38 *(1-Parameters!$B$4)-B38*(B38&lt;0)*Parameters!B$65</f>
        <v>0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23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77.609912814578806</v>
      </c>
      <c r="L39" s="8">
        <f>L38+K39*Parameters!B$65</f>
        <v>4559.3337133828036</v>
      </c>
      <c r="M39" s="7">
        <f>M38+Parameters!$B$45*K39</f>
        <v>2.7356002280296825</v>
      </c>
      <c r="N39" s="7">
        <f>'6states'!O39</f>
        <v>0.96518188916486725</v>
      </c>
      <c r="O39" s="7">
        <f>MAX(O38+(Parameters!B$31-K39)*Parameters!B$65,30)</f>
        <v>30</v>
      </c>
      <c r="P39" s="7">
        <f>Parameters!B$61*EXP(-Parameters!B$60*A39)+(1-Parameters!B$61)*(O39/Parameters!B$62)^-Parameters!B$63</f>
        <v>0.72054467502533914</v>
      </c>
      <c r="Q39" s="9">
        <f>1-P39/Parameters!$B$12</f>
        <v>0.63972766248733048</v>
      </c>
      <c r="R39" s="23">
        <f t="shared" si="0"/>
        <v>2.7756779965512437</v>
      </c>
      <c r="S39" s="7">
        <f>(Parameters!$B$19*(E39+Parameters!$B$20)^Q39+Parameters!$B$18*F39^Q39)^(1/Q39)</f>
        <v>0.53914733925478786</v>
      </c>
      <c r="T39" s="7">
        <f>(Parameters!$B$10*G39^Parameters!$B$9 + Parameters!$B$11*S39^Parameters!$B$9) ^ (Parameters!$B$7/Parameters!$B$9) * N39</f>
        <v>1.4776793265707846</v>
      </c>
      <c r="U39" s="7">
        <f t="shared" si="1"/>
        <v>1.1251790650839113</v>
      </c>
      <c r="V39" s="7">
        <f>EXP(-Parameters!$B$55*A39)</f>
        <v>0.58948853964467807</v>
      </c>
      <c r="W39" s="7">
        <f>IF(U39&gt;0,U39^(1-Parameters!$B$52)/(1-Parameters!$B$52)*V39,-10+U39*1000)</f>
        <v>-1.6161428562149038</v>
      </c>
      <c r="X39" s="7"/>
      <c r="Y39" s="9">
        <f t="shared" si="22"/>
        <v>5.4661095275265879E-2</v>
      </c>
      <c r="Z39" s="9">
        <f t="shared" si="23"/>
        <v>4.289084324901422E-3</v>
      </c>
      <c r="AA39" s="7">
        <f t="shared" si="24"/>
        <v>0.29355008188670573</v>
      </c>
      <c r="AB39" s="13">
        <f t="shared" si="5"/>
        <v>0.23854990399365741</v>
      </c>
    </row>
    <row r="40" spans="1:28" x14ac:dyDescent="0.3">
      <c r="A40">
        <f>A39+Parameters!$B$65</f>
        <v>36</v>
      </c>
      <c r="B40" s="46">
        <f t="shared" si="19"/>
        <v>5.4661095275265872E-2</v>
      </c>
      <c r="C40" s="46">
        <f t="shared" si="20"/>
        <v>4.289084324901422E-3</v>
      </c>
      <c r="D40" s="46">
        <f t="shared" si="21"/>
        <v>0.29355008188670573</v>
      </c>
      <c r="E40" s="7">
        <f>MAX((1-Parameters!$B$4)^Parameters!B$65*E39+B39*Parameters!B$65-Parameters!$B$5*B39^2/E39*Parameters!B$65,0.0001)</f>
        <v>0.80485855224675751</v>
      </c>
      <c r="F40" s="9">
        <f>(1-Parameters!$B$4)^Parameters!B$65*F39+C39*Parameters!B$65-Parameters!$B$5*C39^2/F39*Parameters!B$65</f>
        <v>8.4192736988544251E-2</v>
      </c>
      <c r="G40" s="7">
        <f>(1-Parameters!$B$4)^Parameters!B$65*G39+D39*Parameters!B$65-Parameters!$B$5*D39^2/G39*Parameters!B$65</f>
        <v>4.3642637540413673</v>
      </c>
      <c r="H40" s="7">
        <f>H39 *(1-Parameters!$B$4)-B39*(B39&lt;0)*Parameters!B$65</f>
        <v>0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23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78.513042222126344</v>
      </c>
      <c r="L40" s="8">
        <f>L39+K40*Parameters!B$65</f>
        <v>4637.84675560493</v>
      </c>
      <c r="M40" s="7">
        <f>M39+Parameters!$B$45*K40</f>
        <v>2.7827080533629585</v>
      </c>
      <c r="N40" s="7">
        <f>'6states'!O40</f>
        <v>0.96485600361094426</v>
      </c>
      <c r="O40" s="7">
        <f>MAX(O39+(Parameters!B$31-K40)*Parameters!B$65,30)</f>
        <v>30</v>
      </c>
      <c r="P40" s="7">
        <f>Parameters!B$61*EXP(-Parameters!B$60*A40)+(1-Parameters!B$61)*(O40/Parameters!B$62)^-Parameters!B$63</f>
        <v>0.71536770441850106</v>
      </c>
      <c r="Q40" s="9">
        <f>1-P40/Parameters!$B$12</f>
        <v>0.64231614779074953</v>
      </c>
      <c r="R40" s="23">
        <f t="shared" si="0"/>
        <v>2.7957650137781025</v>
      </c>
      <c r="S40" s="7">
        <f>(Parameters!$B$19*(E40+Parameters!$B$20)^Q40+Parameters!$B$18*F40^Q40)^(1/Q40)</f>
        <v>0.53902562840882506</v>
      </c>
      <c r="T40" s="7">
        <f>(Parameters!$B$10*G40^Parameters!$B$9 + Parameters!$B$11*S40^Parameters!$B$9) ^ (Parameters!$B$7/Parameters!$B$9) * N40</f>
        <v>1.4770995520188355</v>
      </c>
      <c r="U40" s="7">
        <f t="shared" si="1"/>
        <v>1.1245992905319624</v>
      </c>
      <c r="V40" s="7">
        <f>EXP(-Parameters!$B$55*A40)</f>
        <v>0.58065413034674362</v>
      </c>
      <c r="W40" s="7">
        <f>IF(U40&gt;0,U40^(1-Parameters!$B$52)/(1-Parameters!$B$52)*V40,-10+U40*1000)</f>
        <v>-1.5922096196583753</v>
      </c>
      <c r="X40" s="7"/>
      <c r="Y40" s="9">
        <f t="shared" si="22"/>
        <v>5.4661095275265879E-2</v>
      </c>
      <c r="Z40" s="9">
        <f t="shared" si="23"/>
        <v>4.289084324901422E-3</v>
      </c>
      <c r="AA40" s="7">
        <f t="shared" si="24"/>
        <v>0.29355008188670573</v>
      </c>
      <c r="AB40" s="13">
        <f t="shared" si="5"/>
        <v>0.23864353692687199</v>
      </c>
    </row>
    <row r="41" spans="1:28" x14ac:dyDescent="0.3">
      <c r="A41">
        <f>A40+Parameters!$B$65</f>
        <v>37</v>
      </c>
      <c r="B41" s="46">
        <f t="shared" si="19"/>
        <v>5.4661095275265872E-2</v>
      </c>
      <c r="C41" s="46">
        <f t="shared" si="20"/>
        <v>4.289084324901422E-3</v>
      </c>
      <c r="D41" s="46">
        <f t="shared" si="21"/>
        <v>0.29355008188670573</v>
      </c>
      <c r="E41" s="7">
        <f>MAX((1-Parameters!$B$4)^Parameters!B$65*E40+B40*Parameters!B$65-Parameters!$B$5*B40^2/E40*Parameters!B$65,0.0001)</f>
        <v>0.80518179560934355</v>
      </c>
      <c r="F41" s="9">
        <f>(1-Parameters!$B$4)^Parameters!B$65*F40+C40*Parameters!B$65-Parameters!$B$5*C40^2/F40*Parameters!B$65</f>
        <v>8.2967596597181614E-2</v>
      </c>
      <c r="G41" s="7">
        <f>(1-Parameters!$B$4)^Parameters!B$65*G40+D40*Parameters!B$65-Parameters!$B$5*D40^2/G40*Parameters!B$65</f>
        <v>4.3635568147272172</v>
      </c>
      <c r="H41" s="7">
        <f>H40 *(1-Parameters!$B$4)-B40*(B40&lt;0)*Parameters!B$65</f>
        <v>0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23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79.427615251613318</v>
      </c>
      <c r="L41" s="8">
        <f>L40+K41*Parameters!B$65</f>
        <v>4717.2743708565431</v>
      </c>
      <c r="M41" s="7">
        <f>M40+Parameters!$B$45*K41</f>
        <v>2.8303646225139265</v>
      </c>
      <c r="N41" s="7">
        <f>'6states'!O41</f>
        <v>0.96453107236507107</v>
      </c>
      <c r="O41" s="7">
        <f>MAX(O40+(Parameters!B$31-K41)*Parameters!B$65,30)</f>
        <v>30</v>
      </c>
      <c r="P41" s="7">
        <f>Parameters!B$61*EXP(-Parameters!B$60*A41)+(1-Parameters!B$61)*(O41/Parameters!B$62)^-Parameters!B$63</f>
        <v>0.71032864188129408</v>
      </c>
      <c r="Q41" s="9">
        <f>1-P41/Parameters!$B$12</f>
        <v>0.64483567905935302</v>
      </c>
      <c r="R41" s="23">
        <f t="shared" si="0"/>
        <v>2.8155981359600428</v>
      </c>
      <c r="S41" s="7">
        <f>(Parameters!$B$19*(E41+Parameters!$B$20)^Q41+Parameters!$B$18*F41^Q41)^(1/Q41)</f>
        <v>0.53892912193726894</v>
      </c>
      <c r="T41" s="7">
        <f>(Parameters!$B$10*G41^Parameters!$B$9 + Parameters!$B$11*S41^Parameters!$B$9) ^ (Parameters!$B$7/Parameters!$B$9) * N41</f>
        <v>1.4765288881253134</v>
      </c>
      <c r="U41" s="7">
        <f t="shared" si="1"/>
        <v>1.1240286266384403</v>
      </c>
      <c r="V41" s="7">
        <f>EXP(-Parameters!$B$55*A41)</f>
        <v>0.571952118512703</v>
      </c>
      <c r="W41" s="7">
        <f>IF(U41&gt;0,U41^(1-Parameters!$B$52)/(1-Parameters!$B$52)*V41,-10+U41*1000)</f>
        <v>-1.5686265029944355</v>
      </c>
      <c r="X41" s="7"/>
      <c r="Y41" s="9">
        <f t="shared" si="22"/>
        <v>5.4661095275265879E-2</v>
      </c>
      <c r="Z41" s="9">
        <f t="shared" si="23"/>
        <v>4.289084324901422E-3</v>
      </c>
      <c r="AA41" s="7">
        <f t="shared" si="24"/>
        <v>0.29355008188670573</v>
      </c>
      <c r="AB41" s="13">
        <f t="shared" si="5"/>
        <v>0.23873577030682264</v>
      </c>
    </row>
    <row r="42" spans="1:28" x14ac:dyDescent="0.3">
      <c r="A42">
        <f>A41+Parameters!$B$65</f>
        <v>38</v>
      </c>
      <c r="B42" s="46">
        <f t="shared" si="19"/>
        <v>5.4661095275265872E-2</v>
      </c>
      <c r="C42" s="46">
        <f t="shared" si="20"/>
        <v>4.289084324901422E-3</v>
      </c>
      <c r="D42" s="46">
        <f t="shared" si="21"/>
        <v>0.29355008188670573</v>
      </c>
      <c r="E42" s="7">
        <f>MAX((1-Parameters!$B$4)^Parameters!B$65*E41+B41*Parameters!B$65-Parameters!$B$5*B41^2/E41*Parameters!B$65,0.0001)</f>
        <v>0.80548619726120863</v>
      </c>
      <c r="F42" s="9">
        <f>(1-Parameters!$B$4)^Parameters!B$65*F41+C41*Parameters!B$65-Parameters!$B$5*C41^2/F41*Parameters!B$65</f>
        <v>8.18162910347974E-2</v>
      </c>
      <c r="G42" s="7">
        <f>(1-Parameters!$B$4)^Parameters!B$65*G41+D41*Parameters!B$65-Parameters!$B$5*D41^2/G41*Parameters!B$65</f>
        <v>4.3628911430382225</v>
      </c>
      <c r="H42" s="7">
        <f>H41 *(1-Parameters!$B$4)-B41*(B41&lt;0)*Parameters!B$65</f>
        <v>0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23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80.353848495146508</v>
      </c>
      <c r="L42" s="8">
        <f>L41+K42*Parameters!B$65</f>
        <v>4797.6282193516899</v>
      </c>
      <c r="M42" s="7">
        <f>M41+Parameters!$B$45*K42</f>
        <v>2.8785769316110144</v>
      </c>
      <c r="N42" s="7">
        <f>'6states'!O42</f>
        <v>0.9642071486483057</v>
      </c>
      <c r="O42" s="7">
        <f>MAX(O41+(Parameters!B$31-K42)*Parameters!B$65,30)</f>
        <v>30</v>
      </c>
      <c r="P42" s="7">
        <f>Parameters!B$61*EXP(-Parameters!B$60*A42)+(1-Parameters!B$61)*(O42/Parameters!B$62)^-Parameters!B$63</f>
        <v>0.70542381371395957</v>
      </c>
      <c r="Q42" s="9">
        <f>1-P42/Parameters!$B$12</f>
        <v>0.64728809314302027</v>
      </c>
      <c r="R42" s="23">
        <f t="shared" si="0"/>
        <v>2.8351750552200312</v>
      </c>
      <c r="S42" s="7">
        <f>(Parameters!$B$19*(E42+Parameters!$B$20)^Q42+Parameters!$B$18*F42^Q42)^(1/Q42)</f>
        <v>0.53885580468243333</v>
      </c>
      <c r="T42" s="7">
        <f>(Parameters!$B$10*G42^Parameters!$B$9 + Parameters!$B$11*S42^Parameters!$B$9) ^ (Parameters!$B$7/Parameters!$B$9) * N42</f>
        <v>1.4759668810327282</v>
      </c>
      <c r="U42" s="7">
        <f t="shared" si="1"/>
        <v>1.1234666195458551</v>
      </c>
      <c r="V42" s="7">
        <f>EXP(-Parameters!$B$55*A42)</f>
        <v>0.56338051995913718</v>
      </c>
      <c r="W42" s="7">
        <f>IF(U42&gt;0,U42^(1-Parameters!$B$52)/(1-Parameters!$B$52)*V42,-10+U42*1000)</f>
        <v>-1.5453886608329914</v>
      </c>
      <c r="X42" s="7"/>
      <c r="Y42" s="9">
        <f t="shared" si="22"/>
        <v>5.4661095275265879E-2</v>
      </c>
      <c r="Z42" s="9">
        <f t="shared" si="23"/>
        <v>4.289084324901422E-3</v>
      </c>
      <c r="AA42" s="7">
        <f t="shared" si="24"/>
        <v>0.29355008188670573</v>
      </c>
      <c r="AB42" s="13">
        <f t="shared" si="5"/>
        <v>0.23882667424097617</v>
      </c>
    </row>
    <row r="43" spans="1:28" x14ac:dyDescent="0.3">
      <c r="A43">
        <f>A42+Parameters!$B$65</f>
        <v>39</v>
      </c>
      <c r="B43" s="46">
        <f t="shared" si="19"/>
        <v>5.4661095275265872E-2</v>
      </c>
      <c r="C43" s="46">
        <f t="shared" si="20"/>
        <v>4.289084324901422E-3</v>
      </c>
      <c r="D43" s="46">
        <f t="shared" si="21"/>
        <v>0.29355008188670573</v>
      </c>
      <c r="E43" s="7">
        <f>MAX((1-Parameters!$B$4)^Parameters!B$65*E42+B42*Parameters!B$65-Parameters!$B$5*B42^2/E42*Parameters!B$65,0.0001)</f>
        <v>0.80577285438365642</v>
      </c>
      <c r="F43" s="9">
        <f>(1-Parameters!$B$4)^Parameters!B$65*F42+C42*Parameters!B$65-Parameters!$B$5*C42^2/F42*Parameters!B$65</f>
        <v>8.0734282471011679E-2</v>
      </c>
      <c r="G43" s="7">
        <f>(1-Parameters!$B$4)^Parameters!B$65*G42+D42*Parameters!B$65-Parameters!$B$5*D42^2/G42*Parameters!B$65</f>
        <v>4.362264329026627</v>
      </c>
      <c r="H43" s="7">
        <f>H42 *(1-Parameters!$B$4)-B42*(B42&lt;0)*Parameters!B$65</f>
        <v>0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23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81.291957395324772</v>
      </c>
      <c r="L43" s="8">
        <f>L42+K43*Parameters!B$65</f>
        <v>4878.9201767470149</v>
      </c>
      <c r="M43" s="7">
        <f>M42+Parameters!$B$45*K43</f>
        <v>2.9273521060482093</v>
      </c>
      <c r="N43" s="7">
        <f>'6states'!O43</f>
        <v>0.9639054878349792</v>
      </c>
      <c r="O43" s="7">
        <f>MAX(O42+(Parameters!B$31-K43)*Parameters!B$65,30)</f>
        <v>30</v>
      </c>
      <c r="P43" s="7">
        <f>Parameters!B$61*EXP(-Parameters!B$60*A43)+(1-Parameters!B$61)*(O43/Parameters!B$62)^-Parameters!B$63</f>
        <v>0.70064964407953934</v>
      </c>
      <c r="Q43" s="9">
        <f>1-P43/Parameters!$B$12</f>
        <v>0.64967517796023033</v>
      </c>
      <c r="R43" s="23">
        <f t="shared" si="0"/>
        <v>2.8544937072328769</v>
      </c>
      <c r="S43" s="7">
        <f>(Parameters!$B$19*(E43+Parameters!$B$20)^Q43+Parameters!$B$18*F43^Q43)^(1/Q43)</f>
        <v>0.5388037884299659</v>
      </c>
      <c r="T43" s="7">
        <f>(Parameters!$B$10*G43^Parameters!$B$9 + Parameters!$B$11*S43^Parameters!$B$9) ^ (Parameters!$B$7/Parameters!$B$9) * N43</f>
        <v>1.4754455624825127</v>
      </c>
      <c r="U43" s="7">
        <f t="shared" si="1"/>
        <v>1.1229453009956396</v>
      </c>
      <c r="V43" s="7">
        <f>EXP(-Parameters!$B$55*A43)</f>
        <v>0.5549373802387243</v>
      </c>
      <c r="W43" s="7">
        <f>IF(U43&gt;0,U43^(1-Parameters!$B$52)/(1-Parameters!$B$52)*V43,-10+U43*1000)</f>
        <v>-1.5224758922748891</v>
      </c>
      <c r="X43" s="7"/>
      <c r="Y43" s="9">
        <f t="shared" si="22"/>
        <v>5.4704963835089028E-2</v>
      </c>
      <c r="Z43" s="9">
        <f t="shared" si="23"/>
        <v>4.130394685783011E-3</v>
      </c>
      <c r="AA43" s="7">
        <f t="shared" si="24"/>
        <v>0.29342262167175059</v>
      </c>
      <c r="AB43" s="13">
        <f t="shared" si="5"/>
        <v>0.23891105876774829</v>
      </c>
    </row>
    <row r="44" spans="1:28" x14ac:dyDescent="0.3">
      <c r="A44">
        <f>A43+Parameters!$B$65</f>
        <v>40</v>
      </c>
      <c r="B44" s="19">
        <v>5.4792700954735339E-2</v>
      </c>
      <c r="C44" s="45">
        <v>3.8130154075461885E-3</v>
      </c>
      <c r="D44" s="18">
        <v>0.29316770124184033</v>
      </c>
      <c r="E44" s="7">
        <f>MAX((1-Parameters!$B$4)^Parameters!B$65*E43+B43*Parameters!B$65-Parameters!$B$5*B43^2/E43*Parameters!B$65,0.0001)</f>
        <v>0.80604280039240961</v>
      </c>
      <c r="F44" s="9">
        <f>(1-Parameters!$B$4)^Parameters!B$65*F43+C43*Parameters!B$65-Parameters!$B$5*C43^2/F43*Parameters!B$65</f>
        <v>7.9717318809071944E-2</v>
      </c>
      <c r="G44" s="7">
        <f>(1-Parameters!$B$4)^Parameters!B$65*G43+D43*Parameters!B$65-Parameters!$B$5*D43^2/G43*Parameters!B$65</f>
        <v>4.3616741035878599</v>
      </c>
      <c r="H44" s="7">
        <f>H43 *(1-Parameters!$B$4)-B43*(B43&lt;0)*Parameters!B$65</f>
        <v>0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23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82.242156439145262</v>
      </c>
      <c r="L44" s="8">
        <f>L43+K44*Parameters!B$65</f>
        <v>4961.1623331861601</v>
      </c>
      <c r="M44" s="7">
        <f>M43+Parameters!$B$45*K44</f>
        <v>2.9766973999116964</v>
      </c>
      <c r="N44" s="7">
        <f>'6states'!O44</f>
        <v>0.963605132666702</v>
      </c>
      <c r="O44" s="7">
        <f>MAX(O43+(Parameters!B$31-K44)*Parameters!B$65,30)</f>
        <v>30</v>
      </c>
      <c r="P44" s="7">
        <f>Parameters!B$61*EXP(-Parameters!B$60*A44)+(1-Parameters!B$61)*(O44/Parameters!B$62)^-Parameters!B$63</f>
        <v>0.69600265239693226</v>
      </c>
      <c r="Q44" s="9">
        <f>1-P44/Parameters!$B$12</f>
        <v>0.65199867380153387</v>
      </c>
      <c r="R44" s="23">
        <f t="shared" si="0"/>
        <v>2.8735522675269842</v>
      </c>
      <c r="S44" s="7">
        <f>(Parameters!$B$19*(E44+Parameters!$B$20)^Q44+Parameters!$B$18*F44^Q44)^(1/Q44)</f>
        <v>0.53877130578946364</v>
      </c>
      <c r="T44" s="7">
        <f>(Parameters!$B$10*G44^Parameters!$B$9 + Parameters!$B$11*S44^Parameters!$B$9) ^ (Parameters!$B$7/Parameters!$B$9) * N44</f>
        <v>1.474932377388869</v>
      </c>
      <c r="U44" s="7">
        <f t="shared" si="1"/>
        <v>1.1231589597847471</v>
      </c>
      <c r="V44" s="7">
        <f>EXP(-Parameters!$B$55*A44)</f>
        <v>0.54662077419459754</v>
      </c>
      <c r="W44" s="7">
        <f>IF(U44&gt;0,U44^(1-Parameters!$B$52)/(1-Parameters!$B$52)*V44,-10+U44*1000)</f>
        <v>-1.4995593514636043</v>
      </c>
      <c r="X44" s="7"/>
      <c r="Y44" s="9">
        <f t="shared" si="22"/>
        <v>5.4748832394912184E-2</v>
      </c>
      <c r="Z44" s="9">
        <f t="shared" si="23"/>
        <v>3.9717050466646E-3</v>
      </c>
      <c r="AA44" s="7">
        <f t="shared" si="24"/>
        <v>0.29329516145679546</v>
      </c>
      <c r="AB44" s="13">
        <f t="shared" si="5"/>
        <v>0.23850138690892406</v>
      </c>
    </row>
    <row r="45" spans="1:28" x14ac:dyDescent="0.3">
      <c r="A45">
        <f>A44+Parameters!$B$65</f>
        <v>41</v>
      </c>
      <c r="B45" s="46">
        <f>B44</f>
        <v>5.4792700954735339E-2</v>
      </c>
      <c r="C45" s="46">
        <f t="shared" ref="C45:C53" si="25">C44</f>
        <v>3.8130154075461885E-3</v>
      </c>
      <c r="D45" s="46">
        <f t="shared" ref="D45:D53" si="26">D44</f>
        <v>0.29316770124184033</v>
      </c>
      <c r="E45" s="7">
        <f>MAX((1-Parameters!$B$4)^Parameters!B$65*E44+B44*Parameters!B$65-Parameters!$B$5*B44^2/E44*Parameters!B$65,0.0001)</f>
        <v>0.80641074337025909</v>
      </c>
      <c r="F45" s="9">
        <f>(1-Parameters!$B$4)^Parameters!B$65*F44+C44*Parameters!B$65-Parameters!$B$5*C44^2/F44*Parameters!B$65</f>
        <v>7.8333731829133113E-2</v>
      </c>
      <c r="G45" s="7">
        <f>(1-Parameters!$B$4)^Parameters!B$65*G44+D44*Parameters!B$65-Parameters!$B$5*D44^2/G44*Parameters!B$65</f>
        <v>4.3607873861352653</v>
      </c>
      <c r="H45" s="7">
        <f>H44 *(1-Parameters!$B$4)-B44*(B44&lt;0)*Parameters!B$65</f>
        <v>0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23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83.216396036332938</v>
      </c>
      <c r="L45" s="8">
        <f>L44+K45*Parameters!B$65</f>
        <v>5044.3787292224933</v>
      </c>
      <c r="M45" s="7">
        <f>M44+Parameters!$B$45*K45</f>
        <v>3.0266272375334959</v>
      </c>
      <c r="N45" s="7">
        <f>'6states'!O45</f>
        <v>0.96330666416012667</v>
      </c>
      <c r="O45" s="7">
        <f>MAX(O44+(Parameters!B$31-K45)*Parameters!B$65,30)</f>
        <v>30</v>
      </c>
      <c r="P45" s="7">
        <f>Parameters!B$61*EXP(-Parameters!B$60*A45)+(1-Parameters!B$61)*(O45/Parameters!B$62)^-Parameters!B$63</f>
        <v>0.69147945080339657</v>
      </c>
      <c r="Q45" s="9">
        <f>1-P45/Parameters!$B$12</f>
        <v>0.65426027459830172</v>
      </c>
      <c r="R45" s="23">
        <f t="shared" si="0"/>
        <v>2.8923491474349623</v>
      </c>
      <c r="S45" s="7">
        <f>(Parameters!$B$19*(E45+Parameters!$B$20)^Q45+Parameters!$B$18*F45^Q45)^(1/Q45)</f>
        <v>0.53857243347678374</v>
      </c>
      <c r="T45" s="7">
        <f>(Parameters!$B$10*G45^Parameters!$B$9 + Parameters!$B$11*S45^Parameters!$B$9) ^ (Parameters!$B$7/Parameters!$B$9) * N45</f>
        <v>1.4743713591312406</v>
      </c>
      <c r="U45" s="7">
        <f t="shared" si="1"/>
        <v>1.1225979415271188</v>
      </c>
      <c r="V45" s="7">
        <f>EXP(-Parameters!$B$55*A45)</f>
        <v>0.53842880552138184</v>
      </c>
      <c r="W45" s="7">
        <f>IF(U45&gt;0,U45^(1-Parameters!$B$52)/(1-Parameters!$B$52)*V45,-10+U45*1000)</f>
        <v>-1.477344424116992</v>
      </c>
      <c r="X45" s="7"/>
      <c r="Y45" s="9">
        <f t="shared" si="22"/>
        <v>5.4792700954735339E-2</v>
      </c>
      <c r="Z45" s="9">
        <f t="shared" si="23"/>
        <v>3.8130154075461885E-3</v>
      </c>
      <c r="AA45" s="7">
        <f t="shared" si="24"/>
        <v>0.29316770124184033</v>
      </c>
      <c r="AB45" s="13">
        <f t="shared" si="5"/>
        <v>0.23859213991473696</v>
      </c>
    </row>
    <row r="46" spans="1:28" x14ac:dyDescent="0.3">
      <c r="A46">
        <f>A45+Parameters!$B$65</f>
        <v>42</v>
      </c>
      <c r="B46" s="46">
        <f t="shared" ref="B46:B53" si="27">B45</f>
        <v>5.4792700954735339E-2</v>
      </c>
      <c r="C46" s="46">
        <f t="shared" si="25"/>
        <v>3.8130154075461885E-3</v>
      </c>
      <c r="D46" s="46">
        <f t="shared" si="26"/>
        <v>0.29316770124184033</v>
      </c>
      <c r="E46" s="7">
        <f>MAX((1-Parameters!$B$4)^Parameters!B$65*E45+B45*Parameters!B$65-Parameters!$B$5*B45^2/E45*Parameters!B$65,0.0001)</f>
        <v>0.80675724219707845</v>
      </c>
      <c r="F46" s="9">
        <f>(1-Parameters!$B$4)^Parameters!B$65*F45+C45*Parameters!B$65-Parameters!$B$5*C45^2/F45*Parameters!B$65</f>
        <v>7.7033951089278685E-2</v>
      </c>
      <c r="G46" s="7">
        <f>(1-Parameters!$B$4)^Parameters!B$65*G45+D45*Parameters!B$65-Parameters!$B$5*D45^2/G45*Parameters!B$65</f>
        <v>4.3599524363946704</v>
      </c>
      <c r="H46" s="7">
        <f>H45 *(1-Parameters!$B$4)-B45*(B45&lt;0)*Parameters!B$65</f>
        <v>0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23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84.202729370392646</v>
      </c>
      <c r="L46" s="8">
        <f>L45+K46*Parameters!B$65</f>
        <v>5128.5814585928856</v>
      </c>
      <c r="M46" s="7">
        <f>M45+Parameters!$B$45*K46</f>
        <v>3.0771488751557317</v>
      </c>
      <c r="N46" s="7">
        <f>'6states'!O46</f>
        <v>0.96301028303601377</v>
      </c>
      <c r="O46" s="7">
        <f>MAX(O45+(Parameters!B$31-K46)*Parameters!B$65,30)</f>
        <v>30</v>
      </c>
      <c r="P46" s="7">
        <f>Parameters!B$61*EXP(-Parameters!B$60*A46)+(1-Parameters!B$61)*(O46/Parameters!B$62)^-Parameters!B$63</f>
        <v>0.68707674168464772</v>
      </c>
      <c r="Q46" s="9">
        <f>1-P46/Parameters!$B$12</f>
        <v>0.65646162915767614</v>
      </c>
      <c r="R46" s="23">
        <f t="shared" si="0"/>
        <v>2.9108829897169675</v>
      </c>
      <c r="S46" s="7">
        <f>(Parameters!$B$19*(E46+Parameters!$B$20)^Q46+Parameters!$B$18*F46^Q46)^(1/Q46)</f>
        <v>0.53840138893227751</v>
      </c>
      <c r="T46" s="7">
        <f>(Parameters!$B$10*G46^Parameters!$B$9 + Parameters!$B$11*S46^Parameters!$B$9) ^ (Parameters!$B$7/Parameters!$B$9) * N46</f>
        <v>1.4738222416044686</v>
      </c>
      <c r="U46" s="7">
        <f t="shared" si="1"/>
        <v>1.1220488240003468</v>
      </c>
      <c r="V46" s="7">
        <f>EXP(-Parameters!$B$55*A46)</f>
        <v>0.53035960633280899</v>
      </c>
      <c r="W46" s="7">
        <f>IF(U46&gt;0,U46^(1-Parameters!$B$52)/(1-Parameters!$B$52)*V46,-10+U46*1000)</f>
        <v>-1.4554533197170529</v>
      </c>
      <c r="X46" s="7"/>
      <c r="Y46" s="9">
        <f t="shared" si="22"/>
        <v>5.4792700954735339E-2</v>
      </c>
      <c r="Z46" s="9">
        <f t="shared" si="23"/>
        <v>3.8130154075461885E-3</v>
      </c>
      <c r="AA46" s="7">
        <f t="shared" si="24"/>
        <v>0.29316770124184033</v>
      </c>
      <c r="AB46" s="13">
        <f t="shared" si="5"/>
        <v>0.23868103470956281</v>
      </c>
    </row>
    <row r="47" spans="1:28" x14ac:dyDescent="0.3">
      <c r="A47">
        <f>A46+Parameters!$B$65</f>
        <v>43</v>
      </c>
      <c r="B47" s="46">
        <f t="shared" si="27"/>
        <v>5.4792700954735339E-2</v>
      </c>
      <c r="C47" s="46">
        <f t="shared" si="25"/>
        <v>3.8130154075461885E-3</v>
      </c>
      <c r="D47" s="46">
        <f t="shared" si="26"/>
        <v>0.29316770124184033</v>
      </c>
      <c r="E47" s="7">
        <f>MAX((1-Parameters!$B$4)^Parameters!B$65*E46+B46*Parameters!B$65-Parameters!$B$5*B46^2/E46*Parameters!B$65,0.0001)</f>
        <v>0.80708354524601655</v>
      </c>
      <c r="F47" s="9">
        <f>(1-Parameters!$B$4)^Parameters!B$65*F46+C46*Parameters!B$65-Parameters!$B$5*C46^2/F46*Parameters!B$65</f>
        <v>7.5812794886264537E-2</v>
      </c>
      <c r="G47" s="7">
        <f>(1-Parameters!$B$4)^Parameters!B$65*G46+D46*Parameters!B$65-Parameters!$B$5*D46^2/G46*Parameters!B$65</f>
        <v>4.3591662306102306</v>
      </c>
      <c r="H47" s="7">
        <f>H46 *(1-Parameters!$B$4)-B46*(B46&lt;0)*Parameters!B$65</f>
        <v>0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23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85.201391800365926</v>
      </c>
      <c r="L47" s="8">
        <f>L46+K47*Parameters!B$65</f>
        <v>5213.7828503932515</v>
      </c>
      <c r="M47" s="7">
        <f>M46+Parameters!$B$45*K47</f>
        <v>3.1282697102359514</v>
      </c>
      <c r="N47" s="7">
        <f>'6states'!O47</f>
        <v>0.96271616070010446</v>
      </c>
      <c r="O47" s="7">
        <f>MAX(O46+(Parameters!B$31-K47)*Parameters!B$65,30)</f>
        <v>30</v>
      </c>
      <c r="P47" s="7">
        <f>Parameters!B$61*EXP(-Parameters!B$60*A47)+(1-Parameters!B$61)*(O47/Parameters!B$62)^-Parameters!B$63</f>
        <v>0.68279131527075188</v>
      </c>
      <c r="Q47" s="9">
        <f>1-P47/Parameters!$B$12</f>
        <v>0.65860434236462406</v>
      </c>
      <c r="R47" s="23">
        <f t="shared" si="0"/>
        <v>2.929152663880803</v>
      </c>
      <c r="S47" s="7">
        <f>(Parameters!$B$19*(E47+Parameters!$B$20)^Q47+Parameters!$B$18*F47^Q47)^(1/Q47)</f>
        <v>0.53825609981198752</v>
      </c>
      <c r="T47" s="7">
        <f>(Parameters!$B$10*G47^Parameters!$B$9 + Parameters!$B$11*S47^Parameters!$B$9) ^ (Parameters!$B$7/Parameters!$B$9) * N47</f>
        <v>1.4732847100780162</v>
      </c>
      <c r="U47" s="7">
        <f t="shared" si="1"/>
        <v>1.1215112924738944</v>
      </c>
      <c r="V47" s="7">
        <f>EXP(-Parameters!$B$55*A47)</f>
        <v>0.52241133673581286</v>
      </c>
      <c r="W47" s="7">
        <f>IF(U47&gt;0,U47^(1-Parameters!$B$52)/(1-Parameters!$B$52)*V47,-10+U47*1000)</f>
        <v>-1.4338815305649644</v>
      </c>
      <c r="X47" s="7"/>
      <c r="Y47" s="9">
        <f t="shared" si="22"/>
        <v>5.4792700954735339E-2</v>
      </c>
      <c r="Z47" s="9">
        <f t="shared" si="23"/>
        <v>3.8130154075461885E-3</v>
      </c>
      <c r="AA47" s="7">
        <f t="shared" si="24"/>
        <v>0.29316770124184033</v>
      </c>
      <c r="AB47" s="13">
        <f t="shared" si="5"/>
        <v>0.2387681180682952</v>
      </c>
    </row>
    <row r="48" spans="1:28" x14ac:dyDescent="0.3">
      <c r="A48">
        <f>A47+Parameters!$B$65</f>
        <v>44</v>
      </c>
      <c r="B48" s="46">
        <f t="shared" si="27"/>
        <v>5.4792700954735339E-2</v>
      </c>
      <c r="C48" s="46">
        <f t="shared" si="25"/>
        <v>3.8130154075461885E-3</v>
      </c>
      <c r="D48" s="46">
        <f t="shared" si="26"/>
        <v>0.29316770124184033</v>
      </c>
      <c r="E48" s="7">
        <f>MAX((1-Parameters!$B$4)^Parameters!B$65*E47+B47*Parameters!B$65-Parameters!$B$5*B47^2/E47*Parameters!B$65,0.0001)</f>
        <v>0.80739082837818499</v>
      </c>
      <c r="F48" s="9">
        <f>(1-Parameters!$B$4)^Parameters!B$65*F47+C47*Parameters!B$65-Parameters!$B$5*C47^2/F47*Parameters!B$65</f>
        <v>7.4665409337891342E-2</v>
      </c>
      <c r="G48" s="7">
        <f>(1-Parameters!$B$4)^Parameters!B$65*G47+D47*Parameters!B$65-Parameters!$B$5*D47^2/G47*Parameters!B$65</f>
        <v>4.358425921811973</v>
      </c>
      <c r="H48" s="7">
        <f>H47 *(1-Parameters!$B$4)-B47*(B47&lt;0)*Parameters!B$65</f>
        <v>0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23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86.212617324511072</v>
      </c>
      <c r="L48" s="8">
        <f>L47+K48*Parameters!B$65</f>
        <v>5299.9954677177629</v>
      </c>
      <c r="M48" s="7">
        <f>M47+Parameters!$B$45*K48</f>
        <v>3.179997280630658</v>
      </c>
      <c r="N48" s="7">
        <f>'6states'!O48</f>
        <v>0.96244219608469073</v>
      </c>
      <c r="O48" s="7">
        <f>MAX(O47+(Parameters!B$31-K48)*Parameters!B$65,30)</f>
        <v>30</v>
      </c>
      <c r="P48" s="7">
        <f>Parameters!B$61*EXP(-Parameters!B$60*A48)+(1-Parameters!B$61)*(O48/Parameters!B$62)^-Parameters!B$63</f>
        <v>0.67862004729606107</v>
      </c>
      <c r="Q48" s="9">
        <f>1-P48/Parameters!$B$12</f>
        <v>0.66068997635196947</v>
      </c>
      <c r="R48" s="23">
        <f t="shared" si="0"/>
        <v>2.9471572612228791</v>
      </c>
      <c r="S48" s="7">
        <f>(Parameters!$B$19*(E48+Parameters!$B$20)^Q48+Parameters!$B$18*F48^Q48)^(1/Q48)</f>
        <v>0.53813461731677281</v>
      </c>
      <c r="T48" s="7">
        <f>(Parameters!$B$10*G48^Parameters!$B$9 + Parameters!$B$11*S48^Parameters!$B$9) ^ (Parameters!$B$7/Parameters!$B$9) * N48</f>
        <v>1.4727856099150833</v>
      </c>
      <c r="U48" s="7">
        <f t="shared" si="1"/>
        <v>1.1210121923109615</v>
      </c>
      <c r="V48" s="7">
        <f>EXP(-Parameters!$B$55*A48)</f>
        <v>0.51458218441100756</v>
      </c>
      <c r="W48" s="7">
        <f>IF(U48&gt;0,U48^(1-Parameters!$B$52)/(1-Parameters!$B$52)*V48,-10+U48*1000)</f>
        <v>-1.4126126278484301</v>
      </c>
      <c r="X48" s="7"/>
      <c r="Y48" s="9">
        <f t="shared" si="22"/>
        <v>5.4792700954735339E-2</v>
      </c>
      <c r="Z48" s="9">
        <f t="shared" si="23"/>
        <v>3.8130154075461885E-3</v>
      </c>
      <c r="AA48" s="7">
        <f t="shared" si="24"/>
        <v>0.29316770124184033</v>
      </c>
      <c r="AB48" s="13">
        <f t="shared" si="5"/>
        <v>0.23884903222567749</v>
      </c>
    </row>
    <row r="49" spans="1:28" x14ac:dyDescent="0.3">
      <c r="A49">
        <f>A48+Parameters!$B$65</f>
        <v>45</v>
      </c>
      <c r="B49" s="46">
        <f t="shared" si="27"/>
        <v>5.4792700954735339E-2</v>
      </c>
      <c r="C49" s="46">
        <f t="shared" si="25"/>
        <v>3.8130154075461885E-3</v>
      </c>
      <c r="D49" s="46">
        <f t="shared" si="26"/>
        <v>0.29316770124184033</v>
      </c>
      <c r="E49" s="7">
        <f>MAX((1-Parameters!$B$4)^Parameters!B$65*E48+B48*Parameters!B$65-Parameters!$B$5*B48^2/E48*Parameters!B$65,0.0001)</f>
        <v>0.80768019913590183</v>
      </c>
      <c r="F49" s="9">
        <f>(1-Parameters!$B$4)^Parameters!B$65*F48+C48*Parameters!B$65-Parameters!$B$5*C48^2/F48*Parameters!B$65</f>
        <v>7.3587247310638843E-2</v>
      </c>
      <c r="G49" s="7">
        <f>(1-Parameters!$B$4)^Parameters!B$65*G48+D48*Parameters!B$65-Parameters!$B$5*D48^2/G48*Parameters!B$65</f>
        <v>4.3577288294609753</v>
      </c>
      <c r="H49" s="7">
        <f>H48 *(1-Parameters!$B$4)-B48*(B48&lt;0)*Parameters!B$65</f>
        <v>0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23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87.236638792150018</v>
      </c>
      <c r="L49" s="8">
        <f>L48+K49*Parameters!B$65</f>
        <v>5387.2321065099131</v>
      </c>
      <c r="M49" s="7">
        <f>M48+Parameters!$B$45*K49</f>
        <v>3.2323392639059478</v>
      </c>
      <c r="N49" s="7">
        <f>'6states'!O49</f>
        <v>0.96217056136562873</v>
      </c>
      <c r="O49" s="7">
        <f>MAX(O48+(Parameters!B$31-K49)*Parameters!B$65,30)</f>
        <v>30</v>
      </c>
      <c r="P49" s="7">
        <f>Parameters!B$61*EXP(-Parameters!B$60*A49)+(1-Parameters!B$61)*(O49/Parameters!B$62)^-Parameters!B$63</f>
        <v>0.67455989672148531</v>
      </c>
      <c r="Q49" s="9">
        <f>1-P49/Parameters!$B$12</f>
        <v>0.66272005163925729</v>
      </c>
      <c r="R49" s="23">
        <f t="shared" si="0"/>
        <v>2.9648960896140655</v>
      </c>
      <c r="S49" s="7">
        <f>(Parameters!$B$19*(E49+Parameters!$B$20)^Q49+Parameters!$B$18*F49^Q49)^(1/Q49)</f>
        <v>0.53803511075086274</v>
      </c>
      <c r="T49" s="7">
        <f>(Parameters!$B$10*G49^Parameters!$B$9 + Parameters!$B$11*S49^Parameters!$B$9) ^ (Parameters!$B$7/Parameters!$B$9) * N49</f>
        <v>1.472297143739314</v>
      </c>
      <c r="U49" s="7">
        <f t="shared" si="1"/>
        <v>1.1205237261351921</v>
      </c>
      <c r="V49" s="7">
        <f>EXP(-Parameters!$B$55*A49)</f>
        <v>0.50687036419945219</v>
      </c>
      <c r="W49" s="7">
        <f>IF(U49&gt;0,U49^(1-Parameters!$B$52)/(1-Parameters!$B$52)*V49,-10+U49*1000)</f>
        <v>-1.3916546828582701</v>
      </c>
      <c r="X49" s="7"/>
      <c r="Y49" s="9">
        <f t="shared" si="22"/>
        <v>5.4792700954735339E-2</v>
      </c>
      <c r="Z49" s="9">
        <f t="shared" si="23"/>
        <v>3.8130154075461885E-3</v>
      </c>
      <c r="AA49" s="7">
        <f t="shared" si="24"/>
        <v>0.29316770124184033</v>
      </c>
      <c r="AB49" s="13">
        <f t="shared" si="5"/>
        <v>0.23892827551827886</v>
      </c>
    </row>
    <row r="50" spans="1:28" x14ac:dyDescent="0.3">
      <c r="A50">
        <f>A49+Parameters!$B$65</f>
        <v>46</v>
      </c>
      <c r="B50" s="46">
        <f t="shared" si="27"/>
        <v>5.4792700954735339E-2</v>
      </c>
      <c r="C50" s="46">
        <f t="shared" si="25"/>
        <v>3.8130154075461885E-3</v>
      </c>
      <c r="D50" s="46">
        <f t="shared" si="26"/>
        <v>0.29316770124184033</v>
      </c>
      <c r="E50" s="7">
        <f>MAX((1-Parameters!$B$4)^Parameters!B$65*E49+B49*Parameters!B$65-Parameters!$B$5*B49^2/E49*Parameters!B$65,0.0001)</f>
        <v>0.80795270069560499</v>
      </c>
      <c r="F50" s="9">
        <f>(1-Parameters!$B$4)^Parameters!B$65*F49+C49*Parameters!B$65-Parameters!$B$5*C49^2/F49*Parameters!B$65</f>
        <v>7.2574048692159596E-2</v>
      </c>
      <c r="G50" s="7">
        <f>(1-Parameters!$B$4)^Parameters!B$65*G49+D49*Parameters!B$65-Parameters!$B$5*D49^2/G49*Parameters!B$65</f>
        <v>4.3570724297031767</v>
      </c>
      <c r="H50" s="7">
        <f>H49 *(1-Parameters!$B$4)-B49*(B49&lt;0)*Parameters!B$65</f>
        <v>0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23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88.273688106331619</v>
      </c>
      <c r="L50" s="8">
        <f>L49+K50*Parameters!B$65</f>
        <v>5475.5057946162451</v>
      </c>
      <c r="M50" s="7">
        <f>M49+Parameters!$B$45*K50</f>
        <v>3.2853034767697467</v>
      </c>
      <c r="N50" s="7">
        <f>'6states'!O50</f>
        <v>0.96190164158339386</v>
      </c>
      <c r="O50" s="7">
        <f>MAX(O49+(Parameters!B$31-K50)*Parameters!B$65,30)</f>
        <v>30</v>
      </c>
      <c r="P50" s="7">
        <f>Parameters!B$61*EXP(-Parameters!B$60*A50)+(1-Parameters!B$61)*(O50/Parameters!B$62)^-Parameters!B$63</f>
        <v>0.67060790351744048</v>
      </c>
      <c r="Q50" s="9">
        <f>1-P50/Parameters!$B$12</f>
        <v>0.66469604824127981</v>
      </c>
      <c r="R50" s="23">
        <f t="shared" si="0"/>
        <v>2.9823686680543071</v>
      </c>
      <c r="S50" s="7">
        <f>(Parameters!$B$19*(E50+Parameters!$B$20)^Q50+Parameters!$B$18*F50^Q50)^(1/Q50)</f>
        <v>0.53795586211377655</v>
      </c>
      <c r="T50" s="7">
        <f>(Parameters!$B$10*G50^Parameters!$B$9 + Parameters!$B$11*S50^Parameters!$B$9) ^ (Parameters!$B$7/Parameters!$B$9) * N50</f>
        <v>1.4718194174238972</v>
      </c>
      <c r="U50" s="7">
        <f t="shared" si="1"/>
        <v>1.1200459998197754</v>
      </c>
      <c r="V50" s="7">
        <f>EXP(-Parameters!$B$55*A50)</f>
        <v>0.49927411769560981</v>
      </c>
      <c r="W50" s="7">
        <f>IF(U50&gt;0,U50^(1-Parameters!$B$52)/(1-Parameters!$B$52)*V50,-10+U50*1000)</f>
        <v>-1.3710031662082753</v>
      </c>
      <c r="X50" s="7"/>
      <c r="Y50" s="9">
        <f t="shared" si="22"/>
        <v>5.4792700954735339E-2</v>
      </c>
      <c r="Z50" s="9">
        <f t="shared" si="23"/>
        <v>3.8130154075461885E-3</v>
      </c>
      <c r="AA50" s="7">
        <f t="shared" si="24"/>
        <v>0.29316770124184033</v>
      </c>
      <c r="AB50" s="13">
        <f t="shared" si="5"/>
        <v>0.2390058273723725</v>
      </c>
    </row>
    <row r="51" spans="1:28" x14ac:dyDescent="0.3">
      <c r="A51">
        <f>A50+Parameters!$B$65</f>
        <v>47</v>
      </c>
      <c r="B51" s="46">
        <f t="shared" si="27"/>
        <v>5.4792700954735339E-2</v>
      </c>
      <c r="C51" s="46">
        <f t="shared" si="25"/>
        <v>3.8130154075461885E-3</v>
      </c>
      <c r="D51" s="46">
        <f t="shared" si="26"/>
        <v>0.29316770124184033</v>
      </c>
      <c r="E51" s="7">
        <f>MAX((1-Parameters!$B$4)^Parameters!B$65*E50+B50*Parameters!B$65-Parameters!$B$5*B50^2/E50*Parameters!B$65,0.0001)</f>
        <v>0.80820931559395781</v>
      </c>
      <c r="F51" s="9">
        <f>(1-Parameters!$B$4)^Parameters!B$65*F50+C50*Parameters!B$65-Parameters!$B$5*C50^2/F50*Parameters!B$65</f>
        <v>7.1621821926766069E-2</v>
      </c>
      <c r="G51" s="7">
        <f>(1-Parameters!$B$4)^Parameters!B$65*G50+D50*Parameters!B$65-Parameters!$B$5*D50^2/G50*Parameters!B$65</f>
        <v>4.3564543461958136</v>
      </c>
      <c r="H51" s="7">
        <f>H50 *(1-Parameters!$B$4)-B50*(B50&lt;0)*Parameters!B$65</f>
        <v>0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23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89.323996417817398</v>
      </c>
      <c r="L51" s="8">
        <f>L50+K51*Parameters!B$65</f>
        <v>5564.8297910340625</v>
      </c>
      <c r="M51" s="7">
        <f>M50+Parameters!$B$45*K51</f>
        <v>3.3388978746204372</v>
      </c>
      <c r="N51" s="7">
        <f>'6states'!O51</f>
        <v>0.9616357055531366</v>
      </c>
      <c r="O51" s="7">
        <f>MAX(O50+(Parameters!B$31-K51)*Parameters!B$65,30)</f>
        <v>30</v>
      </c>
      <c r="P51" s="7">
        <f>Parameters!B$61*EXP(-Parameters!B$60*A51)+(1-Parameters!B$61)*(O51/Parameters!B$62)^-Parameters!B$63</f>
        <v>0.6667611865058557</v>
      </c>
      <c r="Q51" s="9">
        <f>1-P51/Parameters!$B$12</f>
        <v>0.6666194067470721</v>
      </c>
      <c r="R51" s="23">
        <f t="shared" si="0"/>
        <v>2.9995747210196</v>
      </c>
      <c r="S51" s="7">
        <f>(Parameters!$B$19*(E51+Parameters!$B$20)^Q51+Parameters!$B$18*F51^Q51)^(1/Q51)</f>
        <v>0.53789526075400984</v>
      </c>
      <c r="T51" s="7">
        <f>(Parameters!$B$10*G51^Parameters!$B$9 + Parameters!$B$11*S51^Parameters!$B$9) ^ (Parameters!$B$7/Parameters!$B$9) * N51</f>
        <v>1.4713523874157211</v>
      </c>
      <c r="U51" s="7">
        <f t="shared" si="1"/>
        <v>1.1195789698115992</v>
      </c>
      <c r="V51" s="7">
        <f>EXP(-Parameters!$B$55*A51)</f>
        <v>0.49179171284640477</v>
      </c>
      <c r="W51" s="7">
        <f>IF(U51&gt;0,U51^(1-Parameters!$B$52)/(1-Parameters!$B$52)*V51,-10+U51*1000)</f>
        <v>-1.3506536781690299</v>
      </c>
      <c r="X51" s="7"/>
      <c r="Y51" s="9">
        <f t="shared" si="22"/>
        <v>5.4792700954735339E-2</v>
      </c>
      <c r="Z51" s="9">
        <f t="shared" si="23"/>
        <v>3.8130154075461885E-3</v>
      </c>
      <c r="AA51" s="7">
        <f t="shared" si="24"/>
        <v>0.29316770124184033</v>
      </c>
      <c r="AB51" s="13">
        <f t="shared" si="5"/>
        <v>0.23908169151917144</v>
      </c>
    </row>
    <row r="52" spans="1:28" x14ac:dyDescent="0.3">
      <c r="A52">
        <f>A51+Parameters!$B$65</f>
        <v>48</v>
      </c>
      <c r="B52" s="46">
        <f t="shared" si="27"/>
        <v>5.4792700954735339E-2</v>
      </c>
      <c r="C52" s="46">
        <f t="shared" si="25"/>
        <v>3.8130154075461885E-3</v>
      </c>
      <c r="D52" s="46">
        <f t="shared" si="26"/>
        <v>0.29316770124184033</v>
      </c>
      <c r="E52" s="7">
        <f>MAX((1-Parameters!$B$4)^Parameters!B$65*E51+B51*Parameters!B$65-Parameters!$B$5*B51^2/E51*Parameters!B$65,0.0001)</f>
        <v>0.80845096923993687</v>
      </c>
      <c r="F52" s="9">
        <f>(1-Parameters!$B$4)^Parameters!B$65*F51+C51*Parameters!B$65-Parameters!$B$5*C51^2/F51*Parameters!B$65</f>
        <v>7.0726826736644821E-2</v>
      </c>
      <c r="G52" s="7">
        <f>(1-Parameters!$B$4)^Parameters!B$65*G51+D51*Parameters!B$65-Parameters!$B$5*D51^2/G51*Parameters!B$65</f>
        <v>4.3558723414726126</v>
      </c>
      <c r="H52" s="7">
        <f>H51 *(1-Parameters!$B$4)-B51*(B51&lt;0)*Parameters!B$65</f>
        <v>0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23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90.387794310869822</v>
      </c>
      <c r="L52" s="8">
        <f>L51+K52*Parameters!B$65</f>
        <v>5655.2175853449326</v>
      </c>
      <c r="M52" s="7">
        <f>M51+Parameters!$B$45*K52</f>
        <v>3.3931305512069589</v>
      </c>
      <c r="N52" s="7">
        <f>'6states'!O52</f>
        <v>0.96137295766024944</v>
      </c>
      <c r="O52" s="7">
        <f>MAX(O51+(Parameters!B$31-K52)*Parameters!B$65,30)</f>
        <v>30</v>
      </c>
      <c r="P52" s="7">
        <f>Parameters!B$61*EXP(-Parameters!B$60*A52)+(1-Parameters!B$61)*(O52/Parameters!B$62)^-Parameters!B$63</f>
        <v>0.6630169412596667</v>
      </c>
      <c r="Q52" s="9">
        <f>1-P52/Parameters!$B$12</f>
        <v>0.66849152937016665</v>
      </c>
      <c r="R52" s="23">
        <f t="shared" si="0"/>
        <v>3.0165141726246052</v>
      </c>
      <c r="S52" s="7">
        <f>(Parameters!$B$19*(E52+Parameters!$B$20)^Q52+Parameters!$B$18*F52^Q52)^(1/Q52)</f>
        <v>0.53785179810909145</v>
      </c>
      <c r="T52" s="7">
        <f>(Parameters!$B$10*G52^Parameters!$B$9 + Parameters!$B$11*S52^Parameters!$B$9) ^ (Parameters!$B$7/Parameters!$B$9) * N52</f>
        <v>1.4708959387331471</v>
      </c>
      <c r="U52" s="7">
        <f t="shared" si="1"/>
        <v>1.1191225211290252</v>
      </c>
      <c r="V52" s="7">
        <f>EXP(-Parameters!$B$55*A52)</f>
        <v>0.48442144355629069</v>
      </c>
      <c r="W52" s="7">
        <f>IF(U52&gt;0,U52^(1-Parameters!$B$52)/(1-Parameters!$B$52)*V52,-10+U52*1000)</f>
        <v>-1.3306019106584357</v>
      </c>
      <c r="X52" s="7"/>
      <c r="Y52" s="9">
        <f t="shared" si="22"/>
        <v>5.4792700954735339E-2</v>
      </c>
      <c r="Z52" s="9">
        <f t="shared" si="23"/>
        <v>3.8130154075461885E-3</v>
      </c>
      <c r="AA52" s="7">
        <f t="shared" si="24"/>
        <v>0.29316770124184033</v>
      </c>
      <c r="AB52" s="13">
        <f t="shared" si="5"/>
        <v>0.23915588339111002</v>
      </c>
    </row>
    <row r="53" spans="1:28" x14ac:dyDescent="0.3">
      <c r="A53">
        <f>A52+Parameters!$B$65</f>
        <v>49</v>
      </c>
      <c r="B53" s="46">
        <f t="shared" si="27"/>
        <v>5.4792700954735339E-2</v>
      </c>
      <c r="C53" s="46">
        <f t="shared" si="25"/>
        <v>3.8130154075461885E-3</v>
      </c>
      <c r="D53" s="46">
        <f t="shared" si="26"/>
        <v>0.29316770124184033</v>
      </c>
      <c r="E53" s="7">
        <f>MAX((1-Parameters!$B$4)^Parameters!B$65*E52+B52*Parameters!B$65-Parameters!$B$5*B52^2/E52*Parameters!B$65,0.0001)</f>
        <v>0.80867853322499783</v>
      </c>
      <c r="F53" s="9">
        <f>(1-Parameters!$B$4)^Parameters!B$65*F52+C52*Parameters!B$65-Parameters!$B$5*C52^2/F52*Parameters!B$65</f>
        <v>6.9885557955862876E-2</v>
      </c>
      <c r="G53" s="7">
        <f>(1-Parameters!$B$4)^Parameters!B$65*G52+D52*Parameters!B$65-Parameters!$B$5*D52^2/G52*Parameters!B$65</f>
        <v>4.3553243088159341</v>
      </c>
      <c r="H53" s="7">
        <f>H52 *(1-Parameters!$B$4)-B52*(B52&lt;0)*Parameters!B$65</f>
        <v>0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23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91.465311981298584</v>
      </c>
      <c r="L53" s="8">
        <f>L52+K53*Parameters!B$65</f>
        <v>5746.6828973262309</v>
      </c>
      <c r="M53" s="7">
        <f>M52+Parameters!$B$45*K53</f>
        <v>3.4480097383957382</v>
      </c>
      <c r="N53" s="7">
        <f>'6states'!O53</f>
        <v>0.96111343955238659</v>
      </c>
      <c r="O53" s="7">
        <f>MAX(O52+(Parameters!B$31-K53)*Parameters!B$65,30)</f>
        <v>30</v>
      </c>
      <c r="P53" s="7">
        <f>Parameters!B$61*EXP(-Parameters!B$60*A53)+(1-Parameters!B$61)*(O53/Parameters!B$62)^-Parameters!B$63</f>
        <v>0.65937243805826462</v>
      </c>
      <c r="Q53" s="9">
        <f>1-P53/Parameters!$B$12</f>
        <v>0.67031378097086769</v>
      </c>
      <c r="R53" s="23">
        <f t="shared" si="0"/>
        <v>3.0331871406236615</v>
      </c>
      <c r="S53" s="7">
        <f>(Parameters!$B$19*(E53+Parameters!$B$20)^Q53+Parameters!$B$18*F53^Q53)^(1/Q53)</f>
        <v>0.53782406255306292</v>
      </c>
      <c r="T53" s="7">
        <f>(Parameters!$B$10*G53^Parameters!$B$9 + Parameters!$B$11*S53^Parameters!$B$9) ^ (Parameters!$B$7/Parameters!$B$9) * N53</f>
        <v>1.4704497332992008</v>
      </c>
      <c r="U53" s="7">
        <f t="shared" si="1"/>
        <v>1.118676315695079</v>
      </c>
      <c r="V53" s="7">
        <f>EXP(-Parameters!$B$55*A53)</f>
        <v>0.47716162929823552</v>
      </c>
      <c r="W53" s="7">
        <f>IF(U53&gt;0,U53^(1-Parameters!$B$52)/(1-Parameters!$B$52)*V53,-10+U53*1000)</f>
        <v>-1.3108437064393601</v>
      </c>
      <c r="X53" s="7"/>
      <c r="Y53" s="9">
        <f t="shared" si="22"/>
        <v>5.4831919575855141E-2</v>
      </c>
      <c r="Z53" s="9">
        <f t="shared" si="23"/>
        <v>3.6965684531816024E-3</v>
      </c>
      <c r="AA53" s="7">
        <f t="shared" si="24"/>
        <v>0.29307888790017828</v>
      </c>
      <c r="AB53" s="13">
        <f t="shared" si="5"/>
        <v>0.23922845483120264</v>
      </c>
    </row>
    <row r="54" spans="1:28" s="4" customFormat="1" x14ac:dyDescent="0.3">
      <c r="A54">
        <f>A53+Parameters!$B$65</f>
        <v>50</v>
      </c>
      <c r="B54" s="19">
        <v>5.4910356818094738E-2</v>
      </c>
      <c r="C54" s="45">
        <v>3.4636745444524297E-3</v>
      </c>
      <c r="D54" s="18">
        <v>0.29290126121685417</v>
      </c>
      <c r="E54" s="7">
        <f>MAX((1-Parameters!$B$4)^Parameters!B$65*E53+B53*Parameters!B$65-Parameters!$B$5*B53^2/E53*Parameters!B$65,0.0001)</f>
        <v>0.80889282844275534</v>
      </c>
      <c r="F54" s="9">
        <f>(1-Parameters!$B$4)^Parameters!B$65*F53+C53*Parameters!B$65-Parameters!$B$5*C53^2/F53*Parameters!B$65</f>
        <v>6.9094730408318872E-2</v>
      </c>
      <c r="G54" s="7">
        <f>(1-Parameters!$B$4)^Parameters!B$65*G53+D53*Parameters!B$65-Parameters!$B$5*D53^2/G53*Parameters!B$65</f>
        <v>4.3548082646059143</v>
      </c>
      <c r="H54" s="7">
        <f>H53 *(1-Parameters!$B$4)-B53*(B53&lt;0)*Parameters!B$65</f>
        <v>0</v>
      </c>
      <c r="I54" s="7">
        <f>I53*(1+Parameters!$B$51)^Parameters!B$65</f>
        <v>9.4313035794915017</v>
      </c>
      <c r="J54" s="7">
        <f>J53*(1+Parameters!$B$53)^Parameters!B$65</f>
        <v>24.365837091750542</v>
      </c>
      <c r="K54" s="23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92.556779407196984</v>
      </c>
      <c r="L54" s="8">
        <f>L53+K54*Parameters!B$65</f>
        <v>5839.2396767334276</v>
      </c>
      <c r="M54" s="7">
        <f>M53+Parameters!$B$45*K54</f>
        <v>3.5035438060400566</v>
      </c>
      <c r="N54" s="7">
        <f>'6states'!O54</f>
        <v>0.96085713941317275</v>
      </c>
      <c r="O54" s="7">
        <f>MAX(O53+(Parameters!B$31-K54)*Parameters!B$65,30)</f>
        <v>30</v>
      </c>
      <c r="P54" s="7">
        <f>Parameters!B$61*EXP(-Parameters!B$60*A54)+(1-Parameters!B$61)*(O54/Parameters!B$62)^-Parameters!B$63</f>
        <v>0.65582501989740838</v>
      </c>
      <c r="Q54" s="9">
        <f>1-P54/Parameters!$B$12</f>
        <v>0.67208749005129587</v>
      </c>
      <c r="R54" s="23">
        <f t="shared" si="0"/>
        <v>3.0495939302725339</v>
      </c>
      <c r="S54" s="7">
        <f>(Parameters!$B$19*(E54+Parameters!$B$20)^Q54+Parameters!$B$18*F54^Q54)^(1/Q54)</f>
        <v>0.53781073436911753</v>
      </c>
      <c r="T54" s="7">
        <f>(Parameters!$B$10*G54^Parameters!$B$9 + Parameters!$B$11*S54^Parameters!$B$9) ^ (Parameters!$B$7/Parameters!$B$9) * N54</f>
        <v>1.4700133758944667</v>
      </c>
      <c r="U54" s="7">
        <f t="shared" si="1"/>
        <v>1.1187380833150653</v>
      </c>
      <c r="V54" s="16">
        <f>EXP(-Parameters!$B$55*A54)</f>
        <v>0.4700106147305379</v>
      </c>
      <c r="W54" s="7">
        <f>IF(U54&gt;0,U54^(1-Parameters!$B$52)/(1-Parameters!$B$52)*V54,-10+U54*1000)</f>
        <v>-1.2911737080752832</v>
      </c>
      <c r="X54" s="7"/>
      <c r="Y54" s="9">
        <f t="shared" si="22"/>
        <v>5.4871138196974943E-2</v>
      </c>
      <c r="Z54" s="9">
        <f t="shared" si="23"/>
        <v>3.5801214988170158E-3</v>
      </c>
      <c r="AA54" s="7">
        <f t="shared" si="24"/>
        <v>0.29299007455851628</v>
      </c>
      <c r="AB54" s="13">
        <f t="shared" si="5"/>
        <v>0.23896060970578517</v>
      </c>
    </row>
    <row r="55" spans="1:28" x14ac:dyDescent="0.3">
      <c r="A55">
        <f>A54+Parameters!$B$65</f>
        <v>51</v>
      </c>
      <c r="B55" s="46">
        <f>B54</f>
        <v>5.4910356818094738E-2</v>
      </c>
      <c r="C55" s="46">
        <f t="shared" ref="C55:C63" si="28">C54</f>
        <v>3.4636745444524297E-3</v>
      </c>
      <c r="D55" s="46">
        <f t="shared" ref="D55:D63" si="29">D54</f>
        <v>0.29290126121685417</v>
      </c>
      <c r="E55" s="7">
        <f>MAX((1-Parameters!$B$4)^Parameters!B$65*E54+B54*Parameters!B$65-Parameters!$B$5*B54^2/E54*Parameters!B$65,0.0001)</f>
        <v>0.80919632725690205</v>
      </c>
      <c r="F55" s="9">
        <f>(1-Parameters!$B$4)^Parameters!B$65*F54+C54*Parameters!B$65-Parameters!$B$5*C54^2/F54*Parameters!B$65</f>
        <v>6.80387146254499E-2</v>
      </c>
      <c r="G55" s="7">
        <f>(1-Parameters!$B$4)^Parameters!B$65*G54+D54*Parameters!B$65-Parameters!$B$5*D54^2/G54*Parameters!B$65</f>
        <v>4.3540917585226913</v>
      </c>
      <c r="H55" s="7">
        <f>H54 *(1-Parameters!$B$4)-B54*(B54&lt;0)*Parameters!B$65</f>
        <v>0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23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93.674199420583562</v>
      </c>
      <c r="L55" s="8">
        <f>L54+K55*Parameters!B$65</f>
        <v>5932.9138761540107</v>
      </c>
      <c r="M55" s="7">
        <f>M54+Parameters!$B$45*K55</f>
        <v>3.5597483256924067</v>
      </c>
      <c r="N55" s="7">
        <f>'6states'!O55</f>
        <v>0.96060387675320347</v>
      </c>
      <c r="O55" s="7">
        <f>MAX(O54+(Parameters!B$31-K55)*Parameters!B$65,30)</f>
        <v>30</v>
      </c>
      <c r="P55" s="7">
        <f>Parameters!B$61*EXP(-Parameters!B$60*A55)+(1-Parameters!B$61)*(O55/Parameters!B$62)^-Parameters!B$63</f>
        <v>0.65237210055215145</v>
      </c>
      <c r="Q55" s="9">
        <f>1-P55/Parameters!$B$12</f>
        <v>0.67381394972392428</v>
      </c>
      <c r="R55" s="23">
        <f t="shared" si="0"/>
        <v>3.0657350280725524</v>
      </c>
      <c r="S55" s="7">
        <f>(Parameters!$B$19*(E55+Parameters!$B$20)^Q55+Parameters!$B$18*F55^Q55)^(1/Q55)</f>
        <v>0.53768605294516436</v>
      </c>
      <c r="T55" s="7">
        <f>(Parameters!$B$10*G55^Parameters!$B$9 + Parameters!$B$11*S55^Parameters!$B$9) ^ (Parameters!$B$7/Parameters!$B$9) * N55</f>
        <v>1.4695476039228881</v>
      </c>
      <c r="U55" s="7">
        <f t="shared" si="1"/>
        <v>1.1182723113434867</v>
      </c>
      <c r="V55" s="7">
        <f>EXP(-Parameters!$B$55*A55)</f>
        <v>0.46296676931938507</v>
      </c>
      <c r="W55" s="7">
        <f>IF(U55&gt;0,U55^(1-Parameters!$B$52)/(1-Parameters!$B$52)*V55,-10+U55*1000)</f>
        <v>-1.2720088267929086</v>
      </c>
      <c r="X55" s="7"/>
      <c r="Y55" s="9">
        <f t="shared" si="22"/>
        <v>5.4910356818094731E-2</v>
      </c>
      <c r="Z55" s="9">
        <f t="shared" si="23"/>
        <v>3.4636745444524297E-3</v>
      </c>
      <c r="AA55" s="7">
        <f t="shared" si="24"/>
        <v>0.29290126121685417</v>
      </c>
      <c r="AB55" s="13">
        <f t="shared" si="5"/>
        <v>0.23903634808541654</v>
      </c>
    </row>
    <row r="56" spans="1:28" x14ac:dyDescent="0.3">
      <c r="A56">
        <f>A55+Parameters!$B$65</f>
        <v>52</v>
      </c>
      <c r="B56" s="46">
        <f t="shared" ref="B56:B63" si="30">B55</f>
        <v>5.4910356818094738E-2</v>
      </c>
      <c r="C56" s="46">
        <f t="shared" si="28"/>
        <v>3.4636745444524297E-3</v>
      </c>
      <c r="D56" s="46">
        <f t="shared" si="29"/>
        <v>0.29290126121685417</v>
      </c>
      <c r="E56" s="7">
        <f>MAX((1-Parameters!$B$4)^Parameters!B$65*E55+B55*Parameters!B$65-Parameters!$B$5*B55^2/E55*Parameters!B$65,0.0001)</f>
        <v>0.80948213403900238</v>
      </c>
      <c r="F56" s="9">
        <f>(1-Parameters!$B$4)^Parameters!B$65*F55+C55*Parameters!B$65-Parameters!$B$5*C55^2/F55*Parameters!B$65</f>
        <v>6.7046427329842076E-2</v>
      </c>
      <c r="G56" s="7">
        <f>(1-Parameters!$B$4)^Parameters!B$65*G55+D55*Parameters!B$65-Parameters!$B$5*D55^2/G55*Parameters!B$65</f>
        <v>4.353417078800951</v>
      </c>
      <c r="H56" s="7">
        <f>H55 *(1-Parameters!$B$4)-B55*(B55&lt;0)*Parameters!B$65</f>
        <v>0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23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94.805611241262483</v>
      </c>
      <c r="L56" s="8">
        <f>L55+K56*Parameters!B$65</f>
        <v>6027.7194873952731</v>
      </c>
      <c r="M56" s="7">
        <f>M55+Parameters!$B$45*K56</f>
        <v>3.6166316924371644</v>
      </c>
      <c r="N56" s="7">
        <f>'6states'!O56</f>
        <v>0.96035350258275398</v>
      </c>
      <c r="O56" s="7">
        <f>MAX(O55+(Parameters!B$31-K56)*Parameters!B$65,30)</f>
        <v>30</v>
      </c>
      <c r="P56" s="7">
        <f>Parameters!B$61*EXP(-Parameters!B$60*A56)+(1-Parameters!B$61)*(O56/Parameters!B$62)^-Parameters!B$63</f>
        <v>0.64901116269136883</v>
      </c>
      <c r="Q56" s="9">
        <f>1-P56/Parameters!$B$12</f>
        <v>0.67549441865431559</v>
      </c>
      <c r="R56" s="23">
        <f t="shared" si="0"/>
        <v>3.0816110954182174</v>
      </c>
      <c r="S56" s="7">
        <f>(Parameters!$B$19*(E56+Parameters!$B$20)^Q56+Parameters!$B$18*F56^Q56)^(1/Q56)</f>
        <v>0.53758114405095658</v>
      </c>
      <c r="T56" s="7">
        <f>(Parameters!$B$10*G56^Parameters!$B$9 + Parameters!$B$11*S56^Parameters!$B$9) ^ (Parameters!$B$7/Parameters!$B$9) * N56</f>
        <v>1.469092840770436</v>
      </c>
      <c r="U56" s="7">
        <f t="shared" si="1"/>
        <v>1.1178175481910346</v>
      </c>
      <c r="V56" s="7">
        <f>EXP(-Parameters!$B$55*A56)</f>
        <v>0.45602848696706794</v>
      </c>
      <c r="W56" s="7">
        <f>IF(U56&gt;0,U56^(1-Parameters!$B$52)/(1-Parameters!$B$52)*V56,-10+U56*1000)</f>
        <v>-1.2531241662681829</v>
      </c>
      <c r="X56" s="7"/>
      <c r="Y56" s="9">
        <f t="shared" si="22"/>
        <v>5.4910356818094731E-2</v>
      </c>
      <c r="Z56" s="9">
        <f t="shared" si="23"/>
        <v>3.4636745444524297E-3</v>
      </c>
      <c r="AA56" s="7">
        <f t="shared" si="24"/>
        <v>0.29290126121685417</v>
      </c>
      <c r="AB56" s="13">
        <f t="shared" si="5"/>
        <v>0.2391103426759483</v>
      </c>
    </row>
    <row r="57" spans="1:28" x14ac:dyDescent="0.3">
      <c r="A57">
        <f>A56+Parameters!$B$65</f>
        <v>53</v>
      </c>
      <c r="B57" s="46">
        <f t="shared" si="30"/>
        <v>5.4910356818094738E-2</v>
      </c>
      <c r="C57" s="46">
        <f t="shared" si="28"/>
        <v>3.4636745444524297E-3</v>
      </c>
      <c r="D57" s="46">
        <f t="shared" si="29"/>
        <v>0.29290126121685417</v>
      </c>
      <c r="E57" s="7">
        <f>MAX((1-Parameters!$B$4)^Parameters!B$65*E56+B56*Parameters!B$65-Parameters!$B$5*B56^2/E56*Parameters!B$65,0.0001)</f>
        <v>0.80975127916247103</v>
      </c>
      <c r="F57" s="9">
        <f>(1-Parameters!$B$4)^Parameters!B$65*F56+C56*Parameters!B$65-Parameters!$B$5*C56^2/F56*Parameters!B$65</f>
        <v>6.6113945269664173E-2</v>
      </c>
      <c r="G57" s="7">
        <f>(1-Parameters!$B$4)^Parameters!B$65*G56+D56*Parameters!B$65-Parameters!$B$5*D56^2/G56*Parameters!B$65</f>
        <v>4.3527817828327251</v>
      </c>
      <c r="H57" s="7">
        <f>H56 *(1-Parameters!$B$4)-B56*(B56&lt;0)*Parameters!B$65</f>
        <v>0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23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95.951267348784313</v>
      </c>
      <c r="L57" s="8">
        <f>L56+K57*Parameters!B$65</f>
        <v>6123.6707547440574</v>
      </c>
      <c r="M57" s="7">
        <f>M56+Parameters!$B$45*K57</f>
        <v>3.6742024528464352</v>
      </c>
      <c r="N57" s="7">
        <f>'6states'!O57</f>
        <v>0.96011654292805415</v>
      </c>
      <c r="O57" s="7">
        <f>MAX(O56+(Parameters!B$31-K57)*Parameters!B$65,30)</f>
        <v>30</v>
      </c>
      <c r="P57" s="7">
        <f>Parameters!B$61*EXP(-Parameters!B$60*A57)+(1-Parameters!B$61)*(O57/Parameters!B$62)^-Parameters!B$63</f>
        <v>0.64573975604251121</v>
      </c>
      <c r="Q57" s="9">
        <f>1-P57/Parameters!$B$12</f>
        <v>0.67713012197874445</v>
      </c>
      <c r="R57" s="23">
        <f t="shared" si="0"/>
        <v>3.0972229621685763</v>
      </c>
      <c r="S57" s="7">
        <f>(Parameters!$B$19*(E57+Parameters!$B$20)^Q57+Parameters!$B$18*F57^Q57)^(1/Q57)</f>
        <v>0.53749450106803109</v>
      </c>
      <c r="T57" s="7">
        <f>(Parameters!$B$10*G57^Parameters!$B$9 + Parameters!$B$11*S57^Parameters!$B$9) ^ (Parameters!$B$7/Parameters!$B$9) * N57</f>
        <v>1.4686647463457239</v>
      </c>
      <c r="U57" s="7">
        <f t="shared" si="1"/>
        <v>1.1173894537663225</v>
      </c>
      <c r="V57" s="7">
        <f>EXP(-Parameters!$B$55*A57)</f>
        <v>0.44919418564576791</v>
      </c>
      <c r="W57" s="7">
        <f>IF(U57&gt;0,U57^(1-Parameters!$B$52)/(1-Parameters!$B$52)*V57,-10+U57*1000)</f>
        <v>-1.2345096325481379</v>
      </c>
      <c r="X57" s="7"/>
      <c r="Y57" s="9">
        <f t="shared" si="22"/>
        <v>5.4910356818094731E-2</v>
      </c>
      <c r="Z57" s="9">
        <f t="shared" si="23"/>
        <v>3.4636745444524297E-3</v>
      </c>
      <c r="AA57" s="7">
        <f t="shared" si="24"/>
        <v>0.29290126121685417</v>
      </c>
      <c r="AB57" s="13">
        <f t="shared" si="5"/>
        <v>0.23918003986507555</v>
      </c>
    </row>
    <row r="58" spans="1:28" x14ac:dyDescent="0.3">
      <c r="A58">
        <f>A57+Parameters!$B$65</f>
        <v>54</v>
      </c>
      <c r="B58" s="46">
        <f t="shared" si="30"/>
        <v>5.4910356818094738E-2</v>
      </c>
      <c r="C58" s="46">
        <f t="shared" si="28"/>
        <v>3.4636745444524297E-3</v>
      </c>
      <c r="D58" s="46">
        <f t="shared" si="29"/>
        <v>0.29290126121685417</v>
      </c>
      <c r="E58" s="7">
        <f>MAX((1-Parameters!$B$4)^Parameters!B$65*E57+B57*Parameters!B$65-Parameters!$B$5*B57^2/E57*Parameters!B$65,0.0001)</f>
        <v>0.81000473310183496</v>
      </c>
      <c r="F58" s="9">
        <f>(1-Parameters!$B$4)^Parameters!B$65*F57+C57*Parameters!B$65-Parameters!$B$5*C57^2/F57*Parameters!B$65</f>
        <v>6.5237592583428816E-2</v>
      </c>
      <c r="G58" s="7">
        <f>(1-Parameters!$B$4)^Parameters!B$65*G57+D57*Parameters!B$65-Parameters!$B$5*D57^2/G57*Parameters!B$65</f>
        <v>4.3521835707654786</v>
      </c>
      <c r="H58" s="7">
        <f>H57 *(1-Parameters!$B$4)-B57*(B57&lt;0)*Parameters!B$65</f>
        <v>0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23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97.111419558826469</v>
      </c>
      <c r="L58" s="8">
        <f>L57+K58*Parameters!B$65</f>
        <v>6220.7821743028835</v>
      </c>
      <c r="M58" s="7">
        <f>M57+Parameters!$B$45*K58</f>
        <v>3.732469304581731</v>
      </c>
      <c r="N58" s="7">
        <f>'6states'!O58</f>
        <v>0.9598910563085058</v>
      </c>
      <c r="O58" s="7">
        <f>MAX(O57+(Parameters!B$31-K58)*Parameters!B$65,30)</f>
        <v>30</v>
      </c>
      <c r="P58" s="7">
        <f>Parameters!B$61*EXP(-Parameters!B$60*A58)+(1-Parameters!B$61)*(O58/Parameters!B$62)^-Parameters!B$63</f>
        <v>0.64255549560524816</v>
      </c>
      <c r="Q58" s="9">
        <f>1-P58/Parameters!$B$12</f>
        <v>0.67872225219737592</v>
      </c>
      <c r="R58" s="23">
        <f t="shared" si="0"/>
        <v>3.1125716201619626</v>
      </c>
      <c r="S58" s="7">
        <f>(Parameters!$B$19*(E58+Parameters!$B$20)^Q58+Parameters!$B$18*F58^Q58)^(1/Q58)</f>
        <v>0.53742471000883929</v>
      </c>
      <c r="T58" s="7">
        <f>(Parameters!$B$10*G58^Parameters!$B$9 + Parameters!$B$11*S58^Parameters!$B$9) ^ (Parameters!$B$7/Parameters!$B$9) * N58</f>
        <v>1.4682599333439406</v>
      </c>
      <c r="U58" s="7">
        <f t="shared" si="1"/>
        <v>1.1169846407645392</v>
      </c>
      <c r="V58" s="7">
        <f>EXP(-Parameters!$B$55*A58)</f>
        <v>0.4424623070368317</v>
      </c>
      <c r="W58" s="7">
        <f>IF(U58&gt;0,U58^(1-Parameters!$B$52)/(1-Parameters!$B$52)*V58,-10+U58*1000)</f>
        <v>-1.2161627987738932</v>
      </c>
      <c r="X58" s="7"/>
      <c r="Y58" s="9">
        <f t="shared" si="22"/>
        <v>5.4910356818094731E-2</v>
      </c>
      <c r="Z58" s="9">
        <f t="shared" si="23"/>
        <v>3.4636745444524297E-3</v>
      </c>
      <c r="AA58" s="7">
        <f t="shared" si="24"/>
        <v>0.29290126121685417</v>
      </c>
      <c r="AB58" s="13">
        <f t="shared" si="5"/>
        <v>0.23924598404001735</v>
      </c>
    </row>
    <row r="59" spans="1:28" x14ac:dyDescent="0.3">
      <c r="A59">
        <f>A58+Parameters!$B$65</f>
        <v>55</v>
      </c>
      <c r="B59" s="46">
        <f t="shared" si="30"/>
        <v>5.4910356818094738E-2</v>
      </c>
      <c r="C59" s="46">
        <f t="shared" si="28"/>
        <v>3.4636745444524297E-3</v>
      </c>
      <c r="D59" s="46">
        <f t="shared" si="29"/>
        <v>0.29290126121685417</v>
      </c>
      <c r="E59" s="7">
        <f>MAX((1-Parameters!$B$4)^Parameters!B$65*E58+B58*Parameters!B$65-Parameters!$B$5*B58^2/E58*Parameters!B$65,0.0001)</f>
        <v>0.81024340990229837</v>
      </c>
      <c r="F59" s="9">
        <f>(1-Parameters!$B$4)^Parameters!B$65*F58+C58*Parameters!B$65-Parameters!$B$5*C58^2/F58*Parameters!B$65</f>
        <v>6.441392488319736E-2</v>
      </c>
      <c r="G59" s="7">
        <f>(1-Parameters!$B$4)^Parameters!B$65*G58+D58*Parameters!B$65-Parameters!$B$5*D58^2/G58*Parameters!B$65</f>
        <v>4.3516202771465178</v>
      </c>
      <c r="H59" s="7">
        <f>H58 *(1-Parameters!$B$4)-B58*(B58&lt;0)*Parameters!B$65</f>
        <v>0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23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98.286319216423408</v>
      </c>
      <c r="L59" s="8">
        <f>L58+K59*Parameters!B$65</f>
        <v>6319.0684935193067</v>
      </c>
      <c r="M59" s="7">
        <f>M58+Parameters!$B$45*K59</f>
        <v>3.7914410961115852</v>
      </c>
      <c r="N59" s="7">
        <f>'6states'!O59</f>
        <v>0.95966752938060862</v>
      </c>
      <c r="O59" s="7">
        <f>MAX(O58+(Parameters!B$31-K59)*Parameters!B$65,30)</f>
        <v>30</v>
      </c>
      <c r="P59" s="7">
        <f>Parameters!B$61*EXP(-Parameters!B$60*A59)+(1-Parameters!B$61)*(O59/Parameters!B$62)^-Parameters!B$63</f>
        <v>0.63945605991269705</v>
      </c>
      <c r="Q59" s="9">
        <f>1-P59/Parameters!$B$12</f>
        <v>0.68027197004365147</v>
      </c>
      <c r="R59" s="23">
        <f t="shared" si="0"/>
        <v>3.1276582166928777</v>
      </c>
      <c r="S59" s="7">
        <f>(Parameters!$B$19*(E59+Parameters!$B$20)^Q59+Parameters!$B$18*F59^Q59)^(1/Q59)</f>
        <v>0.53737044502834208</v>
      </c>
      <c r="T59" s="7">
        <f>(Parameters!$B$10*G59^Parameters!$B$9 + Parameters!$B$11*S59^Parameters!$B$9) ^ (Parameters!$B$7/Parameters!$B$9) * N59</f>
        <v>1.4678634583143417</v>
      </c>
      <c r="U59" s="7">
        <f t="shared" si="1"/>
        <v>1.1165881657349404</v>
      </c>
      <c r="V59" s="7">
        <f>EXP(-Parameters!$B$55*A59)</f>
        <v>0.43583131617545234</v>
      </c>
      <c r="W59" s="7">
        <f>IF(U59&gt;0,U59^(1-Parameters!$B$52)/(1-Parameters!$B$52)*V59,-10+U59*1000)</f>
        <v>-1.1980855527508043</v>
      </c>
      <c r="X59" s="7"/>
      <c r="Y59" s="9">
        <f t="shared" si="22"/>
        <v>5.4910356818094731E-2</v>
      </c>
      <c r="Z59" s="9">
        <f t="shared" si="23"/>
        <v>3.4636745444524297E-3</v>
      </c>
      <c r="AA59" s="7">
        <f t="shared" si="24"/>
        <v>0.29290126121685417</v>
      </c>
      <c r="AB59" s="13">
        <f t="shared" si="5"/>
        <v>0.23931060521310152</v>
      </c>
    </row>
    <row r="60" spans="1:28" x14ac:dyDescent="0.3">
      <c r="A60">
        <f>A59+Parameters!$B$65</f>
        <v>56</v>
      </c>
      <c r="B60" s="46">
        <f t="shared" si="30"/>
        <v>5.4910356818094738E-2</v>
      </c>
      <c r="C60" s="46">
        <f t="shared" si="28"/>
        <v>3.4636745444524297E-3</v>
      </c>
      <c r="D60" s="46">
        <f t="shared" si="29"/>
        <v>0.29290126121685417</v>
      </c>
      <c r="E60" s="7">
        <f>MAX((1-Parameters!$B$4)^Parameters!B$65*E59+B59*Parameters!B$65-Parameters!$B$5*B59^2/E59*Parameters!B$65,0.0001)</f>
        <v>0.81046817044978492</v>
      </c>
      <c r="F60" s="9">
        <f>(1-Parameters!$B$4)^Parameters!B$65*F59+C59*Parameters!B$65-Parameters!$B$5*C59^2/F59*Parameters!B$65</f>
        <v>6.363971436225338E-2</v>
      </c>
      <c r="G60" s="7">
        <f>(1-Parameters!$B$4)^Parameters!B$65*G59+D59*Parameters!B$65-Parameters!$B$5*D59^2/G59*Parameters!B$65</f>
        <v>4.3510898630578554</v>
      </c>
      <c r="H60" s="7">
        <f>H59 *(1-Parameters!$B$4)-B59*(B59&lt;0)*Parameters!B$65</f>
        <v>0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23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99.47621738137812</v>
      </c>
      <c r="L60" s="8">
        <f>L59+K60*Parameters!B$65</f>
        <v>6418.5447109006845</v>
      </c>
      <c r="M60" s="7">
        <f>M59+Parameters!$B$45*K60</f>
        <v>3.8511268265404119</v>
      </c>
      <c r="N60" s="7">
        <f>'6states'!O60</f>
        <v>0.95945420664135195</v>
      </c>
      <c r="O60" s="7">
        <f>MAX(O59+(Parameters!B$31-K60)*Parameters!B$65,30)</f>
        <v>30</v>
      </c>
      <c r="P60" s="7">
        <f>Parameters!B$61*EXP(-Parameters!B$60*A60)+(1-Parameters!B$61)*(O60/Parameters!B$62)^-Parameters!B$63</f>
        <v>0.63643918933897059</v>
      </c>
      <c r="Q60" s="9">
        <f>1-P60/Parameters!$B$12</f>
        <v>0.68178040533051476</v>
      </c>
      <c r="R60" s="23">
        <f t="shared" si="0"/>
        <v>3.1424840479689422</v>
      </c>
      <c r="S60" s="7">
        <f>(Parameters!$B$19*(E60+Parameters!$B$20)^Q60+Parameters!$B$18*F60^Q60)^(1/Q60)</f>
        <v>0.53733046403006379</v>
      </c>
      <c r="T60" s="7">
        <f>(Parameters!$B$10*G60^Parameters!$B$9 + Parameters!$B$11*S60^Parameters!$B$9) ^ (Parameters!$B$7/Parameters!$B$9) * N60</f>
        <v>1.4674875641307892</v>
      </c>
      <c r="U60" s="7">
        <f t="shared" si="1"/>
        <v>1.1162122715513878</v>
      </c>
      <c r="V60" s="7">
        <f>EXP(-Parameters!$B$55*A60)</f>
        <v>0.42929970110067539</v>
      </c>
      <c r="W60" s="7">
        <f>IF(U60&gt;0,U60^(1-Parameters!$B$52)/(1-Parameters!$B$52)*V60,-10+U60*1000)</f>
        <v>-1.1802694452275064</v>
      </c>
      <c r="X60" s="7"/>
      <c r="Y60" s="9">
        <f t="shared" si="22"/>
        <v>5.4910356818094731E-2</v>
      </c>
      <c r="Z60" s="9">
        <f t="shared" si="23"/>
        <v>3.4636745444524297E-3</v>
      </c>
      <c r="AA60" s="7">
        <f t="shared" si="24"/>
        <v>0.29290126121685417</v>
      </c>
      <c r="AB60" s="13">
        <f t="shared" si="5"/>
        <v>0.23937190417519208</v>
      </c>
    </row>
    <row r="61" spans="1:28" x14ac:dyDescent="0.3">
      <c r="A61">
        <f>A60+Parameters!$B$65</f>
        <v>57</v>
      </c>
      <c r="B61" s="46">
        <f t="shared" si="30"/>
        <v>5.4910356818094738E-2</v>
      </c>
      <c r="C61" s="46">
        <f t="shared" si="28"/>
        <v>3.4636745444524297E-3</v>
      </c>
      <c r="D61" s="46">
        <f t="shared" si="29"/>
        <v>0.29290126121685417</v>
      </c>
      <c r="E61" s="7">
        <f>MAX((1-Parameters!$B$4)^Parameters!B$65*E60+B60*Parameters!B$65-Parameters!$B$5*B60^2/E60*Parameters!B$65,0.0001)</f>
        <v>0.81067982555276286</v>
      </c>
      <c r="F61" s="9">
        <f>(1-Parameters!$B$4)^Parameters!B$65*F60+C60*Parameters!B$65-Parameters!$B$5*C60^2/F60*Parameters!B$65</f>
        <v>6.2911935863940907E-2</v>
      </c>
      <c r="G61" s="7">
        <f>(1-Parameters!$B$4)^Parameters!B$65*G60+D60*Parameters!B$65-Parameters!$B$5*D60^2/G60*Parameters!B$65</f>
        <v>4.3505904087125842</v>
      </c>
      <c r="H61" s="7">
        <f>H60 *(1-Parameters!$B$4)-B60*(B60&lt;0)*Parameters!B$65</f>
        <v>0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23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100.68136500628685</v>
      </c>
      <c r="L61" s="8">
        <f>L60+K61*Parameters!B$65</f>
        <v>6519.2260759069713</v>
      </c>
      <c r="M61" s="7">
        <f>M60+Parameters!$B$45*K61</f>
        <v>3.9115356455441841</v>
      </c>
      <c r="N61" s="7">
        <f>'6states'!O61</f>
        <v>0.95925061418113733</v>
      </c>
      <c r="O61" s="7">
        <f>MAX(O60+(Parameters!B$31-K61)*Parameters!B$65,30)</f>
        <v>30</v>
      </c>
      <c r="P61" s="7">
        <f>Parameters!B$61*EXP(-Parameters!B$60*A61)+(1-Parameters!B$61)*(O61/Parameters!B$62)^-Parameters!B$63</f>
        <v>0.63350268445181002</v>
      </c>
      <c r="Q61" s="9">
        <f>1-P61/Parameters!$B$12</f>
        <v>0.68324865777409505</v>
      </c>
      <c r="R61" s="23">
        <f t="shared" si="0"/>
        <v>3.1570505525650043</v>
      </c>
      <c r="S61" s="7">
        <f>(Parameters!$B$19*(E61+Parameters!$B$20)^Q61+Parameters!$B$18*F61^Q61)^(1/Q61)</f>
        <v>0.53730360438038505</v>
      </c>
      <c r="T61" s="7">
        <f>(Parameters!$B$10*G61^Parameters!$B$9 + Parameters!$B$11*S61^Parameters!$B$9) ^ (Parameters!$B$7/Parameters!$B$9) * N61</f>
        <v>1.4671311799339328</v>
      </c>
      <c r="U61" s="7">
        <f t="shared" si="1"/>
        <v>1.1158558873545315</v>
      </c>
      <c r="V61" s="7">
        <f>EXP(-Parameters!$B$55*A61)</f>
        <v>0.42286597251064995</v>
      </c>
      <c r="W61" s="7">
        <f>IF(U61&gt;0,U61^(1-Parameters!$B$52)/(1-Parameters!$B$52)*V61,-10+U61*1000)</f>
        <v>-1.1627112026187114</v>
      </c>
      <c r="X61" s="7"/>
      <c r="Y61" s="9">
        <f t="shared" si="22"/>
        <v>5.4910356818094731E-2</v>
      </c>
      <c r="Z61" s="9">
        <f t="shared" si="23"/>
        <v>3.4636745444524297E-3</v>
      </c>
      <c r="AA61" s="7">
        <f t="shared" si="24"/>
        <v>0.29290126121685417</v>
      </c>
      <c r="AB61" s="13">
        <f t="shared" si="5"/>
        <v>0.23943005055295721</v>
      </c>
    </row>
    <row r="62" spans="1:28" x14ac:dyDescent="0.3">
      <c r="A62">
        <f>A61+Parameters!$B$65</f>
        <v>58</v>
      </c>
      <c r="B62" s="46">
        <f t="shared" si="30"/>
        <v>5.4910356818094738E-2</v>
      </c>
      <c r="C62" s="46">
        <f t="shared" si="28"/>
        <v>3.4636745444524297E-3</v>
      </c>
      <c r="D62" s="46">
        <f t="shared" si="29"/>
        <v>0.29290126121685417</v>
      </c>
      <c r="E62" s="7">
        <f>MAX((1-Parameters!$B$4)^Parameters!B$65*E61+B61*Parameters!B$65-Parameters!$B$5*B61^2/E61*Parameters!B$65,0.0001)</f>
        <v>0.81087913884653817</v>
      </c>
      <c r="F62" s="9">
        <f>(1-Parameters!$B$4)^Parameters!B$65*F61+C61*Parameters!B$65-Parameters!$B$5*C61^2/F61*Parameters!B$65</f>
        <v>6.2227753851917492E-2</v>
      </c>
      <c r="G62" s="7">
        <f>(1-Parameters!$B$4)^Parameters!B$65*G61+D61*Parameters!B$65-Parameters!$B$5*D61^2/G61*Parameters!B$65</f>
        <v>4.3501201064855382</v>
      </c>
      <c r="H62" s="7">
        <f>H61 *(1-Parameters!$B$4)-B61*(B61&lt;0)*Parameters!B$65</f>
        <v>0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23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101.90201310758573</v>
      </c>
      <c r="L62" s="8">
        <f>L61+K62*Parameters!B$65</f>
        <v>6621.1280890145572</v>
      </c>
      <c r="M62" s="7">
        <f>M61+Parameters!$B$45*K62</f>
        <v>3.9726768534087356</v>
      </c>
      <c r="N62" s="7">
        <f>'6states'!O62</f>
        <v>0.95904917788576993</v>
      </c>
      <c r="O62" s="7">
        <f>MAX(O61+(Parameters!B$31-K62)*Parameters!B$65,30)</f>
        <v>30</v>
      </c>
      <c r="P62" s="7">
        <f>Parameters!B$61*EXP(-Parameters!B$60*A62)+(1-Parameters!B$61)*(O62/Parameters!B$62)^-Parameters!B$63</f>
        <v>0.63064440440910108</v>
      </c>
      <c r="Q62" s="9">
        <f>1-P62/Parameters!$B$12</f>
        <v>0.68467779779544946</v>
      </c>
      <c r="R62" s="23">
        <f t="shared" si="0"/>
        <v>3.1713593048906108</v>
      </c>
      <c r="S62" s="7">
        <f>(Parameters!$B$19*(E62+Parameters!$B$20)^Q62+Parameters!$B$18*F62^Q62)^(1/Q62)</f>
        <v>0.53728877874250136</v>
      </c>
      <c r="T62" s="7">
        <f>(Parameters!$B$10*G62^Parameters!$B$9 + Parameters!$B$11*S62^Parameters!$B$9) ^ (Parameters!$B$7/Parameters!$B$9) * N62</f>
        <v>1.4667823971192415</v>
      </c>
      <c r="U62" s="7">
        <f t="shared" si="1"/>
        <v>1.1155071045398401</v>
      </c>
      <c r="V62" s="7">
        <f>EXP(-Parameters!$B$55*A62)</f>
        <v>0.41652866342304673</v>
      </c>
      <c r="W62" s="7">
        <f>IF(U62&gt;0,U62^(1-Parameters!$B$52)/(1-Parameters!$B$52)*V62,-10+U62*1000)</f>
        <v>-1.1454114737486027</v>
      </c>
      <c r="X62" s="7"/>
      <c r="Y62" s="9">
        <f t="shared" si="22"/>
        <v>5.4910356818094731E-2</v>
      </c>
      <c r="Z62" s="9">
        <f t="shared" si="23"/>
        <v>3.4636745444524297E-3</v>
      </c>
      <c r="AA62" s="7">
        <f t="shared" si="24"/>
        <v>0.29290126121685417</v>
      </c>
      <c r="AB62" s="13">
        <f t="shared" si="5"/>
        <v>0.23948698407432861</v>
      </c>
    </row>
    <row r="63" spans="1:28" s="4" customFormat="1" x14ac:dyDescent="0.3">
      <c r="A63">
        <f>A62+Parameters!$B$65</f>
        <v>59</v>
      </c>
      <c r="B63" s="46">
        <f t="shared" si="30"/>
        <v>5.4910356818094738E-2</v>
      </c>
      <c r="C63" s="46">
        <f t="shared" si="28"/>
        <v>3.4636745444524297E-3</v>
      </c>
      <c r="D63" s="46">
        <f t="shared" si="29"/>
        <v>0.29290126121685417</v>
      </c>
      <c r="E63" s="7">
        <f>MAX((1-Parameters!$B$4)^Parameters!B$65*E62+B62*Parameters!B$65-Parameters!$B$5*B62^2/E62*Parameters!B$65,0.0001)</f>
        <v>0.81106682953011011</v>
      </c>
      <c r="F63" s="9">
        <f>(1-Parameters!$B$4)^Parameters!B$65*F62+C62*Parameters!B$65-Parameters!$B$5*C62^2/F62*Parameters!B$65</f>
        <v>6.158451022543996E-2</v>
      </c>
      <c r="G63" s="7">
        <f>(1-Parameters!$B$4)^Parameters!B$65*G62+D62*Parameters!B$65-Parameters!$B$5*D62^2/G62*Parameters!B$65</f>
        <v>4.3496772543526525</v>
      </c>
      <c r="H63" s="7">
        <f>H62 *(1-Parameters!$B$4)-B62*(B62&lt;0)*Parameters!B$65</f>
        <v>0</v>
      </c>
      <c r="I63" s="7">
        <f>I62*(1+Parameters!$B$51)^Parameters!B$65</f>
        <v>9.6803354303667835</v>
      </c>
      <c r="J63" s="7">
        <f>J62*(1+Parameters!$B$53)^Parameters!B$65</f>
        <v>29.119430836612942</v>
      </c>
      <c r="K63" s="23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103.13841293000887</v>
      </c>
      <c r="L63" s="8">
        <f>L62+K63*Parameters!B$65</f>
        <v>6724.2665019445658</v>
      </c>
      <c r="M63" s="16">
        <f>M62+Parameters!$B$45*K63</f>
        <v>4.034559901166741</v>
      </c>
      <c r="N63" s="7">
        <f>'6states'!O63</f>
        <v>0.95885009253694431</v>
      </c>
      <c r="O63" s="7">
        <f>MAX(O62+(Parameters!B$31-K63)*Parameters!B$65,30)</f>
        <v>30</v>
      </c>
      <c r="P63" s="7">
        <f>Parameters!B$61*EXP(-Parameters!B$60*A63)+(1-Parameters!B$61)*(O63/Parameters!B$62)^-Parameters!B$63</f>
        <v>0.62786226539810575</v>
      </c>
      <c r="Q63" s="9">
        <f>1-P63/Parameters!$B$12</f>
        <v>0.68606886730094718</v>
      </c>
      <c r="R63" s="23">
        <f t="shared" si="0"/>
        <v>3.1854120086861242</v>
      </c>
      <c r="S63" s="7">
        <f>(Parameters!$B$19*(E63+Parameters!$B$20)^Q63+Parameters!$B$18*F63^Q63)^(1/Q63)</f>
        <v>0.53728497103931838</v>
      </c>
      <c r="T63" s="7">
        <f>(Parameters!$B$10*G63^Parameters!$B$9 + Parameters!$B$11*S63^Parameters!$B$9) ^ (Parameters!$B$7/Parameters!$B$9) * N63</f>
        <v>1.4664412099815956</v>
      </c>
      <c r="U63" s="7">
        <f t="shared" si="1"/>
        <v>1.1151659174021942</v>
      </c>
      <c r="V63" s="16">
        <f>EXP(-Parameters!$B$55*A63)</f>
        <v>0.41028632884056476</v>
      </c>
      <c r="W63" s="16">
        <f>IF(U63&gt;0,U63^(1-Parameters!$B$52)/(1-Parameters!$B$52)*V63,-10+U63*1000)</f>
        <v>-1.1283664924480563</v>
      </c>
      <c r="X63" s="7"/>
      <c r="Y63" s="9">
        <f t="shared" si="22"/>
        <v>5.4938419472477705E-2</v>
      </c>
      <c r="Z63" s="9">
        <f t="shared" si="23"/>
        <v>3.3791381410915966E-3</v>
      </c>
      <c r="AA63" s="7">
        <f t="shared" si="24"/>
        <v>0.292869455548942</v>
      </c>
      <c r="AB63" s="13">
        <f t="shared" si="5"/>
        <v>0.23954270392047286</v>
      </c>
    </row>
    <row r="64" spans="1:28" s="3" customFormat="1" x14ac:dyDescent="0.3">
      <c r="A64" s="3">
        <f>A63+Parameters!$B$65</f>
        <v>60</v>
      </c>
      <c r="B64" s="47">
        <v>5.4994544781243625E-2</v>
      </c>
      <c r="C64" s="47">
        <v>3.2100653343699304E-3</v>
      </c>
      <c r="D64" s="48">
        <v>0.29280584421311762</v>
      </c>
      <c r="E64" s="17">
        <f>MAX((1-Parameters!$B$4)^Parameters!B$65*E63+B63*Parameters!B$65-Parameters!$B$5*B63^2/E63*Parameters!B$65,0.0001)</f>
        <v>0.81124357494512678</v>
      </c>
      <c r="F64" s="22">
        <f>(1-Parameters!$B$4)^Parameters!B$65*F63+C63*Parameters!B$65-Parameters!$B$5*C63^2/F63*Parameters!B$65</f>
        <v>6.0979712926497322E-2</v>
      </c>
      <c r="G64" s="17">
        <f>(1-Parameters!$B$4)^Parameters!B$65*G63+D63*Parameters!B$65-Parameters!$B$5*D63^2/G63*Parameters!B$65</f>
        <v>4.349260249714936</v>
      </c>
      <c r="H64" s="7">
        <f>H63 *(1-Parameters!$B$4)-B63*(B63&lt;0)*Parameters!B$65</f>
        <v>0</v>
      </c>
      <c r="I64" s="17">
        <f>I63*(1+Parameters!$B$51)^Parameters!B$65</f>
        <v>9.7084084031148468</v>
      </c>
      <c r="J64" s="17">
        <f>J63*(1+Parameters!$B$53)^Parameters!B$65</f>
        <v>29.701819453345202</v>
      </c>
      <c r="K64" s="24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104.39081610482708</v>
      </c>
      <c r="L64" s="26">
        <f>L63+K64*Parameters!B$65</f>
        <v>6828.6573180493924</v>
      </c>
      <c r="M64" s="17">
        <f>M63+Parameters!$B$45*K64</f>
        <v>4.0971943908296371</v>
      </c>
      <c r="N64" s="17">
        <f>'6states'!O64</f>
        <v>0.95865354376767653</v>
      </c>
      <c r="O64" s="17">
        <f>MAX(O63+(Parameters!B$31-K64)*Parameters!B$65,30)</f>
        <v>30</v>
      </c>
      <c r="P64" s="17">
        <f>Parameters!B$61*EXP(-Parameters!B$60*A64)+(1-Parameters!B$61)*(O64/Parameters!B$62)^-Parameters!B$63</f>
        <v>0.62515423911626999</v>
      </c>
      <c r="Q64" s="22">
        <f>1-P64/Parameters!$B$12</f>
        <v>0.68742288044186495</v>
      </c>
      <c r="R64" s="24">
        <f t="shared" si="0"/>
        <v>3.1992104905618781</v>
      </c>
      <c r="S64" s="17">
        <f>(Parameters!$B$19*(E64+Parameters!$B$20)^Q64+Parameters!$B$18*F64^Q64)^(1/Q64)</f>
        <v>0.53729123255254818</v>
      </c>
      <c r="T64" s="17">
        <f>(Parameters!$B$10*G64^Parameters!$B$9 + Parameters!$B$11*S64^Parameters!$B$9) ^ (Parameters!$B$7/Parameters!$B$9) * N64</f>
        <v>1.4661076177236896</v>
      </c>
      <c r="U64" s="17">
        <f t="shared" si="1"/>
        <v>1.1150971633949585</v>
      </c>
      <c r="V64" s="17">
        <f>EXP(-Parameters!$B$55*A64)</f>
        <v>0.40413754542145147</v>
      </c>
      <c r="W64" s="17">
        <f>IF(U64&gt;0,U64^(1-Parameters!$B$52)/(1-Parameters!$B$52)*V64,-10+U64*1000)</f>
        <v>-1.1114801376344252</v>
      </c>
      <c r="X64" s="17"/>
      <c r="Y64" s="22" t="s">
        <v>15</v>
      </c>
      <c r="Z64" s="22"/>
      <c r="AA64" s="17"/>
      <c r="AB64" s="31">
        <f t="shared" si="5"/>
        <v>0.23941656811913822</v>
      </c>
    </row>
    <row r="65" spans="1:27" x14ac:dyDescent="0.3">
      <c r="A65">
        <f>A64+Parameters!$B$65</f>
        <v>61</v>
      </c>
      <c r="B65" s="46">
        <f>B64</f>
        <v>5.4994544781243625E-2</v>
      </c>
      <c r="C65" s="46">
        <f t="shared" ref="C65:C73" si="31">C64</f>
        <v>3.2100653343699304E-3</v>
      </c>
      <c r="D65" s="46">
        <f t="shared" ref="D65:D73" si="32">D64</f>
        <v>0.29280584421311762</v>
      </c>
      <c r="E65" s="7">
        <f>MAX((1-Parameters!$B$4)^Parameters!B$65*E64+B64*Parameters!B$65-Parameters!$B$5*B64^2/E64*Parameters!B$65,0.0001)</f>
        <v>0.81148279543062363</v>
      </c>
      <c r="F65" s="9">
        <f>(1-Parameters!$B$4)^Parameters!B$65*F64+C64*Parameters!B$65-Parameters!$B$5*C64^2/F64*Parameters!B$65</f>
        <v>6.0185171569981578E-2</v>
      </c>
      <c r="G65" s="7">
        <f>(1-Parameters!$B$4)^Parameters!B$65*G64+D64*Parameters!B$65-Parameters!$B$5*D64^2/G64*Parameters!B$65</f>
        <v>4.3487850162180539</v>
      </c>
      <c r="H65" s="7">
        <f>H64 *(1-Parameters!$B$4)-B64*(B64&lt;0)*Parameters!B$65</f>
        <v>0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23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105.66895231992491</v>
      </c>
      <c r="L65" s="8">
        <f>L64+K65*Parameters!B$65</f>
        <v>6934.3262703693172</v>
      </c>
      <c r="M65" s="7">
        <f>M64+Parameters!$B$45*K65</f>
        <v>4.1605957622215923</v>
      </c>
      <c r="N65" s="7">
        <f>'6states'!O65</f>
        <v>0.95846616339781987</v>
      </c>
      <c r="O65" s="7">
        <f>MAX(O64+(Parameters!B$31-K65)*Parameters!B$65,30)</f>
        <v>30</v>
      </c>
      <c r="P65" s="7">
        <f>Parameters!B$61*EXP(-Parameters!B$60*A65)+(1-Parameters!B$61)*(O65/Parameters!B$62)^-Parameters!B$63</f>
        <v>0.62251835129250177</v>
      </c>
      <c r="Q65" s="9">
        <f>1-P65/Parameters!$B$12</f>
        <v>0.68874082435374917</v>
      </c>
      <c r="R65" s="23">
        <f t="shared" si="0"/>
        <v>3.2127566935938621</v>
      </c>
      <c r="S65" s="7">
        <f>(Parameters!$B$19*(E65+Parameters!$B$20)^Q65+Parameters!$B$18*F65^Q65)^(1/Q65)</f>
        <v>0.53721551771389187</v>
      </c>
      <c r="T65" s="7">
        <f>(Parameters!$B$10*G65^Parameters!$B$9 + Parameters!$B$11*S65^Parameters!$B$9) ^ (Parameters!$B$7/Parameters!$B$9) * N65</f>
        <v>1.4657702977223817</v>
      </c>
      <c r="U65" s="7">
        <f t="shared" si="1"/>
        <v>1.1147598433936505</v>
      </c>
      <c r="V65" s="7">
        <f>EXP(-Parameters!$B$55*A65)</f>
        <v>0.39808091115496053</v>
      </c>
      <c r="W65" s="7">
        <f>IF(U65&gt;0,U65^(1-Parameters!$B$52)/(1-Parameters!$B$52)*V65,-10+U65*1000)</f>
        <v>-1.0949388055681799</v>
      </c>
      <c r="X65" s="7"/>
      <c r="Y65" s="7"/>
      <c r="Z65" s="7"/>
      <c r="AA65" s="7"/>
    </row>
    <row r="66" spans="1:27" x14ac:dyDescent="0.3">
      <c r="A66">
        <f>A65+Parameters!$B$65</f>
        <v>62</v>
      </c>
      <c r="B66" s="46">
        <f t="shared" ref="B66:B73" si="33">B65</f>
        <v>5.4994544781243625E-2</v>
      </c>
      <c r="C66" s="46">
        <f t="shared" si="31"/>
        <v>3.2100653343699304E-3</v>
      </c>
      <c r="D66" s="46">
        <f t="shared" si="32"/>
        <v>0.29280584421311762</v>
      </c>
      <c r="E66" s="7">
        <f>MAX((1-Parameters!$B$4)^Parameters!B$65*E65+B65*Parameters!B$65-Parameters!$B$5*B65^2/E65*Parameters!B$65,0.0001)</f>
        <v>0.81170806797114547</v>
      </c>
      <c r="F66" s="9">
        <f>(1-Parameters!$B$4)^Parameters!B$65*F65+C65*Parameters!B$65-Parameters!$B$5*C65^2/F65*Parameters!B$65</f>
        <v>5.9438376019913607E-2</v>
      </c>
      <c r="G66" s="7">
        <f>(1-Parameters!$B$4)^Parameters!B$65*G65+D65*Parameters!B$65-Parameters!$B$5*D65^2/G65*Parameters!B$65</f>
        <v>4.348337520722164</v>
      </c>
      <c r="H66" s="7">
        <f>H65 *(1-Parameters!$B$4)-B65*(B65&lt;0)*Parameters!B$65</f>
        <v>0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23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106.96326485551272</v>
      </c>
      <c r="L66" s="8">
        <f>L65+K66*Parameters!B$65</f>
        <v>7041.2895352248297</v>
      </c>
      <c r="M66" s="7">
        <f>M65+Parameters!$B$45*K66</f>
        <v>4.2247737211349001</v>
      </c>
      <c r="N66" s="7">
        <f>'6states'!O66</f>
        <v>0.95828145547931853</v>
      </c>
      <c r="O66" s="7">
        <f>MAX(O65+(Parameters!B$31-K66)*Parameters!B$65,30)</f>
        <v>30</v>
      </c>
      <c r="P66" s="7">
        <f>Parameters!B$61*EXP(-Parameters!B$60*A66)+(1-Parameters!B$61)*(O66/Parameters!B$62)^-Parameters!B$63</f>
        <v>0.61995268024783989</v>
      </c>
      <c r="Q66" s="9">
        <f>1-P66/Parameters!$B$12</f>
        <v>0.69002365987608005</v>
      </c>
      <c r="R66" s="23">
        <f t="shared" si="0"/>
        <v>3.2260526709884623</v>
      </c>
      <c r="S66" s="7">
        <f>(Parameters!$B$19*(E66+Parameters!$B$20)^Q66+Parameters!$B$18*F66^Q66)^(1/Q66)</f>
        <v>0.53715378332470043</v>
      </c>
      <c r="T66" s="7">
        <f>(Parameters!$B$10*G66^Parameters!$B$9 + Parameters!$B$11*S66^Parameters!$B$9) ^ (Parameters!$B$7/Parameters!$B$9) * N66</f>
        <v>1.4654415598448161</v>
      </c>
      <c r="U66" s="7">
        <f t="shared" si="1"/>
        <v>1.1144311055160849</v>
      </c>
      <c r="V66" s="7">
        <f>EXP(-Parameters!$B$55*A66)</f>
        <v>0.39211504504167288</v>
      </c>
      <c r="W66" s="7">
        <f>IF(U66&gt;0,U66^(1-Parameters!$B$52)/(1-Parameters!$B$52)*V66,-10+U66*1000)</f>
        <v>-1.0786407731173804</v>
      </c>
      <c r="X66" s="7"/>
      <c r="Y66" s="7"/>
      <c r="Z66" s="7"/>
      <c r="AA66" s="7"/>
    </row>
    <row r="67" spans="1:27" x14ac:dyDescent="0.3">
      <c r="A67">
        <f>A66+Parameters!$B$65</f>
        <v>63</v>
      </c>
      <c r="B67" s="46">
        <f t="shared" si="33"/>
        <v>5.4994544781243625E-2</v>
      </c>
      <c r="C67" s="46">
        <f t="shared" si="31"/>
        <v>3.2100653343699304E-3</v>
      </c>
      <c r="D67" s="46">
        <f t="shared" si="32"/>
        <v>0.29280584421311762</v>
      </c>
      <c r="E67" s="7">
        <f>MAX((1-Parameters!$B$4)^Parameters!B$65*E66+B66*Parameters!B$65-Parameters!$B$5*B66^2/E66*Parameters!B$65,0.0001)</f>
        <v>0.8119202052207305</v>
      </c>
      <c r="F67" s="9">
        <f>(1-Parameters!$B$4)^Parameters!B$65*F66+C66*Parameters!B$65-Parameters!$B$5*C66^2/F66*Parameters!B$65</f>
        <v>5.8736402748394229E-2</v>
      </c>
      <c r="G67" s="7">
        <f>(1-Parameters!$B$4)^Parameters!B$65*G66+D66*Parameters!B$65-Parameters!$B$5*D66^2/G66*Parameters!B$65</f>
        <v>4.3479161438101475</v>
      </c>
      <c r="H67" s="7">
        <f>H66 *(1-Parameters!$B$4)-B66*(B66&lt;0)*Parameters!B$65</f>
        <v>0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23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108.27402491639596</v>
      </c>
      <c r="L67" s="8">
        <f>L66+K67*Parameters!B$65</f>
        <v>7149.5635601412259</v>
      </c>
      <c r="M67" s="7">
        <f>M66+Parameters!$B$45*K67</f>
        <v>4.289738136084738</v>
      </c>
      <c r="N67" s="7">
        <f>'6states'!O67</f>
        <v>0.95809959749437767</v>
      </c>
      <c r="O67" s="7">
        <f>MAX(O66+(Parameters!B$31-K67)*Parameters!B$65,30)</f>
        <v>30</v>
      </c>
      <c r="P67" s="7">
        <f>Parameters!B$61*EXP(-Parameters!B$60*A67)+(1-Parameters!B$61)*(O67/Parameters!B$62)^-Parameters!B$63</f>
        <v>0.61745535549446484</v>
      </c>
      <c r="Q67" s="9">
        <f>1-P67/Parameters!$B$12</f>
        <v>0.69127232225276758</v>
      </c>
      <c r="R67" s="23">
        <f t="shared" si="0"/>
        <v>3.2391005798279595</v>
      </c>
      <c r="S67" s="7">
        <f>(Parameters!$B$19*(E67+Parameters!$B$20)^Q67+Parameters!$B$18*F67^Q67)^(1/Q67)</f>
        <v>0.53710494024616429</v>
      </c>
      <c r="T67" s="7">
        <f>(Parameters!$B$10*G67^Parameters!$B$9 + Parameters!$B$11*S67^Parameters!$B$9) ^ (Parameters!$B$7/Parameters!$B$9) * N67</f>
        <v>1.4651213689239266</v>
      </c>
      <c r="U67" s="7">
        <f t="shared" si="1"/>
        <v>1.1141109145951955</v>
      </c>
      <c r="V67" s="7">
        <f>EXP(-Parameters!$B$55*A67)</f>
        <v>0.38623858677860945</v>
      </c>
      <c r="W67" s="7">
        <f>IF(U67&gt;0,U67^(1-Parameters!$B$52)/(1-Parameters!$B$52)*V67,-10+U67*1000)</f>
        <v>-1.0625825141872602</v>
      </c>
      <c r="X67" s="7"/>
      <c r="Y67" s="7"/>
      <c r="Z67" s="7"/>
      <c r="AA67" s="7"/>
    </row>
    <row r="68" spans="1:27" x14ac:dyDescent="0.3">
      <c r="A68">
        <f>A67+Parameters!$B$65</f>
        <v>64</v>
      </c>
      <c r="B68" s="46">
        <f t="shared" si="33"/>
        <v>5.4994544781243625E-2</v>
      </c>
      <c r="C68" s="46">
        <f t="shared" si="31"/>
        <v>3.2100653343699304E-3</v>
      </c>
      <c r="D68" s="46">
        <f t="shared" si="32"/>
        <v>0.29280584421311762</v>
      </c>
      <c r="E68" s="7">
        <f>MAX((1-Parameters!$B$4)^Parameters!B$65*E67+B67*Parameters!B$65-Parameters!$B$5*B67^2/E67*Parameters!B$65,0.0001)</f>
        <v>0.81211997255298318</v>
      </c>
      <c r="F68" s="9">
        <f>(1-Parameters!$B$4)^Parameters!B$65*F67+C67*Parameters!B$65-Parameters!$B$5*C67^2/F67*Parameters!B$65</f>
        <v>5.8076511670612001E-2</v>
      </c>
      <c r="G68" s="7">
        <f>(1-Parameters!$B$4)^Parameters!B$65*G67+D67*Parameters!B$65-Parameters!$B$5*D67^2/G67*Parameters!B$65</f>
        <v>4.3475193606593523</v>
      </c>
      <c r="H68" s="7">
        <f>H67 *(1-Parameters!$B$4)-B67*(B67&lt;0)*Parameters!B$65</f>
        <v>0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23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109.60150384122842</v>
      </c>
      <c r="L68" s="8">
        <f>L67+K68*Parameters!B$65</f>
        <v>7259.1650639824547</v>
      </c>
      <c r="M68" s="7">
        <f>M67+Parameters!$B$45*K68</f>
        <v>4.3554990383894747</v>
      </c>
      <c r="N68" s="7">
        <f>'6states'!O68</f>
        <v>0.95792069687518255</v>
      </c>
      <c r="O68" s="7">
        <f>MAX(O67+(Parameters!B$31-K68)*Parameters!B$65,30)</f>
        <v>30</v>
      </c>
      <c r="P68" s="7">
        <f>Parameters!B$61*EXP(-Parameters!B$60*A68)+(1-Parameters!B$61)*(O68/Parameters!B$62)^-Parameters!B$63</f>
        <v>0.61502455637203013</v>
      </c>
      <c r="Q68" s="9">
        <f>1-P68/Parameters!$B$12</f>
        <v>0.69248772181398488</v>
      </c>
      <c r="R68" s="23">
        <f t="shared" si="0"/>
        <v>3.2519026749074942</v>
      </c>
      <c r="S68" s="7">
        <f>(Parameters!$B$19*(E68+Parameters!$B$20)^Q68+Parameters!$B$18*F68^Q68)^(1/Q68)</f>
        <v>0.53706796809055424</v>
      </c>
      <c r="T68" s="7">
        <f>(Parameters!$B$10*G68^Parameters!$B$9 + Parameters!$B$11*S68^Parameters!$B$9) ^ (Parameters!$B$7/Parameters!$B$9) * N68</f>
        <v>1.4648096010562843</v>
      </c>
      <c r="U68" s="7">
        <f t="shared" si="1"/>
        <v>1.1137991467275532</v>
      </c>
      <c r="V68" s="7">
        <f>EXP(-Parameters!$B$55*A68)</f>
        <v>0.38045019644906247</v>
      </c>
      <c r="W68" s="7">
        <f>IF(U68&gt;0,U68^(1-Parameters!$B$52)/(1-Parameters!$B$52)*V68,-10+U68*1000)</f>
        <v>-1.0467605821233177</v>
      </c>
      <c r="X68" s="7"/>
      <c r="Y68" s="7"/>
      <c r="Z68" s="7"/>
      <c r="AA68" s="7"/>
    </row>
    <row r="69" spans="1:27" x14ac:dyDescent="0.3">
      <c r="A69">
        <f>A68+Parameters!$B$65</f>
        <v>65</v>
      </c>
      <c r="B69" s="46">
        <f t="shared" si="33"/>
        <v>5.4994544781243625E-2</v>
      </c>
      <c r="C69" s="46">
        <f t="shared" si="31"/>
        <v>3.2100653343699304E-3</v>
      </c>
      <c r="D69" s="46">
        <f t="shared" si="32"/>
        <v>0.29280584421311762</v>
      </c>
      <c r="E69" s="7">
        <f>MAX((1-Parameters!$B$4)^Parameters!B$65*E68+B68*Parameters!B$65-Parameters!$B$5*B68^2/E68*Parameters!B$65,0.0001)</f>
        <v>0.81230809080414135</v>
      </c>
      <c r="F69" s="9">
        <f>(1-Parameters!$B$4)^Parameters!B$65*F68+C68*Parameters!B$65-Parameters!$B$5*C68^2/F68*Parameters!B$65</f>
        <v>5.7456134352280495E-2</v>
      </c>
      <c r="G69" s="7">
        <f>(1-Parameters!$B$4)^Parameters!B$65*G68+D68*Parameters!B$65-Parameters!$B$5*D68^2/G68*Parameters!B$65</f>
        <v>4.3471457355105869</v>
      </c>
      <c r="H69" s="7">
        <f>H68 *(1-Parameters!$B$4)-B68*(B68&lt;0)*Parameters!B$65</f>
        <v>0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23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110.94597327567554</v>
      </c>
      <c r="L69" s="8">
        <f>L68+K69*Parameters!B$65</f>
        <v>7370.1110372581306</v>
      </c>
      <c r="M69" s="7">
        <f>M68+Parameters!$B$45*K69</f>
        <v>4.4220666223548797</v>
      </c>
      <c r="N69" s="7">
        <f>'6states'!O69</f>
        <v>0.95774959541150351</v>
      </c>
      <c r="O69" s="7">
        <f>MAX(O68+(Parameters!B$31-K69)*Parameters!B$65,30)</f>
        <v>30</v>
      </c>
      <c r="P69" s="7">
        <f>Parameters!B$61*EXP(-Parameters!B$60*A69)+(1-Parameters!B$61)*(O69/Parameters!B$62)^-Parameters!B$63</f>
        <v>0.61265851072032085</v>
      </c>
      <c r="Q69" s="9">
        <f>1-P69/Parameters!$B$12</f>
        <v>0.69367074463983958</v>
      </c>
      <c r="R69" s="23">
        <f t="shared" ref="R69:R132" si="34">1/(1-Q69)</f>
        <v>3.2644613026733937</v>
      </c>
      <c r="S69" s="7">
        <f>(Parameters!$B$19*(E69+Parameters!$B$20)^Q69+Parameters!$B$18*F69^Q69)^(1/Q69)</f>
        <v>0.53704191163304182</v>
      </c>
      <c r="T69" s="7">
        <f>(Parameters!$B$10*G69^Parameters!$B$9 + Parameters!$B$11*S69^Parameters!$B$9) ^ (Parameters!$B$7/Parameters!$B$9) * N69</f>
        <v>1.4645133892039512</v>
      </c>
      <c r="U69" s="7">
        <f t="shared" ref="U69:U132" si="35">T69-B69-C69-D69</f>
        <v>1.1135029348752201</v>
      </c>
      <c r="V69" s="7">
        <f>EXP(-Parameters!$B$55*A69)</f>
        <v>0.37474855421707526</v>
      </c>
      <c r="W69" s="7">
        <f>IF(U69&gt;0,U69^(1-Parameters!$B$52)/(1-Parameters!$B$52)*V69,-10+U69*1000)</f>
        <v>-1.0311692260012069</v>
      </c>
      <c r="X69" s="7"/>
      <c r="Y69" s="7"/>
      <c r="Z69" s="7"/>
      <c r="AA69" s="7"/>
    </row>
    <row r="70" spans="1:27" x14ac:dyDescent="0.3">
      <c r="A70">
        <f>A69+Parameters!$B$65</f>
        <v>66</v>
      </c>
      <c r="B70" s="46">
        <f t="shared" si="33"/>
        <v>5.4994544781243625E-2</v>
      </c>
      <c r="C70" s="46">
        <f t="shared" si="31"/>
        <v>3.2100653343699304E-3</v>
      </c>
      <c r="D70" s="46">
        <f t="shared" si="32"/>
        <v>0.29280584421311762</v>
      </c>
      <c r="E70" s="7">
        <f>MAX((1-Parameters!$B$4)^Parameters!B$65*E69+B69*Parameters!B$65-Parameters!$B$5*B69^2/E69*Parameters!B$65,0.0001)</f>
        <v>0.8124852388578867</v>
      </c>
      <c r="F70" s="9">
        <f>(1-Parameters!$B$4)^Parameters!B$65*F69+C69*Parameters!B$65-Parameters!$B$5*C69^2/F69*Parameters!B$65</f>
        <v>5.6872862982449368E-2</v>
      </c>
      <c r="G70" s="7">
        <f>(1-Parameters!$B$4)^Parameters!B$65*G69+D69*Parameters!B$65-Parameters!$B$5*D69^2/G69*Parameters!B$65</f>
        <v>4.3467939164611291</v>
      </c>
      <c r="H70" s="7">
        <f>H69 *(1-Parameters!$B$4)-B69*(B69&lt;0)*Parameters!B$65</f>
        <v>0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23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112.30770533917593</v>
      </c>
      <c r="L70" s="8">
        <f>L69+K70*Parameters!B$65</f>
        <v>7482.4187425973068</v>
      </c>
      <c r="M70" s="7">
        <f>M69+Parameters!$B$45*K70</f>
        <v>4.489451245558385</v>
      </c>
      <c r="N70" s="7">
        <f>'6states'!O70</f>
        <v>0.9575814220065203</v>
      </c>
      <c r="O70" s="7">
        <f>MAX(O69+(Parameters!B$31-K70)*Parameters!B$65,30)</f>
        <v>30</v>
      </c>
      <c r="P70" s="7">
        <f>Parameters!B$61*EXP(-Parameters!B$60*A70)+(1-Parameters!B$61)*(O70/Parameters!B$62)^-Parameters!B$63</f>
        <v>0.61035549358726982</v>
      </c>
      <c r="Q70" s="9">
        <f>1-P70/Parameters!$B$12</f>
        <v>0.69482225320636504</v>
      </c>
      <c r="R70" s="23">
        <f t="shared" si="34"/>
        <v>3.2767788952718515</v>
      </c>
      <c r="S70" s="7">
        <f>(Parameters!$B$19*(E70+Parameters!$B$20)^Q70+Parameters!$B$18*F70^Q70)^(1/Q70)</f>
        <v>0.5370258773384512</v>
      </c>
      <c r="T70" s="7">
        <f>(Parameters!$B$10*G70^Parameters!$B$9 + Parameters!$B$11*S70^Parameters!$B$9) ^ (Parameters!$B$7/Parameters!$B$9) * N70</f>
        <v>1.4642250304346496</v>
      </c>
      <c r="U70" s="7">
        <f t="shared" si="35"/>
        <v>1.1132145761059185</v>
      </c>
      <c r="V70" s="7">
        <f>EXP(-Parameters!$B$55*A70)</f>
        <v>0.36913236002650052</v>
      </c>
      <c r="W70" s="7">
        <f>IF(U70&gt;0,U70^(1-Parameters!$B$52)/(1-Parameters!$B$52)*V70,-10+U70*1000)</f>
        <v>-1.015807618073205</v>
      </c>
      <c r="X70" s="7"/>
      <c r="Y70" s="7"/>
      <c r="Z70" s="7"/>
      <c r="AA70" s="7"/>
    </row>
    <row r="71" spans="1:27" x14ac:dyDescent="0.3">
      <c r="A71">
        <f>A70+Parameters!$B$65</f>
        <v>67</v>
      </c>
      <c r="B71" s="46">
        <f t="shared" si="33"/>
        <v>5.4994544781243625E-2</v>
      </c>
      <c r="C71" s="46">
        <f t="shared" si="31"/>
        <v>3.2100653343699304E-3</v>
      </c>
      <c r="D71" s="46">
        <f t="shared" si="32"/>
        <v>0.29280584421311762</v>
      </c>
      <c r="E71" s="7">
        <f>MAX((1-Parameters!$B$4)^Parameters!B$65*E70+B70*Parameters!B$65-Parameters!$B$5*B70^2/E70*Parameters!B$65,0.0001)</f>
        <v>0.81265205608092539</v>
      </c>
      <c r="F71" s="9">
        <f>(1-Parameters!$B$4)^Parameters!B$65*F70+C70*Parameters!B$65-Parameters!$B$5*C70^2/F70*Parameters!B$65</f>
        <v>5.6324440063411099E-2</v>
      </c>
      <c r="G71" s="7">
        <f>(1-Parameters!$B$4)^Parameters!B$65*G70+D70*Parameters!B$65-Parameters!$B$5*D70^2/G70*Parameters!B$65</f>
        <v>4.3464626305627112</v>
      </c>
      <c r="H71" s="7">
        <f>H70 *(1-Parameters!$B$4)-B70*(B70&lt;0)*Parameters!B$65</f>
        <v>0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23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113.6869727856588</v>
      </c>
      <c r="L71" s="8">
        <f>L70+K71*Parameters!B$65</f>
        <v>7596.1057153829661</v>
      </c>
      <c r="M71" s="7">
        <f>M70+Parameters!$B$45*K71</f>
        <v>4.5576634292297804</v>
      </c>
      <c r="N71" s="7">
        <f>'6states'!O71</f>
        <v>0.95741620757959356</v>
      </c>
      <c r="O71" s="7">
        <f>MAX(O70+(Parameters!B$31-K71)*Parameters!B$65,30)</f>
        <v>30</v>
      </c>
      <c r="P71" s="7">
        <f>Parameters!B$61*EXP(-Parameters!B$60*A71)+(1-Parameters!B$61)*(O71/Parameters!B$62)^-Parameters!B$63</f>
        <v>0.60811382597139152</v>
      </c>
      <c r="Q71" s="9">
        <f>1-P71/Parameters!$B$12</f>
        <v>0.69594308701430418</v>
      </c>
      <c r="R71" s="23">
        <f t="shared" si="34"/>
        <v>3.2888579647161138</v>
      </c>
      <c r="S71" s="7">
        <f>(Parameters!$B$19*(E71+Parameters!$B$20)^Q71+Parameters!$B$18*F71^Q71)^(1/Q71)</f>
        <v>0.53701903000813178</v>
      </c>
      <c r="T71" s="7">
        <f>(Parameters!$B$10*G71^Parameters!$B$9 + Parameters!$B$11*S71^Parameters!$B$9) ^ (Parameters!$B$7/Parameters!$B$9) * N71</f>
        <v>1.4639443336544753</v>
      </c>
      <c r="U71" s="7">
        <f t="shared" si="35"/>
        <v>1.1129338793257442</v>
      </c>
      <c r="V71" s="7">
        <f>EXP(-Parameters!$B$55*A71)</f>
        <v>0.3636003333045692</v>
      </c>
      <c r="W71" s="7">
        <f>IF(U71&gt;0,U71^(1-Parameters!$B$52)/(1-Parameters!$B$52)*V71,-10+U71*1000)</f>
        <v>-1.0006724684841062</v>
      </c>
      <c r="X71" s="7"/>
      <c r="Y71" s="7"/>
      <c r="Z71" s="7"/>
      <c r="AA71" s="7"/>
    </row>
    <row r="72" spans="1:27" x14ac:dyDescent="0.3">
      <c r="A72">
        <f>A71+Parameters!$B$65</f>
        <v>68</v>
      </c>
      <c r="B72" s="46">
        <f t="shared" si="33"/>
        <v>5.4994544781243625E-2</v>
      </c>
      <c r="C72" s="46">
        <f t="shared" si="31"/>
        <v>3.2100653343699304E-3</v>
      </c>
      <c r="D72" s="46">
        <f t="shared" si="32"/>
        <v>0.29280584421311762</v>
      </c>
      <c r="E72" s="7">
        <f>MAX((1-Parameters!$B$4)^Parameters!B$65*E71+B71*Parameters!B$65-Parameters!$B$5*B71^2/E71*Parameters!B$65,0.0001)</f>
        <v>0.81280914461786447</v>
      </c>
      <c r="F72" s="9">
        <f>(1-Parameters!$B$4)^Parameters!B$65*F71+C71*Parameters!B$65-Parameters!$B$5*C71^2/F71*Parameters!B$65</f>
        <v>5.5808748772191837E-2</v>
      </c>
      <c r="G72" s="7">
        <f>(1-Parameters!$B$4)^Parameters!B$65*G71+D71*Parameters!B$65-Parameters!$B$5*D71^2/G71*Parameters!B$65</f>
        <v>4.3461506792065503</v>
      </c>
      <c r="H72" s="7">
        <f>H71 *(1-Parameters!$B$4)-B71*(B71&lt;0)*Parameters!B$65</f>
        <v>0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23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115.08404915855706</v>
      </c>
      <c r="L72" s="8">
        <f>L71+K72*Parameters!B$65</f>
        <v>7711.1897645415229</v>
      </c>
      <c r="M72" s="7">
        <f>M71+Parameters!$B$45*K72</f>
        <v>4.6267138587249148</v>
      </c>
      <c r="N72" s="7">
        <f>'6states'!O72</f>
        <v>0.95725734882741842</v>
      </c>
      <c r="O72" s="7">
        <f>MAX(O71+(Parameters!B$31-K72)*Parameters!B$65,30)</f>
        <v>30</v>
      </c>
      <c r="P72" s="7">
        <f>Parameters!B$61*EXP(-Parameters!B$60*A72)+(1-Parameters!B$61)*(O72/Parameters!B$62)^-Parameters!B$63</f>
        <v>0.60593187359771528</v>
      </c>
      <c r="Q72" s="9">
        <f>1-P72/Parameters!$B$12</f>
        <v>0.69703406320114236</v>
      </c>
      <c r="R72" s="23">
        <f t="shared" si="34"/>
        <v>3.3007010971794855</v>
      </c>
      <c r="S72" s="7">
        <f>(Parameters!$B$19*(E72+Parameters!$B$20)^Q72+Parameters!$B$18*F72^Q72)^(1/Q72)</f>
        <v>0.5370205895507526</v>
      </c>
      <c r="T72" s="7">
        <f>(Parameters!$B$10*G72^Parameters!$B$9 + Parameters!$B$11*S72^Parameters!$B$9) ^ (Parameters!$B$7/Parameters!$B$9) * N72</f>
        <v>1.4636762690036982</v>
      </c>
      <c r="U72" s="7">
        <f t="shared" si="35"/>
        <v>1.1126658146749671</v>
      </c>
      <c r="V72" s="7">
        <f>EXP(-Parameters!$B$55*A72)</f>
        <v>0.35815121266990152</v>
      </c>
      <c r="W72" s="7">
        <f>IF(U72&gt;0,U72^(1-Parameters!$B$52)/(1-Parameters!$B$52)*V72,-10+U72*1000)</f>
        <v>-0.98575893184760544</v>
      </c>
      <c r="X72" s="7"/>
      <c r="Y72" s="7"/>
      <c r="Z72" s="7"/>
      <c r="AA72" s="7"/>
    </row>
    <row r="73" spans="1:27" x14ac:dyDescent="0.3">
      <c r="A73">
        <f>A72+Parameters!$B$65</f>
        <v>69</v>
      </c>
      <c r="B73" s="46">
        <f t="shared" si="33"/>
        <v>5.4994544781243625E-2</v>
      </c>
      <c r="C73" s="46">
        <f t="shared" si="31"/>
        <v>3.2100653343699304E-3</v>
      </c>
      <c r="D73" s="46">
        <f t="shared" si="32"/>
        <v>0.29280584421311762</v>
      </c>
      <c r="E73" s="7">
        <f>MAX((1-Parameters!$B$4)^Parameters!B$65*E72+B72*Parameters!B$65-Parameters!$B$5*B72^2/E72*Parameters!B$65,0.0001)</f>
        <v>0.81295707155343133</v>
      </c>
      <c r="F73" s="9">
        <f>(1-Parameters!$B$4)^Parameters!B$65*F72+C72*Parameters!B$65-Parameters!$B$5*C72^2/F72*Parameters!B$65</f>
        <v>5.5323803950746681E-2</v>
      </c>
      <c r="G73" s="7">
        <f>(1-Parameters!$B$4)^Parameters!B$65*G72+D72*Parameters!B$65-Parameters!$B$5*D72^2/G72*Parameters!B$65</f>
        <v>4.3458569337785571</v>
      </c>
      <c r="H73" s="7">
        <f>H72 *(1-Parameters!$B$4)-B72*(B72&lt;0)*Parameters!B$65</f>
        <v>0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23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116.49920894043831</v>
      </c>
      <c r="L73" s="8">
        <f>L72+K73*Parameters!B$65</f>
        <v>7827.6889734819615</v>
      </c>
      <c r="M73" s="7">
        <f>M72+Parameters!$B$45*K73</f>
        <v>4.6966133840891775</v>
      </c>
      <c r="N73" s="7">
        <f>'6states'!O73</f>
        <v>0.95710127790004684</v>
      </c>
      <c r="O73" s="7">
        <f>MAX(O72+(Parameters!B$31-K73)*Parameters!B$65,30)</f>
        <v>30</v>
      </c>
      <c r="P73" s="7">
        <f>Parameters!B$61*EXP(-Parameters!B$60*A73)+(1-Parameters!B$61)*(O73/Parameters!B$62)^-Parameters!B$63</f>
        <v>0.60380804572632674</v>
      </c>
      <c r="Q73" s="9">
        <f>1-P73/Parameters!$B$12</f>
        <v>0.69809597713683669</v>
      </c>
      <c r="R73" s="23">
        <f t="shared" si="34"/>
        <v>3.3123109474206829</v>
      </c>
      <c r="S73" s="7">
        <f>(Parameters!$B$19*(E73+Parameters!$B$20)^Q73+Parameters!$B$18*F73^Q73)^(1/Q73)</f>
        <v>0.53702982787956444</v>
      </c>
      <c r="T73" s="7">
        <f>(Parameters!$B$10*G73^Parameters!$B$9 + Parameters!$B$11*S73^Parameters!$B$9) ^ (Parameters!$B$7/Parameters!$B$9) * N73</f>
        <v>1.4634151715062249</v>
      </c>
      <c r="U73" s="7">
        <f t="shared" si="35"/>
        <v>1.1124047171774938</v>
      </c>
      <c r="V73" s="7">
        <f>EXP(-Parameters!$B$55*A73)</f>
        <v>0.35278375564489362</v>
      </c>
      <c r="W73" s="7">
        <f>IF(U73&gt;0,U73^(1-Parameters!$B$52)/(1-Parameters!$B$52)*V73,-10+U73*1000)</f>
        <v>-0.97106555036487574</v>
      </c>
      <c r="X73" s="7"/>
      <c r="Y73" s="7"/>
      <c r="Z73" s="7"/>
      <c r="AA73" s="7"/>
    </row>
    <row r="74" spans="1:27" x14ac:dyDescent="0.3">
      <c r="A74">
        <f>A73+Parameters!$B$65</f>
        <v>70</v>
      </c>
      <c r="B74" s="19">
        <v>5.5067337814162412E-2</v>
      </c>
      <c r="C74" s="19">
        <v>3.024747646627374E-3</v>
      </c>
      <c r="D74" s="18">
        <v>0.29288834148276138</v>
      </c>
      <c r="E74" s="7">
        <f>MAX((1-Parameters!$B$4)^Parameters!B$65*E73+B73*Parameters!B$65-Parameters!$B$5*B73^2/E73*Parameters!B$65,0.0001)</f>
        <v>0.81309637094963461</v>
      </c>
      <c r="F74" s="9">
        <f>(1-Parameters!$B$4)^Parameters!B$65*F73+C73*Parameters!B$65-Parameters!$B$5*C73^2/F73*Parameters!B$65</f>
        <v>5.4867743684485187E-2</v>
      </c>
      <c r="G74" s="7">
        <f>(1-Parameters!$B$4)^Parameters!B$65*G73+D73*Parameters!B$65-Parameters!$B$5*D73^2/G73*Parameters!B$65</f>
        <v>4.3455803315688648</v>
      </c>
      <c r="H74" s="7">
        <f>H73 *(1-Parameters!$B$4)-B73*(B73&lt;0)*Parameters!B$65</f>
        <v>0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23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117.93272769756079</v>
      </c>
      <c r="L74" s="8">
        <f>L73+K74*Parameters!B$65</f>
        <v>7945.6217011795225</v>
      </c>
      <c r="M74" s="7">
        <f>M73+Parameters!$B$45*K74</f>
        <v>4.7673730207077138</v>
      </c>
      <c r="N74" s="7">
        <f>'6states'!O74</f>
        <v>0.95695049404073529</v>
      </c>
      <c r="O74" s="7">
        <f>MAX(O73+(Parameters!B$31-K74)*Parameters!B$65,30)</f>
        <v>30</v>
      </c>
      <c r="P74" s="7">
        <f>Parameters!B$61*EXP(-Parameters!B$60*A74)+(1-Parameters!B$61)*(O74/Parameters!B$62)^-Parameters!B$63</f>
        <v>0.60174079399264813</v>
      </c>
      <c r="Q74" s="9">
        <f>1-P74/Parameters!$B$12</f>
        <v>0.69912960300367599</v>
      </c>
      <c r="R74" s="23">
        <f t="shared" si="34"/>
        <v>3.3236902333472771</v>
      </c>
      <c r="S74" s="7">
        <f>(Parameters!$B$19*(E74+Parameters!$B$20)^Q74+Parameters!$B$18*F74^Q74)^(1/Q74)</f>
        <v>0.53704606593754101</v>
      </c>
      <c r="T74" s="7">
        <f>(Parameters!$B$10*G74^Parameters!$B$9 + Parameters!$B$11*S74^Parameters!$B$9) ^ (Parameters!$B$7/Parameters!$B$9) * N74</f>
        <v>1.4631646663095821</v>
      </c>
      <c r="U74" s="7">
        <f t="shared" si="35"/>
        <v>1.1121842393660308</v>
      </c>
      <c r="V74" s="7">
        <f>EXP(-Parameters!$B$55*A74)</f>
        <v>0.34749673837241518</v>
      </c>
      <c r="W74" s="7">
        <f>IF(U74&gt;0,U74^(1-Parameters!$B$52)/(1-Parameters!$B$52)*V74,-10+U74*1000)</f>
        <v>-0.95657897367421618</v>
      </c>
      <c r="X74" s="7"/>
      <c r="Y74" s="7"/>
      <c r="Z74" s="7"/>
      <c r="AA74" s="7"/>
    </row>
    <row r="75" spans="1:27" x14ac:dyDescent="0.3">
      <c r="A75">
        <f>A74+Parameters!$B$65</f>
        <v>71</v>
      </c>
      <c r="B75" s="46">
        <f>B74</f>
        <v>5.5067337814162412E-2</v>
      </c>
      <c r="C75" s="46">
        <f t="shared" ref="C75:C83" si="36">C74</f>
        <v>3.024747646627374E-3</v>
      </c>
      <c r="D75" s="46">
        <f t="shared" ref="D75:D83" si="37">D74</f>
        <v>0.29288834148276138</v>
      </c>
      <c r="E75" s="7">
        <f>MAX((1-Parameters!$B$4)^Parameters!B$65*E74+B74*Parameters!B$65-Parameters!$B$5*B74^2/E74*Parameters!B$65,0.0001)</f>
        <v>0.81329048542936411</v>
      </c>
      <c r="F75" s="9">
        <f>(1-Parameters!$B$4)^Parameters!B$65*F74+C74*Parameters!B$65-Parameters!$B$5*C74^2/F74*Parameters!B$65</f>
        <v>5.4274562038261621E-2</v>
      </c>
      <c r="G75" s="7">
        <f>(1-Parameters!$B$4)^Parameters!B$65*G74+D74*Parameters!B$65-Parameters!$B$5*D74^2/G74*Parameters!B$65</f>
        <v>4.3453912502678307</v>
      </c>
      <c r="H75" s="7">
        <f>H74 *(1-Parameters!$B$4)-B74*(B74&lt;0)*Parameters!B$65</f>
        <v>0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23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119.3941220006291</v>
      </c>
      <c r="L75" s="8">
        <f>L74+K75*Parameters!B$65</f>
        <v>8065.0158231801515</v>
      </c>
      <c r="M75" s="7">
        <f>M74+Parameters!$B$45*K75</f>
        <v>4.8390094939080912</v>
      </c>
      <c r="N75" s="7">
        <f>'6states'!O75</f>
        <v>0.95680454247969304</v>
      </c>
      <c r="O75" s="7">
        <f>MAX(O74+(Parameters!B$31-K75)*Parameters!B$65,30)</f>
        <v>30</v>
      </c>
      <c r="P75" s="7">
        <f>Parameters!B$61*EXP(-Parameters!B$60*A75)+(1-Parameters!B$61)*(O75/Parameters!B$62)^-Parameters!B$63</f>
        <v>0.59972861127861121</v>
      </c>
      <c r="Q75" s="9">
        <f>1-P75/Parameters!$B$12</f>
        <v>0.70013569436069445</v>
      </c>
      <c r="R75" s="23">
        <f t="shared" si="34"/>
        <v>3.3348417307222249</v>
      </c>
      <c r="S75" s="7">
        <f>(Parameters!$B$19*(E75+Parameters!$B$20)^Q75+Parameters!$B$18*F75^Q75)^(1/Q75)</f>
        <v>0.53700803196173308</v>
      </c>
      <c r="T75" s="7">
        <f>(Parameters!$B$10*G75^Parameters!$B$9 + Parameters!$B$11*S75^Parameters!$B$9) ^ (Parameters!$B$7/Parameters!$B$9) * N75</f>
        <v>1.4629200899881551</v>
      </c>
      <c r="U75" s="7">
        <f t="shared" si="35"/>
        <v>1.1119396630446039</v>
      </c>
      <c r="V75" s="7">
        <f>EXP(-Parameters!$B$55*A75)</f>
        <v>0.34228895533675241</v>
      </c>
      <c r="W75" s="7">
        <f>IF(U75&gt;0,U75^(1-Parameters!$B$52)/(1-Parameters!$B$52)*V75,-10+U75*1000)</f>
        <v>-0.94231567170216379</v>
      </c>
      <c r="X75" s="7"/>
      <c r="Y75" s="7"/>
      <c r="Z75" s="7"/>
      <c r="AA75" s="7"/>
    </row>
    <row r="76" spans="1:27" x14ac:dyDescent="0.3">
      <c r="A76">
        <f>A75+Parameters!$B$65</f>
        <v>72</v>
      </c>
      <c r="B76" s="46">
        <f t="shared" ref="B76:B83" si="38">B75</f>
        <v>5.5067337814162412E-2</v>
      </c>
      <c r="C76" s="46">
        <f t="shared" si="36"/>
        <v>3.024747646627374E-3</v>
      </c>
      <c r="D76" s="46">
        <f t="shared" si="37"/>
        <v>0.29288834148276138</v>
      </c>
      <c r="E76" s="7">
        <f>MAX((1-Parameters!$B$4)^Parameters!B$65*E75+B75*Parameters!B$65-Parameters!$B$5*B75^2/E75*Parameters!B$65,0.0001)</f>
        <v>0.81347328024844867</v>
      </c>
      <c r="F76" s="9">
        <f>(1-Parameters!$B$4)^Parameters!B$65*F75+C75*Parameters!B$65-Parameters!$B$5*C75^2/F75*Parameters!B$65</f>
        <v>5.371686908038803E-2</v>
      </c>
      <c r="G76" s="7">
        <f>(1-Parameters!$B$4)^Parameters!B$65*G75+D75*Parameters!B$65-Parameters!$B$5*D75^2/G75*Parameters!B$65</f>
        <v>4.3452132032144153</v>
      </c>
      <c r="H76" s="7">
        <f>H75 *(1-Parameters!$B$4)-B75*(B75&lt;0)*Parameters!B$65</f>
        <v>0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23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120.87410994335904</v>
      </c>
      <c r="L76" s="8">
        <f>L75+K76*Parameters!B$65</f>
        <v>8185.8899331235107</v>
      </c>
      <c r="M76" s="7">
        <f>M75+Parameters!$B$45*K76</f>
        <v>4.9115339598741068</v>
      </c>
      <c r="N76" s="7">
        <f>'6states'!O76</f>
        <v>0.9566629436673475</v>
      </c>
      <c r="O76" s="7">
        <f>MAX(O75+(Parameters!B$31-K76)*Parameters!B$65,30)</f>
        <v>30</v>
      </c>
      <c r="P76" s="7">
        <f>Parameters!B$61*EXP(-Parameters!B$60*A76)+(1-Parameters!B$61)*(O76/Parameters!B$62)^-Parameters!B$63</f>
        <v>0.59777003061390255</v>
      </c>
      <c r="Q76" s="9">
        <f>1-P76/Parameters!$B$12</f>
        <v>0.70111498469304867</v>
      </c>
      <c r="R76" s="23">
        <f t="shared" si="34"/>
        <v>3.3457682680177592</v>
      </c>
      <c r="S76" s="7">
        <f>(Parameters!$B$19*(E76+Parameters!$B$20)^Q76+Parameters!$B$18*F76^Q76)^(1/Q76)</f>
        <v>0.53697950838377462</v>
      </c>
      <c r="T76" s="7">
        <f>(Parameters!$B$10*G76^Parameters!$B$9 + Parameters!$B$11*S76^Parameters!$B$9) ^ (Parameters!$B$7/Parameters!$B$9) * N76</f>
        <v>1.462684578299416</v>
      </c>
      <c r="U76" s="7">
        <f t="shared" si="35"/>
        <v>1.1117041513558648</v>
      </c>
      <c r="V76" s="7">
        <f>EXP(-Parameters!$B$55*A76)</f>
        <v>0.33715921908873309</v>
      </c>
      <c r="W76" s="7">
        <f>IF(U76&gt;0,U76^(1-Parameters!$B$52)/(1-Parameters!$B$52)*V76,-10+U76*1000)</f>
        <v>-0.92826241273627264</v>
      </c>
      <c r="X76" s="7"/>
      <c r="Y76" s="7"/>
      <c r="Z76" s="7"/>
      <c r="AA76" s="7"/>
    </row>
    <row r="77" spans="1:27" x14ac:dyDescent="0.3">
      <c r="A77">
        <f>A76+Parameters!$B$65</f>
        <v>73</v>
      </c>
      <c r="B77" s="46">
        <f t="shared" si="38"/>
        <v>5.5067337814162412E-2</v>
      </c>
      <c r="C77" s="46">
        <f t="shared" si="36"/>
        <v>3.024747646627374E-3</v>
      </c>
      <c r="D77" s="46">
        <f t="shared" si="37"/>
        <v>0.29288834148276138</v>
      </c>
      <c r="E77" s="7">
        <f>MAX((1-Parameters!$B$4)^Parameters!B$65*E76+B76*Parameters!B$65-Parameters!$B$5*B76^2/E76*Parameters!B$65,0.0001)</f>
        <v>0.81364541511721455</v>
      </c>
      <c r="F77" s="9">
        <f>(1-Parameters!$B$4)^Parameters!B$65*F76+C76*Parameters!B$65-Parameters!$B$5*C76^2/F76*Parameters!B$65</f>
        <v>5.3192504895172348E-2</v>
      </c>
      <c r="G77" s="7">
        <f>(1-Parameters!$B$4)^Parameters!B$65*G76+D76*Parameters!B$65-Parameters!$B$5*D76^2/G76*Parameters!B$65</f>
        <v>4.3450455464129316</v>
      </c>
      <c r="H77" s="7">
        <f>H76 *(1-Parameters!$B$4)-B76*(B76&lt;0)*Parameters!B$65</f>
        <v>0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23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122.37298797019461</v>
      </c>
      <c r="L77" s="8">
        <f>L76+K77*Parameters!B$65</f>
        <v>8308.2629210937048</v>
      </c>
      <c r="M77" s="7">
        <f>M76+Parameters!$B$45*K77</f>
        <v>4.9849577526562232</v>
      </c>
      <c r="N77" s="7">
        <f>'6states'!O77</f>
        <v>0.95652538460091174</v>
      </c>
      <c r="O77" s="7">
        <f>MAX(O76+(Parameters!B$31-K77)*Parameters!B$65,30)</f>
        <v>30</v>
      </c>
      <c r="P77" s="7">
        <f>Parameters!B$61*EXP(-Parameters!B$60*A77)+(1-Parameters!B$61)*(O77/Parameters!B$62)^-Parameters!B$63</f>
        <v>0.59586362410647609</v>
      </c>
      <c r="Q77" s="9">
        <f>1-P77/Parameters!$B$12</f>
        <v>0.70206818794676196</v>
      </c>
      <c r="R77" s="23">
        <f t="shared" si="34"/>
        <v>3.3564727214202557</v>
      </c>
      <c r="S77" s="7">
        <f>(Parameters!$B$19*(E77+Parameters!$B$20)^Q77+Parameters!$B$18*F77^Q77)^(1/Q77)</f>
        <v>0.53695973092397065</v>
      </c>
      <c r="T77" s="7">
        <f>(Parameters!$B$10*G77^Parameters!$B$9 + Parameters!$B$11*S77^Parameters!$B$9) ^ (Parameters!$B$7/Parameters!$B$9) * N77</f>
        <v>1.4624574783659308</v>
      </c>
      <c r="U77" s="7">
        <f t="shared" si="35"/>
        <v>1.1114770514223795</v>
      </c>
      <c r="V77" s="7">
        <f>EXP(-Parameters!$B$55*A77)</f>
        <v>0.33210635997497118</v>
      </c>
      <c r="W77" s="7">
        <f>IF(U77&gt;0,U77^(1-Parameters!$B$52)/(1-Parameters!$B$52)*V77,-10+U77*1000)</f>
        <v>-0.91441632977517329</v>
      </c>
      <c r="X77" s="7"/>
      <c r="Y77" s="7"/>
      <c r="Z77" s="7"/>
      <c r="AA77" s="7"/>
    </row>
    <row r="78" spans="1:27" x14ac:dyDescent="0.3">
      <c r="A78">
        <f>A77+Parameters!$B$65</f>
        <v>74</v>
      </c>
      <c r="B78" s="46">
        <f t="shared" si="38"/>
        <v>5.5067337814162412E-2</v>
      </c>
      <c r="C78" s="46">
        <f t="shared" si="36"/>
        <v>3.024747646627374E-3</v>
      </c>
      <c r="D78" s="46">
        <f t="shared" si="37"/>
        <v>0.29288834148276138</v>
      </c>
      <c r="E78" s="7">
        <f>MAX((1-Parameters!$B$4)^Parameters!B$65*E77+B77*Parameters!B$65-Parameters!$B$5*B77^2/E77*Parameters!B$65,0.0001)</f>
        <v>0.81380751134226414</v>
      </c>
      <c r="F78" s="9">
        <f>(1-Parameters!$B$4)^Parameters!B$65*F77+C77*Parameters!B$65-Parameters!$B$5*C77^2/F77*Parameters!B$65</f>
        <v>5.2699444219193294E-2</v>
      </c>
      <c r="G78" s="7">
        <f>(1-Parameters!$B$4)^Parameters!B$65*G77+D77*Parameters!B$65-Parameters!$B$5*D77^2/G77*Parameters!B$65</f>
        <v>4.3448876734611774</v>
      </c>
      <c r="H78" s="7">
        <f>H77 *(1-Parameters!$B$4)-B77*(B77&lt;0)*Parameters!B$65</f>
        <v>0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23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123.89105335384453</v>
      </c>
      <c r="L78" s="8">
        <f>L77+K78*Parameters!B$65</f>
        <v>8432.1539744475485</v>
      </c>
      <c r="M78" s="7">
        <f>M77+Parameters!$B$45*K78</f>
        <v>5.05929238466853</v>
      </c>
      <c r="N78" s="7">
        <f>'6states'!O78</f>
        <v>0.95639164724618431</v>
      </c>
      <c r="O78" s="7">
        <f>MAX(O77+(Parameters!B$31-K78)*Parameters!B$65,30)</f>
        <v>30</v>
      </c>
      <c r="P78" s="7">
        <f>Parameters!B$61*EXP(-Parameters!B$60*A78)+(1-Parameters!B$61)*(O78/Parameters!B$62)^-Parameters!B$63</f>
        <v>0.59400800190155745</v>
      </c>
      <c r="Q78" s="9">
        <f>1-P78/Parameters!$B$12</f>
        <v>0.70299599904922128</v>
      </c>
      <c r="R78" s="23">
        <f t="shared" si="34"/>
        <v>3.3669580099889833</v>
      </c>
      <c r="S78" s="7">
        <f>(Parameters!$B$19*(E78+Parameters!$B$20)^Q78+Parameters!$B$18*F78^Q78)^(1/Q78)</f>
        <v>0.53694798470196548</v>
      </c>
      <c r="T78" s="7">
        <f>(Parameters!$B$10*G78^Parameters!$B$9 + Parameters!$B$11*S78^Parameters!$B$9) ^ (Parameters!$B$7/Parameters!$B$9) * N78</f>
        <v>1.4622382933160603</v>
      </c>
      <c r="U78" s="7">
        <f t="shared" si="35"/>
        <v>1.111257866372509</v>
      </c>
      <c r="V78" s="7">
        <f>EXP(-Parameters!$B$55*A78)</f>
        <v>0.32712922587116899</v>
      </c>
      <c r="W78" s="7">
        <f>IF(U78&gt;0,U78^(1-Parameters!$B$52)/(1-Parameters!$B$52)*V78,-10+U78*1000)</f>
        <v>-0.90077454443666993</v>
      </c>
      <c r="X78" s="7"/>
      <c r="Y78" s="7"/>
      <c r="Z78" s="7"/>
      <c r="AA78" s="7"/>
    </row>
    <row r="79" spans="1:27" x14ac:dyDescent="0.3">
      <c r="A79">
        <f>A78+Parameters!$B$65</f>
        <v>75</v>
      </c>
      <c r="B79" s="46">
        <f t="shared" si="38"/>
        <v>5.5067337814162412E-2</v>
      </c>
      <c r="C79" s="46">
        <f t="shared" si="36"/>
        <v>3.024747646627374E-3</v>
      </c>
      <c r="D79" s="46">
        <f t="shared" si="37"/>
        <v>0.29288834148276138</v>
      </c>
      <c r="E79" s="7">
        <f>MAX((1-Parameters!$B$4)^Parameters!B$65*E78+B78*Parameters!B$65-Parameters!$B$5*B78^2/E78*Parameters!B$65,0.0001)</f>
        <v>0.81396015405702404</v>
      </c>
      <c r="F79" s="9">
        <f>(1-Parameters!$B$4)^Parameters!B$65*F78+C78*Parameters!B$65-Parameters!$B$5*C78^2/F78*Parameters!B$65</f>
        <v>5.2235787814673765E-2</v>
      </c>
      <c r="G79" s="7">
        <f>(1-Parameters!$B$4)^Parameters!B$65*G78+D78*Parameters!B$65-Parameters!$B$5*D78^2/G78*Parameters!B$65</f>
        <v>4.3447390133550243</v>
      </c>
      <c r="H79" s="7">
        <f>H78 *(1-Parameters!$B$4)-B78*(B78&lt;0)*Parameters!B$65</f>
        <v>0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23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125.42860435718752</v>
      </c>
      <c r="L79" s="8">
        <f>L78+K79*Parameters!B$65</f>
        <v>8557.5825788047368</v>
      </c>
      <c r="M79" s="7">
        <f>M78+Parameters!$B$45*K79</f>
        <v>5.1345495472828429</v>
      </c>
      <c r="N79" s="7">
        <f>'6states'!O79</f>
        <v>0.95626151814140903</v>
      </c>
      <c r="O79" s="7">
        <f>MAX(O78+(Parameters!B$31-K79)*Parameters!B$65,30)</f>
        <v>30</v>
      </c>
      <c r="P79" s="7">
        <f>Parameters!B$61*EXP(-Parameters!B$60*A79)+(1-Parameters!B$61)*(O79/Parameters!B$62)^-Parameters!B$63</f>
        <v>0.59220181116837778</v>
      </c>
      <c r="Q79" s="9">
        <f>1-P79/Parameters!$B$12</f>
        <v>0.70389909441581111</v>
      </c>
      <c r="R79" s="23">
        <f t="shared" si="34"/>
        <v>3.3772270909711049</v>
      </c>
      <c r="S79" s="7">
        <f>(Parameters!$B$19*(E79+Parameters!$B$20)^Q79+Parameters!$B$18*F79^Q79)^(1/Q79)</f>
        <v>0.53694360151563492</v>
      </c>
      <c r="T79" s="7">
        <f>(Parameters!$B$10*G79^Parameters!$B$9 + Parameters!$B$11*S79^Parameters!$B$9) ^ (Parameters!$B$7/Parameters!$B$9) * N79</f>
        <v>1.4620265435017867</v>
      </c>
      <c r="U79" s="7">
        <f t="shared" si="35"/>
        <v>1.1110461165582355</v>
      </c>
      <c r="V79" s="7">
        <f>EXP(-Parameters!$B$55*A79)</f>
        <v>0.32222668191941661</v>
      </c>
      <c r="W79" s="7">
        <f>IF(U79&gt;0,U79^(1-Parameters!$B$52)/(1-Parameters!$B$52)*V79,-10+U79*1000)</f>
        <v>-0.88733420877381508</v>
      </c>
      <c r="X79" s="7"/>
      <c r="Y79" s="7"/>
      <c r="Z79" s="7"/>
      <c r="AA79" s="7"/>
    </row>
    <row r="80" spans="1:27" x14ac:dyDescent="0.3">
      <c r="A80">
        <f>A79+Parameters!$B$65</f>
        <v>76</v>
      </c>
      <c r="B80" s="46">
        <f t="shared" si="38"/>
        <v>5.5067337814162412E-2</v>
      </c>
      <c r="C80" s="46">
        <f t="shared" si="36"/>
        <v>3.024747646627374E-3</v>
      </c>
      <c r="D80" s="46">
        <f t="shared" si="37"/>
        <v>0.29288834148276138</v>
      </c>
      <c r="E80" s="7">
        <f>MAX((1-Parameters!$B$4)^Parameters!B$65*E79+B79*Parameters!B$65-Parameters!$B$5*B79^2/E79*Parameters!B$65,0.0001)</f>
        <v>0.81410389432331742</v>
      </c>
      <c r="F80" s="9">
        <f>(1-Parameters!$B$4)^Parameters!B$65*F79+C79*Parameters!B$65-Parameters!$B$5*C79^2/F79*Parameters!B$65</f>
        <v>5.179975440603448E-2</v>
      </c>
      <c r="G80" s="7">
        <f>(1-Parameters!$B$4)^Parameters!B$65*G79+D79*Parameters!B$65-Parameters!$B$5*D79^2/G79*Parameters!B$65</f>
        <v>4.3445990284213165</v>
      </c>
      <c r="H80" s="7">
        <f>H79 *(1-Parameters!$B$4)-B79*(B79&lt;0)*Parameters!B$65</f>
        <v>0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23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126.98594038975453</v>
      </c>
      <c r="L80" s="8">
        <f>L79+K80*Parameters!B$65</f>
        <v>8684.5685191944922</v>
      </c>
      <c r="M80" s="7">
        <f>M79+Parameters!$B$45*K80</f>
        <v>5.2107411115166959</v>
      </c>
      <c r="N80" s="7">
        <f>'6states'!O80</f>
        <v>0.95613473788282821</v>
      </c>
      <c r="O80" s="7">
        <f>MAX(O79+(Parameters!B$31-K80)*Parameters!B$65,30)</f>
        <v>30</v>
      </c>
      <c r="P80" s="7">
        <f>Parameters!B$61*EXP(-Parameters!B$60*A80)+(1-Parameters!B$61)*(O80/Parameters!B$62)^-Parameters!B$63</f>
        <v>0.59044373511390014</v>
      </c>
      <c r="Q80" s="9">
        <f>1-P80/Parameters!$B$12</f>
        <v>0.70477813244304999</v>
      </c>
      <c r="R80" s="23">
        <f t="shared" si="34"/>
        <v>3.3872829552746264</v>
      </c>
      <c r="S80" s="7">
        <f>(Parameters!$B$19*(E80+Parameters!$B$20)^Q80+Parameters!$B$18*F80^Q80)^(1/Q80)</f>
        <v>0.53694595722771532</v>
      </c>
      <c r="T80" s="7">
        <f>(Parameters!$B$10*G80^Parameters!$B$9 + Parameters!$B$11*S80^Parameters!$B$9) ^ (Parameters!$B$7/Parameters!$B$9) * N80</f>
        <v>1.4618216887190194</v>
      </c>
      <c r="U80" s="7">
        <f t="shared" si="35"/>
        <v>1.1108412617754682</v>
      </c>
      <c r="V80" s="7">
        <f>EXP(-Parameters!$B$55*A80)</f>
        <v>0.31739761026942775</v>
      </c>
      <c r="W80" s="7">
        <f>IF(U80&gt;0,U80^(1-Parameters!$B$52)/(1-Parameters!$B$52)*V80,-10+U80*1000)</f>
        <v>-0.87409252672045179</v>
      </c>
      <c r="X80" s="7"/>
      <c r="Y80" s="7"/>
      <c r="Z80" s="7"/>
      <c r="AA80" s="7"/>
    </row>
    <row r="81" spans="1:27" x14ac:dyDescent="0.3">
      <c r="A81">
        <f>A80+Parameters!$B$65</f>
        <v>77</v>
      </c>
      <c r="B81" s="46">
        <f t="shared" si="38"/>
        <v>5.5067337814162412E-2</v>
      </c>
      <c r="C81" s="46">
        <f t="shared" si="36"/>
        <v>3.024747646627374E-3</v>
      </c>
      <c r="D81" s="46">
        <f t="shared" si="37"/>
        <v>0.29288834148276138</v>
      </c>
      <c r="E81" s="7">
        <f>MAX((1-Parameters!$B$4)^Parameters!B$65*E80+B80*Parameters!B$65-Parameters!$B$5*B80^2/E80*Parameters!B$65,0.0001)</f>
        <v>0.81423925111135298</v>
      </c>
      <c r="F81" s="9">
        <f>(1-Parameters!$B$4)^Parameters!B$65*F80+C80*Parameters!B$65-Parameters!$B$5*C80^2/F80*Parameters!B$65</f>
        <v>5.1389673143308889E-2</v>
      </c>
      <c r="G81" s="7">
        <f>(1-Parameters!$B$4)^Parameters!B$65*G80+D80*Parameters!B$65-Parameters!$B$5*D80^2/G80*Parameters!B$65</f>
        <v>4.3444672123715717</v>
      </c>
      <c r="H81" s="7">
        <f>H80 *(1-Parameters!$B$4)-B80*(B80&lt;0)*Parameters!B$65</f>
        <v>0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23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128.56336215909442</v>
      </c>
      <c r="L81" s="8">
        <f>L80+K81*Parameters!B$65</f>
        <v>8813.1318813535872</v>
      </c>
      <c r="M81" s="7">
        <f>M80+Parameters!$B$45*K81</f>
        <v>5.2878791288121523</v>
      </c>
      <c r="N81" s="7">
        <f>'6states'!O81</f>
        <v>0.95601113364753287</v>
      </c>
      <c r="O81" s="7">
        <f>MAX(O80+(Parameters!B$31-K81)*Parameters!B$65,30)</f>
        <v>30</v>
      </c>
      <c r="P81" s="7">
        <f>Parameters!B$61*EXP(-Parameters!B$60*A81)+(1-Parameters!B$61)*(O81/Parameters!B$62)^-Parameters!B$63</f>
        <v>0.58873249202281963</v>
      </c>
      <c r="Q81" s="9">
        <f>1-P81/Parameters!$B$12</f>
        <v>0.70563375398859018</v>
      </c>
      <c r="R81" s="23">
        <f t="shared" si="34"/>
        <v>3.3971286231004876</v>
      </c>
      <c r="S81" s="7">
        <f>(Parameters!$B$19*(E81+Parameters!$B$20)^Q81+Parameters!$B$18*F81^Q81)^(1/Q81)</f>
        <v>0.53695446926098789</v>
      </c>
      <c r="T81" s="7">
        <f>(Parameters!$B$10*G81^Parameters!$B$9 + Parameters!$B$11*S81^Parameters!$B$9) ^ (Parameters!$B$7/Parameters!$B$9) * N81</f>
        <v>1.46162333029207</v>
      </c>
      <c r="U81" s="7">
        <f t="shared" si="35"/>
        <v>1.1106429033485188</v>
      </c>
      <c r="V81" s="7">
        <f>EXP(-Parameters!$B$55*A81)</f>
        <v>0.31264090982365395</v>
      </c>
      <c r="W81" s="7">
        <f>IF(U81&gt;0,U81^(1-Parameters!$B$52)/(1-Parameters!$B$52)*V81,-10+U81*1000)</f>
        <v>-0.86104669768829101</v>
      </c>
      <c r="X81" s="7"/>
      <c r="Y81" s="7"/>
      <c r="Z81" s="7"/>
      <c r="AA81" s="7"/>
    </row>
    <row r="82" spans="1:27" x14ac:dyDescent="0.3">
      <c r="A82">
        <f>A81+Parameters!$B$65</f>
        <v>78</v>
      </c>
      <c r="B82" s="46">
        <f t="shared" si="38"/>
        <v>5.5067337814162412E-2</v>
      </c>
      <c r="C82" s="46">
        <f t="shared" si="36"/>
        <v>3.024747646627374E-3</v>
      </c>
      <c r="D82" s="46">
        <f t="shared" si="37"/>
        <v>0.29288834148276138</v>
      </c>
      <c r="E82" s="7">
        <f>MAX((1-Parameters!$B$4)^Parameters!B$65*E81+B81*Parameters!B$65-Parameters!$B$5*B81^2/E81*Parameters!B$65,0.0001)</f>
        <v>0.81436671316510445</v>
      </c>
      <c r="F82" s="9">
        <f>(1-Parameters!$B$4)^Parameters!B$65*F81+C81*Parameters!B$65-Parameters!$B$5*C81^2/F81*Parameters!B$65</f>
        <v>5.1003976558264483E-2</v>
      </c>
      <c r="G82" s="7">
        <f>(1-Parameters!$B$4)^Parameters!B$65*G81+D81*Parameters!B$65-Parameters!$B$5*D81^2/G81*Parameters!B$65</f>
        <v>4.3443430884694019</v>
      </c>
      <c r="H82" s="7">
        <f>H81 *(1-Parameters!$B$4)-B81*(B81&lt;0)*Parameters!B$65</f>
        <v>0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23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130.16117181731627</v>
      </c>
      <c r="L82" s="8">
        <f>L81+K82*Parameters!B$65</f>
        <v>8943.2930531709044</v>
      </c>
      <c r="M82" s="7">
        <f>M81+Parameters!$B$45*K82</f>
        <v>5.3659758319025421</v>
      </c>
      <c r="N82" s="7">
        <f>'6states'!O82</f>
        <v>0.95589059490163153</v>
      </c>
      <c r="O82" s="7">
        <f>MAX(O81+(Parameters!B$31-K82)*Parameters!B$65,30)</f>
        <v>30</v>
      </c>
      <c r="P82" s="7">
        <f>Parameters!B$61*EXP(-Parameters!B$60*A82)+(1-Parameters!B$61)*(O82/Parameters!B$62)^-Parameters!B$63</f>
        <v>0.58706683432313556</v>
      </c>
      <c r="Q82" s="9">
        <f>1-P82/Parameters!$B$12</f>
        <v>0.70646658283843222</v>
      </c>
      <c r="R82" s="23">
        <f t="shared" si="34"/>
        <v>3.4067671397344728</v>
      </c>
      <c r="S82" s="7">
        <f>(Parameters!$B$19*(E82+Parameters!$B$20)^Q82+Parameters!$B$18*F82^Q82)^(1/Q82)</f>
        <v>0.53696859420204446</v>
      </c>
      <c r="T82" s="7">
        <f>(Parameters!$B$10*G82^Parameters!$B$9 + Parameters!$B$11*S82^Parameters!$B$9) ^ (Parameters!$B$7/Parameters!$B$9) * N82</f>
        <v>1.4614311734216239</v>
      </c>
      <c r="U82" s="7">
        <f t="shared" si="35"/>
        <v>1.1104507464780726</v>
      </c>
      <c r="V82" s="7">
        <f>EXP(-Parameters!$B$55*A82)</f>
        <v>0.30795549598621846</v>
      </c>
      <c r="W82" s="7">
        <f>IF(U82&gt;0,U82^(1-Parameters!$B$52)/(1-Parameters!$B$52)*V82,-10+U82*1000)</f>
        <v>-0.84819392916469938</v>
      </c>
      <c r="X82" s="7"/>
      <c r="Y82" s="7"/>
      <c r="Z82" s="7"/>
      <c r="AA82" s="7"/>
    </row>
    <row r="83" spans="1:27" x14ac:dyDescent="0.3">
      <c r="A83">
        <f>A82+Parameters!$B$65</f>
        <v>79</v>
      </c>
      <c r="B83" s="46">
        <f t="shared" si="38"/>
        <v>5.5067337814162412E-2</v>
      </c>
      <c r="C83" s="46">
        <f t="shared" si="36"/>
        <v>3.024747646627374E-3</v>
      </c>
      <c r="D83" s="46">
        <f t="shared" si="37"/>
        <v>0.29288834148276138</v>
      </c>
      <c r="E83" s="7">
        <f>MAX((1-Parameters!$B$4)^Parameters!B$65*E82+B82*Parameters!B$65-Parameters!$B$5*B82^2/E82*Parameters!B$65,0.0001)</f>
        <v>0.8144867407596631</v>
      </c>
      <c r="F83" s="9">
        <f>(1-Parameters!$B$4)^Parameters!B$65*F82+C82*Parameters!B$65-Parameters!$B$5*C82^2/F82*Parameters!B$65</f>
        <v>5.0641193981134557E-2</v>
      </c>
      <c r="G83" s="7">
        <f>(1-Parameters!$B$4)^Parameters!B$65*G82+D82*Parameters!B$65-Parameters!$B$5*D82^2/G82*Parameters!B$65</f>
        <v>4.3442262078050176</v>
      </c>
      <c r="H83" s="7">
        <f>H82 *(1-Parameters!$B$4)-B82*(B82&lt;0)*Parameters!B$65</f>
        <v>0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23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131.77967310308657</v>
      </c>
      <c r="L83" s="8">
        <f>L82+K83*Parameters!B$65</f>
        <v>9075.0727262739911</v>
      </c>
      <c r="M83" s="7">
        <f>M82+Parameters!$B$45*K83</f>
        <v>5.4450436357643941</v>
      </c>
      <c r="N83" s="7">
        <f>'6states'!O83</f>
        <v>0.9557729844304933</v>
      </c>
      <c r="O83" s="7">
        <f>MAX(O82+(Parameters!B$31-K83)*Parameters!B$65,30)</f>
        <v>30</v>
      </c>
      <c r="P83" s="7">
        <f>Parameters!B$61*EXP(-Parameters!B$60*A83)+(1-Parameters!B$61)*(O83/Parameters!B$62)^-Parameters!B$63</f>
        <v>0.5854455476766165</v>
      </c>
      <c r="Q83" s="9">
        <f>1-P83/Parameters!$B$12</f>
        <v>0.70727722616169175</v>
      </c>
      <c r="R83" s="23">
        <f t="shared" si="34"/>
        <v>3.4162015714990854</v>
      </c>
      <c r="S83" s="7">
        <f>(Parameters!$B$19*(E83+Parameters!$B$20)^Q83+Parameters!$B$18*F83^Q83)^(1/Q83)</f>
        <v>0.5369878255129823</v>
      </c>
      <c r="T83" s="7">
        <f>(Parameters!$B$10*G83^Parameters!$B$9 + Parameters!$B$11*S83^Parameters!$B$9) ^ (Parameters!$B$7/Parameters!$B$9) * N83</f>
        <v>1.4612448906726705</v>
      </c>
      <c r="U83" s="7">
        <f t="shared" si="35"/>
        <v>1.1102644637291192</v>
      </c>
      <c r="V83" s="7">
        <f>EXP(-Parameters!$B$55*A83)</f>
        <v>0.30334030041561322</v>
      </c>
      <c r="W83" s="7">
        <f>IF(U83&gt;0,U83^(1-Parameters!$B$52)/(1-Parameters!$B$52)*V83,-10+U83*1000)</f>
        <v>-0.83553147433749142</v>
      </c>
      <c r="X83" s="7"/>
      <c r="Y83" s="7"/>
      <c r="Z83" s="7"/>
      <c r="AA83" s="7"/>
    </row>
    <row r="84" spans="1:27" x14ac:dyDescent="0.3">
      <c r="A84">
        <f>A83+Parameters!$B$65</f>
        <v>80</v>
      </c>
      <c r="B84" s="19">
        <v>5.5253840042828066E-2</v>
      </c>
      <c r="C84" s="19">
        <v>2.9056551594271868E-3</v>
      </c>
      <c r="D84" s="18">
        <v>0.29297220517943928</v>
      </c>
      <c r="E84" s="7">
        <f>MAX((1-Parameters!$B$4)^Parameters!B$65*E83+B83*Parameters!B$65-Parameters!$B$5*B83^2/E83*Parameters!B$65,0.0001)</f>
        <v>0.81459976735677264</v>
      </c>
      <c r="F84" s="9">
        <f>(1-Parameters!$B$4)^Parameters!B$65*F83+C83*Parameters!B$65-Parameters!$B$5*C83^2/F83*Parameters!B$65</f>
        <v>5.0299945387821496E-2</v>
      </c>
      <c r="G84" s="7">
        <f>(1-Parameters!$B$4)^Parameters!B$65*G83+D83*Parameters!B$65-Parameters!$B$5*D83^2/G83*Parameters!B$65</f>
        <v>4.3441161476705377</v>
      </c>
      <c r="H84" s="7">
        <f>H83 *(1-Parameters!$B$4)-B83*(B83&lt;0)*Parameters!B$65</f>
        <v>0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23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133.41917147934535</v>
      </c>
      <c r="L84" s="8">
        <f>L83+K84*Parameters!B$65</f>
        <v>9208.4918977533362</v>
      </c>
      <c r="M84" s="7">
        <f>M83+Parameters!$B$45*K84</f>
        <v>5.5250951386520013</v>
      </c>
      <c r="N84" s="7">
        <f>'6states'!O84</f>
        <v>0.9556582611199872</v>
      </c>
      <c r="O84" s="7">
        <f>MAX(O83+(Parameters!B$31-K84)*Parameters!B$65,30)</f>
        <v>30</v>
      </c>
      <c r="P84" s="7">
        <f>Parameters!B$61*EXP(-Parameters!B$60*A84)+(1-Parameters!B$61)*(O84/Parameters!B$62)^-Parameters!B$63</f>
        <v>0.58386745009349394</v>
      </c>
      <c r="Q84" s="9">
        <f>1-P84/Parameters!$B$12</f>
        <v>0.70806627495325303</v>
      </c>
      <c r="R84" s="23">
        <f t="shared" si="34"/>
        <v>3.4254350018651367</v>
      </c>
      <c r="S84" s="7">
        <f>(Parameters!$B$19*(E84+Parameters!$B$20)^Q84+Parameters!$B$18*F84^Q84)^(1/Q84)</f>
        <v>0.53701169134976856</v>
      </c>
      <c r="T84" s="7">
        <f>(Parameters!$B$10*G84^Parameters!$B$9 + Parameters!$B$11*S84^Parameters!$B$9) ^ (Parameters!$B$7/Parameters!$B$9) * N84</f>
        <v>1.4610643092241302</v>
      </c>
      <c r="U84" s="7">
        <f t="shared" si="35"/>
        <v>1.1099326088424359</v>
      </c>
      <c r="V84" s="7">
        <f>EXP(-Parameters!$B$55*A84)</f>
        <v>0.29879427078110121</v>
      </c>
      <c r="W84" s="7">
        <f>IF(U84&gt;0,U84^(1-Parameters!$B$52)/(1-Parameters!$B$52)*V84,-10+U84*1000)</f>
        <v>-0.82309584191335805</v>
      </c>
      <c r="X84" s="7"/>
      <c r="Y84" s="7"/>
      <c r="Z84" s="7"/>
      <c r="AA84" s="7"/>
    </row>
    <row r="85" spans="1:27" x14ac:dyDescent="0.3">
      <c r="A85">
        <f>A84+Parameters!$B$65</f>
        <v>81</v>
      </c>
      <c r="B85" s="46">
        <f>B84</f>
        <v>5.5253840042828066E-2</v>
      </c>
      <c r="C85" s="46">
        <f t="shared" ref="C85:C93" si="39">C84</f>
        <v>2.9056551594271868E-3</v>
      </c>
      <c r="D85" s="46">
        <f t="shared" ref="D85:D93" si="40">D84</f>
        <v>0.29297220517943928</v>
      </c>
      <c r="E85" s="7">
        <f>MAX((1-Parameters!$B$4)^Parameters!B$65*E84+B84*Parameters!B$65-Parameters!$B$5*B84^2/E84*Parameters!B$65,0.0001)</f>
        <v>0.8148674454119571</v>
      </c>
      <c r="F85" s="9">
        <f>(1-Parameters!$B$4)^Parameters!B$65*F84+C84*Parameters!B$65-Parameters!$B$5*C84^2/F84*Parameters!B$65</f>
        <v>4.9873884259250441E-2</v>
      </c>
      <c r="G85" s="7">
        <f>(1-Parameters!$B$4)^Parameters!B$65*G84+D84*Parameters!B$65-Parameters!$B$5*D84^2/G84*Parameters!B$65</f>
        <v>4.3440850636169612</v>
      </c>
      <c r="H85" s="7">
        <f>H84 *(1-Parameters!$B$4)-B84*(B84&lt;0)*Parameters!B$65</f>
        <v>0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23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135.1067088969489</v>
      </c>
      <c r="L85" s="8">
        <f>L84+K85*Parameters!B$65</f>
        <v>9343.5986066502846</v>
      </c>
      <c r="M85" s="7">
        <f>M84+Parameters!$B$45*K85</f>
        <v>5.6061591639901707</v>
      </c>
      <c r="N85" s="7">
        <f>'6states'!O85</f>
        <v>0.95554629542428926</v>
      </c>
      <c r="O85" s="7">
        <f>MAX(O84+(Parameters!B$31-K85)*Parameters!B$65,30)</f>
        <v>30</v>
      </c>
      <c r="P85" s="7">
        <f>Parameters!B$61*EXP(-Parameters!B$60*A85)+(1-Parameters!B$61)*(O85/Parameters!B$62)^-Parameters!B$63</f>
        <v>0.58233139107073917</v>
      </c>
      <c r="Q85" s="9">
        <f>1-P85/Parameters!$B$12</f>
        <v>0.70883430446463036</v>
      </c>
      <c r="R85" s="23">
        <f t="shared" si="34"/>
        <v>3.4344705277223291</v>
      </c>
      <c r="S85" s="7">
        <f>(Parameters!$B$19*(E85+Parameters!$B$20)^Q85+Parameters!$B$18*F85^Q85)^(1/Q85)</f>
        <v>0.53707508129708104</v>
      </c>
      <c r="T85" s="7">
        <f>(Parameters!$B$10*G85^Parameters!$B$9 + Parameters!$B$11*S85^Parameters!$B$9) ^ (Parameters!$B$7/Parameters!$B$9) * N85</f>
        <v>1.4609006095537229</v>
      </c>
      <c r="U85" s="7">
        <f t="shared" si="35"/>
        <v>1.1097689091720286</v>
      </c>
      <c r="V85" s="7">
        <f>EXP(-Parameters!$B$55*A85)</f>
        <v>0.29431637052277015</v>
      </c>
      <c r="W85" s="7">
        <f>IF(U85&gt;0,U85^(1-Parameters!$B$52)/(1-Parameters!$B$52)*V85,-10+U85*1000)</f>
        <v>-0.81080231694770866</v>
      </c>
      <c r="X85" s="7"/>
      <c r="Y85" s="7"/>
      <c r="Z85" s="7"/>
      <c r="AA85" s="7"/>
    </row>
    <row r="86" spans="1:27" x14ac:dyDescent="0.3">
      <c r="A86">
        <f>A85+Parameters!$B$65</f>
        <v>82</v>
      </c>
      <c r="B86" s="46">
        <f t="shared" ref="B86:B93" si="41">B85</f>
        <v>5.5253840042828066E-2</v>
      </c>
      <c r="C86" s="46">
        <f t="shared" si="39"/>
        <v>2.9056551594271868E-3</v>
      </c>
      <c r="D86" s="46">
        <f t="shared" si="40"/>
        <v>0.29297220517943928</v>
      </c>
      <c r="E86" s="7">
        <f>MAX((1-Parameters!$B$4)^Parameters!B$65*E85+B85*Parameters!B$65-Parameters!$B$5*B85^2/E85*Parameters!B$65,0.0001)</f>
        <v>0.81511951765466162</v>
      </c>
      <c r="F86" s="9">
        <f>(1-Parameters!$B$4)^Parameters!B$65*F85+C85*Parameters!B$65-Parameters!$B$5*C85^2/F85*Parameters!B$65</f>
        <v>4.9473188474066135E-2</v>
      </c>
      <c r="G86" s="7">
        <f>(1-Parameters!$B$4)^Parameters!B$65*G85+D85*Parameters!B$65-Parameters!$B$5*D85^2/G85*Parameters!B$65</f>
        <v>4.3440557933694546</v>
      </c>
      <c r="H86" s="7">
        <f>H85 *(1-Parameters!$B$4)-B85*(B85&lt;0)*Parameters!B$65</f>
        <v>0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23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136.81494200531935</v>
      </c>
      <c r="L86" s="8">
        <f>L85+K86*Parameters!B$65</f>
        <v>9480.4135486556042</v>
      </c>
      <c r="M86" s="7">
        <f>M85+Parameters!$B$45*K86</f>
        <v>5.6882481291933624</v>
      </c>
      <c r="N86" s="7">
        <f>'6states'!O86</f>
        <v>0.95543695899246406</v>
      </c>
      <c r="O86" s="7">
        <f>MAX(O85+(Parameters!B$31-K86)*Parameters!B$65,30)</f>
        <v>30</v>
      </c>
      <c r="P86" s="7">
        <f>Parameters!B$61*EXP(-Parameters!B$60*A86)+(1-Parameters!B$61)*(O86/Parameters!B$62)^-Parameters!B$63</f>
        <v>0.58083625075329581</v>
      </c>
      <c r="Q86" s="9">
        <f>1-P86/Parameters!$B$12</f>
        <v>0.70958187462335209</v>
      </c>
      <c r="R86" s="23">
        <f t="shared" si="34"/>
        <v>3.4433112558077568</v>
      </c>
      <c r="S86" s="7">
        <f>(Parameters!$B$19*(E86+Parameters!$B$20)^Q86+Parameters!$B$18*F86^Q86)^(1/Q86)</f>
        <v>0.53714034976822667</v>
      </c>
      <c r="T86" s="7">
        <f>(Parameters!$B$10*G86^Parameters!$B$9 + Parameters!$B$11*S86^Parameters!$B$9) ^ (Parameters!$B$7/Parameters!$B$9) * N86</f>
        <v>1.4607413664326185</v>
      </c>
      <c r="U86" s="7">
        <f t="shared" si="35"/>
        <v>1.1096096660509243</v>
      </c>
      <c r="V86" s="7">
        <f>EXP(-Parameters!$B$55*A86)</f>
        <v>0.28990557861518201</v>
      </c>
      <c r="W86" s="7">
        <f>IF(U86&gt;0,U86^(1-Parameters!$B$52)/(1-Parameters!$B$52)*V86,-10+U86*1000)</f>
        <v>-0.79869128791710198</v>
      </c>
      <c r="X86" s="7"/>
      <c r="Y86" s="7"/>
      <c r="Z86" s="7"/>
      <c r="AA86" s="7"/>
    </row>
    <row r="87" spans="1:27" x14ac:dyDescent="0.3">
      <c r="A87">
        <f>A86+Parameters!$B$65</f>
        <v>83</v>
      </c>
      <c r="B87" s="46">
        <f t="shared" si="41"/>
        <v>5.5253840042828066E-2</v>
      </c>
      <c r="C87" s="46">
        <f t="shared" si="39"/>
        <v>2.9056551594271868E-3</v>
      </c>
      <c r="D87" s="46">
        <f t="shared" si="40"/>
        <v>0.29297220517943928</v>
      </c>
      <c r="E87" s="7">
        <f>MAX((1-Parameters!$B$4)^Parameters!B$65*E86+B86*Parameters!B$65-Parameters!$B$5*B86^2/E86*Parameters!B$65,0.0001)</f>
        <v>0.81535689317510496</v>
      </c>
      <c r="F87" s="9">
        <f>(1-Parameters!$B$4)^Parameters!B$65*F86+C86*Parameters!B$65-Parameters!$B$5*C86^2/F86*Parameters!B$65</f>
        <v>4.9096325383155469E-2</v>
      </c>
      <c r="G87" s="7">
        <f>(1-Parameters!$B$4)^Parameters!B$65*G86+D86*Parameters!B$65-Parameters!$B$5*D86^2/G86*Parameters!B$65</f>
        <v>4.3440282310875773</v>
      </c>
      <c r="H87" s="7">
        <f>H86 *(1-Parameters!$B$4)-B86*(B86&lt;0)*Parameters!B$65</f>
        <v>0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23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138.54423013020173</v>
      </c>
      <c r="L87" s="8">
        <f>L86+K87*Parameters!B$65</f>
        <v>9618.9577787858052</v>
      </c>
      <c r="M87" s="7">
        <f>M86+Parameters!$B$45*K87</f>
        <v>5.7713746672714832</v>
      </c>
      <c r="N87" s="7">
        <f>'6states'!O87</f>
        <v>0.9553301335536224</v>
      </c>
      <c r="O87" s="7">
        <f>MAX(O86+(Parameters!B$31-K87)*Parameters!B$65,30)</f>
        <v>30</v>
      </c>
      <c r="P87" s="7">
        <f>Parameters!B$61*EXP(-Parameters!B$60*A87)+(1-Parameters!B$61)*(O87/Parameters!B$62)^-Parameters!B$63</f>
        <v>0.5793809391176562</v>
      </c>
      <c r="Q87" s="9">
        <f>1-P87/Parameters!$B$12</f>
        <v>0.71030953044117195</v>
      </c>
      <c r="R87" s="23">
        <f t="shared" si="34"/>
        <v>3.4519602992908536</v>
      </c>
      <c r="S87" s="7">
        <f>(Parameters!$B$19*(E87+Parameters!$B$20)^Q87+Parameters!$B$18*F87^Q87)^(1/Q87)</f>
        <v>0.53720722571889123</v>
      </c>
      <c r="T87" s="7">
        <f>(Parameters!$B$10*G87^Parameters!$B$9 + Parameters!$B$11*S87^Parameters!$B$9) ^ (Parameters!$B$7/Parameters!$B$9) * N87</f>
        <v>1.4605863471918674</v>
      </c>
      <c r="U87" s="7">
        <f t="shared" si="35"/>
        <v>1.1094546468101731</v>
      </c>
      <c r="V87" s="7">
        <f>EXP(-Parameters!$B$55*A87)</f>
        <v>0.28556088933456458</v>
      </c>
      <c r="W87" s="7">
        <f>IF(U87&gt;0,U87^(1-Parameters!$B$52)/(1-Parameters!$B$52)*V87,-10+U87*1000)</f>
        <v>-0.78676011974866633</v>
      </c>
      <c r="X87" s="7"/>
      <c r="Y87" s="7"/>
      <c r="Z87" s="7"/>
      <c r="AA87" s="7"/>
    </row>
    <row r="88" spans="1:27" x14ac:dyDescent="0.3">
      <c r="A88">
        <f>A87+Parameters!$B$65</f>
        <v>84</v>
      </c>
      <c r="B88" s="46">
        <f t="shared" si="41"/>
        <v>5.5253840042828066E-2</v>
      </c>
      <c r="C88" s="46">
        <f t="shared" si="39"/>
        <v>2.9056551594271868E-3</v>
      </c>
      <c r="D88" s="46">
        <f t="shared" si="40"/>
        <v>0.29297220517943928</v>
      </c>
      <c r="E88" s="7">
        <f>MAX((1-Parameters!$B$4)^Parameters!B$65*E87+B87*Parameters!B$65-Parameters!$B$5*B87^2/E87*Parameters!B$65,0.0001)</f>
        <v>0.81558042819032639</v>
      </c>
      <c r="F88" s="9">
        <f>(1-Parameters!$B$4)^Parameters!B$65*F87+C87*Parameters!B$65-Parameters!$B$5*C87^2/F87*Parameters!B$65</f>
        <v>4.8741857036274081E-2</v>
      </c>
      <c r="G88" s="7">
        <f>(1-Parameters!$B$4)^Parameters!B$65*G87+D87*Parameters!B$65-Parameters!$B$5*D87^2/G87*Parameters!B$65</f>
        <v>4.3440022771071707</v>
      </c>
      <c r="H88" s="7">
        <f>H87 *(1-Parameters!$B$4)-B87*(B87&lt;0)*Parameters!B$65</f>
        <v>0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23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140.29493261118054</v>
      </c>
      <c r="L88" s="8">
        <f>L87+K88*Parameters!B$65</f>
        <v>9759.2527113969863</v>
      </c>
      <c r="M88" s="7">
        <f>M87+Parameters!$B$45*K88</f>
        <v>5.8555516268381913</v>
      </c>
      <c r="N88" s="7">
        <f>'6states'!O88</f>
        <v>0.95522579099431315</v>
      </c>
      <c r="O88" s="7">
        <f>MAX(O87+(Parameters!B$31-K88)*Parameters!B$65,30)</f>
        <v>30</v>
      </c>
      <c r="P88" s="7">
        <f>Parameters!B$61*EXP(-Parameters!B$60*A88)+(1-Parameters!B$61)*(O88/Parameters!B$62)^-Parameters!B$63</f>
        <v>0.57796439517718523</v>
      </c>
      <c r="Q88" s="9">
        <f>1-P88/Parameters!$B$12</f>
        <v>0.71101780241140733</v>
      </c>
      <c r="R88" s="23">
        <f t="shared" si="34"/>
        <v>3.4604207745130462</v>
      </c>
      <c r="S88" s="7">
        <f>(Parameters!$B$19*(E88+Parameters!$B$20)^Q88+Parameters!$B$18*F88^Q88)^(1/Q88)</f>
        <v>0.53727545820088418</v>
      </c>
      <c r="T88" s="7">
        <f>(Parameters!$B$10*G88^Parameters!$B$9 + Parameters!$B$11*S88^Parameters!$B$9) ^ (Parameters!$B$7/Parameters!$B$9) * N88</f>
        <v>1.4604354607779102</v>
      </c>
      <c r="U88" s="7">
        <f t="shared" si="35"/>
        <v>1.1093037603962159</v>
      </c>
      <c r="V88" s="7">
        <f>EXP(-Parameters!$B$55*A88)</f>
        <v>0.28128131202949208</v>
      </c>
      <c r="W88" s="7">
        <f>IF(U88&gt;0,U88^(1-Parameters!$B$52)/(1-Parameters!$B$52)*V88,-10+U88*1000)</f>
        <v>-0.77500617883138434</v>
      </c>
      <c r="X88" s="7"/>
      <c r="Y88" s="7"/>
      <c r="Z88" s="7"/>
      <c r="AA88" s="7"/>
    </row>
    <row r="89" spans="1:27" x14ac:dyDescent="0.3">
      <c r="A89">
        <f>A88+Parameters!$B$65</f>
        <v>85</v>
      </c>
      <c r="B89" s="46">
        <f t="shared" si="41"/>
        <v>5.5253840042828066E-2</v>
      </c>
      <c r="C89" s="46">
        <f t="shared" si="39"/>
        <v>2.9056551594271868E-3</v>
      </c>
      <c r="D89" s="46">
        <f t="shared" si="40"/>
        <v>0.29297220517943928</v>
      </c>
      <c r="E89" s="7">
        <f>MAX((1-Parameters!$B$4)^Parameters!B$65*E88+B88*Parameters!B$65-Parameters!$B$5*B88^2/E88*Parameters!B$65,0.0001)</f>
        <v>0.81579092910966355</v>
      </c>
      <c r="F89" s="9">
        <f>(1-Parameters!$B$4)^Parameters!B$65*F88+C88*Parameters!B$65-Parameters!$B$5*C88^2/F88*Parameters!B$65</f>
        <v>4.8408434159589814E-2</v>
      </c>
      <c r="G89" s="7">
        <f>(1-Parameters!$B$4)^Parameters!B$65*G88+D88*Parameters!B$65-Parameters!$B$5*D88^2/G88*Parameters!B$65</f>
        <v>4.343977837579919</v>
      </c>
      <c r="H89" s="7">
        <f>H88 *(1-Parameters!$B$4)-B88*(B88&lt;0)*Parameters!B$65</f>
        <v>0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23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142.06740902892349</v>
      </c>
      <c r="L89" s="8">
        <f>L88+K89*Parameters!B$65</f>
        <v>9901.3201204259094</v>
      </c>
      <c r="M89" s="7">
        <f>M88+Parameters!$B$45*K89</f>
        <v>5.9407920722555456</v>
      </c>
      <c r="N89" s="7">
        <f>'6states'!O89</f>
        <v>0.95512375073555711</v>
      </c>
      <c r="O89" s="7">
        <f>MAX(O88+(Parameters!B$31-K89)*Parameters!B$65,30)</f>
        <v>30</v>
      </c>
      <c r="P89" s="7">
        <f>Parameters!B$61*EXP(-Parameters!B$60*A89)+(1-Parameters!B$61)*(O89/Parameters!B$62)^-Parameters!B$63</f>
        <v>0.57658558620861455</v>
      </c>
      <c r="Q89" s="9">
        <f>1-P89/Parameters!$B$12</f>
        <v>0.71170720689569267</v>
      </c>
      <c r="R89" s="23">
        <f t="shared" si="34"/>
        <v>3.4686957978800033</v>
      </c>
      <c r="S89" s="7">
        <f>(Parameters!$B$19*(E89+Parameters!$B$20)^Q89+Parameters!$B$18*F89^Q89)^(1/Q89)</f>
        <v>0.53734481520237831</v>
      </c>
      <c r="T89" s="7">
        <f>(Parameters!$B$10*G89^Parameters!$B$9 + Parameters!$B$11*S89^Parameters!$B$9) ^ (Parameters!$B$7/Parameters!$B$9) * N89</f>
        <v>1.4602883865904492</v>
      </c>
      <c r="U89" s="7">
        <f t="shared" si="35"/>
        <v>1.109156686208755</v>
      </c>
      <c r="V89" s="7">
        <f>EXP(-Parameters!$B$55*A89)</f>
        <v>0.27706587089500223</v>
      </c>
      <c r="W89" s="7">
        <f>IF(U89&gt;0,U89^(1-Parameters!$B$52)/(1-Parameters!$B$52)*V89,-10+U89*1000)</f>
        <v>-0.76342692454144756</v>
      </c>
      <c r="X89" s="7"/>
      <c r="Y89" s="7"/>
      <c r="Z89" s="7"/>
      <c r="AA89" s="7"/>
    </row>
    <row r="90" spans="1:27" x14ac:dyDescent="0.3">
      <c r="A90">
        <f>A89+Parameters!$B$65</f>
        <v>86</v>
      </c>
      <c r="B90" s="46">
        <f t="shared" si="41"/>
        <v>5.5253840042828066E-2</v>
      </c>
      <c r="C90" s="46">
        <f t="shared" si="39"/>
        <v>2.9056551594271868E-3</v>
      </c>
      <c r="D90" s="46">
        <f t="shared" si="40"/>
        <v>0.29297220517943928</v>
      </c>
      <c r="E90" s="7">
        <f>MAX((1-Parameters!$B$4)^Parameters!B$65*E89+B89*Parameters!B$65-Parameters!$B$5*B89^2/E89*Parameters!B$65,0.0001)</f>
        <v>0.81598915542361139</v>
      </c>
      <c r="F90" s="9">
        <f>(1-Parameters!$B$4)^Parameters!B$65*F89+C89*Parameters!B$65-Parameters!$B$5*C89^2/F89*Parameters!B$65</f>
        <v>4.8094790526944722E-2</v>
      </c>
      <c r="G90" s="7">
        <f>(1-Parameters!$B$4)^Parameters!B$65*G89+D89*Parameters!B$65-Parameters!$B$5*D89^2/G89*Parameters!B$65</f>
        <v>4.3439548241339514</v>
      </c>
      <c r="H90" s="7">
        <f>H89 *(1-Parameters!$B$4)-B89*(B89&lt;0)*Parameters!B$65</f>
        <v>0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23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143.86201942433257</v>
      </c>
      <c r="L90" s="8">
        <f>L89+K90*Parameters!B$65</f>
        <v>10045.182139850242</v>
      </c>
      <c r="M90" s="7">
        <f>M89+Parameters!$B$45*K90</f>
        <v>6.0271092839101454</v>
      </c>
      <c r="N90" s="7">
        <f>'6states'!O90</f>
        <v>0.95502397278218998</v>
      </c>
      <c r="O90" s="7">
        <f>MAX(O89+(Parameters!B$31-K90)*Parameters!B$65,30)</f>
        <v>30</v>
      </c>
      <c r="P90" s="7">
        <f>Parameters!B$61*EXP(-Parameters!B$60*A90)+(1-Parameters!B$61)*(O90/Parameters!B$62)^-Parameters!B$63</f>
        <v>0.57524350699914173</v>
      </c>
      <c r="Q90" s="9">
        <f>1-P90/Parameters!$B$12</f>
        <v>0.71237824650042914</v>
      </c>
      <c r="R90" s="23">
        <f t="shared" si="34"/>
        <v>3.4767884829041349</v>
      </c>
      <c r="S90" s="7">
        <f>(Parameters!$B$19*(E90+Parameters!$B$20)^Q90+Parameters!$B$18*F90^Q90)^(1/Q90)</f>
        <v>0.53741508253131087</v>
      </c>
      <c r="T90" s="7">
        <f>(Parameters!$B$10*G90^Parameters!$B$9 + Parameters!$B$11*S90^Parameters!$B$9) ^ (Parameters!$B$7/Parameters!$B$9) * N90</f>
        <v>1.4601450223094501</v>
      </c>
      <c r="U90" s="7">
        <f t="shared" si="35"/>
        <v>1.1090133219277558</v>
      </c>
      <c r="V90" s="7">
        <f>EXP(-Parameters!$B$55*A90)</f>
        <v>0.27291360475009885</v>
      </c>
      <c r="W90" s="7">
        <f>IF(U90&gt;0,U90^(1-Parameters!$B$52)/(1-Parameters!$B$52)*V90,-10+U90*1000)</f>
        <v>-0.7520197983388941</v>
      </c>
      <c r="X90" s="7"/>
      <c r="Y90" s="7"/>
      <c r="Z90" s="7"/>
      <c r="AA90" s="7"/>
    </row>
    <row r="91" spans="1:27" x14ac:dyDescent="0.3">
      <c r="A91">
        <f>A90+Parameters!$B$65</f>
        <v>87</v>
      </c>
      <c r="B91" s="46">
        <f t="shared" si="41"/>
        <v>5.5253840042828066E-2</v>
      </c>
      <c r="C91" s="46">
        <f t="shared" si="39"/>
        <v>2.9056551594271868E-3</v>
      </c>
      <c r="D91" s="46">
        <f t="shared" si="40"/>
        <v>0.29297220517943928</v>
      </c>
      <c r="E91" s="7">
        <f>MAX((1-Parameters!$B$4)^Parameters!B$65*E90+B90*Parameters!B$65-Parameters!$B$5*B90^2/E90*Parameters!B$65,0.0001)</f>
        <v>0.81617582242610953</v>
      </c>
      <c r="F91" s="9">
        <f>(1-Parameters!$B$4)^Parameters!B$65*F90+C90*Parameters!B$65-Parameters!$B$5*C90^2/F90*Parameters!B$65</f>
        <v>4.7799737698902577E-2</v>
      </c>
      <c r="G91" s="7">
        <f>(1-Parameters!$B$4)^Parameters!B$65*G90+D90*Parameters!B$65-Parameters!$B$5*D90^2/G90*Parameters!B$65</f>
        <v>4.3439331535542465</v>
      </c>
      <c r="H91" s="7">
        <f>H90 *(1-Parameters!$B$4)-B90*(B90&lt;0)*Parameters!B$65</f>
        <v>0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23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145.6791245100332</v>
      </c>
      <c r="L91" s="8">
        <f>L90+K91*Parameters!B$65</f>
        <v>10190.861264360276</v>
      </c>
      <c r="M91" s="7">
        <f>M90+Parameters!$B$45*K91</f>
        <v>6.1145167586161655</v>
      </c>
      <c r="N91" s="7">
        <f>'6states'!O91</f>
        <v>0.95492629309814869</v>
      </c>
      <c r="O91" s="7">
        <f>MAX(O90+(Parameters!B$31-K91)*Parameters!B$65,30)</f>
        <v>30</v>
      </c>
      <c r="P91" s="7">
        <f>Parameters!B$61*EXP(-Parameters!B$60*A91)+(1-Parameters!B$61)*(O91/Parameters!B$62)^-Parameters!B$63</f>
        <v>0.57393717911358522</v>
      </c>
      <c r="Q91" s="9">
        <f>1-P91/Parameters!$B$12</f>
        <v>0.71303141044320739</v>
      </c>
      <c r="R91" s="23">
        <f t="shared" si="34"/>
        <v>3.484701937394771</v>
      </c>
      <c r="S91" s="7">
        <f>(Parameters!$B$19*(E91+Parameters!$B$20)^Q91+Parameters!$B$18*F91^Q91)^(1/Q91)</f>
        <v>0.5374860627434136</v>
      </c>
      <c r="T91" s="7">
        <f>(Parameters!$B$10*G91^Parameters!$B$9 + Parameters!$B$11*S91^Parameters!$B$9) ^ (Parameters!$B$7/Parameters!$B$9) * N91</f>
        <v>1.4600050791090156</v>
      </c>
      <c r="U91" s="7">
        <f t="shared" si="35"/>
        <v>1.1088733787273213</v>
      </c>
      <c r="V91" s="7">
        <f>EXP(-Parameters!$B$55*A91)</f>
        <v>0.26882356681858899</v>
      </c>
      <c r="W91" s="7">
        <f>IF(U91&gt;0,U91^(1-Parameters!$B$52)/(1-Parameters!$B$52)*V91,-10+U91*1000)</f>
        <v>-0.74078232185563619</v>
      </c>
      <c r="X91" s="7"/>
      <c r="Y91" s="7"/>
      <c r="Z91" s="7"/>
      <c r="AA91" s="7"/>
    </row>
    <row r="92" spans="1:27" x14ac:dyDescent="0.3">
      <c r="A92">
        <f>A91+Parameters!$B$65</f>
        <v>88</v>
      </c>
      <c r="B92" s="46">
        <f t="shared" si="41"/>
        <v>5.5253840042828066E-2</v>
      </c>
      <c r="C92" s="46">
        <f t="shared" si="39"/>
        <v>2.9056551594271868E-3</v>
      </c>
      <c r="D92" s="46">
        <f t="shared" si="40"/>
        <v>0.29297220517943928</v>
      </c>
      <c r="E92" s="7">
        <f>MAX((1-Parameters!$B$4)^Parameters!B$65*E91+B91*Parameters!B$65-Parameters!$B$5*B91^2/E91*Parameters!B$65,0.0001)</f>
        <v>0.81635160377974891</v>
      </c>
      <c r="F92" s="9">
        <f>(1-Parameters!$B$4)^Parameters!B$65*F91+C91*Parameters!B$65-Parameters!$B$5*C91^2/F91*Parameters!B$65</f>
        <v>4.7522160105278995E-2</v>
      </c>
      <c r="G92" s="7">
        <f>(1-Parameters!$B$4)^Parameters!B$65*G91+D91*Parameters!B$65-Parameters!$B$5*D91^2/G91*Parameters!B$65</f>
        <v>4.3439127474816948</v>
      </c>
      <c r="H92" s="7">
        <f>H91 *(1-Parameters!$B$4)-B91*(B91&lt;0)*Parameters!B$65</f>
        <v>0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23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147.51908587461352</v>
      </c>
      <c r="L92" s="8">
        <f>L91+K92*Parameters!B$65</f>
        <v>10338.380350234889</v>
      </c>
      <c r="M92" s="7">
        <f>M91+Parameters!$B$45*K92</f>
        <v>6.2030282101409338</v>
      </c>
      <c r="N92" s="7">
        <f>'6states'!O92</f>
        <v>0.95483065354635555</v>
      </c>
      <c r="O92" s="7">
        <f>MAX(O91+(Parameters!B$31-K92)*Parameters!B$65,30)</f>
        <v>30</v>
      </c>
      <c r="P92" s="7">
        <f>Parameters!B$61*EXP(-Parameters!B$60*A92)+(1-Parameters!B$61)*(O92/Parameters!B$62)^-Parameters!B$63</f>
        <v>0.57266565018106208</v>
      </c>
      <c r="Q92" s="9">
        <f>1-P92/Parameters!$B$12</f>
        <v>0.71366717490946896</v>
      </c>
      <c r="R92" s="23">
        <f t="shared" si="34"/>
        <v>3.4924392607931902</v>
      </c>
      <c r="S92" s="7">
        <f>(Parameters!$B$19*(E92+Parameters!$B$20)^Q92+Parameters!$B$18*F92^Q92)^(1/Q92)</f>
        <v>0.53755757411576399</v>
      </c>
      <c r="T92" s="7">
        <f>(Parameters!$B$10*G92^Parameters!$B$9 + Parameters!$B$11*S92^Parameters!$B$9) ^ (Parameters!$B$7/Parameters!$B$9) * N92</f>
        <v>1.4598684330188676</v>
      </c>
      <c r="U92" s="7">
        <f t="shared" si="35"/>
        <v>1.1087367326371733</v>
      </c>
      <c r="V92" s="7">
        <f>EXP(-Parameters!$B$55*A92)</f>
        <v>0.26479482451320413</v>
      </c>
      <c r="W92" s="7">
        <f>IF(U92&gt;0,U92^(1-Parameters!$B$52)/(1-Parameters!$B$52)*V92,-10+U92*1000)</f>
        <v>-0.72971201222234883</v>
      </c>
      <c r="X92" s="7"/>
      <c r="Y92" s="7"/>
      <c r="Z92" s="7"/>
      <c r="AA92" s="7"/>
    </row>
    <row r="93" spans="1:27" x14ac:dyDescent="0.3">
      <c r="A93">
        <f>A92+Parameters!$B$65</f>
        <v>89</v>
      </c>
      <c r="B93" s="46">
        <f t="shared" si="41"/>
        <v>5.5253840042828066E-2</v>
      </c>
      <c r="C93" s="46">
        <f t="shared" si="39"/>
        <v>2.9056551594271868E-3</v>
      </c>
      <c r="D93" s="46">
        <f t="shared" si="40"/>
        <v>0.29297220517943928</v>
      </c>
      <c r="E93" s="7">
        <f>MAX((1-Parameters!$B$4)^Parameters!B$65*E92+B92*Parameters!B$65-Parameters!$B$5*B92^2/E92*Parameters!B$65,0.0001)</f>
        <v>0.81651713393285985</v>
      </c>
      <c r="F93" s="9">
        <f>(1-Parameters!$B$4)^Parameters!B$65*F92+C92*Parameters!B$65-Parameters!$B$5*C92^2/F92*Parameters!B$65</f>
        <v>4.7261010448394758E-2</v>
      </c>
      <c r="G93" s="7">
        <f>(1-Parameters!$B$4)^Parameters!B$65*G92+D92*Parameters!B$65-Parameters!$B$5*D92^2/G92*Parameters!B$65</f>
        <v>4.3438935321297221</v>
      </c>
      <c r="H93" s="7">
        <f>H92 *(1-Parameters!$B$4)-B92*(B92&lt;0)*Parameters!B$65</f>
        <v>0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23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149.38226618000468</v>
      </c>
      <c r="L93" s="8">
        <f>L92+K93*Parameters!B$65</f>
        <v>10487.762616414893</v>
      </c>
      <c r="M93" s="7">
        <f>M92+Parameters!$B$45*K93</f>
        <v>6.2926575698489362</v>
      </c>
      <c r="N93" s="7">
        <f>'6states'!O93</f>
        <v>0.95473687393726303</v>
      </c>
      <c r="O93" s="7">
        <f>MAX(O92+(Parameters!B$31-K93)*Parameters!B$65,30)</f>
        <v>30</v>
      </c>
      <c r="P93" s="7">
        <f>Parameters!B$61*EXP(-Parameters!B$60*A93)+(1-Parameters!B$61)*(O93/Parameters!B$62)^-Parameters!B$63</f>
        <v>0.57142799320066728</v>
      </c>
      <c r="Q93" s="9">
        <f>1-P93/Parameters!$B$12</f>
        <v>0.7142860033996663</v>
      </c>
      <c r="R93" s="23">
        <f t="shared" si="34"/>
        <v>3.5000035416494959</v>
      </c>
      <c r="S93" s="7">
        <f>(Parameters!$B$19*(E93+Parameters!$B$20)^Q93+Parameters!$B$18*F93^Q93)^(1/Q93)</f>
        <v>0.53762944966627013</v>
      </c>
      <c r="T93" s="7">
        <f>(Parameters!$B$10*G93^Parameters!$B$9 + Parameters!$B$11*S93^Parameters!$B$9) ^ (Parameters!$B$7/Parameters!$B$9) * N93</f>
        <v>1.4597347762203694</v>
      </c>
      <c r="U93" s="7">
        <f t="shared" si="35"/>
        <v>1.1086030758386751</v>
      </c>
      <c r="V93" s="7">
        <f>EXP(-Parameters!$B$55*A93)</f>
        <v>0.26082645922295711</v>
      </c>
      <c r="W93" s="7">
        <f>IF(U93&gt;0,U93^(1-Parameters!$B$52)/(1-Parameters!$B$52)*V93,-10+U93*1000)</f>
        <v>-0.71880646361356326</v>
      </c>
      <c r="X93" s="7"/>
      <c r="Y93" s="7"/>
      <c r="Z93" s="7"/>
      <c r="AA93" s="7"/>
    </row>
    <row r="94" spans="1:27" x14ac:dyDescent="0.3">
      <c r="A94">
        <f>A93+Parameters!$B$65</f>
        <v>90</v>
      </c>
      <c r="B94" s="19">
        <v>5.5238794691412761E-2</v>
      </c>
      <c r="C94" s="19">
        <v>2.532692781448906E-3</v>
      </c>
      <c r="D94" s="18">
        <v>0.29265407832178425</v>
      </c>
      <c r="E94" s="7">
        <f>MAX((1-Parameters!$B$4)^Parameters!B$65*E93+B93*Parameters!B$65-Parameters!$B$5*B93^2/E93*Parameters!B$65,0.0001)</f>
        <v>0.81667301039694584</v>
      </c>
      <c r="F94" s="9">
        <f>(1-Parameters!$B$4)^Parameters!B$65*F93+C93*Parameters!B$65-Parameters!$B$5*C93^2/F93*Parameters!B$65</f>
        <v>4.7015305405752661E-2</v>
      </c>
      <c r="G94" s="7">
        <f>(1-Parameters!$B$4)^Parameters!B$65*G93+D93*Parameters!B$65-Parameters!$B$5*D93^2/G93*Parameters!B$65</f>
        <v>4.3438754380174549</v>
      </c>
      <c r="H94" s="7">
        <f>H93 *(1-Parameters!$B$4)-B93*(B93&lt;0)*Parameters!B$65</f>
        <v>0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23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151.2690293523776</v>
      </c>
      <c r="L94" s="8">
        <f>L93+K94*Parameters!B$65</f>
        <v>10639.031645767271</v>
      </c>
      <c r="M94" s="7">
        <f>M93+Parameters!$B$45*K94</f>
        <v>6.3834189874603631</v>
      </c>
      <c r="N94" s="7">
        <f>'6states'!O94</f>
        <v>0.95464479298142058</v>
      </c>
      <c r="O94" s="7">
        <f>MAX(O93+(Parameters!B$31-K94)*Parameters!B$65,30)</f>
        <v>30</v>
      </c>
      <c r="P94" s="7">
        <f>Parameters!B$61*EXP(-Parameters!B$60*A94)+(1-Parameters!B$61)*(O94/Parameters!B$62)^-Parameters!B$63</f>
        <v>0.57022330586564896</v>
      </c>
      <c r="Q94" s="9">
        <f>1-P94/Parameters!$B$12</f>
        <v>0.71488834706717552</v>
      </c>
      <c r="R94" s="23">
        <f t="shared" si="34"/>
        <v>3.5073978552381768</v>
      </c>
      <c r="S94" s="7">
        <f>(Parameters!$B$19*(E94+Parameters!$B$20)^Q94+Parameters!$B$18*F94^Q94)^(1/Q94)</f>
        <v>0.53770153621908334</v>
      </c>
      <c r="T94" s="7">
        <f>(Parameters!$B$10*G94^Parameters!$B$9 + Parameters!$B$11*S94^Parameters!$B$9) ^ (Parameters!$B$7/Parameters!$B$9) * N94</f>
        <v>1.459603832373257</v>
      </c>
      <c r="U94" s="7">
        <f t="shared" si="35"/>
        <v>1.1091782665786112</v>
      </c>
      <c r="V94" s="7">
        <f>EXP(-Parameters!$B$55*A94)</f>
        <v>0.25691756610368538</v>
      </c>
      <c r="W94" s="7">
        <f>IF(U94&gt;0,U94^(1-Parameters!$B$52)/(1-Parameters!$B$52)*V94,-10+U94*1000)</f>
        <v>-0.70790549221052601</v>
      </c>
      <c r="X94" s="7"/>
      <c r="Y94" s="7"/>
      <c r="Z94" s="7"/>
      <c r="AA94" s="7"/>
    </row>
    <row r="95" spans="1:27" x14ac:dyDescent="0.3">
      <c r="A95">
        <f>A94+Parameters!$B$65</f>
        <v>91</v>
      </c>
      <c r="B95" s="46">
        <f>B94</f>
        <v>5.5238794691412761E-2</v>
      </c>
      <c r="C95" s="46">
        <f t="shared" ref="C95:C103" si="42">C94</f>
        <v>2.532692781448906E-3</v>
      </c>
      <c r="D95" s="46">
        <f t="shared" ref="D95:D103" si="43">D94</f>
        <v>0.29265407832178425</v>
      </c>
      <c r="E95" s="7">
        <f>MAX((1-Parameters!$B$4)^Parameters!B$65*E94+B94*Parameters!B$65-Parameters!$B$5*B94^2/E94*Parameters!B$65,0.0001)</f>
        <v>0.8168067861176983</v>
      </c>
      <c r="F95" s="9">
        <f>(1-Parameters!$B$4)^Parameters!B$65*F94+C94*Parameters!B$65-Parameters!$B$5*C94^2/F94*Parameters!B$65</f>
        <v>4.6454300487130326E-2</v>
      </c>
      <c r="G95" s="7">
        <f>(1-Parameters!$B$4)^Parameters!B$65*G94+D94*Parameters!B$65-Parameters!$B$5*D94^2/G94*Parameters!B$65</f>
        <v>4.3435831616249878</v>
      </c>
      <c r="H95" s="7">
        <f>H94 *(1-Parameters!$B$4)-B94*(B94&lt;0)*Parameters!B$65</f>
        <v>0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23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153.17730101957213</v>
      </c>
      <c r="L95" s="8">
        <f>L94+K95*Parameters!B$65</f>
        <v>10792.208946786843</v>
      </c>
      <c r="M95" s="7">
        <f>M94+Parameters!$B$45*K95</f>
        <v>6.4753253680721059</v>
      </c>
      <c r="N95" s="7">
        <f>'6states'!O95</f>
        <v>0.9545542706705501</v>
      </c>
      <c r="O95" s="7">
        <f>MAX(O94+(Parameters!B$31-K95)*Parameters!B$65,30)</f>
        <v>30</v>
      </c>
      <c r="P95" s="7">
        <f>Parameters!B$61*EXP(-Parameters!B$60*A95)+(1-Parameters!B$61)*(O95/Parameters!B$62)^-Parameters!B$63</f>
        <v>0.56905070990558682</v>
      </c>
      <c r="Q95" s="9">
        <f>1-P95/Parameters!$B$12</f>
        <v>0.71547464504720659</v>
      </c>
      <c r="R95" s="23">
        <f t="shared" si="34"/>
        <v>3.5146252613090088</v>
      </c>
      <c r="S95" s="7">
        <f>(Parameters!$B$19*(E95+Parameters!$B$20)^Q95+Parameters!$B$18*F95^Q95)^(1/Q95)</f>
        <v>0.53756474106199137</v>
      </c>
      <c r="T95" s="7">
        <f>(Parameters!$B$10*G95^Parameters!$B$9 + Parameters!$B$11*S95^Parameters!$B$9) ^ (Parameters!$B$7/Parameters!$B$9) * N95</f>
        <v>1.4594201740384285</v>
      </c>
      <c r="U95" s="7">
        <f t="shared" si="35"/>
        <v>1.1089946082437825</v>
      </c>
      <c r="V95" s="7">
        <f>EXP(-Parameters!$B$55*A95)</f>
        <v>0.2530672538717339</v>
      </c>
      <c r="W95" s="7">
        <f>IF(U95&gt;0,U95^(1-Parameters!$B$52)/(1-Parameters!$B$52)*V95,-10+U95*1000)</f>
        <v>-0.69733683442663252</v>
      </c>
      <c r="X95" s="7"/>
      <c r="Y95" s="7"/>
      <c r="Z95" s="7"/>
      <c r="AA95" s="7"/>
    </row>
    <row r="96" spans="1:27" x14ac:dyDescent="0.3">
      <c r="A96">
        <f>A95+Parameters!$B$65</f>
        <v>92</v>
      </c>
      <c r="B96" s="46">
        <f t="shared" ref="B96:B103" si="44">B95</f>
        <v>5.5238794691412761E-2</v>
      </c>
      <c r="C96" s="46">
        <f t="shared" si="42"/>
        <v>2.532692781448906E-3</v>
      </c>
      <c r="D96" s="46">
        <f t="shared" si="43"/>
        <v>0.29265407832178425</v>
      </c>
      <c r="E96" s="7">
        <f>MAX((1-Parameters!$B$4)^Parameters!B$65*E95+B95*Parameters!B$65-Parameters!$B$5*B95^2/E95*Parameters!B$65,0.0001)</f>
        <v>0.81693275927054509</v>
      </c>
      <c r="F96" s="9">
        <f>(1-Parameters!$B$4)^Parameters!B$65*F95+C95*Parameters!B$65-Parameters!$B$5*C95^2/F95*Parameters!B$65</f>
        <v>4.5926935122027834E-2</v>
      </c>
      <c r="G96" s="7">
        <f>(1-Parameters!$B$4)^Parameters!B$65*G95+D95*Parameters!B$65-Parameters!$B$5*D95^2/G95*Parameters!B$65</f>
        <v>4.3433079427033521</v>
      </c>
      <c r="H96" s="7">
        <f>H95 *(1-Parameters!$B$4)-B95*(B95&lt;0)*Parameters!B$65</f>
        <v>0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23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155.10997113427152</v>
      </c>
      <c r="L96" s="8">
        <f>L95+K96*Parameters!B$65</f>
        <v>10947.318917921115</v>
      </c>
      <c r="M96" s="7">
        <f>M95+Parameters!$B$45*K96</f>
        <v>6.5683913507526688</v>
      </c>
      <c r="N96" s="7">
        <f>'6states'!O96</f>
        <v>0.95446515028526235</v>
      </c>
      <c r="O96" s="7">
        <f>MAX(O95+(Parameters!B$31-K96)*Parameters!B$65,30)</f>
        <v>30</v>
      </c>
      <c r="P96" s="7">
        <f>Parameters!B$61*EXP(-Parameters!B$60*A96)+(1-Parameters!B$61)*(O96/Parameters!B$62)^-Parameters!B$63</f>
        <v>0.56790935044609436</v>
      </c>
      <c r="Q96" s="9">
        <f>1-P96/Parameters!$B$12</f>
        <v>0.71604532477695282</v>
      </c>
      <c r="R96" s="23">
        <f t="shared" si="34"/>
        <v>3.5216888019698822</v>
      </c>
      <c r="S96" s="7">
        <f>(Parameters!$B$19*(E96+Parameters!$B$20)^Q96+Parameters!$B$18*F96^Q96)^(1/Q96)</f>
        <v>0.53744018922176395</v>
      </c>
      <c r="T96" s="7">
        <f>(Parameters!$B$10*G96^Parameters!$B$9 + Parameters!$B$11*S96^Parameters!$B$9) ^ (Parameters!$B$7/Parameters!$B$9) * N96</f>
        <v>1.4592419639258507</v>
      </c>
      <c r="U96" s="7">
        <f t="shared" si="35"/>
        <v>1.1088163981312049</v>
      </c>
      <c r="V96" s="7">
        <f>EXP(-Parameters!$B$55*A96)</f>
        <v>0.24927464460072962</v>
      </c>
      <c r="W96" s="7">
        <f>IF(U96&gt;0,U96^(1-Parameters!$B$52)/(1-Parameters!$B$52)*V96,-10+U96*1000)</f>
        <v>-0.68692478641816845</v>
      </c>
      <c r="X96" s="7"/>
      <c r="Y96" s="7"/>
      <c r="Z96" s="7"/>
      <c r="AA96" s="7"/>
    </row>
    <row r="97" spans="1:27" x14ac:dyDescent="0.3">
      <c r="A97">
        <f>A96+Parameters!$B$65</f>
        <v>93</v>
      </c>
      <c r="B97" s="46">
        <f t="shared" si="44"/>
        <v>5.5238794691412761E-2</v>
      </c>
      <c r="C97" s="46">
        <f t="shared" si="42"/>
        <v>2.532692781448906E-3</v>
      </c>
      <c r="D97" s="46">
        <f t="shared" si="43"/>
        <v>0.29265407832178425</v>
      </c>
      <c r="E97" s="7">
        <f>MAX((1-Parameters!$B$4)^Parameters!B$65*E96+B96*Parameters!B$65-Parameters!$B$5*B96^2/E96*Parameters!B$65,0.0001)</f>
        <v>0.8170513847628158</v>
      </c>
      <c r="F97" s="9">
        <f>(1-Parameters!$B$4)^Parameters!B$65*F96+C96*Parameters!B$65-Parameters!$B$5*C96^2/F96*Parameters!B$65</f>
        <v>4.5431155476349586E-2</v>
      </c>
      <c r="G97" s="7">
        <f>(1-Parameters!$B$4)^Parameters!B$65*G96+D96*Parameters!B$65-Parameters!$B$5*D96^2/G96*Parameters!B$65</f>
        <v>4.3430487856024458</v>
      </c>
      <c r="H97" s="7">
        <f>H96 *(1-Parameters!$B$4)-B96*(B96&lt;0)*Parameters!B$65</f>
        <v>0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23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157.0674041745016</v>
      </c>
      <c r="L97" s="8">
        <f>L96+K97*Parameters!B$65</f>
        <v>11104.386322095617</v>
      </c>
      <c r="M97" s="7">
        <f>M96+Parameters!$B$45*K97</f>
        <v>6.6626317932573693</v>
      </c>
      <c r="N97" s="7">
        <f>'6states'!O97</f>
        <v>0.95437725469029155</v>
      </c>
      <c r="O97" s="7">
        <f>MAX(O96+(Parameters!B$31-K97)*Parameters!B$65,30)</f>
        <v>30</v>
      </c>
      <c r="P97" s="7">
        <f>Parameters!B$61*EXP(-Parameters!B$60*A97)+(1-Parameters!B$61)*(O97/Parameters!B$62)^-Parameters!B$63</f>
        <v>0.56679839538557719</v>
      </c>
      <c r="Q97" s="9">
        <f>1-P97/Parameters!$B$12</f>
        <v>0.71660080230721146</v>
      </c>
      <c r="R97" s="23">
        <f t="shared" si="34"/>
        <v>3.5285914996979764</v>
      </c>
      <c r="S97" s="7">
        <f>(Parameters!$B$19*(E97+Parameters!$B$20)^Q97+Parameters!$B$18*F97^Q97)^(1/Q97)</f>
        <v>0.53732706089268834</v>
      </c>
      <c r="T97" s="7">
        <f>(Parameters!$B$10*G97^Parameters!$B$9 + Parameters!$B$11*S97^Parameters!$B$9) ^ (Parameters!$B$7/Parameters!$B$9) * N97</f>
        <v>1.4590687241445519</v>
      </c>
      <c r="U97" s="7">
        <f t="shared" si="35"/>
        <v>1.1086431583499059</v>
      </c>
      <c r="V97" s="7">
        <f>EXP(-Parameters!$B$55*A97)</f>
        <v>0.24553887352140147</v>
      </c>
      <c r="W97" s="7">
        <f>IF(U97&gt;0,U97^(1-Parameters!$B$52)/(1-Parameters!$B$52)*V97,-10+U97*1000)</f>
        <v>-0.67666714669607753</v>
      </c>
      <c r="X97" s="7"/>
      <c r="Y97" s="7"/>
      <c r="Z97" s="7"/>
      <c r="AA97" s="7"/>
    </row>
    <row r="98" spans="1:27" x14ac:dyDescent="0.3">
      <c r="A98">
        <f>A97+Parameters!$B$65</f>
        <v>94</v>
      </c>
      <c r="B98" s="46">
        <f t="shared" si="44"/>
        <v>5.5238794691412761E-2</v>
      </c>
      <c r="C98" s="46">
        <f t="shared" si="42"/>
        <v>2.532692781448906E-3</v>
      </c>
      <c r="D98" s="46">
        <f t="shared" si="43"/>
        <v>0.29265407832178425</v>
      </c>
      <c r="E98" s="7">
        <f>MAX((1-Parameters!$B$4)^Parameters!B$65*E97+B97*Parameters!B$65-Parameters!$B$5*B97^2/E97*Parameters!B$65,0.0001)</f>
        <v>0.81716309100054507</v>
      </c>
      <c r="F98" s="9">
        <f>(1-Parameters!$B$4)^Parameters!B$65*F97+C97*Parameters!B$65-Parameters!$B$5*C97^2/F97*Parameters!B$65</f>
        <v>4.4965036203677207E-2</v>
      </c>
      <c r="G98" s="7">
        <f>(1-Parameters!$B$4)^Parameters!B$65*G97+D97*Parameters!B$65-Parameters!$B$5*D97^2/G97*Parameters!B$65</f>
        <v>4.3428047528070541</v>
      </c>
      <c r="H98" s="7">
        <f>H97 *(1-Parameters!$B$4)-B97*(B97&lt;0)*Parameters!B$65</f>
        <v>0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23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159.04996678776962</v>
      </c>
      <c r="L98" s="8">
        <f>L97+K98*Parameters!B$65</f>
        <v>11263.436288883388</v>
      </c>
      <c r="M98" s="7">
        <f>M97+Parameters!$B$45*K98</f>
        <v>6.7580617733300308</v>
      </c>
      <c r="N98" s="7">
        <f>'6states'!O98</f>
        <v>0.95429041138312443</v>
      </c>
      <c r="O98" s="7">
        <f>MAX(O97+(Parameters!B$31-K98)*Parameters!B$65,30)</f>
        <v>30</v>
      </c>
      <c r="P98" s="7">
        <f>Parameters!B$61*EXP(-Parameters!B$60*A98)+(1-Parameters!B$61)*(O98/Parameters!B$62)^-Parameters!B$63</f>
        <v>0.56571703478859448</v>
      </c>
      <c r="Q98" s="9">
        <f>1-P98/Parameters!$B$12</f>
        <v>0.71714148260570276</v>
      </c>
      <c r="R98" s="23">
        <f t="shared" si="34"/>
        <v>3.5353363554756481</v>
      </c>
      <c r="S98" s="7">
        <f>(Parameters!$B$19*(E98+Parameters!$B$20)^Q98+Parameters!$B$18*F98^Q98)^(1/Q98)</f>
        <v>0.53722458466776257</v>
      </c>
      <c r="T98" s="7">
        <f>(Parameters!$B$10*G98^Parameters!$B$9 + Parameters!$B$11*S98^Parameters!$B$9) ^ (Parameters!$B$7/Parameters!$B$9) * N98</f>
        <v>1.4588999956652404</v>
      </c>
      <c r="U98" s="7">
        <f t="shared" si="35"/>
        <v>1.1084744298705944</v>
      </c>
      <c r="V98" s="7">
        <f>EXP(-Parameters!$B$55*A98)</f>
        <v>0.24185908882440066</v>
      </c>
      <c r="W98" s="7">
        <f>IF(U98&gt;0,U98^(1-Parameters!$B$52)/(1-Parameters!$B$52)*V98,-10+U98*1000)</f>
        <v>-0.66656173741688907</v>
      </c>
      <c r="X98" s="7"/>
      <c r="Y98" s="7"/>
      <c r="Z98" s="7"/>
      <c r="AA98" s="7"/>
    </row>
    <row r="99" spans="1:27" x14ac:dyDescent="0.3">
      <c r="A99">
        <f>A98+Parameters!$B$65</f>
        <v>95</v>
      </c>
      <c r="B99" s="46">
        <f t="shared" si="44"/>
        <v>5.5238794691412761E-2</v>
      </c>
      <c r="C99" s="46">
        <f t="shared" si="42"/>
        <v>2.532692781448906E-3</v>
      </c>
      <c r="D99" s="46">
        <f t="shared" si="43"/>
        <v>0.29265407832178425</v>
      </c>
      <c r="E99" s="7">
        <f>MAX((1-Parameters!$B$4)^Parameters!B$65*E98+B98*Parameters!B$65-Parameters!$B$5*B98^2/E98*Parameters!B$65,0.0001)</f>
        <v>0.81726828142997188</v>
      </c>
      <c r="F99" s="9">
        <f>(1-Parameters!$B$4)^Parameters!B$65*F98+C98*Parameters!B$65-Parameters!$B$5*C98^2/F98*Parameters!B$65</f>
        <v>4.4526772196338459E-2</v>
      </c>
      <c r="G99" s="7">
        <f>(1-Parameters!$B$4)^Parameters!B$65*G98+D98*Parameters!B$65-Parameters!$B$5*D98^2/G98*Parameters!B$65</f>
        <v>4.3425749615403308</v>
      </c>
      <c r="H99" s="7">
        <f>H98 *(1-Parameters!$B$4)-B98*(B98&lt;0)*Parameters!B$65</f>
        <v>0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23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161.05802794498368</v>
      </c>
      <c r="L99" s="8">
        <f>L98+K99*Parameters!B$65</f>
        <v>11424.494316828372</v>
      </c>
      <c r="M99" s="7">
        <f>M98+Parameters!$B$45*K99</f>
        <v>6.8546965900970207</v>
      </c>
      <c r="N99" s="7">
        <f>'6states'!O99</f>
        <v>0.95420450387018696</v>
      </c>
      <c r="O99" s="7">
        <f>MAX(O98+(Parameters!B$31-K99)*Parameters!B$65,30)</f>
        <v>30</v>
      </c>
      <c r="P99" s="7">
        <f>Parameters!B$61*EXP(-Parameters!B$60*A99)+(1-Parameters!B$61)*(O99/Parameters!B$62)^-Parameters!B$63</f>
        <v>0.56466448029537986</v>
      </c>
      <c r="Q99" s="9">
        <f>1-P99/Parameters!$B$12</f>
        <v>0.71766775985231002</v>
      </c>
      <c r="R99" s="23">
        <f t="shared" si="34"/>
        <v>3.5419263470473403</v>
      </c>
      <c r="S99" s="7">
        <f>(Parameters!$B$19*(E99+Parameters!$B$20)^Q99+Parameters!$B$18*F99^Q99)^(1/Q99)</f>
        <v>0.53713203504637297</v>
      </c>
      <c r="T99" s="7">
        <f>(Parameters!$B$10*G99^Parameters!$B$9 + Parameters!$B$11*S99^Parameters!$B$9) ^ (Parameters!$B$7/Parameters!$B$9) * N99</f>
        <v>1.4587354162805855</v>
      </c>
      <c r="U99" s="7">
        <f t="shared" si="35"/>
        <v>1.1083098504859397</v>
      </c>
      <c r="V99" s="7">
        <f>EXP(-Parameters!$B$55*A99)</f>
        <v>0.23823445146607616</v>
      </c>
      <c r="W99" s="7">
        <f>IF(U99&gt;0,U99^(1-Parameters!$B$52)/(1-Parameters!$B$52)*V99,-10+U99*1000)</f>
        <v>-0.65660638823955719</v>
      </c>
      <c r="X99" s="7"/>
      <c r="Y99" s="7"/>
      <c r="Z99" s="7"/>
      <c r="AA99" s="7"/>
    </row>
    <row r="100" spans="1:27" x14ac:dyDescent="0.3">
      <c r="A100">
        <f>A99+Parameters!$B$65</f>
        <v>96</v>
      </c>
      <c r="B100" s="46">
        <f t="shared" si="44"/>
        <v>5.5238794691412761E-2</v>
      </c>
      <c r="C100" s="46">
        <f t="shared" si="42"/>
        <v>2.532692781448906E-3</v>
      </c>
      <c r="D100" s="46">
        <f t="shared" si="43"/>
        <v>0.29265407832178425</v>
      </c>
      <c r="E100" s="7">
        <f>MAX((1-Parameters!$B$4)^Parameters!B$65*E99+B99*Parameters!B$65-Parameters!$B$5*B99^2/E99*Parameters!B$65,0.0001)</f>
        <v>0.81736733598964595</v>
      </c>
      <c r="F100" s="9">
        <f>(1-Parameters!$B$4)^Parameters!B$65*F99+C99*Parameters!B$65-Parameters!$B$5*C99^2/F99*Parameters!B$65</f>
        <v>4.411467087362559E-2</v>
      </c>
      <c r="G100" s="7">
        <f>(1-Parameters!$B$4)^Parameters!B$65*G99+D99*Parameters!B$65-Parameters!$B$5*D99^2/G99*Parameters!B$65</f>
        <v>4.3423585805659544</v>
      </c>
      <c r="H100" s="7">
        <f>H99 *(1-Parameters!$B$4)-B99*(B99&lt;0)*Parameters!B$65</f>
        <v>0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23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163.0919590902524</v>
      </c>
      <c r="L100" s="8">
        <f>L99+K100*Parameters!B$65</f>
        <v>11587.586275918624</v>
      </c>
      <c r="M100" s="7">
        <f>M99+Parameters!$B$45*K100</f>
        <v>6.9525517655511724</v>
      </c>
      <c r="N100" s="7">
        <f>'6states'!O100</f>
        <v>0.95411941106404163</v>
      </c>
      <c r="O100" s="7">
        <f>MAX(O99+(Parameters!B$31-K100)*Parameters!B$65,30)</f>
        <v>30</v>
      </c>
      <c r="P100" s="7">
        <f>Parameters!B$61*EXP(-Parameters!B$60*A100)+(1-Parameters!B$61)*(O100/Parameters!B$62)^-Parameters!B$63</f>
        <v>0.56363996454709253</v>
      </c>
      <c r="Q100" s="9">
        <f>1-P100/Parameters!$B$12</f>
        <v>0.71818001772645368</v>
      </c>
      <c r="R100" s="23">
        <f t="shared" si="34"/>
        <v>3.5483644272937251</v>
      </c>
      <c r="S100" s="7">
        <f>(Parameters!$B$19*(E100+Parameters!$B$20)^Q100+Parameters!$B$18*F100^Q100)^(1/Q100)</f>
        <v>0.53704873003581</v>
      </c>
      <c r="T100" s="7">
        <f>(Parameters!$B$10*G100^Parameters!$B$9 + Parameters!$B$11*S100^Parameters!$B$9) ^ (Parameters!$B$7/Parameters!$B$9) * N100</f>
        <v>1.4585746273910418</v>
      </c>
      <c r="U100" s="7">
        <f t="shared" si="35"/>
        <v>1.108149061596396</v>
      </c>
      <c r="V100" s="7">
        <f>EXP(-Parameters!$B$55*A100)</f>
        <v>0.23466413497716049</v>
      </c>
      <c r="W100" s="7">
        <f>IF(U100&gt;0,U100^(1-Parameters!$B$52)/(1-Parameters!$B$52)*V100,-10+U100*1000)</f>
        <v>-0.64679895657451381</v>
      </c>
      <c r="X100" s="7"/>
      <c r="Y100" s="7"/>
      <c r="Z100" s="7"/>
      <c r="AA100" s="7"/>
    </row>
    <row r="101" spans="1:27" x14ac:dyDescent="0.3">
      <c r="A101">
        <f>A100+Parameters!$B$65</f>
        <v>97</v>
      </c>
      <c r="B101" s="46">
        <f t="shared" si="44"/>
        <v>5.5238794691412761E-2</v>
      </c>
      <c r="C101" s="46">
        <f t="shared" si="42"/>
        <v>2.532692781448906E-3</v>
      </c>
      <c r="D101" s="46">
        <f t="shared" si="43"/>
        <v>0.29265407832178425</v>
      </c>
      <c r="E101" s="7">
        <f>MAX((1-Parameters!$B$4)^Parameters!B$65*E100+B100*Parameters!B$65-Parameters!$B$5*B100^2/E100*Parameters!B$65,0.0001)</f>
        <v>0.81746061247829338</v>
      </c>
      <c r="F101" s="9">
        <f>(1-Parameters!$B$4)^Parameters!B$65*F100+C100*Parameters!B$65-Parameters!$B$5*C100^2/F100*Parameters!B$65</f>
        <v>4.3727144972909131E-2</v>
      </c>
      <c r="G101" s="7">
        <f>(1-Parameters!$B$4)^Parameters!B$65*G100+D100*Parameters!B$65-Parameters!$B$5*D100^2/G100*Parameters!B$65</f>
        <v>4.3421548271773194</v>
      </c>
      <c r="H101" s="7">
        <f>H100 *(1-Parameters!$B$4)-B100*(B100&lt;0)*Parameters!B$65</f>
        <v>0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23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165.15213428680858</v>
      </c>
      <c r="L101" s="8">
        <f>L100+K101*Parameters!B$65</f>
        <v>11752.738410205433</v>
      </c>
      <c r="M101" s="7">
        <f>M100+Parameters!$B$45*K101</f>
        <v>7.0516430461232575</v>
      </c>
      <c r="N101" s="7">
        <f>'6states'!O101</f>
        <v>0.95403499049152185</v>
      </c>
      <c r="O101" s="7">
        <f>MAX(O100+(Parameters!B$31-K101)*Parameters!B$65,30)</f>
        <v>30</v>
      </c>
      <c r="P101" s="7">
        <f>Parameters!B$61*EXP(-Parameters!B$60*A101)+(1-Parameters!B$61)*(O101/Parameters!B$62)^-Parameters!B$63</f>
        <v>0.56264274062637831</v>
      </c>
      <c r="Q101" s="9">
        <f>1-P101/Parameters!$B$12</f>
        <v>0.71867862968681084</v>
      </c>
      <c r="R101" s="23">
        <f t="shared" si="34"/>
        <v>3.5546535227193052</v>
      </c>
      <c r="S101" s="7">
        <f>(Parameters!$B$19*(E101+Parameters!$B$20)^Q101+Parameters!$B$18*F101^Q101)^(1/Q101)</f>
        <v>0.5369740288468372</v>
      </c>
      <c r="T101" s="7">
        <f>(Parameters!$B$10*G101^Parameters!$B$9 + Parameters!$B$11*S101^Parameters!$B$9) ^ (Parameters!$B$7/Parameters!$B$9) * N101</f>
        <v>1.4584172477960862</v>
      </c>
      <c r="U101" s="7">
        <f t="shared" si="35"/>
        <v>1.1079916820014404</v>
      </c>
      <c r="V101" s="7">
        <f>EXP(-Parameters!$B$55*A101)</f>
        <v>0.23114732527432291</v>
      </c>
      <c r="W101" s="7">
        <f>IF(U101&gt;0,U101^(1-Parameters!$B$52)/(1-Parameters!$B$52)*V101,-10+U101*1000)</f>
        <v>-0.63713733259330108</v>
      </c>
      <c r="X101" s="7"/>
      <c r="Y101" s="7"/>
      <c r="Z101" s="7"/>
      <c r="AA101" s="7"/>
    </row>
    <row r="102" spans="1:27" x14ac:dyDescent="0.3">
      <c r="A102">
        <f>A101+Parameters!$B$65</f>
        <v>98</v>
      </c>
      <c r="B102" s="46">
        <f t="shared" si="44"/>
        <v>5.5238794691412761E-2</v>
      </c>
      <c r="C102" s="46">
        <f t="shared" si="42"/>
        <v>2.532692781448906E-3</v>
      </c>
      <c r="D102" s="46">
        <f t="shared" si="43"/>
        <v>0.29265407832178425</v>
      </c>
      <c r="E102" s="7">
        <f>MAX((1-Parameters!$B$4)^Parameters!B$65*E101+B101*Parameters!B$65-Parameters!$B$5*B101^2/E101*Parameters!B$65,0.0001)</f>
        <v>0.81754844784330172</v>
      </c>
      <c r="F102" s="9">
        <f>(1-Parameters!$B$4)^Parameters!B$65*F101+C101*Parameters!B$65-Parameters!$B$5*C101^2/F101*Parameters!B$65</f>
        <v>4.3362705811389998E-2</v>
      </c>
      <c r="G102" s="7">
        <f>(1-Parameters!$B$4)^Parameters!B$65*G101+D101*Parameters!B$65-Parameters!$B$5*D101^2/G101*Parameters!B$65</f>
        <v>4.3419629643627857</v>
      </c>
      <c r="H102" s="7">
        <f>H101 *(1-Parameters!$B$4)-B101*(B101&lt;0)*Parameters!B$65</f>
        <v>0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23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167.23893035929376</v>
      </c>
      <c r="L102" s="8">
        <f>L101+K102*Parameters!B$65</f>
        <v>11919.977340564727</v>
      </c>
      <c r="M102" s="7">
        <f>M101+Parameters!$B$45*K102</f>
        <v>7.1519864043388335</v>
      </c>
      <c r="N102" s="7">
        <f>'6states'!O102</f>
        <v>0.95395117489100378</v>
      </c>
      <c r="O102" s="7">
        <f>MAX(O101+(Parameters!B$31-K102)*Parameters!B$65,30)</f>
        <v>30</v>
      </c>
      <c r="P102" s="7">
        <f>Parameters!B$61*EXP(-Parameters!B$60*A102)+(1-Parameters!B$61)*(O102/Parameters!B$62)^-Parameters!B$63</f>
        <v>0.5616720815128341</v>
      </c>
      <c r="Q102" s="9">
        <f>1-P102/Parameters!$B$12</f>
        <v>0.71916395924358301</v>
      </c>
      <c r="R102" s="23">
        <f t="shared" si="34"/>
        <v>3.5607965320496366</v>
      </c>
      <c r="S102" s="7">
        <f>(Parameters!$B$19*(E102+Parameters!$B$20)^Q102+Parameters!$B$18*F102^Q102)^(1/Q102)</f>
        <v>0.53690732968305521</v>
      </c>
      <c r="T102" s="7">
        <f>(Parameters!$B$10*G102^Parameters!$B$9 + Parameters!$B$11*S102^Parameters!$B$9) ^ (Parameters!$B$7/Parameters!$B$9) * N102</f>
        <v>1.4582630208406628</v>
      </c>
      <c r="U102" s="7">
        <f t="shared" si="35"/>
        <v>1.1078374550460168</v>
      </c>
      <c r="V102" s="7">
        <f>EXP(-Parameters!$B$55*A102)</f>
        <v>0.22768322047454675</v>
      </c>
      <c r="W102" s="7">
        <f>IF(U102&gt;0,U102^(1-Parameters!$B$52)/(1-Parameters!$B$52)*V102,-10+U102*1000)</f>
        <v>-0.62761940939649863</v>
      </c>
      <c r="X102" s="7"/>
      <c r="Y102" s="7"/>
      <c r="Z102" s="7"/>
      <c r="AA102" s="7"/>
    </row>
    <row r="103" spans="1:27" x14ac:dyDescent="0.3">
      <c r="A103">
        <f>A102+Parameters!$B$65</f>
        <v>99</v>
      </c>
      <c r="B103" s="46">
        <f t="shared" si="44"/>
        <v>5.5238794691412761E-2</v>
      </c>
      <c r="C103" s="46">
        <f t="shared" si="42"/>
        <v>2.532692781448906E-3</v>
      </c>
      <c r="D103" s="46">
        <f t="shared" si="43"/>
        <v>0.29265407832178425</v>
      </c>
      <c r="E103" s="7">
        <f>MAX((1-Parameters!$B$4)^Parameters!B$65*E102+B102*Parameters!B$65-Parameters!$B$5*B102^2/E102*Parameters!B$65,0.0001)</f>
        <v>0.81763115939440589</v>
      </c>
      <c r="F103" s="9">
        <f>(1-Parameters!$B$4)^Parameters!B$65*F102+C102*Parameters!B$65-Parameters!$B$5*C102^2/F102*Parameters!B$65</f>
        <v>4.3019956988134239E-2</v>
      </c>
      <c r="G103" s="7">
        <f>(1-Parameters!$B$4)^Parameters!B$65*G102+D102*Parameters!B$65-Parameters!$B$5*D102^2/G102*Parameters!B$65</f>
        <v>4.3417822981366836</v>
      </c>
      <c r="H103" s="7">
        <f>H102 *(1-Parameters!$B$4)-B102*(B102&lt;0)*Parameters!B$65</f>
        <v>0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23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169.35272703262436</v>
      </c>
      <c r="L103" s="8">
        <f>L102+K103*Parameters!B$65</f>
        <v>12089.330067597351</v>
      </c>
      <c r="M103" s="7">
        <f>M102+Parameters!$B$45*K103</f>
        <v>7.2535980405584084</v>
      </c>
      <c r="N103" s="7">
        <f>'6states'!O103</f>
        <v>0.95386788899119312</v>
      </c>
      <c r="O103" s="7">
        <f>MAX(O102+(Parameters!B$31-K103)*Parameters!B$65,30)</f>
        <v>30</v>
      </c>
      <c r="P103" s="7">
        <f>Parameters!B$61*EXP(-Parameters!B$60*A103)+(1-Parameters!B$61)*(O103/Parameters!B$62)^-Parameters!B$63</f>
        <v>0.56072727955297785</v>
      </c>
      <c r="Q103" s="9">
        <f>1-P103/Parameters!$B$12</f>
        <v>0.71963636022351107</v>
      </c>
      <c r="R103" s="23">
        <f t="shared" si="34"/>
        <v>3.5667963249343546</v>
      </c>
      <c r="S103" s="7">
        <f>(Parameters!$B$19*(E103+Parameters!$B$20)^Q103+Parameters!$B$18*F103^Q103)^(1/Q103)</f>
        <v>0.53684806762336201</v>
      </c>
      <c r="T103" s="7">
        <f>(Parameters!$B$10*G103^Parameters!$B$9 + Parameters!$B$11*S103^Parameters!$B$9) ^ (Parameters!$B$7/Parameters!$B$9) * N103</f>
        <v>1.4581116866901549</v>
      </c>
      <c r="U103" s="7">
        <f t="shared" si="35"/>
        <v>1.1076861208955089</v>
      </c>
      <c r="V103" s="7">
        <f>EXP(-Parameters!$B$55*A103)</f>
        <v>0.22427103071228871</v>
      </c>
      <c r="W103" s="7">
        <f>IF(U103&gt;0,U103^(1-Parameters!$B$52)/(1-Parameters!$B$52)*V103,-10+U103*1000)</f>
        <v>-0.6182431094866796</v>
      </c>
      <c r="X103" s="7"/>
      <c r="Y103" s="7"/>
      <c r="Z103" s="7"/>
      <c r="AA103" s="7"/>
    </row>
    <row r="104" spans="1:27" x14ac:dyDescent="0.3">
      <c r="A104">
        <f>A103+Parameters!$B$65</f>
        <v>100</v>
      </c>
      <c r="B104" s="9">
        <f t="shared" ref="B104:B105" si="45">B103</f>
        <v>5.5238794691412761E-2</v>
      </c>
      <c r="C104" s="9">
        <f t="shared" ref="C104:D104" si="46">C103</f>
        <v>2.532692781448906E-3</v>
      </c>
      <c r="D104" s="7">
        <f t="shared" si="46"/>
        <v>0.29265407832178425</v>
      </c>
      <c r="E104" s="7">
        <f>MAX((1-Parameters!$B$4)^Parameters!B$65*E103+B103*Parameters!B$65-Parameters!$B$5*B103^2/E103*Parameters!B$65,0.0001)</f>
        <v>0.81770904594689675</v>
      </c>
      <c r="F104" s="9">
        <f>(1-Parameters!$B$4)^Parameters!B$65*F103+C103*Parameters!B$65-Parameters!$B$5*C103^2/F103*Parameters!B$65</f>
        <v>4.2697588497843789E-2</v>
      </c>
      <c r="G104" s="7">
        <f>(1-Parameters!$B$4)^Parameters!B$65*G103+D103*Parameters!B$65-Parameters!$B$5*D103^2/G103*Parameters!B$65</f>
        <v>4.3416121750263565</v>
      </c>
      <c r="H104" s="7">
        <f>H103 *(1-Parameters!$B$4)-B103*(B103&lt;0)*Parameters!B$65</f>
        <v>0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23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171.49390706765647</v>
      </c>
      <c r="L104" s="8">
        <f>L103+K104*Parameters!B$65</f>
        <v>12260.823974665009</v>
      </c>
      <c r="M104" s="7">
        <f>M103+Parameters!$B$45*K104</f>
        <v>7.3564943847990021</v>
      </c>
      <c r="N104" s="7">
        <f>'6states'!O104</f>
        <v>0.9537852148581013</v>
      </c>
      <c r="O104" s="7">
        <f>MAX(O103+(Parameters!B$31-K104)*Parameters!B$65,30)</f>
        <v>30</v>
      </c>
      <c r="P104" s="7">
        <f>Parameters!B$61*EXP(-Parameters!B$60*A104)+(1-Parameters!B$61)*(O104/Parameters!B$62)^-Parameters!B$63</f>
        <v>0.55980764594433752</v>
      </c>
      <c r="Q104" s="9">
        <f>1-P104/Parameters!$B$12</f>
        <v>0.72009617702783124</v>
      </c>
      <c r="R104" s="23">
        <f t="shared" si="34"/>
        <v>3.572655740752178</v>
      </c>
      <c r="S104" s="7">
        <f>(Parameters!$B$19*(E104+Parameters!$B$20)^Q104+Parameters!$B$18*F104^Q104)^(1/Q104)</f>
        <v>0.53679571259643699</v>
      </c>
      <c r="T104" s="7">
        <f>(Parameters!$B$10*G104^Parameters!$B$9 + Parameters!$B$11*S104^Parameters!$B$9) ^ (Parameters!$B$7/Parameters!$B$9) * N104</f>
        <v>1.4579632346024101</v>
      </c>
      <c r="U104" s="7">
        <f t="shared" si="35"/>
        <v>1.1075376688077641</v>
      </c>
      <c r="V104" s="7">
        <f>EXP(-Parameters!$B$55*A104)</f>
        <v>0.22090997795937814</v>
      </c>
      <c r="W104" s="7">
        <f>IF(U104&gt;0,U104^(1-Parameters!$B$52)/(1-Parameters!$B$52)*V104,-10+U104*1000)</f>
        <v>-0.60900633581423091</v>
      </c>
      <c r="X104" s="7"/>
      <c r="Y104" s="7"/>
      <c r="Z104" s="7"/>
      <c r="AA104" s="7"/>
    </row>
    <row r="105" spans="1:27" x14ac:dyDescent="0.3">
      <c r="A105">
        <f>A104+Parameters!$B$65</f>
        <v>101</v>
      </c>
      <c r="B105" s="9">
        <f t="shared" si="45"/>
        <v>5.5238794691412761E-2</v>
      </c>
      <c r="C105" s="9">
        <f>C104</f>
        <v>2.532692781448906E-3</v>
      </c>
      <c r="D105" s="7">
        <f>D104</f>
        <v>0.29265407832178425</v>
      </c>
      <c r="E105" s="7">
        <f>MAX((1-Parameters!$B$4)^Parameters!B$65*E104+B104*Parameters!B$65-Parameters!$B$5*B104^2/E104*Parameters!B$65,0.0001)</f>
        <v>0.81778238889842458</v>
      </c>
      <c r="F105" s="9">
        <f>(1-Parameters!$B$4)^Parameters!B$65*F104+C104*Parameters!B$65-Parameters!$B$5*C104^2/F104*Parameters!B$65</f>
        <v>4.2394371229538229E-2</v>
      </c>
      <c r="G105" s="7">
        <f>(1-Parameters!$B$4)^Parameters!B$65*G104+D104*Parameters!B$65-Parameters!$B$5*D104^2/G104*Parameters!B$65</f>
        <v>4.3414519797061022</v>
      </c>
      <c r="H105" s="7">
        <f>H104 *(1-Parameters!$B$4)-B104*(B104&lt;0)*Parameters!B$65</f>
        <v>0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23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173.66285639384856</v>
      </c>
      <c r="L105" s="8">
        <f>L104+K105*Parameters!B$65</f>
        <v>12434.486831058857</v>
      </c>
      <c r="M105" s="7">
        <f>M104+Parameters!$B$45*K105</f>
        <v>7.4606920986353114</v>
      </c>
      <c r="N105" s="7">
        <f>'6states'!O105</f>
        <v>0.95370320358919347</v>
      </c>
      <c r="O105" s="7">
        <f>MAX(O104+(Parameters!B$31-K105)*Parameters!B$65,30)</f>
        <v>30</v>
      </c>
      <c r="P105" s="7">
        <f>Parameters!B$61*EXP(-Parameters!B$60*A105)+(1-Parameters!B$61)*(O105/Parameters!B$62)^-Parameters!B$63</f>
        <v>0.55891251023328392</v>
      </c>
      <c r="Q105" s="9">
        <f>1-P105/Parameters!$B$12</f>
        <v>0.72054374488335804</v>
      </c>
      <c r="R105" s="23">
        <f t="shared" si="34"/>
        <v>3.5783775875140496</v>
      </c>
      <c r="S105" s="7">
        <f>(Parameters!$B$19*(E105+Parameters!$B$20)^Q105+Parameters!$B$18*F105^Q105)^(1/Q105)</f>
        <v>0.53674976744581193</v>
      </c>
      <c r="T105" s="7">
        <f>(Parameters!$B$10*G105^Parameters!$B$9 + Parameters!$B$11*S105^Parameters!$B$9) ^ (Parameters!$B$7/Parameters!$B$9) * N105</f>
        <v>1.4578176146093551</v>
      </c>
      <c r="U105" s="7">
        <f t="shared" si="35"/>
        <v>1.1073920488147091</v>
      </c>
      <c r="V105" s="7">
        <f>EXP(-Parameters!$B$55*A105)</f>
        <v>0.21759929584761534</v>
      </c>
      <c r="W105" s="7">
        <f>IF(U105&gt;0,U105^(1-Parameters!$B$52)/(1-Parameters!$B$52)*V105,-10+U105*1000)</f>
        <v>-0.5999070296425566</v>
      </c>
      <c r="X105" s="7"/>
      <c r="Y105" s="7"/>
      <c r="Z105" s="7"/>
      <c r="AA105" s="7"/>
    </row>
    <row r="106" spans="1:27" x14ac:dyDescent="0.3">
      <c r="A106">
        <f>A105+Parameters!$B$65</f>
        <v>102</v>
      </c>
      <c r="B106" s="9">
        <f t="shared" ref="B106:D121" si="47">B105</f>
        <v>5.5238794691412761E-2</v>
      </c>
      <c r="C106" s="9">
        <f t="shared" si="47"/>
        <v>2.532692781448906E-3</v>
      </c>
      <c r="D106" s="7">
        <f t="shared" si="47"/>
        <v>0.29265407832178425</v>
      </c>
      <c r="E106" s="7">
        <f>MAX((1-Parameters!$B$4)^Parameters!B$65*E105+B105*Parameters!B$65-Parameters!$B$5*B105^2/E105*Parameters!B$65,0.0001)</f>
        <v>0.81785145324323927</v>
      </c>
      <c r="F106" s="9">
        <f>(1-Parameters!$B$4)^Parameters!B$65*F105+C105*Parameters!B$65-Parameters!$B$5*C105^2/F105*Parameters!B$65</f>
        <v>4.2109151824958772E-2</v>
      </c>
      <c r="G106" s="7">
        <f>(1-Parameters!$B$4)^Parameters!B$65*G105+D105*Parameters!B$65-Parameters!$B$5*D105^2/G105*Parameters!B$65</f>
        <v>4.3413011327694147</v>
      </c>
      <c r="H106" s="7">
        <f>H105 *(1-Parameters!$B$4)-B105*(B105&lt;0)*Parameters!B$65</f>
        <v>0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23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175.85996423911894</v>
      </c>
      <c r="L106" s="8">
        <f>L105+K106*Parameters!B$65</f>
        <v>12610.346795297975</v>
      </c>
      <c r="M106" s="7">
        <f>M105+Parameters!$B$45*K106</f>
        <v>7.566208077178783</v>
      </c>
      <c r="N106" s="7">
        <f>'6states'!O106</f>
        <v>0.95362185425031176</v>
      </c>
      <c r="O106" s="7">
        <f>MAX(O105+(Parameters!B$31-K106)*Parameters!B$65,30)</f>
        <v>30</v>
      </c>
      <c r="P106" s="7">
        <f>Parameters!B$61*EXP(-Parameters!B$60*A106)+(1-Parameters!B$61)*(O106/Parameters!B$62)^-Parameters!B$63</f>
        <v>0.55804121982623989</v>
      </c>
      <c r="Q106" s="9">
        <f>1-P106/Parameters!$B$12</f>
        <v>0.72097939008688006</v>
      </c>
      <c r="R106" s="23">
        <f t="shared" si="34"/>
        <v>3.5839646408606698</v>
      </c>
      <c r="S106" s="7">
        <f>(Parameters!$B$19*(E106+Parameters!$B$20)^Q106+Parameters!$B$18*F106^Q106)^(1/Q106)</f>
        <v>0.53670976608380905</v>
      </c>
      <c r="T106" s="7">
        <f>(Parameters!$B$10*G106^Parameters!$B$9 + Parameters!$B$11*S106^Parameters!$B$9) ^ (Parameters!$B$7/Parameters!$B$9) * N106</f>
        <v>1.4576747048861798</v>
      </c>
      <c r="U106" s="7">
        <f t="shared" si="35"/>
        <v>1.1072491390915338</v>
      </c>
      <c r="V106" s="7">
        <f>EXP(-Parameters!$B$55*A106)</f>
        <v>0.2143382294940287</v>
      </c>
      <c r="W106" s="7">
        <f>IF(U106&gt;0,U106^(1-Parameters!$B$52)/(1-Parameters!$B$52)*V106,-10+U106*1000)</f>
        <v>-0.5909431756407113</v>
      </c>
      <c r="X106" s="7"/>
      <c r="Y106" s="7"/>
      <c r="Z106" s="7"/>
      <c r="AA106" s="7"/>
    </row>
    <row r="107" spans="1:27" x14ac:dyDescent="0.3">
      <c r="A107">
        <f>A106+Parameters!$B$65</f>
        <v>103</v>
      </c>
      <c r="B107" s="9">
        <f t="shared" si="47"/>
        <v>5.5238794691412761E-2</v>
      </c>
      <c r="C107" s="9">
        <f t="shared" si="47"/>
        <v>2.532692781448906E-3</v>
      </c>
      <c r="D107" s="7">
        <f t="shared" si="47"/>
        <v>0.29265407832178425</v>
      </c>
      <c r="E107" s="7">
        <f>MAX((1-Parameters!$B$4)^Parameters!B$65*E106+B106*Parameters!B$65-Parameters!$B$5*B106^2/E106*Parameters!B$65,0.0001)</f>
        <v>0.81791648852748589</v>
      </c>
      <c r="F107" s="9">
        <f>(1-Parameters!$B$4)^Parameters!B$65*F106+C106*Parameters!B$65-Parameters!$B$5*C106^2/F106*Parameters!B$65</f>
        <v>4.1840847873059799E-2</v>
      </c>
      <c r="G107" s="7">
        <f>(1-Parameters!$B$4)^Parameters!B$65*G106+D106*Parameters!B$65-Parameters!$B$5*D106^2/G106*Parameters!B$65</f>
        <v>4.3411590886314295</v>
      </c>
      <c r="H107" s="7">
        <f>H106 *(1-Parameters!$B$4)-B106*(B106&lt;0)*Parameters!B$65</f>
        <v>0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23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178.08562325708158</v>
      </c>
      <c r="L107" s="8">
        <f>L106+K107*Parameters!B$65</f>
        <v>12788.432418555058</v>
      </c>
      <c r="M107" s="7">
        <f>M106+Parameters!$B$45*K107</f>
        <v>7.6730594511330317</v>
      </c>
      <c r="N107" s="7">
        <f>'6states'!O107</f>
        <v>0.95354122024238286</v>
      </c>
      <c r="O107" s="7">
        <f>MAX(O106+(Parameters!B$31-K107)*Parameters!B$65,30)</f>
        <v>30</v>
      </c>
      <c r="P107" s="7">
        <f>Parameters!B$61*EXP(-Parameters!B$60*A107)+(1-Parameters!B$61)*(O107/Parameters!B$62)^-Parameters!B$63</f>
        <v>0.55719313951391136</v>
      </c>
      <c r="Q107" s="9">
        <f>1-P107/Parameters!$B$12</f>
        <v>0.72140343024304432</v>
      </c>
      <c r="R107" s="23">
        <f t="shared" si="34"/>
        <v>3.5894196431506247</v>
      </c>
      <c r="S107" s="7">
        <f>(Parameters!$B$19*(E107+Parameters!$B$20)^Q107+Parameters!$B$18*F107^Q107)^(1/Q107)</f>
        <v>0.53667527173235241</v>
      </c>
      <c r="T107" s="7">
        <f>(Parameters!$B$10*G107^Parameters!$B$9 + Parameters!$B$11*S107^Parameters!$B$9) ^ (Parameters!$B$7/Parameters!$B$9) * N107</f>
        <v>1.4575344739236844</v>
      </c>
      <c r="U107" s="7">
        <f t="shared" si="35"/>
        <v>1.1071089081290384</v>
      </c>
      <c r="V107" s="7">
        <f>EXP(-Parameters!$B$55*A107)</f>
        <v>0.21112603532875074</v>
      </c>
      <c r="W107" s="7">
        <f>IF(U107&gt;0,U107^(1-Parameters!$B$52)/(1-Parameters!$B$52)*V107,-10+U107*1000)</f>
        <v>-0.58211277061548838</v>
      </c>
      <c r="X107" s="7"/>
      <c r="Y107" s="7"/>
      <c r="Z107" s="7"/>
      <c r="AA107" s="7"/>
    </row>
    <row r="108" spans="1:27" x14ac:dyDescent="0.3">
      <c r="A108">
        <f>A107+Parameters!$B$65</f>
        <v>104</v>
      </c>
      <c r="B108" s="9">
        <f t="shared" si="47"/>
        <v>5.5238794691412761E-2</v>
      </c>
      <c r="C108" s="9">
        <f t="shared" si="47"/>
        <v>2.532692781448906E-3</v>
      </c>
      <c r="D108" s="7">
        <f t="shared" si="47"/>
        <v>0.29265407832178425</v>
      </c>
      <c r="E108" s="7">
        <f>MAX((1-Parameters!$B$4)^Parameters!B$65*E107+B107*Parameters!B$65-Parameters!$B$5*B107^2/E107*Parameters!B$65,0.0001)</f>
        <v>0.81797772974896854</v>
      </c>
      <c r="F108" s="9">
        <f>(1-Parameters!$B$4)^Parameters!B$65*F107+C107*Parameters!B$65-Parameters!$B$5*C107^2/F107*Parameters!B$65</f>
        <v>4.1588443418428024E-2</v>
      </c>
      <c r="G108" s="7">
        <f>(1-Parameters!$B$4)^Parameters!B$65*G107+D107*Parameters!B$65-Parameters!$B$5*D107^2/G107*Parameters!B$65</f>
        <v>4.3410253335539428</v>
      </c>
      <c r="H108" s="7">
        <f>H107 *(1-Parameters!$B$4)-B107*(B107&lt;0)*Parameters!B$65</f>
        <v>0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23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180.34022965183703</v>
      </c>
      <c r="L108" s="8">
        <f>L107+K108*Parameters!B$65</f>
        <v>12968.772648206894</v>
      </c>
      <c r="M108" s="7">
        <f>M107+Parameters!$B$45*K108</f>
        <v>7.7812635889241335</v>
      </c>
      <c r="N108" s="7">
        <f>'6states'!O108</f>
        <v>0.95346129777692001</v>
      </c>
      <c r="O108" s="7">
        <f>MAX(O107+(Parameters!B$31-K108)*Parameters!B$65,30)</f>
        <v>30</v>
      </c>
      <c r="P108" s="7">
        <f>Parameters!B$61*EXP(-Parameters!B$60*A108)+(1-Parameters!B$61)*(O108/Parameters!B$62)^-Parameters!B$63</f>
        <v>0.55636765100819097</v>
      </c>
      <c r="Q108" s="9">
        <f>1-P108/Parameters!$B$12</f>
        <v>0.72181617449590452</v>
      </c>
      <c r="R108" s="23">
        <f t="shared" si="34"/>
        <v>3.5947453026354252</v>
      </c>
      <c r="S108" s="7">
        <f>(Parameters!$B$19*(E108+Parameters!$B$20)^Q108+Parameters!$B$18*F108^Q108)^(1/Q108)</f>
        <v>0.53664587524844587</v>
      </c>
      <c r="T108" s="7">
        <f>(Parameters!$B$10*G108^Parameters!$B$9 + Parameters!$B$11*S108^Parameters!$B$9) ^ (Parameters!$B$7/Parameters!$B$9) * N108</f>
        <v>1.4573968096540155</v>
      </c>
      <c r="U108" s="7">
        <f t="shared" si="35"/>
        <v>1.1069712438593697</v>
      </c>
      <c r="V108" s="7">
        <f>EXP(-Parameters!$B$55*A108)</f>
        <v>0.20796198092547327</v>
      </c>
      <c r="W108" s="7">
        <f>IF(U108&gt;0,U108^(1-Parameters!$B$52)/(1-Parameters!$B$52)*V108,-10+U108*1000)</f>
        <v>-0.57341385532873157</v>
      </c>
      <c r="X108" s="7"/>
      <c r="Y108" s="7"/>
      <c r="Z108" s="7"/>
      <c r="AA108" s="7"/>
    </row>
    <row r="109" spans="1:27" x14ac:dyDescent="0.3">
      <c r="A109">
        <f>A108+Parameters!$B$65</f>
        <v>105</v>
      </c>
      <c r="B109" s="9">
        <f t="shared" si="47"/>
        <v>5.5238794691412761E-2</v>
      </c>
      <c r="C109" s="9">
        <f t="shared" si="47"/>
        <v>2.532692781448906E-3</v>
      </c>
      <c r="D109" s="7">
        <f t="shared" si="47"/>
        <v>0.29265407832178425</v>
      </c>
      <c r="E109" s="7">
        <f>MAX((1-Parameters!$B$4)^Parameters!B$65*E108+B108*Parameters!B$65-Parameters!$B$5*B108^2/E108*Parameters!B$65,0.0001)</f>
        <v>0.8180353982045997</v>
      </c>
      <c r="F109" s="9">
        <f>(1-Parameters!$B$4)^Parameters!B$65*F108+C108*Parameters!B$65-Parameters!$B$5*C108^2/F108*Parameters!B$65</f>
        <v>4.1350984762866701E-2</v>
      </c>
      <c r="G109" s="7">
        <f>(1-Parameters!$B$4)^Parameters!B$65*G108+D108*Parameters!B$65-Parameters!$B$5*D108^2/G108*Parameters!B$65</f>
        <v>4.3408993837858443</v>
      </c>
      <c r="H109" s="7">
        <f>H108 *(1-Parameters!$B$4)-B108*(B108&lt;0)*Parameters!B$65</f>
        <v>0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23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182.62418330048715</v>
      </c>
      <c r="L109" s="8">
        <f>L108+K109*Parameters!B$65</f>
        <v>13151.396831507382</v>
      </c>
      <c r="M109" s="7">
        <f>M108+Parameters!$B$45*K109</f>
        <v>7.8908380989044256</v>
      </c>
      <c r="N109" s="7">
        <f>'6states'!O109</f>
        <v>0.95338212725139815</v>
      </c>
      <c r="O109" s="7">
        <f>MAX(O108+(Parameters!B$31-K109)*Parameters!B$65,30)</f>
        <v>30</v>
      </c>
      <c r="P109" s="7">
        <f>Parameters!B$61*EXP(-Parameters!B$60*A109)+(1-Parameters!B$61)*(O109/Parameters!B$62)^-Parameters!B$63</f>
        <v>0.55556415249139879</v>
      </c>
      <c r="Q109" s="9">
        <f>1-P109/Parameters!$B$12</f>
        <v>0.72221792375430061</v>
      </c>
      <c r="R109" s="23">
        <f t="shared" si="34"/>
        <v>3.5999442927177774</v>
      </c>
      <c r="S109" s="7">
        <f>(Parameters!$B$19*(E109+Parameters!$B$20)^Q109+Parameters!$B$18*F109^Q109)^(1/Q109)</f>
        <v>0.53662119353192983</v>
      </c>
      <c r="T109" s="7">
        <f>(Parameters!$B$10*G109^Parameters!$B$9 + Parameters!$B$11*S109^Parameters!$B$9) ^ (Parameters!$B$7/Parameters!$B$9) * N109</f>
        <v>1.4572616740273276</v>
      </c>
      <c r="U109" s="7">
        <f t="shared" si="35"/>
        <v>1.1068361082326819</v>
      </c>
      <c r="V109" s="7">
        <f>EXP(-Parameters!$B$55*A109)</f>
        <v>0.2048453448344438</v>
      </c>
      <c r="W109" s="7">
        <f>IF(U109&gt;0,U109^(1-Parameters!$B$52)/(1-Parameters!$B$52)*V109,-10+U109*1000)</f>
        <v>-0.56484448538040355</v>
      </c>
      <c r="X109" s="7"/>
      <c r="Y109" s="7"/>
      <c r="Z109" s="7"/>
      <c r="AA109" s="7"/>
    </row>
    <row r="110" spans="1:27" x14ac:dyDescent="0.3">
      <c r="A110">
        <f>A109+Parameters!$B$65</f>
        <v>106</v>
      </c>
      <c r="B110" s="9">
        <f t="shared" si="47"/>
        <v>5.5238794691412761E-2</v>
      </c>
      <c r="C110" s="9">
        <f t="shared" si="47"/>
        <v>2.532692781448906E-3</v>
      </c>
      <c r="D110" s="7">
        <f t="shared" si="47"/>
        <v>0.29265407832178425</v>
      </c>
      <c r="E110" s="7">
        <f>MAX((1-Parameters!$B$4)^Parameters!B$65*E109+B109*Parameters!B$65-Parameters!$B$5*B109^2/E109*Parameters!B$65,0.0001)</f>
        <v>0.81808970228856503</v>
      </c>
      <c r="F110" s="9">
        <f>(1-Parameters!$B$4)^Parameters!B$65*F109+C109*Parameters!B$65-Parameters!$B$5*C109^2/F109*Parameters!B$65</f>
        <v>4.1127576540704994E-2</v>
      </c>
      <c r="G110" s="7">
        <f>(1-Parameters!$B$4)^Parameters!B$65*G109+D109*Parameters!B$65-Parameters!$B$5*D109^2/G109*Parameters!B$65</f>
        <v>4.3407807838122014</v>
      </c>
      <c r="H110" s="7">
        <f>H109 *(1-Parameters!$B$4)-B109*(B109&lt;0)*Parameters!B$65</f>
        <v>0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23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184.9378878735337</v>
      </c>
      <c r="L110" s="8">
        <f>L109+K110*Parameters!B$65</f>
        <v>13336.334719380915</v>
      </c>
      <c r="M110" s="7">
        <f>M109+Parameters!$B$45*K110</f>
        <v>8.0018008316285449</v>
      </c>
      <c r="N110" s="7">
        <f>'6states'!O110</f>
        <v>0.95330360121055757</v>
      </c>
      <c r="O110" s="7">
        <f>MAX(O109+(Parameters!B$31-K110)*Parameters!B$65,30)</f>
        <v>30</v>
      </c>
      <c r="P110" s="7">
        <f>Parameters!B$61*EXP(-Parameters!B$60*A110)+(1-Parameters!B$61)*(O110/Parameters!B$62)^-Parameters!B$63</f>
        <v>0.55478205817753101</v>
      </c>
      <c r="Q110" s="9">
        <f>1-P110/Parameters!$B$12</f>
        <v>0.72260897091123444</v>
      </c>
      <c r="R110" s="23">
        <f t="shared" si="34"/>
        <v>3.6050192512894799</v>
      </c>
      <c r="S110" s="7">
        <f>(Parameters!$B$19*(E110+Parameters!$B$20)^Q110+Parameters!$B$18*F110^Q110)^(1/Q110)</f>
        <v>0.53660086801298035</v>
      </c>
      <c r="T110" s="7">
        <f>(Parameters!$B$10*G110^Parameters!$B$9 + Parameters!$B$11*S110^Parameters!$B$9) ^ (Parameters!$B$7/Parameters!$B$9) * N110</f>
        <v>1.4571288091124057</v>
      </c>
      <c r="U110" s="7">
        <f t="shared" si="35"/>
        <v>1.1067032433177597</v>
      </c>
      <c r="V110" s="7">
        <f>EXP(-Parameters!$B$55*A110)</f>
        <v>0.20177541641796462</v>
      </c>
      <c r="W110" s="7">
        <f>IF(U110&gt;0,U110^(1-Parameters!$B$52)/(1-Parameters!$B$52)*V110,-10+U110*1000)</f>
        <v>-0.55640278351749228</v>
      </c>
      <c r="X110" s="7"/>
      <c r="Y110" s="7"/>
      <c r="Z110" s="7"/>
      <c r="AA110" s="7"/>
    </row>
    <row r="111" spans="1:27" x14ac:dyDescent="0.3">
      <c r="A111">
        <f>A110+Parameters!$B$65</f>
        <v>107</v>
      </c>
      <c r="B111" s="9">
        <f t="shared" si="47"/>
        <v>5.5238794691412761E-2</v>
      </c>
      <c r="C111" s="9">
        <f t="shared" si="47"/>
        <v>2.532692781448906E-3</v>
      </c>
      <c r="D111" s="7">
        <f t="shared" si="47"/>
        <v>0.29265407832178425</v>
      </c>
      <c r="E111" s="7">
        <f>MAX((1-Parameters!$B$4)^Parameters!B$65*E110+B110*Parameters!B$65-Parameters!$B$5*B110^2/E110*Parameters!B$65,0.0001)</f>
        <v>0.81814083824406203</v>
      </c>
      <c r="F111" s="9">
        <f>(1-Parameters!$B$4)^Parameters!B$65*F110+C110*Parameters!B$65-Parameters!$B$5*C110^2/F110*Parameters!B$65</f>
        <v>4.0917378049643099E-2</v>
      </c>
      <c r="G111" s="7">
        <f>(1-Parameters!$B$4)^Parameters!B$65*G110+D110*Parameters!B$65-Parameters!$B$5*D110^2/G110*Parameters!B$65</f>
        <v>4.340669104705638</v>
      </c>
      <c r="H111" s="7">
        <f>H110 *(1-Parameters!$B$4)-B110*(B110&lt;0)*Parameters!B$65</f>
        <v>0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23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187.28175095331531</v>
      </c>
      <c r="L111" s="8">
        <f>L110+K111*Parameters!B$65</f>
        <v>13523.616470334231</v>
      </c>
      <c r="M111" s="7">
        <f>M110+Parameters!$B$45*K111</f>
        <v>8.1141698822005335</v>
      </c>
      <c r="N111" s="7">
        <f>'6states'!O111</f>
        <v>0.95322544905815465</v>
      </c>
      <c r="O111" s="7">
        <f>MAX(O110+(Parameters!B$31-K111)*Parameters!B$65,30)</f>
        <v>30</v>
      </c>
      <c r="P111" s="7">
        <f>Parameters!B$61*EXP(-Parameters!B$60*A111)+(1-Parameters!B$61)*(O111/Parameters!B$62)^-Parameters!B$63</f>
        <v>0.55402079788519565</v>
      </c>
      <c r="Q111" s="9">
        <f>1-P111/Parameters!$B$12</f>
        <v>0.72298960105740218</v>
      </c>
      <c r="R111" s="23">
        <f t="shared" si="34"/>
        <v>3.6099727801454136</v>
      </c>
      <c r="S111" s="7">
        <f>(Parameters!$B$19*(E111+Parameters!$B$20)^Q111+Parameters!$B$18*F111^Q111)^(1/Q111)</f>
        <v>0.53658456321670356</v>
      </c>
      <c r="T111" s="7">
        <f>(Parameters!$B$10*G111^Parameters!$B$9 + Parameters!$B$11*S111^Parameters!$B$9) ^ (Parameters!$B$7/Parameters!$B$9) * N111</f>
        <v>1.4569977133915473</v>
      </c>
      <c r="U111" s="7">
        <f t="shared" si="35"/>
        <v>1.1065721475969013</v>
      </c>
      <c r="V111" s="7">
        <f>EXP(-Parameters!$B$55*A111)</f>
        <v>0.19875149568835732</v>
      </c>
      <c r="W111" s="7">
        <f>IF(U111&gt;0,U111^(1-Parameters!$B$52)/(1-Parameters!$B$52)*V111,-10+U111*1000)</f>
        <v>-0.54808694046374506</v>
      </c>
      <c r="X111" s="7"/>
      <c r="Y111" s="7"/>
      <c r="Z111" s="7"/>
      <c r="AA111" s="7"/>
    </row>
    <row r="112" spans="1:27" x14ac:dyDescent="0.3">
      <c r="A112">
        <f>A111+Parameters!$B$65</f>
        <v>108</v>
      </c>
      <c r="B112" s="9">
        <f t="shared" si="47"/>
        <v>5.5238794691412761E-2</v>
      </c>
      <c r="C112" s="9">
        <f t="shared" si="47"/>
        <v>2.532692781448906E-3</v>
      </c>
      <c r="D112" s="7">
        <f t="shared" si="47"/>
        <v>0.29265407832178425</v>
      </c>
      <c r="E112" s="7">
        <f>MAX((1-Parameters!$B$4)^Parameters!B$65*E111+B111*Parameters!B$65-Parameters!$B$5*B111^2/E111*Parameters!B$65,0.0001)</f>
        <v>0.81818899087130281</v>
      </c>
      <c r="F112" s="9">
        <f>(1-Parameters!$B$4)^Parameters!B$65*F111+C111*Parameters!B$65-Parameters!$B$5*C111^2/F111*Parameters!B$65</f>
        <v>4.071959982012386E-2</v>
      </c>
      <c r="G112" s="7">
        <f>(1-Parameters!$B$4)^Parameters!B$65*G111+D111*Parameters!B$65-Parameters!$B$5*D111^2/G111*Parameters!B$65</f>
        <v>4.3405639425740326</v>
      </c>
      <c r="H112" s="7">
        <f>H111 *(1-Parameters!$B$4)-B111*(B111&lt;0)*Parameters!B$65</f>
        <v>0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23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189.65618415062693</v>
      </c>
      <c r="L112" s="8">
        <f>L111+K112*Parameters!B$65</f>
        <v>13713.272654484857</v>
      </c>
      <c r="M112" s="7">
        <f>M111+Parameters!$B$45*K112</f>
        <v>8.2279635926909105</v>
      </c>
      <c r="N112" s="7">
        <f>'6states'!O112</f>
        <v>0.95314733844491484</v>
      </c>
      <c r="O112" s="7">
        <f>MAX(O111+(Parameters!B$31-K112)*Parameters!B$65,30)</f>
        <v>30</v>
      </c>
      <c r="P112" s="7">
        <f>Parameters!B$61*EXP(-Parameters!B$60*A112)+(1-Parameters!B$61)*(O112/Parameters!B$62)^-Parameters!B$63</f>
        <v>0.55327981662192482</v>
      </c>
      <c r="Q112" s="9">
        <f>1-P112/Parameters!$B$12</f>
        <v>0.72336009168903759</v>
      </c>
      <c r="R112" s="23">
        <f t="shared" si="34"/>
        <v>3.6148074444701259</v>
      </c>
      <c r="S112" s="7">
        <f>(Parameters!$B$19*(E112+Parameters!$B$20)^Q112+Parameters!$B$18*F112^Q112)^(1/Q112)</f>
        <v>0.53657196540209495</v>
      </c>
      <c r="T112" s="7">
        <f>(Parameters!$B$10*G112^Parameters!$B$9 + Parameters!$B$11*S112^Parameters!$B$9) ^ (Parameters!$B$7/Parameters!$B$9) * N112</f>
        <v>1.4568677964083216</v>
      </c>
      <c r="U112" s="7">
        <f t="shared" si="35"/>
        <v>1.1064422306136756</v>
      </c>
      <c r="V112" s="7">
        <f>EXP(-Parameters!$B$55*A112)</f>
        <v>0.19577289314835553</v>
      </c>
      <c r="W112" s="7">
        <f>IF(U112&gt;0,U112^(1-Parameters!$B$52)/(1-Parameters!$B$52)*V112,-10+U112*1000)</f>
        <v>-0.53989518505608036</v>
      </c>
      <c r="X112" s="7"/>
      <c r="Y112" s="7"/>
      <c r="Z112" s="7"/>
      <c r="AA112" s="7"/>
    </row>
    <row r="113" spans="1:27" x14ac:dyDescent="0.3">
      <c r="A113">
        <f>A112+Parameters!$B$65</f>
        <v>109</v>
      </c>
      <c r="B113" s="9">
        <f t="shared" si="47"/>
        <v>5.5238794691412761E-2</v>
      </c>
      <c r="C113" s="9">
        <f t="shared" si="47"/>
        <v>2.532692781448906E-3</v>
      </c>
      <c r="D113" s="7">
        <f t="shared" si="47"/>
        <v>0.29265407832178425</v>
      </c>
      <c r="E113" s="7">
        <f>MAX((1-Parameters!$B$4)^Parameters!B$65*E112+B112*Parameters!B$65-Parameters!$B$5*B112^2/E112*Parameters!B$65,0.0001)</f>
        <v>0.81823433419432146</v>
      </c>
      <c r="F113" s="9">
        <f>(1-Parameters!$B$4)^Parameters!B$65*F112+C112*Parameters!B$65-Parameters!$B$5*C112^2/F112*Parameters!B$65</f>
        <v>4.0533500407334784E-2</v>
      </c>
      <c r="G113" s="7">
        <f>(1-Parameters!$B$4)^Parameters!B$65*G112+D112*Parameters!B$65-Parameters!$B$5*D112^2/G112*Parameters!B$65</f>
        <v>4.3404649170988918</v>
      </c>
      <c r="H113" s="7">
        <f>H112 *(1-Parameters!$B$4)-B112*(B112&lt;0)*Parameters!B$65</f>
        <v>0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23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192.06160321966624</v>
      </c>
      <c r="L113" s="8">
        <f>L112+K113*Parameters!B$65</f>
        <v>13905.334257704524</v>
      </c>
      <c r="M113" s="7">
        <f>M112+Parameters!$B$45*K113</f>
        <v>8.3432005546227099</v>
      </c>
      <c r="N113" s="7">
        <f>'6states'!O113</f>
        <v>0.95306885290958787</v>
      </c>
      <c r="O113" s="7">
        <f>MAX(O112+(Parameters!B$31-K113)*Parameters!B$65,30)</f>
        <v>30</v>
      </c>
      <c r="P113" s="7">
        <f>Parameters!B$61*EXP(-Parameters!B$60*A113)+(1-Parameters!B$61)*(O113/Parameters!B$62)^-Parameters!B$63</f>
        <v>0.55255857417956122</v>
      </c>
      <c r="Q113" s="9">
        <f>1-P113/Parameters!$B$12</f>
        <v>0.72372071291021944</v>
      </c>
      <c r="R113" s="23">
        <f t="shared" si="34"/>
        <v>3.619525772393632</v>
      </c>
      <c r="S113" s="7">
        <f>(Parameters!$B$19*(E113+Parameters!$B$20)^Q113+Parameters!$B$18*F113^Q113)^(1/Q113)</f>
        <v>0.53656278127257861</v>
      </c>
      <c r="T113" s="7">
        <f>(Parameters!$B$10*G113^Parameters!$B$9 + Parameters!$B$11*S113^Parameters!$B$9) ^ (Parameters!$B$7/Parameters!$B$9) * N113</f>
        <v>1.4567383442798036</v>
      </c>
      <c r="U113" s="7">
        <f t="shared" si="35"/>
        <v>1.1063127784851576</v>
      </c>
      <c r="V113" s="7">
        <f>EXP(-Parameters!$B$55*A113)</f>
        <v>0.19283892963388949</v>
      </c>
      <c r="W113" s="7">
        <f>IF(U113&gt;0,U113^(1-Parameters!$B$52)/(1-Parameters!$B$52)*V113,-10+U113*1000)</f>
        <v>-0.53182578869578401</v>
      </c>
      <c r="X113" s="7"/>
      <c r="Y113" s="7"/>
      <c r="Z113" s="7"/>
      <c r="AA113" s="7"/>
    </row>
    <row r="114" spans="1:27" x14ac:dyDescent="0.3">
      <c r="A114">
        <f>A113+Parameters!$B$65</f>
        <v>110</v>
      </c>
      <c r="B114" s="9">
        <f t="shared" si="47"/>
        <v>5.5238794691412761E-2</v>
      </c>
      <c r="C114" s="9">
        <f t="shared" si="47"/>
        <v>2.532692781448906E-3</v>
      </c>
      <c r="D114" s="7">
        <f t="shared" si="47"/>
        <v>0.29265407832178425</v>
      </c>
      <c r="E114" s="7">
        <f>MAX((1-Parameters!$B$4)^Parameters!B$65*E113+B113*Parameters!B$65-Parameters!$B$5*B113^2/E113*Parameters!B$65,0.0001)</f>
        <v>0.81827703208897284</v>
      </c>
      <c r="F114" s="9">
        <f>(1-Parameters!$B$4)^Parameters!B$65*F113+C113*Parameters!B$65-Parameters!$B$5*C113^2/F113*Parameters!B$65</f>
        <v>4.0358383390991993E-2</v>
      </c>
      <c r="G114" s="7">
        <f>(1-Parameters!$B$4)^Parameters!B$65*G113+D113*Parameters!B$65-Parameters!$B$5*D113^2/G113*Parameters!B$65</f>
        <v>4.3403716701591044</v>
      </c>
      <c r="H114" s="7">
        <f>H113 *(1-Parameters!$B$4)-B113*(B113&lt;0)*Parameters!B$65</f>
        <v>0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23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194.49842817143451</v>
      </c>
      <c r="L114" s="8">
        <f>L113+K114*Parameters!B$65</f>
        <v>14099.832685875959</v>
      </c>
      <c r="M114" s="7">
        <f>M113+Parameters!$B$45*K114</f>
        <v>8.4598996115255698</v>
      </c>
      <c r="N114" s="7">
        <f>'6states'!O114</f>
        <v>0.95298937813534423</v>
      </c>
      <c r="O114" s="7">
        <f>MAX(O113+(Parameters!B$31-K114)*Parameters!B$65,30)</f>
        <v>30</v>
      </c>
      <c r="P114" s="7">
        <f>Parameters!B$61*EXP(-Parameters!B$60*A114)+(1-Parameters!B$61)*(O114/Parameters!B$62)^-Parameters!B$63</f>
        <v>0.55185654474042223</v>
      </c>
      <c r="Q114" s="9">
        <f>1-P114/Parameters!$B$12</f>
        <v>0.72407172762978889</v>
      </c>
      <c r="R114" s="23">
        <f t="shared" si="34"/>
        <v>3.6241302546130783</v>
      </c>
      <c r="S114" s="7">
        <f>(Parameters!$B$19*(E114+Parameters!$B$20)^Q114+Parameters!$B$18*F114^Q114)^(1/Q114)</f>
        <v>0.53655673675530768</v>
      </c>
      <c r="T114" s="7">
        <f>(Parameters!$B$10*G114^Parameters!$B$9 + Parameters!$B$11*S114^Parameters!$B$9) ^ (Parameters!$B$7/Parameters!$B$9) * N114</f>
        <v>1.4566083455475018</v>
      </c>
      <c r="U114" s="7">
        <f t="shared" si="35"/>
        <v>1.1061827797528561</v>
      </c>
      <c r="V114" s="7">
        <f>EXP(-Parameters!$B$55*A114)</f>
        <v>0.18994893615922709</v>
      </c>
      <c r="W114" s="7">
        <f>IF(U114&gt;0,U114^(1-Parameters!$B$52)/(1-Parameters!$B$52)*V114,-10+U114*1000)</f>
        <v>-0.52387709248434167</v>
      </c>
      <c r="X114" s="7"/>
      <c r="Y114" s="7"/>
      <c r="Z114" s="7"/>
      <c r="AA114" s="7"/>
    </row>
    <row r="115" spans="1:27" x14ac:dyDescent="0.3">
      <c r="A115">
        <f>A114+Parameters!$B$65</f>
        <v>111</v>
      </c>
      <c r="B115" s="9">
        <f t="shared" si="47"/>
        <v>5.5238794691412761E-2</v>
      </c>
      <c r="C115" s="9">
        <f t="shared" si="47"/>
        <v>2.532692781448906E-3</v>
      </c>
      <c r="D115" s="7">
        <f t="shared" si="47"/>
        <v>0.29265407832178425</v>
      </c>
      <c r="E115" s="7">
        <f>MAX((1-Parameters!$B$4)^Parameters!B$65*E114+B114*Parameters!B$65-Parameters!$B$5*B114^2/E114*Parameters!B$65,0.0001)</f>
        <v>0.81831723887437957</v>
      </c>
      <c r="F115" s="9">
        <f>(1-Parameters!$B$4)^Parameters!B$65*F114+C114*Parameters!B$65-Parameters!$B$5*C114^2/F114*Parameters!B$65</f>
        <v>4.0193594569043242E-2</v>
      </c>
      <c r="G115" s="7">
        <f>(1-Parameters!$B$4)^Parameters!B$65*G114+D114*Parameters!B$65-Parameters!$B$5*D114^2/G114*Parameters!B$65</f>
        <v>4.3402838645350776</v>
      </c>
      <c r="H115" s="7">
        <f>H114 *(1-Parameters!$B$4)-B114*(B114&lt;0)*Parameters!B$65</f>
        <v>0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23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196.96708338572591</v>
      </c>
      <c r="L115" s="8">
        <f>L114+K115*Parameters!B$65</f>
        <v>14296.799769261685</v>
      </c>
      <c r="M115" s="7">
        <f>M114+Parameters!$B$45*K115</f>
        <v>8.578079861557006</v>
      </c>
      <c r="N115" s="7">
        <f>'6states'!O115</f>
        <v>0.95290946465574622</v>
      </c>
      <c r="O115" s="7">
        <f>MAX(O114+(Parameters!B$31-K115)*Parameters!B$65,30)</f>
        <v>30</v>
      </c>
      <c r="P115" s="7">
        <f>Parameters!B$61*EXP(-Parameters!B$60*A115)+(1-Parameters!B$61)*(O115/Parameters!B$62)^-Parameters!B$63</f>
        <v>0.55117321649395523</v>
      </c>
      <c r="Q115" s="9">
        <f>1-P115/Parameters!$B$12</f>
        <v>0.72441339175302244</v>
      </c>
      <c r="R115" s="23">
        <f t="shared" si="34"/>
        <v>3.6286233440770514</v>
      </c>
      <c r="S115" s="7">
        <f>(Parameters!$B$19*(E115+Parameters!$B$20)^Q115+Parameters!$B$18*F115^Q115)^(1/Q115)</f>
        <v>0.53655357584640473</v>
      </c>
      <c r="T115" s="7">
        <f>(Parameters!$B$10*G115^Parameters!$B$9 + Parameters!$B$11*S115^Parameters!$B$9) ^ (Parameters!$B$7/Parameters!$B$9) * N115</f>
        <v>1.4564785737341499</v>
      </c>
      <c r="U115" s="7">
        <f t="shared" si="35"/>
        <v>1.1060530079395039</v>
      </c>
      <c r="V115" s="7">
        <f>EXP(-Parameters!$B$55*A115)</f>
        <v>0.18710225376443562</v>
      </c>
      <c r="W115" s="7">
        <f>IF(U115&gt;0,U115^(1-Parameters!$B$52)/(1-Parameters!$B$52)*V115,-10+U115*1000)</f>
        <v>-0.51604716334359158</v>
      </c>
      <c r="X115" s="7"/>
      <c r="Y115" s="7"/>
      <c r="Z115" s="7"/>
      <c r="AA115" s="7"/>
    </row>
    <row r="116" spans="1:27" x14ac:dyDescent="0.3">
      <c r="A116">
        <f>A115+Parameters!$B$65</f>
        <v>112</v>
      </c>
      <c r="B116" s="9">
        <f t="shared" si="47"/>
        <v>5.5238794691412761E-2</v>
      </c>
      <c r="C116" s="9">
        <f t="shared" si="47"/>
        <v>2.532692781448906E-3</v>
      </c>
      <c r="D116" s="7">
        <f t="shared" si="47"/>
        <v>0.29265407832178425</v>
      </c>
      <c r="E116" s="7">
        <f>MAX((1-Parameters!$B$4)^Parameters!B$65*E115+B115*Parameters!B$65-Parameters!$B$5*B115^2/E115*Parameters!B$65,0.0001)</f>
        <v>0.81835509986994637</v>
      </c>
      <c r="F116" s="9">
        <f>(1-Parameters!$B$4)^Parameters!B$65*F115+C115*Parameters!B$65-Parameters!$B$5*C115^2/F115*Parameters!B$65</f>
        <v>4.0038519332352536E-2</v>
      </c>
      <c r="G116" s="7">
        <f>(1-Parameters!$B$4)^Parameters!B$65*G115+D115*Parameters!B$65-Parameters!$B$5*D115^2/G115*Parameters!B$65</f>
        <v>4.3402011826885634</v>
      </c>
      <c r="H116" s="7">
        <f>H115 *(1-Parameters!$B$4)-B115*(B115&lt;0)*Parameters!B$65</f>
        <v>0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23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199.46799772182334</v>
      </c>
      <c r="L116" s="8">
        <f>L115+K116*Parameters!B$65</f>
        <v>14496.267766983508</v>
      </c>
      <c r="M116" s="7">
        <f>M115+Parameters!$B$45*K116</f>
        <v>8.6977606601901005</v>
      </c>
      <c r="N116" s="7">
        <f>'6states'!O116</f>
        <v>0.95282954843365142</v>
      </c>
      <c r="O116" s="7">
        <f>MAX(O115+(Parameters!B$31-K116)*Parameters!B$65,30)</f>
        <v>30</v>
      </c>
      <c r="P116" s="7">
        <f>Parameters!B$61*EXP(-Parameters!B$60*A116)+(1-Parameters!B$61)*(O116/Parameters!B$62)^-Parameters!B$63</f>
        <v>0.55050809126360545</v>
      </c>
      <c r="Q116" s="9">
        <f>1-P116/Parameters!$B$12</f>
        <v>0.72474595436819733</v>
      </c>
      <c r="R116" s="23">
        <f t="shared" si="34"/>
        <v>3.633007455729329</v>
      </c>
      <c r="S116" s="7">
        <f>(Parameters!$B$19*(E116+Parameters!$B$20)^Q116+Parameters!$B$18*F116^Q116)^(1/Q116)</f>
        <v>0.53655305951931831</v>
      </c>
      <c r="T116" s="7">
        <f>(Parameters!$B$10*G116^Parameters!$B$9 + Parameters!$B$11*S116^Parameters!$B$9) ^ (Parameters!$B$7/Parameters!$B$9) * N116</f>
        <v>1.456349631503314</v>
      </c>
      <c r="U116" s="7">
        <f t="shared" si="35"/>
        <v>1.1059240657086682</v>
      </c>
      <c r="V116" s="7">
        <f>EXP(-Parameters!$B$55*A116)</f>
        <v>0.18429823336512921</v>
      </c>
      <c r="W116" s="7">
        <f>IF(U116&gt;0,U116^(1-Parameters!$B$52)/(1-Parameters!$B$52)*V116,-10+U116*1000)</f>
        <v>-0.50833413024117735</v>
      </c>
      <c r="X116" s="7"/>
      <c r="Y116" s="7"/>
      <c r="Z116" s="7"/>
      <c r="AA116" s="7"/>
    </row>
    <row r="117" spans="1:27" x14ac:dyDescent="0.3">
      <c r="A117">
        <f>A116+Parameters!$B$65</f>
        <v>113</v>
      </c>
      <c r="B117" s="9">
        <f t="shared" si="47"/>
        <v>5.5238794691412761E-2</v>
      </c>
      <c r="C117" s="9">
        <f t="shared" si="47"/>
        <v>2.532692781448906E-3</v>
      </c>
      <c r="D117" s="7">
        <f t="shared" si="47"/>
        <v>0.29265407832178425</v>
      </c>
      <c r="E117" s="7">
        <f>MAX((1-Parameters!$B$4)^Parameters!B$65*E116+B116*Parameters!B$65-Parameters!$B$5*B116^2/E116*Parameters!B$65,0.0001)</f>
        <v>0.81839075191994404</v>
      </c>
      <c r="F117" s="9">
        <f>(1-Parameters!$B$4)^Parameters!B$65*F116+C116*Parameters!B$65-Parameters!$B$5*C116^2/F116*Parameters!B$65</f>
        <v>3.9892580208297342E-2</v>
      </c>
      <c r="G117" s="7">
        <f>(1-Parameters!$B$4)^Parameters!B$65*G116+D116*Parameters!B$65-Parameters!$B$5*D116^2/G116*Parameters!B$65</f>
        <v>4.3401233256137424</v>
      </c>
      <c r="H117" s="7">
        <f>H116 *(1-Parameters!$B$4)-B116*(B116&lt;0)*Parameters!B$65</f>
        <v>0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23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202.00160462801847</v>
      </c>
      <c r="L117" s="8">
        <f>L116+K117*Parameters!B$65</f>
        <v>14698.269371611526</v>
      </c>
      <c r="M117" s="7">
        <f>M116+Parameters!$B$45*K117</f>
        <v>8.8189616229669117</v>
      </c>
      <c r="N117" s="7">
        <f>'6states'!O117</f>
        <v>0.95275001904289092</v>
      </c>
      <c r="O117" s="7">
        <f>MAX(O116+(Parameters!B$31-K117)*Parameters!B$65,30)</f>
        <v>30</v>
      </c>
      <c r="P117" s="7">
        <f>Parameters!B$61*EXP(-Parameters!B$60*A117)+(1-Parameters!B$61)*(O117/Parameters!B$62)^-Parameters!B$63</f>
        <v>0.5498606841436231</v>
      </c>
      <c r="Q117" s="9">
        <f>1-P117/Parameters!$B$12</f>
        <v>0.72506965792818845</v>
      </c>
      <c r="R117" s="23">
        <f t="shared" si="34"/>
        <v>3.637284966309033</v>
      </c>
      <c r="S117" s="7">
        <f>(Parameters!$B$19*(E117+Parameters!$B$20)^Q117+Parameters!$B$18*F117^Q117)^(1/Q117)</f>
        <v>0.53655496469351105</v>
      </c>
      <c r="T117" s="7">
        <f>(Parameters!$B$10*G117^Parameters!$B$9 + Parameters!$B$11*S117^Parameters!$B$9) ^ (Parameters!$B$7/Parameters!$B$9) * N117</f>
        <v>1.4562220546277604</v>
      </c>
      <c r="U117" s="7">
        <f t="shared" si="35"/>
        <v>1.1057964888331147</v>
      </c>
      <c r="V117" s="7">
        <f>EXP(-Parameters!$B$55*A117)</f>
        <v>0.18153623560446847</v>
      </c>
      <c r="W117" s="7">
        <f>IF(U117&gt;0,U117^(1-Parameters!$B$52)/(1-Parameters!$B$52)*V117,-10+U117*1000)</f>
        <v>-0.50073616499129847</v>
      </c>
      <c r="X117" s="7"/>
      <c r="Y117" s="7"/>
      <c r="Z117" s="7"/>
      <c r="AA117" s="7"/>
    </row>
    <row r="118" spans="1:27" x14ac:dyDescent="0.3">
      <c r="A118">
        <f>A117+Parameters!$B$65</f>
        <v>114</v>
      </c>
      <c r="B118" s="9">
        <f t="shared" si="47"/>
        <v>5.5238794691412761E-2</v>
      </c>
      <c r="C118" s="9">
        <f t="shared" si="47"/>
        <v>2.532692781448906E-3</v>
      </c>
      <c r="D118" s="7">
        <f t="shared" si="47"/>
        <v>0.29265407832178425</v>
      </c>
      <c r="E118" s="7">
        <f>MAX((1-Parameters!$B$4)^Parameters!B$65*E117+B117*Parameters!B$65-Parameters!$B$5*B117^2/E117*Parameters!B$65,0.0001)</f>
        <v>0.81842432388754671</v>
      </c>
      <c r="F118" s="9">
        <f>(1-Parameters!$B$4)^Parameters!B$65*F117+C117*Parameters!B$65-Parameters!$B$5*C117^2/F117*Parameters!B$65</f>
        <v>3.9755234562022936E-2</v>
      </c>
      <c r="G118" s="7">
        <f>(1-Parameters!$B$4)^Parameters!B$65*G117+D117*Parameters!B$65-Parameters!$B$5*D117^2/G117*Parameters!B$65</f>
        <v>4.3400500117554079</v>
      </c>
      <c r="H118" s="7">
        <f>H117 *(1-Parameters!$B$4)-B117*(B117&lt;0)*Parameters!B$65</f>
        <v>0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23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204.56834225006907</v>
      </c>
      <c r="L118" s="8">
        <f>L117+K118*Parameters!B$65</f>
        <v>14902.837713861596</v>
      </c>
      <c r="M118" s="7">
        <f>M117+Parameters!$B$45*K118</f>
        <v>8.9417026283169534</v>
      </c>
      <c r="N118" s="7">
        <f>'6states'!O118</f>
        <v>0.95267138389229367</v>
      </c>
      <c r="O118" s="7">
        <f>MAX(O117+(Parameters!B$31-K118)*Parameters!B$65,30)</f>
        <v>30</v>
      </c>
      <c r="P118" s="7">
        <f>Parameters!B$61*EXP(-Parameters!B$60*A118)+(1-Parameters!B$61)*(O118/Parameters!B$62)^-Parameters!B$63</f>
        <v>0.54923052314554532</v>
      </c>
      <c r="Q118" s="9">
        <f>1-P118/Parameters!$B$12</f>
        <v>0.72538473842722739</v>
      </c>
      <c r="R118" s="23">
        <f t="shared" si="34"/>
        <v>3.6414582142041714</v>
      </c>
      <c r="S118" s="7">
        <f>(Parameters!$B$19*(E118+Parameters!$B$20)^Q118+Parameters!$B$18*F118^Q118)^(1/Q118)</f>
        <v>0.53655908326072477</v>
      </c>
      <c r="T118" s="7">
        <f>(Parameters!$B$10*G118^Parameters!$B$9 + Parameters!$B$11*S118^Parameters!$B$9) ^ (Parameters!$B$7/Parameters!$B$9) * N118</f>
        <v>1.4560965627616687</v>
      </c>
      <c r="U118" s="7">
        <f t="shared" si="35"/>
        <v>1.1056709969670226</v>
      </c>
      <c r="V118" s="7">
        <f>EXP(-Parameters!$B$55*A118)</f>
        <v>0.17881563070737777</v>
      </c>
      <c r="W118" s="7">
        <f>IF(U118&gt;0,U118^(1-Parameters!$B$52)/(1-Parameters!$B$52)*V118,-10+U118*1000)</f>
        <v>-0.49325144170553903</v>
      </c>
      <c r="X118" s="7"/>
      <c r="Y118" s="7"/>
      <c r="Z118" s="7"/>
      <c r="AA118" s="7"/>
    </row>
    <row r="119" spans="1:27" x14ac:dyDescent="0.3">
      <c r="A119">
        <f>A118+Parameters!$B$65</f>
        <v>115</v>
      </c>
      <c r="B119" s="9">
        <f t="shared" si="47"/>
        <v>5.5238794691412761E-2</v>
      </c>
      <c r="C119" s="9">
        <f t="shared" si="47"/>
        <v>2.532692781448906E-3</v>
      </c>
      <c r="D119" s="7">
        <f t="shared" si="47"/>
        <v>0.29265407832178425</v>
      </c>
      <c r="E119" s="7">
        <f>MAX((1-Parameters!$B$4)^Parameters!B$65*E118+B118*Parameters!B$65-Parameters!$B$5*B118^2/E118*Parameters!B$65,0.0001)</f>
        <v>0.81845593712009701</v>
      </c>
      <c r="F119" s="9">
        <f>(1-Parameters!$B$4)^Parameters!B$65*F118+C118*Parameters!B$65-Parameters!$B$5*C118^2/F118*Parameters!B$65</f>
        <v>3.9625972444860318E-2</v>
      </c>
      <c r="G119" s="7">
        <f>(1-Parameters!$B$4)^Parameters!B$65*G118+D118*Parameters!B$65-Parameters!$B$5*D118^2/G118*Parameters!B$65</f>
        <v>4.3399809759903176</v>
      </c>
      <c r="H119" s="7">
        <f>H118 *(1-Parameters!$B$4)-B118*(B118&lt;0)*Parameters!B$65</f>
        <v>0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23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207.1686535386994</v>
      </c>
      <c r="L119" s="8">
        <f>L118+K119*Parameters!B$65</f>
        <v>15110.006367400296</v>
      </c>
      <c r="M119" s="7">
        <f>M118+Parameters!$B$45*K119</f>
        <v>9.0660038204401729</v>
      </c>
      <c r="N119" s="7">
        <f>'6states'!O119</f>
        <v>0.95259423927403974</v>
      </c>
      <c r="O119" s="7">
        <f>MAX(O118+(Parameters!B$31-K119)*Parameters!B$65,30)</f>
        <v>30</v>
      </c>
      <c r="P119" s="7">
        <f>Parameters!B$61*EXP(-Parameters!B$60*A119)+(1-Parameters!B$61)*(O119/Parameters!B$62)^-Parameters!B$63</f>
        <v>0.54861714885409607</v>
      </c>
      <c r="Q119" s="9">
        <f>1-P119/Parameters!$B$12</f>
        <v>0.72569142557295196</v>
      </c>
      <c r="R119" s="23">
        <f t="shared" si="34"/>
        <v>3.6455294993556557</v>
      </c>
      <c r="S119" s="7">
        <f>(Parameters!$B$19*(E119+Parameters!$B$20)^Q119+Parameters!$B$18*F119^Q119)^(1/Q119)</f>
        <v>0.53656522116612393</v>
      </c>
      <c r="T119" s="7">
        <f>(Parameters!$B$10*G119^Parameters!$B$9 + Parameters!$B$11*S119^Parameters!$B$9) ^ (Parameters!$B$7/Parameters!$B$9) * N119</f>
        <v>1.4559740149644982</v>
      </c>
      <c r="U119" s="7">
        <f t="shared" si="35"/>
        <v>1.1055484491698522</v>
      </c>
      <c r="V119" s="7">
        <f>EXP(-Parameters!$B$55*A119)</f>
        <v>0.17613579833694784</v>
      </c>
      <c r="W119" s="7">
        <f>IF(U119&gt;0,U119^(1-Parameters!$B$52)/(1-Parameters!$B$52)*V119,-10+U119*1000)</f>
        <v>-0.48587814519272865</v>
      </c>
      <c r="X119" s="7"/>
      <c r="Y119" s="7"/>
      <c r="Z119" s="7"/>
      <c r="AA119" s="7"/>
    </row>
    <row r="120" spans="1:27" x14ac:dyDescent="0.3">
      <c r="A120">
        <f>A119+Parameters!$B$65</f>
        <v>116</v>
      </c>
      <c r="B120" s="9">
        <f t="shared" si="47"/>
        <v>5.5238794691412761E-2</v>
      </c>
      <c r="C120" s="9">
        <f t="shared" si="47"/>
        <v>2.532692781448906E-3</v>
      </c>
      <c r="D120" s="7">
        <f t="shared" si="47"/>
        <v>0.29265407832178425</v>
      </c>
      <c r="E120" s="7">
        <f>MAX((1-Parameters!$B$4)^Parameters!B$65*E119+B119*Parameters!B$65-Parameters!$B$5*B119^2/E119*Parameters!B$65,0.0001)</f>
        <v>0.8184857058872731</v>
      </c>
      <c r="F120" s="9">
        <f>(1-Parameters!$B$4)^Parameters!B$65*F119+C119*Parameters!B$65-Parameters!$B$5*C119^2/F119*Parameters!B$65</f>
        <v>3.9504314580126459E-2</v>
      </c>
      <c r="G120" s="7">
        <f>(1-Parameters!$B$4)^Parameters!B$65*G119+D119*Parameters!B$65-Parameters!$B$5*D119^2/G119*Parameters!B$65</f>
        <v>4.3399159686680377</v>
      </c>
      <c r="H120" s="7">
        <f>H119 *(1-Parameters!$B$4)-B119*(B119&lt;0)*Parameters!B$65</f>
        <v>0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23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209.8029863562459</v>
      </c>
      <c r="L120" s="8">
        <f>L119+K120*Parameters!B$65</f>
        <v>15319.809353756542</v>
      </c>
      <c r="M120" s="7">
        <f>M119+Parameters!$B$45*K120</f>
        <v>9.1918856122539196</v>
      </c>
      <c r="N120" s="7">
        <f>'6states'!O120</f>
        <v>0.95251869849181381</v>
      </c>
      <c r="O120" s="7">
        <f>MAX(O119+(Parameters!B$31-K120)*Parameters!B$65,30)</f>
        <v>30</v>
      </c>
      <c r="P120" s="7">
        <f>Parameters!B$61*EXP(-Parameters!B$60*A120)+(1-Parameters!B$61)*(O120/Parameters!B$62)^-Parameters!B$63</f>
        <v>0.54802011409225204</v>
      </c>
      <c r="Q120" s="9">
        <f>1-P120/Parameters!$B$12</f>
        <v>0.72598994295387398</v>
      </c>
      <c r="R120" s="23">
        <f t="shared" si="34"/>
        <v>3.6495010832090116</v>
      </c>
      <c r="S120" s="7">
        <f>(Parameters!$B$19*(E120+Parameters!$B$20)^Q120+Parameters!$B$18*F120^Q120)^(1/Q120)</f>
        <v>0.53657319754167998</v>
      </c>
      <c r="T120" s="7">
        <f>(Parameters!$B$10*G120^Parameters!$B$9 + Parameters!$B$11*S120^Parameters!$B$9) ^ (Parameters!$B$7/Parameters!$B$9) * N120</f>
        <v>1.4558545354253036</v>
      </c>
      <c r="U120" s="7">
        <f t="shared" si="35"/>
        <v>1.1054289696306578</v>
      </c>
      <c r="V120" s="7">
        <f>EXP(-Parameters!$B$55*A120)</f>
        <v>0.17349612745298973</v>
      </c>
      <c r="W120" s="7">
        <f>IF(U120&gt;0,U120^(1-Parameters!$B$52)/(1-Parameters!$B$52)*V120,-10+U120*1000)</f>
        <v>-0.47861460441468656</v>
      </c>
      <c r="X120" s="7"/>
      <c r="Y120" s="7"/>
      <c r="Z120" s="7"/>
      <c r="AA120" s="7"/>
    </row>
    <row r="121" spans="1:27" x14ac:dyDescent="0.3">
      <c r="A121">
        <f>A120+Parameters!$B$65</f>
        <v>117</v>
      </c>
      <c r="B121" s="9">
        <f t="shared" si="47"/>
        <v>5.5238794691412761E-2</v>
      </c>
      <c r="C121" s="9">
        <f t="shared" si="47"/>
        <v>2.532692781448906E-3</v>
      </c>
      <c r="D121" s="7">
        <f t="shared" si="47"/>
        <v>0.29265407832178425</v>
      </c>
      <c r="E121" s="7">
        <f>MAX((1-Parameters!$B$4)^Parameters!B$65*E120+B120*Parameters!B$65-Parameters!$B$5*B120^2/E120*Parameters!B$65,0.0001)</f>
        <v>0.81851373779373116</v>
      </c>
      <c r="F121" s="9">
        <f>(1-Parameters!$B$4)^Parameters!B$65*F120+C120*Parameters!B$65-Parameters!$B$5*C120^2/F120*Parameters!B$65</f>
        <v>3.9389810477191492E-2</v>
      </c>
      <c r="G121" s="7">
        <f>(1-Parameters!$B$4)^Parameters!B$65*G120+D120*Parameters!B$65-Parameters!$B$5*D120^2/G120*Parameters!B$65</f>
        <v>4.3398547547077833</v>
      </c>
      <c r="H121" s="7">
        <f>H120 *(1-Parameters!$B$4)-B120*(B120&lt;0)*Parameters!B$65</f>
        <v>0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23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212.47179358254766</v>
      </c>
      <c r="L121" s="8">
        <f>L120+K121*Parameters!B$65</f>
        <v>15532.28114733909</v>
      </c>
      <c r="M121" s="7">
        <f>M120+Parameters!$B$45*K121</f>
        <v>9.3193686884034488</v>
      </c>
      <c r="N121" s="7">
        <f>'6states'!O121</f>
        <v>0.95244601650560345</v>
      </c>
      <c r="O121" s="7">
        <f>MAX(O120+(Parameters!B$31-K121)*Parameters!B$65,30)</f>
        <v>30</v>
      </c>
      <c r="P121" s="7">
        <f>Parameters!B$61*EXP(-Parameters!B$60*A121)+(1-Parameters!B$61)*(O121/Parameters!B$62)^-Parameters!B$63</f>
        <v>0.54743898359523024</v>
      </c>
      <c r="Q121" s="9">
        <f>1-P121/Parameters!$B$12</f>
        <v>0.72628050820238488</v>
      </c>
      <c r="R121" s="23">
        <f t="shared" si="34"/>
        <v>3.6533751887110322</v>
      </c>
      <c r="S121" s="7">
        <f>(Parameters!$B$19*(E121+Parameters!$B$20)^Q121+Parameters!$B$18*F121^Q121)^(1/Q121)</f>
        <v>0.53658284388922717</v>
      </c>
      <c r="T121" s="7">
        <f>(Parameters!$B$10*G121^Parameters!$B$9 + Parameters!$B$11*S121^Parameters!$B$9) ^ (Parameters!$B$7/Parameters!$B$9) * N121</f>
        <v>1.4557399964172966</v>
      </c>
      <c r="U121" s="7">
        <f t="shared" si="35"/>
        <v>1.1053144306226508</v>
      </c>
      <c r="V121" s="7">
        <f>EXP(-Parameters!$B$55*A121)</f>
        <v>0.17089601617270908</v>
      </c>
      <c r="W121" s="7">
        <f>IF(U121&gt;0,U121^(1-Parameters!$B$52)/(1-Parameters!$B$52)*V121,-10+U121*1000)</f>
        <v>-0.47145891288748343</v>
      </c>
      <c r="X121" s="7"/>
      <c r="Y121" s="7"/>
      <c r="Z121" s="7"/>
      <c r="AA121" s="7"/>
    </row>
    <row r="122" spans="1:27" x14ac:dyDescent="0.3">
      <c r="A122">
        <f>A121+Parameters!$B$65</f>
        <v>118</v>
      </c>
      <c r="B122" s="9">
        <f t="shared" ref="B122:D137" si="48">B121</f>
        <v>5.5238794691412761E-2</v>
      </c>
      <c r="C122" s="9">
        <f t="shared" si="48"/>
        <v>2.532692781448906E-3</v>
      </c>
      <c r="D122" s="7">
        <f t="shared" si="48"/>
        <v>0.29265407832178425</v>
      </c>
      <c r="E122" s="7">
        <f>MAX((1-Parameters!$B$4)^Parameters!B$65*E121+B121*Parameters!B$65-Parameters!$B$5*B121^2/E121*Parameters!B$65,0.0001)</f>
        <v>0.81854013416770977</v>
      </c>
      <c r="F122" s="9">
        <f>(1-Parameters!$B$4)^Parameters!B$65*F121+C121*Parameters!B$65-Parameters!$B$5*C121^2/F121*Parameters!B$65</f>
        <v>3.9282036665318848E-2</v>
      </c>
      <c r="G122" s="7">
        <f>(1-Parameters!$B$4)^Parameters!B$65*G121+D121*Parameters!B$65-Parameters!$B$5*D121^2/G121*Parameters!B$65</f>
        <v>4.3397971127480037</v>
      </c>
      <c r="H122" s="7">
        <f>H121 *(1-Parameters!$B$4)-B121*(B121&lt;0)*Parameters!B$65</f>
        <v>0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23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215.17553322017466</v>
      </c>
      <c r="L122" s="8">
        <f>L121+K122*Parameters!B$65</f>
        <v>15747.456680559266</v>
      </c>
      <c r="M122" s="7">
        <f>M121+Parameters!$B$45*K122</f>
        <v>9.4484740083355536</v>
      </c>
      <c r="N122" s="7">
        <f>'6states'!O122</f>
        <v>0.95237261046283239</v>
      </c>
      <c r="O122" s="7">
        <f>MAX(O121+(Parameters!B$31-K122)*Parameters!B$65,30)</f>
        <v>30</v>
      </c>
      <c r="P122" s="7">
        <f>Parameters!B$61*EXP(-Parameters!B$60*A122)+(1-Parameters!B$61)*(O122/Parameters!B$62)^-Parameters!B$63</f>
        <v>0.54687333369316149</v>
      </c>
      <c r="Q122" s="9">
        <f>1-P122/Parameters!$B$12</f>
        <v>0.72656333315341926</v>
      </c>
      <c r="R122" s="23">
        <f t="shared" si="34"/>
        <v>3.6571540003487457</v>
      </c>
      <c r="S122" s="7">
        <f>(Parameters!$B$19*(E122+Parameters!$B$20)^Q122+Parameters!$B$18*F122^Q122)^(1/Q122)</f>
        <v>0.53659400331069829</v>
      </c>
      <c r="T122" s="7">
        <f>(Parameters!$B$10*G122^Parameters!$B$9 + Parameters!$B$11*S122^Parameters!$B$9) ^ (Parameters!$B$7/Parameters!$B$9) * N122</f>
        <v>1.4556248789535937</v>
      </c>
      <c r="U122" s="7">
        <f t="shared" si="35"/>
        <v>1.1051993131589479</v>
      </c>
      <c r="V122" s="7">
        <f>EXP(-Parameters!$B$55*A122)</f>
        <v>0.16833487163346803</v>
      </c>
      <c r="W122" s="7">
        <f>IF(U122&gt;0,U122^(1-Parameters!$B$52)/(1-Parameters!$B$52)*V122,-10+U122*1000)</f>
        <v>-0.46441029179656429</v>
      </c>
      <c r="X122" s="7"/>
      <c r="Y122" s="7"/>
      <c r="Z122" s="7"/>
      <c r="AA122" s="7"/>
    </row>
    <row r="123" spans="1:27" x14ac:dyDescent="0.3">
      <c r="A123">
        <f>A122+Parameters!$B$65</f>
        <v>119</v>
      </c>
      <c r="B123" s="9">
        <f t="shared" si="48"/>
        <v>5.5238794691412761E-2</v>
      </c>
      <c r="C123" s="9">
        <f t="shared" si="48"/>
        <v>2.532692781448906E-3</v>
      </c>
      <c r="D123" s="7">
        <f t="shared" si="48"/>
        <v>0.29265407832178425</v>
      </c>
      <c r="E123" s="7">
        <f>MAX((1-Parameters!$B$4)^Parameters!B$65*E122+B122*Parameters!B$65-Parameters!$B$5*B122^2/E122*Parameters!B$65,0.0001)</f>
        <v>0.81856499042699282</v>
      </c>
      <c r="F123" s="9">
        <f>(1-Parameters!$B$4)^Parameters!B$65*F122+C122*Parameters!B$65-Parameters!$B$5*C122^2/F122*Parameters!B$65</f>
        <v>3.918059503936433E-2</v>
      </c>
      <c r="G123" s="7">
        <f>(1-Parameters!$B$4)^Parameters!B$65*G122+D122*Parameters!B$65-Parameters!$B$5*D122^2/G122*Parameters!B$65</f>
        <v>4.3397428343456124</v>
      </c>
      <c r="H123" s="7">
        <f>H122 *(1-Parameters!$B$4)-B122*(B122&lt;0)*Parameters!B$65</f>
        <v>0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23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217.91466849908326</v>
      </c>
      <c r="L123" s="8">
        <f>L122+K123*Parameters!B$65</f>
        <v>15965.371349058349</v>
      </c>
      <c r="M123" s="7">
        <f>M122+Parameters!$B$45*K123</f>
        <v>9.579222809435004</v>
      </c>
      <c r="N123" s="7">
        <f>'6states'!O123</f>
        <v>0.95230202984912593</v>
      </c>
      <c r="O123" s="7">
        <f>MAX(O122+(Parameters!B$31-K123)*Parameters!B$65,30)</f>
        <v>30</v>
      </c>
      <c r="P123" s="7">
        <f>Parameters!B$61*EXP(-Parameters!B$60*A123)+(1-Parameters!B$61)*(O123/Parameters!B$62)^-Parameters!B$63</f>
        <v>0.54632275200221569</v>
      </c>
      <c r="Q123" s="9">
        <f>1-P123/Parameters!$B$12</f>
        <v>0.72683862399889221</v>
      </c>
      <c r="R123" s="23">
        <f t="shared" si="34"/>
        <v>3.6608396642281686</v>
      </c>
      <c r="S123" s="7">
        <f>(Parameters!$B$19*(E123+Parameters!$B$20)^Q123+Parameters!$B$18*F123^Q123)^(1/Q123)</f>
        <v>0.5366065297831254</v>
      </c>
      <c r="T123" s="7">
        <f>(Parameters!$B$10*G123^Parameters!$B$9 + Parameters!$B$11*S123^Parameters!$B$9) ^ (Parameters!$B$7/Parameters!$B$9) * N123</f>
        <v>1.4555145680571189</v>
      </c>
      <c r="U123" s="7">
        <f t="shared" si="35"/>
        <v>1.1050890022624729</v>
      </c>
      <c r="V123" s="7">
        <f>EXP(-Parameters!$B$55*A123)</f>
        <v>0.16581210985760431</v>
      </c>
      <c r="W123" s="7">
        <f>IF(U123&gt;0,U123^(1-Parameters!$B$52)/(1-Parameters!$B$52)*V123,-10+U123*1000)</f>
        <v>-0.45746635755590914</v>
      </c>
      <c r="X123" s="7"/>
      <c r="Y123" s="7"/>
      <c r="Z123" s="7"/>
      <c r="AA123" s="7"/>
    </row>
    <row r="124" spans="1:27" x14ac:dyDescent="0.3">
      <c r="A124">
        <f>A123+Parameters!$B$65</f>
        <v>120</v>
      </c>
      <c r="B124" s="9">
        <f t="shared" si="48"/>
        <v>5.5238794691412761E-2</v>
      </c>
      <c r="C124" s="9">
        <f t="shared" si="48"/>
        <v>2.532692781448906E-3</v>
      </c>
      <c r="D124" s="7">
        <f t="shared" si="48"/>
        <v>0.29265407832178425</v>
      </c>
      <c r="E124" s="7">
        <f>MAX((1-Parameters!$B$4)^Parameters!B$65*E123+B123*Parameters!B$65-Parameters!$B$5*B123^2/E123*Parameters!B$65,0.0001)</f>
        <v>0.81858839642354964</v>
      </c>
      <c r="F124" s="9">
        <f>(1-Parameters!$B$4)^Parameters!B$65*F123+C123*Parameters!B$65-Parameters!$B$5*C123^2/F123*Parameters!B$65</f>
        <v>3.9085111309960896E-2</v>
      </c>
      <c r="G124" s="7">
        <f>(1-Parameters!$B$4)^Parameters!B$65*G123+D123*Parameters!B$65-Parameters!$B$5*D123^2/G123*Parameters!B$65</f>
        <v>4.3396917232219723</v>
      </c>
      <c r="H124" s="7">
        <f>H123 *(1-Parameters!$B$4)-B123*(B123&lt;0)*Parameters!B$65</f>
        <v>0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23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220.68966798078799</v>
      </c>
      <c r="L124" s="8">
        <f>L123+K124*Parameters!B$65</f>
        <v>16186.061017039137</v>
      </c>
      <c r="M124" s="7">
        <f>M123+Parameters!$B$45*K124</f>
        <v>9.7116366102234775</v>
      </c>
      <c r="N124" s="7">
        <f>'6states'!O124</f>
        <v>0.95223693205988724</v>
      </c>
      <c r="O124" s="7">
        <f>MAX(O123+(Parameters!B$31-K124)*Parameters!B$65,30)</f>
        <v>30</v>
      </c>
      <c r="P124" s="7">
        <f>Parameters!B$61*EXP(-Parameters!B$60*A124)+(1-Parameters!B$61)*(O124/Parameters!B$62)^-Parameters!B$63</f>
        <v>0.54578683712395615</v>
      </c>
      <c r="Q124" s="9">
        <f>1-P124/Parameters!$B$12</f>
        <v>0.72710658143802198</v>
      </c>
      <c r="R124" s="23">
        <f t="shared" si="34"/>
        <v>3.6644342881903751</v>
      </c>
      <c r="S124" s="7">
        <f>(Parameters!$B$19*(E124+Parameters!$B$20)^Q124+Parameters!$B$18*F124^Q124)^(1/Q124)</f>
        <v>0.53662028747608248</v>
      </c>
      <c r="T124" s="7">
        <f>(Parameters!$B$10*G124^Parameters!$B$9 + Parameters!$B$11*S124^Parameters!$B$9) ^ (Parameters!$B$7/Parameters!$B$9) * N124</f>
        <v>1.4554130878436824</v>
      </c>
      <c r="U124" s="7">
        <f t="shared" si="35"/>
        <v>1.1049875220490364</v>
      </c>
      <c r="V124" s="7">
        <f>EXP(-Parameters!$B$55*A124)</f>
        <v>0.16332715561927577</v>
      </c>
      <c r="W124" s="7">
        <f>IF(U124&gt;0,U124^(1-Parameters!$B$52)/(1-Parameters!$B$52)*V124,-10+U124*1000)</f>
        <v>-0.45062499122032706</v>
      </c>
      <c r="X124" s="7"/>
      <c r="Y124" s="7"/>
      <c r="Z124" s="7"/>
      <c r="AA124" s="7"/>
    </row>
    <row r="125" spans="1:27" x14ac:dyDescent="0.3">
      <c r="A125">
        <f>A124+Parameters!$B$65</f>
        <v>121</v>
      </c>
      <c r="B125" s="9">
        <f t="shared" si="48"/>
        <v>5.5238794691412761E-2</v>
      </c>
      <c r="C125" s="9">
        <f t="shared" si="48"/>
        <v>2.532692781448906E-3</v>
      </c>
      <c r="D125" s="7">
        <f t="shared" si="48"/>
        <v>0.29265407832178425</v>
      </c>
      <c r="E125" s="7">
        <f>MAX((1-Parameters!$B$4)^Parameters!B$65*E124+B124*Parameters!B$65-Parameters!$B$5*B124^2/E124*Parameters!B$65,0.0001)</f>
        <v>0.81861043676809087</v>
      </c>
      <c r="F125" s="9">
        <f>(1-Parameters!$B$4)^Parameters!B$65*F124+C124*Parameters!B$65-Parameters!$B$5*C124^2/F124*Parameters!B$65</f>
        <v>3.8995233551319591E-2</v>
      </c>
      <c r="G125" s="7">
        <f>(1-Parameters!$B$4)^Parameters!B$65*G124+D124*Parameters!B$65-Parameters!$B$5*D124^2/G124*Parameters!B$65</f>
        <v>4.339643594552907</v>
      </c>
      <c r="H125" s="7">
        <f>H124 *(1-Parameters!$B$4)-B124*(B124&lt;0)*Parameters!B$65</f>
        <v>0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23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223.5010056621289</v>
      </c>
      <c r="L125" s="8">
        <f>L124+K125*Parameters!B$65</f>
        <v>16409.562022701266</v>
      </c>
      <c r="M125" s="7">
        <f>M124+Parameters!$B$45*K125</f>
        <v>9.8457372136207546</v>
      </c>
      <c r="N125" s="7">
        <f>'6states'!O125</f>
        <v>0.95218448475781425</v>
      </c>
      <c r="O125" s="7">
        <f>MAX(O124+(Parameters!B$31-K125)*Parameters!B$65,30)</f>
        <v>30</v>
      </c>
      <c r="P125" s="7">
        <f>Parameters!B$61*EXP(-Parameters!B$60*A125)+(1-Parameters!B$61)*(O125/Parameters!B$62)^-Parameters!B$63</f>
        <v>0.54526519835270215</v>
      </c>
      <c r="Q125" s="9">
        <f>1-P125/Parameters!$B$12</f>
        <v>0.72736740082364892</v>
      </c>
      <c r="R125" s="23">
        <f t="shared" si="34"/>
        <v>3.6679399419625343</v>
      </c>
      <c r="S125" s="7">
        <f>(Parameters!$B$19*(E125+Parameters!$B$20)^Q125+Parameters!$B$18*F125^Q125)^(1/Q125)</f>
        <v>0.53663515010932594</v>
      </c>
      <c r="T125" s="7">
        <f>(Parameters!$B$10*G125^Parameters!$B$9 + Parameters!$B$11*S125^Parameters!$B$9) ^ (Parameters!$B$7/Parameters!$B$9) * N125</f>
        <v>1.4553313584206398</v>
      </c>
      <c r="U125" s="7">
        <f t="shared" si="35"/>
        <v>1.1049057926259938</v>
      </c>
      <c r="V125" s="7">
        <f>EXP(-Parameters!$B$55*A125)</f>
        <v>0.16087944231330067</v>
      </c>
      <c r="W125" s="7">
        <f>IF(U125&gt;0,U125^(1-Parameters!$B$52)/(1-Parameters!$B$52)*V125,-10+U125*1000)</f>
        <v>-0.44388316102315073</v>
      </c>
      <c r="X125" s="7"/>
      <c r="Y125" s="7"/>
      <c r="Z125" s="7"/>
      <c r="AA125" s="7"/>
    </row>
    <row r="126" spans="1:27" x14ac:dyDescent="0.3">
      <c r="A126">
        <f>A125+Parameters!$B$65</f>
        <v>122</v>
      </c>
      <c r="B126" s="9">
        <f t="shared" si="48"/>
        <v>5.5238794691412761E-2</v>
      </c>
      <c r="C126" s="9">
        <f t="shared" si="48"/>
        <v>2.532692781448906E-3</v>
      </c>
      <c r="D126" s="7">
        <f t="shared" si="48"/>
        <v>0.29265407832178425</v>
      </c>
      <c r="E126" s="7">
        <f>MAX((1-Parameters!$B$4)^Parameters!B$65*E125+B125*Parameters!B$65-Parameters!$B$5*B125^2/E125*Parameters!B$65,0.0001)</f>
        <v>0.81863119113571203</v>
      </c>
      <c r="F126" s="9">
        <f>(1-Parameters!$B$4)^Parameters!B$65*F125+C125*Parameters!B$65-Parameters!$B$5*C125^2/F125*Parameters!B$65</f>
        <v>3.8910630840246416E-2</v>
      </c>
      <c r="G126" s="7">
        <f>(1-Parameters!$B$4)^Parameters!B$65*G125+D125*Parameters!B$65-Parameters!$B$5*D125^2/G125*Parameters!B$65</f>
        <v>4.3395982743001555</v>
      </c>
      <c r="H126" s="7">
        <f>H125 *(1-Parameters!$B$4)-B125*(B125&lt;0)*Parameters!B$65</f>
        <v>0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23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226.34916107871845</v>
      </c>
      <c r="L126" s="8">
        <f>L125+K126*Parameters!B$65</f>
        <v>16635.911183779983</v>
      </c>
      <c r="M126" s="7">
        <f>M125+Parameters!$B$45*K126</f>
        <v>9.9815467102679865</v>
      </c>
      <c r="N126" s="7">
        <f>'6states'!O126</f>
        <v>0.95212905500212108</v>
      </c>
      <c r="O126" s="7">
        <f>MAX(O125+(Parameters!B$31-K126)*Parameters!B$65,30)</f>
        <v>30</v>
      </c>
      <c r="P126" s="7">
        <f>Parameters!B$61*EXP(-Parameters!B$60*A126)+(1-Parameters!B$61)*(O126/Parameters!B$62)^-Parameters!B$63</f>
        <v>0.5447574553906871</v>
      </c>
      <c r="Q126" s="9">
        <f>1-P126/Parameters!$B$12</f>
        <v>0.72762127230465645</v>
      </c>
      <c r="R126" s="23">
        <f t="shared" si="34"/>
        <v>3.6713586573416377</v>
      </c>
      <c r="S126" s="7">
        <f>(Parameters!$B$19*(E126+Parameters!$B$20)^Q126+Parameters!$B$18*F126^Q126)^(1/Q126)</f>
        <v>0.53665100034848101</v>
      </c>
      <c r="T126" s="7">
        <f>(Parameters!$B$10*G126^Parameters!$B$9 + Parameters!$B$11*S126^Parameters!$B$9) ^ (Parameters!$B$7/Parameters!$B$9) * N126</f>
        <v>1.455245453456536</v>
      </c>
      <c r="U126" s="7">
        <f t="shared" si="35"/>
        <v>1.1048198876618902</v>
      </c>
      <c r="V126" s="7">
        <f>EXP(-Parameters!$B$55*A126)</f>
        <v>0.15846841182596355</v>
      </c>
      <c r="W126" s="7">
        <f>IF(U126&gt;0,U126^(1-Parameters!$B$52)/(1-Parameters!$B$52)*V126,-10+U126*1000)</f>
        <v>-0.43724277500606673</v>
      </c>
      <c r="X126" s="7"/>
      <c r="Y126" s="7"/>
      <c r="Z126" s="7"/>
      <c r="AA126" s="7"/>
    </row>
    <row r="127" spans="1:27" x14ac:dyDescent="0.3">
      <c r="A127">
        <f>A126+Parameters!$B$65</f>
        <v>123</v>
      </c>
      <c r="B127" s="9">
        <f t="shared" si="48"/>
        <v>5.5238794691412761E-2</v>
      </c>
      <c r="C127" s="9">
        <f t="shared" si="48"/>
        <v>2.532692781448906E-3</v>
      </c>
      <c r="D127" s="7">
        <f t="shared" si="48"/>
        <v>0.29265407832178425</v>
      </c>
      <c r="E127" s="7">
        <f>MAX((1-Parameters!$B$4)^Parameters!B$65*E126+B126*Parameters!B$65-Parameters!$B$5*B126^2/E126*Parameters!B$65,0.0001)</f>
        <v>0.81865073455372284</v>
      </c>
      <c r="F127" s="9">
        <f>(1-Parameters!$B$4)^Parameters!B$65*F126+C126*Parameters!B$65-Parameters!$B$5*C126^2/F126*Parameters!B$65</f>
        <v>3.8830991980411789E-2</v>
      </c>
      <c r="G127" s="7">
        <f>(1-Parameters!$B$4)^Parameters!B$65*G126+D126*Parameters!B$65-Parameters!$B$5*D126^2/G126*Parameters!B$65</f>
        <v>4.3395555985818568</v>
      </c>
      <c r="H127" s="7">
        <f>H126 *(1-Parameters!$B$4)-B126*(B126&lt;0)*Parameters!B$65</f>
        <v>0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23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229.23461940814082</v>
      </c>
      <c r="L127" s="8">
        <f>L126+K127*Parameters!B$65</f>
        <v>16865.145803188123</v>
      </c>
      <c r="M127" s="7">
        <f>M126+Parameters!$B$45*K127</f>
        <v>10.119087481912871</v>
      </c>
      <c r="N127" s="7">
        <f>'6states'!O127</f>
        <v>0.95208419624966412</v>
      </c>
      <c r="O127" s="7">
        <f>MAX(O126+(Parameters!B$31-K127)*Parameters!B$65,30)</f>
        <v>30</v>
      </c>
      <c r="P127" s="7">
        <f>Parameters!B$61*EXP(-Parameters!B$60*A127)+(1-Parameters!B$61)*(O127/Parameters!B$62)^-Parameters!B$63</f>
        <v>0.54426323807080479</v>
      </c>
      <c r="Q127" s="9">
        <f>1-P127/Parameters!$B$12</f>
        <v>0.72786838096459761</v>
      </c>
      <c r="R127" s="23">
        <f t="shared" si="34"/>
        <v>3.6746924284087221</v>
      </c>
      <c r="S127" s="7">
        <f>(Parameters!$B$19*(E127+Parameters!$B$20)^Q127+Parameters!$B$18*F127^Q127)^(1/Q127)</f>
        <v>0.53666772923671224</v>
      </c>
      <c r="T127" s="7">
        <f>(Parameters!$B$10*G127^Parameters!$B$9 + Parameters!$B$11*S127^Parameters!$B$9) ^ (Parameters!$B$7/Parameters!$B$9) * N127</f>
        <v>1.4551760576742265</v>
      </c>
      <c r="U127" s="7">
        <f t="shared" si="35"/>
        <v>1.1047504918795807</v>
      </c>
      <c r="V127" s="7">
        <f>EXP(-Parameters!$B$55*A127)</f>
        <v>0.15609351440775748</v>
      </c>
      <c r="W127" s="7">
        <f>IF(U127&gt;0,U127^(1-Parameters!$B$52)/(1-Parameters!$B$52)*V127,-10+U127*1000)</f>
        <v>-0.43069947576369932</v>
      </c>
      <c r="X127" s="7"/>
      <c r="Y127" s="7"/>
      <c r="Z127" s="7"/>
      <c r="AA127" s="7"/>
    </row>
    <row r="128" spans="1:27" x14ac:dyDescent="0.3">
      <c r="A128">
        <f>A127+Parameters!$B$65</f>
        <v>124</v>
      </c>
      <c r="B128" s="9">
        <f t="shared" si="48"/>
        <v>5.5238794691412761E-2</v>
      </c>
      <c r="C128" s="9">
        <f t="shared" si="48"/>
        <v>2.532692781448906E-3</v>
      </c>
      <c r="D128" s="7">
        <f t="shared" si="48"/>
        <v>0.29265407832178425</v>
      </c>
      <c r="E128" s="7">
        <f>MAX((1-Parameters!$B$4)^Parameters!B$65*E127+B127*Parameters!B$65-Parameters!$B$5*B127^2/E127*Parameters!B$65,0.0001)</f>
        <v>0.81866913767270011</v>
      </c>
      <c r="F128" s="9">
        <f>(1-Parameters!$B$4)^Parameters!B$65*F127+C127*Parameters!B$65-Parameters!$B$5*C127^2/F127*Parameters!B$65</f>
        <v>3.8756024306315778E-2</v>
      </c>
      <c r="G128" s="7">
        <f>(1-Parameters!$B$4)^Parameters!B$65*G127+D127*Parameters!B$65-Parameters!$B$5*D127^2/G127*Parameters!B$65</f>
        <v>4.3395154130797886</v>
      </c>
      <c r="H128" s="7">
        <f>H127 *(1-Parameters!$B$4)-B127*(B127&lt;0)*Parameters!B$65</f>
        <v>0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23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232.15787157297885</v>
      </c>
      <c r="L128" s="8">
        <f>L127+K128*Parameters!B$65</f>
        <v>17097.3036747611</v>
      </c>
      <c r="M128" s="7">
        <f>M127+Parameters!$B$45*K128</f>
        <v>10.258382204856659</v>
      </c>
      <c r="N128" s="7">
        <f>'6states'!O128</f>
        <v>0.9520348096302752</v>
      </c>
      <c r="O128" s="7">
        <f>MAX(O127+(Parameters!B$31-K128)*Parameters!B$65,30)</f>
        <v>30</v>
      </c>
      <c r="P128" s="7">
        <f>Parameters!B$61*EXP(-Parameters!B$60*A128)+(1-Parameters!B$61)*(O128/Parameters!B$62)^-Parameters!B$63</f>
        <v>0.54378218608674134</v>
      </c>
      <c r="Q128" s="9">
        <f>1-P128/Parameters!$B$12</f>
        <v>0.72810890695662933</v>
      </c>
      <c r="R128" s="23">
        <f t="shared" si="34"/>
        <v>3.6779432117715056</v>
      </c>
      <c r="S128" s="7">
        <f>(Parameters!$B$19*(E128+Parameters!$B$20)^Q128+Parameters!$B$18*F128^Q128)^(1/Q128)</f>
        <v>0.53668523566040138</v>
      </c>
      <c r="T128" s="7">
        <f>(Parameters!$B$10*G128^Parameters!$B$9 + Parameters!$B$11*S128^Parameters!$B$9) ^ (Parameters!$B$7/Parameters!$B$9) * N128</f>
        <v>1.4551000652648818</v>
      </c>
      <c r="U128" s="7">
        <f t="shared" si="35"/>
        <v>1.104674499470236</v>
      </c>
      <c r="V128" s="7">
        <f>EXP(-Parameters!$B$55*A128)</f>
        <v>0.15375420854803312</v>
      </c>
      <c r="W128" s="7">
        <f>IF(U128&gt;0,U128^(1-Parameters!$B$52)/(1-Parameters!$B$52)*V128,-10+U128*1000)</f>
        <v>-0.42425498370693748</v>
      </c>
      <c r="X128" s="7"/>
      <c r="Y128" s="7"/>
      <c r="Z128" s="7"/>
      <c r="AA128" s="7"/>
    </row>
    <row r="129" spans="1:27" x14ac:dyDescent="0.3">
      <c r="A129">
        <f>A128+Parameters!$B$65</f>
        <v>125</v>
      </c>
      <c r="B129" s="9">
        <f t="shared" si="48"/>
        <v>5.5238794691412761E-2</v>
      </c>
      <c r="C129" s="9">
        <f t="shared" si="48"/>
        <v>2.532692781448906E-3</v>
      </c>
      <c r="D129" s="7">
        <f t="shared" si="48"/>
        <v>0.29265407832178425</v>
      </c>
      <c r="E129" s="7">
        <f>MAX((1-Parameters!$B$4)^Parameters!B$65*E128+B128*Parameters!B$65-Parameters!$B$5*B128^2/E128*Parameters!B$65,0.0001)</f>
        <v>0.81868646702174253</v>
      </c>
      <c r="F129" s="9">
        <f>(1-Parameters!$B$4)^Parameters!B$65*F128+C128*Parameters!B$65-Parameters!$B$5*C128^2/F128*Parameters!B$65</f>
        <v>3.8685452561770514E-2</v>
      </c>
      <c r="G129" s="7">
        <f>(1-Parameters!$B$4)^Parameters!B$65*G128+D128*Parameters!B$65-Parameters!$B$5*D128^2/G128*Parameters!B$65</f>
        <v>4.339477572481206</v>
      </c>
      <c r="H129" s="7">
        <f>H128 *(1-Parameters!$B$4)-B128*(B128&lt;0)*Parameters!B$65</f>
        <v>0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23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235.1194143437408</v>
      </c>
      <c r="L129" s="8">
        <f>L128+K129*Parameters!B$65</f>
        <v>17332.423089104843</v>
      </c>
      <c r="M129" s="7">
        <f>M128+Parameters!$B$45*K129</f>
        <v>10.399453853462903</v>
      </c>
      <c r="N129" s="7">
        <f>'6states'!O129</f>
        <v>0.95201253784968631</v>
      </c>
      <c r="O129" s="7">
        <f>MAX(O128+(Parameters!B$31-K129)*Parameters!B$65,30)</f>
        <v>30</v>
      </c>
      <c r="P129" s="7">
        <f>Parameters!B$61*EXP(-Parameters!B$60*A129)+(1-Parameters!B$61)*(O129/Parameters!B$62)^-Parameters!B$63</f>
        <v>0.5433139487302957</v>
      </c>
      <c r="Q129" s="9">
        <f>1-P129/Parameters!$B$12</f>
        <v>0.7283430256348522</v>
      </c>
      <c r="R129" s="23">
        <f t="shared" si="34"/>
        <v>3.6811129268334182</v>
      </c>
      <c r="S129" s="7">
        <f>(Parameters!$B$19*(E129+Parameters!$B$20)^Q129+Parameters!$B$18*F129^Q129)^(1/Q129)</f>
        <v>0.53670342584695063</v>
      </c>
      <c r="T129" s="7">
        <f>(Parameters!$B$10*G129^Parameters!$B$9 + Parameters!$B$11*S129^Parameters!$B$9) ^ (Parameters!$B$7/Parameters!$B$9) * N129</f>
        <v>1.4550658126593623</v>
      </c>
      <c r="U129" s="7">
        <f t="shared" si="35"/>
        <v>1.1046402468647165</v>
      </c>
      <c r="V129" s="7">
        <f>EXP(-Parameters!$B$55*A129)</f>
        <v>0.15144996085152654</v>
      </c>
      <c r="W129" s="7">
        <f>IF(U129&gt;0,U129^(1-Parameters!$B$52)/(1-Parameters!$B$52)*V129,-10+U129*1000)</f>
        <v>-0.41790139340526522</v>
      </c>
      <c r="X129" s="7"/>
      <c r="Y129" s="7"/>
      <c r="Z129" s="7"/>
      <c r="AA129" s="7"/>
    </row>
    <row r="130" spans="1:27" x14ac:dyDescent="0.3">
      <c r="A130">
        <f>A129+Parameters!$B$65</f>
        <v>126</v>
      </c>
      <c r="B130" s="9">
        <f t="shared" si="48"/>
        <v>5.5238794691412761E-2</v>
      </c>
      <c r="C130" s="9">
        <f t="shared" si="48"/>
        <v>2.532692781448906E-3</v>
      </c>
      <c r="D130" s="7">
        <f t="shared" si="48"/>
        <v>0.29265407832178425</v>
      </c>
      <c r="E130" s="7">
        <f>MAX((1-Parameters!$B$4)^Parameters!B$65*E129+B129*Parameters!B$65-Parameters!$B$5*B129^2/E129*Parameters!B$65,0.0001)</f>
        <v>0.81870278524884477</v>
      </c>
      <c r="F130" s="9">
        <f>(1-Parameters!$B$4)^Parameters!B$65*F129+C129*Parameters!B$65-Parameters!$B$5*C129^2/F129*Parameters!B$65</f>
        <v>3.8619017848073027E-2</v>
      </c>
      <c r="G130" s="7">
        <f>(1-Parameters!$B$4)^Parameters!B$65*G129+D129*Parameters!B$65-Parameters!$B$5*D129^2/G129*Parameters!B$65</f>
        <v>4.3394419399532609</v>
      </c>
      <c r="H130" s="7">
        <f>H129 *(1-Parameters!$B$4)-B129*(B129&lt;0)*Parameters!B$65</f>
        <v>0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23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238.11975044175171</v>
      </c>
      <c r="L130" s="8">
        <f>L129+K130*Parameters!B$65</f>
        <v>17570.542839546593</v>
      </c>
      <c r="M130" s="7">
        <f>M129+Parameters!$B$45*K130</f>
        <v>10.542325703727954</v>
      </c>
      <c r="N130" s="7">
        <f>'6states'!O130</f>
        <v>0.9520014903788464</v>
      </c>
      <c r="O130" s="7">
        <f>MAX(O129+(Parameters!B$31-K130)*Parameters!B$65,30)</f>
        <v>30</v>
      </c>
      <c r="P130" s="7">
        <f>Parameters!B$61*EXP(-Parameters!B$60*A130)+(1-Parameters!B$61)*(O130/Parameters!B$62)^-Parameters!B$63</f>
        <v>0.54285818463569757</v>
      </c>
      <c r="Q130" s="9">
        <f>1-P130/Parameters!$B$12</f>
        <v>0.72857090768215116</v>
      </c>
      <c r="R130" s="23">
        <f t="shared" si="34"/>
        <v>3.6842034560870882</v>
      </c>
      <c r="S130" s="7">
        <f>(Parameters!$B$19*(E130+Parameters!$B$20)^Q130+Parameters!$B$18*F130^Q130)^(1/Q130)</f>
        <v>0.53672221289290545</v>
      </c>
      <c r="T130" s="7">
        <f>(Parameters!$B$10*G130^Parameters!$B$9 + Parameters!$B$11*S130^Parameters!$B$9) ^ (Parameters!$B$7/Parameters!$B$9) * N130</f>
        <v>1.4550489877774047</v>
      </c>
      <c r="U130" s="7">
        <f t="shared" si="35"/>
        <v>1.1046234219827586</v>
      </c>
      <c r="V130" s="7">
        <f>EXP(-Parameters!$B$55*A130)</f>
        <v>0.14918024591673743</v>
      </c>
      <c r="W130" s="7">
        <f>IF(U130&gt;0,U130^(1-Parameters!$B$52)/(1-Parameters!$B$52)*V130,-10+U130*1000)</f>
        <v>-0.41164068073284832</v>
      </c>
      <c r="X130" s="7"/>
      <c r="Y130" s="7"/>
      <c r="Z130" s="7"/>
      <c r="AA130" s="7"/>
    </row>
    <row r="131" spans="1:27" x14ac:dyDescent="0.3">
      <c r="A131">
        <f>A130+Parameters!$B$65</f>
        <v>127</v>
      </c>
      <c r="B131" s="9">
        <f t="shared" si="48"/>
        <v>5.5238794691412761E-2</v>
      </c>
      <c r="C131" s="9">
        <f t="shared" si="48"/>
        <v>2.532692781448906E-3</v>
      </c>
      <c r="D131" s="7">
        <f t="shared" si="48"/>
        <v>0.29265407832178425</v>
      </c>
      <c r="E131" s="7">
        <f>MAX((1-Parameters!$B$4)^Parameters!B$65*E130+B130*Parameters!B$65-Parameters!$B$5*B130^2/E130*Parameters!B$65,0.0001)</f>
        <v>0.81871815134725956</v>
      </c>
      <c r="F131" s="9">
        <f>(1-Parameters!$B$4)^Parameters!B$65*F130+C130*Parameters!B$65-Parameters!$B$5*C130^2/F130*Parameters!B$65</f>
        <v>3.8556476637368879E-2</v>
      </c>
      <c r="G131" s="7">
        <f>(1-Parameters!$B$4)^Parameters!B$65*G130+D130*Parameters!B$65-Parameters!$B$5*D130^2/G130*Parameters!B$65</f>
        <v>4.3394083866481026</v>
      </c>
      <c r="H131" s="7">
        <f>H130 *(1-Parameters!$B$4)-B130*(B130&lt;0)*Parameters!B$65</f>
        <v>0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23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241.15938864207817</v>
      </c>
      <c r="L131" s="8">
        <f>L130+K131*Parameters!B$65</f>
        <v>17811.702228188671</v>
      </c>
      <c r="M131" s="7">
        <f>M130+Parameters!$B$45*K131</f>
        <v>10.687021336913201</v>
      </c>
      <c r="N131" s="7">
        <f>'6states'!O131</f>
        <v>0.95200076848934989</v>
      </c>
      <c r="O131" s="7">
        <f>MAX(O130+(Parameters!B$31-K131)*Parameters!B$65,30)</f>
        <v>30</v>
      </c>
      <c r="P131" s="7">
        <f>Parameters!B$61*EXP(-Parameters!B$60*A131)+(1-Parameters!B$61)*(O131/Parameters!B$62)^-Parameters!B$63</f>
        <v>0.54241456153073742</v>
      </c>
      <c r="Q131" s="9">
        <f>1-P131/Parameters!$B$12</f>
        <v>0.72879271923463129</v>
      </c>
      <c r="R131" s="23">
        <f t="shared" si="34"/>
        <v>3.6872166454304609</v>
      </c>
      <c r="S131" s="7">
        <f>(Parameters!$B$19*(E131+Parameters!$B$20)^Q131+Parameters!$B$18*F131^Q131)^(1/Q131)</f>
        <v>0.53674151632069245</v>
      </c>
      <c r="T131" s="7">
        <f>(Parameters!$B$10*G131^Parameters!$B$9 + Parameters!$B$11*S131^Parameters!$B$9) ^ (Parameters!$B$7/Parameters!$B$9) * N131</f>
        <v>1.4550481938590634</v>
      </c>
      <c r="U131" s="7">
        <f t="shared" si="35"/>
        <v>1.1046226280644174</v>
      </c>
      <c r="V131" s="7">
        <f>EXP(-Parameters!$B$55*A131)</f>
        <v>0.14694454621613023</v>
      </c>
      <c r="W131" s="7">
        <f>IF(U131&gt;0,U131^(1-Parameters!$B$52)/(1-Parameters!$B$52)*V131,-10+U131*1000)</f>
        <v>-0.40547170222649048</v>
      </c>
      <c r="X131" s="7"/>
      <c r="Y131" s="7"/>
      <c r="Z131" s="7"/>
      <c r="AA131" s="7"/>
    </row>
    <row r="132" spans="1:27" x14ac:dyDescent="0.3">
      <c r="A132">
        <f>A131+Parameters!$B$65</f>
        <v>128</v>
      </c>
      <c r="B132" s="9">
        <f t="shared" si="48"/>
        <v>5.5238794691412761E-2</v>
      </c>
      <c r="C132" s="9">
        <f t="shared" si="48"/>
        <v>2.532692781448906E-3</v>
      </c>
      <c r="D132" s="7">
        <f t="shared" si="48"/>
        <v>0.29265407832178425</v>
      </c>
      <c r="E132" s="7">
        <f>MAX((1-Parameters!$B$4)^Parameters!B$65*E131+B131*Parameters!B$65-Parameters!$B$5*B131^2/E131*Parameters!B$65,0.0001)</f>
        <v>0.81873262086866261</v>
      </c>
      <c r="F132" s="9">
        <f>(1-Parameters!$B$4)^Parameters!B$65*F131+C131*Parameters!B$65-Parameters!$B$5*C131^2/F131*Parameters!B$65</f>
        <v>3.8497599847011198E-2</v>
      </c>
      <c r="G132" s="7">
        <f>(1-Parameters!$B$4)^Parameters!B$65*G131+D131*Parameters!B$65-Parameters!$B$5*D131^2/G131*Parameters!B$65</f>
        <v>4.3393767912368686</v>
      </c>
      <c r="H132" s="7">
        <f>H131 *(1-Parameters!$B$4)-B131*(B131&lt;0)*Parameters!B$65</f>
        <v>0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23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244.23884387654883</v>
      </c>
      <c r="L132" s="8">
        <f>L131+K132*Parameters!B$65</f>
        <v>18055.941072065219</v>
      </c>
      <c r="M132" s="7">
        <f>M131+Parameters!$B$45*K132</f>
        <v>10.83356464323913</v>
      </c>
      <c r="N132" s="7">
        <f>'6states'!O132</f>
        <v>0.95200003736942695</v>
      </c>
      <c r="O132" s="7">
        <f>MAX(O131+(Parameters!B$31-K132)*Parameters!B$65,30)</f>
        <v>30</v>
      </c>
      <c r="P132" s="7">
        <f>Parameters!B$61*EXP(-Parameters!B$60*A132)+(1-Parameters!B$61)*(O132/Parameters!B$62)^-Parameters!B$63</f>
        <v>0.5419827559945245</v>
      </c>
      <c r="Q132" s="9">
        <f>1-P132/Parameters!$B$12</f>
        <v>0.72900862200273775</v>
      </c>
      <c r="R132" s="23">
        <f t="shared" si="34"/>
        <v>3.6901543045037495</v>
      </c>
      <c r="S132" s="7">
        <f>(Parameters!$B$19*(E132+Parameters!$B$20)^Q132+Parameters!$B$18*F132^Q132)^(1/Q132)</f>
        <v>0.53676126166233284</v>
      </c>
      <c r="T132" s="7">
        <f>(Parameters!$B$10*G132^Parameters!$B$9 + Parameters!$B$11*S132^Parameters!$B$9) ^ (Parameters!$B$7/Parameters!$B$9) * N132</f>
        <v>1.4550476135048842</v>
      </c>
      <c r="U132" s="7">
        <f t="shared" si="35"/>
        <v>1.1046220477102384</v>
      </c>
      <c r="V132" s="7">
        <f>EXP(-Parameters!$B$55*A132)</f>
        <v>0.14474235197813023</v>
      </c>
      <c r="W132" s="7">
        <f>IF(U132&gt;0,U132^(1-Parameters!$B$52)/(1-Parameters!$B$52)*V132,-10+U132*1000)</f>
        <v>-0.3993951469730434</v>
      </c>
      <c r="X132" s="7"/>
      <c r="Y132" s="7"/>
      <c r="Z132" s="7"/>
      <c r="AA132" s="7"/>
    </row>
    <row r="133" spans="1:27" x14ac:dyDescent="0.3">
      <c r="A133">
        <f>A132+Parameters!$B$65</f>
        <v>129</v>
      </c>
      <c r="B133" s="9">
        <f t="shared" si="48"/>
        <v>5.5238794691412761E-2</v>
      </c>
      <c r="C133" s="9">
        <f t="shared" si="48"/>
        <v>2.532692781448906E-3</v>
      </c>
      <c r="D133" s="7">
        <f t="shared" si="48"/>
        <v>0.29265407832178425</v>
      </c>
      <c r="E133" s="7">
        <f>MAX((1-Parameters!$B$4)^Parameters!B$65*E132+B132*Parameters!B$65-Parameters!$B$5*B132^2/E132*Parameters!B$65,0.0001)</f>
        <v>0.81874624612388991</v>
      </c>
      <c r="F133" s="9">
        <f>(1-Parameters!$B$4)^Parameters!B$65*F132+C132*Parameters!B$65-Parameters!$B$5*C132^2/F132*Parameters!B$65</f>
        <v>3.8442171971002595E-2</v>
      </c>
      <c r="G133" s="7">
        <f>(1-Parameters!$B$4)^Parameters!B$65*G132+D132*Parameters!B$65-Parameters!$B$5*D132^2/G132*Parameters!B$65</f>
        <v>4.3393470394708729</v>
      </c>
      <c r="H133" s="7">
        <f>H132 *(1-Parameters!$B$4)-B132*(B132&lt;0)*Parameters!B$65</f>
        <v>0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23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247.35863733693105</v>
      </c>
      <c r="L133" s="8">
        <f>L132+K133*Parameters!B$65</f>
        <v>18303.299709402152</v>
      </c>
      <c r="M133" s="7">
        <f>M132+Parameters!$B$45*K133</f>
        <v>10.981979825641289</v>
      </c>
      <c r="N133" s="7">
        <f>'6states'!O133</f>
        <v>0.95199929690098684</v>
      </c>
      <c r="O133" s="7">
        <f>MAX(O132+(Parameters!B$31-K133)*Parameters!B$65,30)</f>
        <v>30</v>
      </c>
      <c r="P133" s="7">
        <f>Parameters!B$61*EXP(-Parameters!B$60*A133)+(1-Parameters!B$61)*(O133/Parameters!B$62)^-Parameters!B$63</f>
        <v>0.54156245322169916</v>
      </c>
      <c r="Q133" s="9">
        <f>1-P133/Parameters!$B$12</f>
        <v>0.72921877338915042</v>
      </c>
      <c r="R133" s="23">
        <f t="shared" ref="R133:R196" si="49">1/(1-Q133)</f>
        <v>3.6930182070455704</v>
      </c>
      <c r="S133" s="7">
        <f>(Parameters!$B$19*(E133+Parameters!$B$20)^Q133+Parameters!$B$18*F133^Q133)^(1/Q133)</f>
        <v>0.53678138006859033</v>
      </c>
      <c r="T133" s="7">
        <f>(Parameters!$B$10*G133^Parameters!$B$9 + Parameters!$B$11*S133^Parameters!$B$9) ^ (Parameters!$B$7/Parameters!$B$9) * N133</f>
        <v>1.4550472264315182</v>
      </c>
      <c r="U133" s="7">
        <f t="shared" ref="U133:U196" si="50">T133-B133-C133-D133</f>
        <v>1.1046216606368722</v>
      </c>
      <c r="V133" s="7">
        <f>EXP(-Parameters!$B$55*A133)</f>
        <v>0.14257316107088844</v>
      </c>
      <c r="W133" s="7">
        <f>IF(U133&gt;0,U133^(1-Parameters!$B$52)/(1-Parameters!$B$52)*V133,-10+U133*1000)</f>
        <v>-0.3934096332265371</v>
      </c>
      <c r="X133" s="7"/>
      <c r="Y133" s="7"/>
      <c r="Z133" s="7"/>
      <c r="AA133" s="7"/>
    </row>
    <row r="134" spans="1:27" x14ac:dyDescent="0.3">
      <c r="A134">
        <f>A133+Parameters!$B$65</f>
        <v>130</v>
      </c>
      <c r="B134" s="9">
        <f t="shared" si="48"/>
        <v>5.5238794691412761E-2</v>
      </c>
      <c r="C134" s="9">
        <f t="shared" si="48"/>
        <v>2.532692781448906E-3</v>
      </c>
      <c r="D134" s="7">
        <f t="shared" si="48"/>
        <v>0.29265407832178425</v>
      </c>
      <c r="E134" s="7">
        <f>MAX((1-Parameters!$B$4)^Parameters!B$65*E133+B133*Parameters!B$65-Parameters!$B$5*B133^2/E133*Parameters!B$65,0.0001)</f>
        <v>0.81875907637197087</v>
      </c>
      <c r="F134" s="9">
        <f>(1-Parameters!$B$4)^Parameters!B$65*F133+C133*Parameters!B$65-Parameters!$B$5*C133^2/F133*Parameters!B$65</f>
        <v>3.8389990264870368E-2</v>
      </c>
      <c r="G134" s="7">
        <f>(1-Parameters!$B$4)^Parameters!B$65*G133+D133*Parameters!B$65-Parameters!$B$5*D133^2/G133*Parameters!B$65</f>
        <v>4.3393190237684109</v>
      </c>
      <c r="H134" s="7">
        <f>H133 *(1-Parameters!$B$4)-B133*(B133&lt;0)*Parameters!B$65</f>
        <v>0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23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250.51929657832292</v>
      </c>
      <c r="L134" s="8">
        <f>L133+K134*Parameters!B$65</f>
        <v>18553.819005980477</v>
      </c>
      <c r="M134" s="7">
        <f>M133+Parameters!$B$45*K134</f>
        <v>11.132291403588283</v>
      </c>
      <c r="N134" s="7">
        <f>'6states'!O134</f>
        <v>0.95199854696442598</v>
      </c>
      <c r="O134" s="7">
        <f>MAX(O133+(Parameters!B$31-K134)*Parameters!B$65,30)</f>
        <v>30</v>
      </c>
      <c r="P134" s="7">
        <f>Parameters!B$61*EXP(-Parameters!B$60*A134)+(1-Parameters!B$61)*(O134/Parameters!B$62)^-Parameters!B$63</f>
        <v>0.54115334679292582</v>
      </c>
      <c r="Q134" s="9">
        <f>1-P134/Parameters!$B$12</f>
        <v>0.72942332660353704</v>
      </c>
      <c r="R134" s="23">
        <f t="shared" si="49"/>
        <v>3.6958100912666194</v>
      </c>
      <c r="S134" s="7">
        <f>(Parameters!$B$19*(E134+Parameters!$B$20)^Q134+Parameters!$B$18*F134^Q134)^(1/Q134)</f>
        <v>0.53680180794207832</v>
      </c>
      <c r="T134" s="7">
        <f>(Parameters!$B$10*G134^Parameters!$B$9 + Parameters!$B$11*S134^Parameters!$B$9) ^ (Parameters!$B$7/Parameters!$B$9) * N134</f>
        <v>1.4550470137250269</v>
      </c>
      <c r="U134" s="7">
        <f t="shared" si="50"/>
        <v>1.1046214479303811</v>
      </c>
      <c r="V134" s="7">
        <f>EXP(-Parameters!$B$55*A134)</f>
        <v>0.14043647888778818</v>
      </c>
      <c r="W134" s="7">
        <f>IF(U134&gt;0,U134^(1-Parameters!$B$52)/(1-Parameters!$B$52)*V134,-10+U134*1000)</f>
        <v>-0.38751379964828536</v>
      </c>
      <c r="X134" s="7"/>
      <c r="Y134" s="7"/>
      <c r="Z134" s="7"/>
      <c r="AA134" s="7"/>
    </row>
    <row r="135" spans="1:27" x14ac:dyDescent="0.3">
      <c r="A135">
        <f>A134+Parameters!$B$65</f>
        <v>131</v>
      </c>
      <c r="B135" s="9">
        <f t="shared" si="48"/>
        <v>5.5238794691412761E-2</v>
      </c>
      <c r="C135" s="9">
        <f t="shared" si="48"/>
        <v>2.532692781448906E-3</v>
      </c>
      <c r="D135" s="7">
        <f t="shared" si="48"/>
        <v>0.29265407832178425</v>
      </c>
      <c r="E135" s="7">
        <f>MAX((1-Parameters!$B$4)^Parameters!B$65*E134+B134*Parameters!B$65-Parameters!$B$5*B134^2/E134*Parameters!B$65,0.0001)</f>
        <v>0.81877115799813938</v>
      </c>
      <c r="F135" s="9">
        <f>(1-Parameters!$B$4)^Parameters!B$65*F134+C134*Parameters!B$65-Parameters!$B$5*C134^2/F134*Parameters!B$65</f>
        <v>3.8340863980570017E-2</v>
      </c>
      <c r="G135" s="7">
        <f>(1-Parameters!$B$4)^Parameters!B$65*G134+D134*Parameters!B$65-Parameters!$B$5*D134^2/G134*Parameters!B$65</f>
        <v>4.3392926428256793</v>
      </c>
      <c r="H135" s="7">
        <f>H134 *(1-Parameters!$B$4)-B134*(B134&lt;0)*Parameters!B$65</f>
        <v>0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23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253.72135562281849</v>
      </c>
      <c r="L135" s="8">
        <f>L134+K135*Parameters!B$65</f>
        <v>18807.540361603296</v>
      </c>
      <c r="M135" s="7">
        <f>M134+Parameters!$B$45*K135</f>
        <v>11.284524216961975</v>
      </c>
      <c r="N135" s="7">
        <f>'6states'!O135</f>
        <v>0.9519977874386093</v>
      </c>
      <c r="O135" s="7">
        <f>MAX(O134+(Parameters!B$31-K135)*Parameters!B$65,30)</f>
        <v>30</v>
      </c>
      <c r="P135" s="7">
        <f>Parameters!B$61*EXP(-Parameters!B$60*A135)+(1-Parameters!B$61)*(O135/Parameters!B$62)^-Parameters!B$63</f>
        <v>0.54075513845149936</v>
      </c>
      <c r="Q135" s="9">
        <f>1-P135/Parameters!$B$12</f>
        <v>0.72962243077425026</v>
      </c>
      <c r="R135" s="23">
        <f t="shared" si="49"/>
        <v>3.6985316602393796</v>
      </c>
      <c r="S135" s="7">
        <f>(Parameters!$B$19*(E135+Parameters!$B$20)^Q135+Parameters!$B$18*F135^Q135)^(1/Q135)</f>
        <v>0.53682248659293441</v>
      </c>
      <c r="T135" s="7">
        <f>(Parameters!$B$10*G135^Parameters!$B$9 + Parameters!$B$11*S135^Parameters!$B$9) ^ (Parameters!$B$7/Parameters!$B$9) * N135</f>
        <v>1.4550469577547176</v>
      </c>
      <c r="U135" s="7">
        <f t="shared" si="50"/>
        <v>1.1046213919600718</v>
      </c>
      <c r="V135" s="7">
        <f>EXP(-Parameters!$B$55*A135)</f>
        <v>0.13833181823466795</v>
      </c>
      <c r="W135" s="7">
        <f>IF(U135&gt;0,U135^(1-Parameters!$B$52)/(1-Parameters!$B$52)*V135,-10+U135*1000)</f>
        <v>-0.38170630502532094</v>
      </c>
      <c r="X135" s="7"/>
      <c r="Y135" s="7"/>
      <c r="Z135" s="7"/>
      <c r="AA135" s="7"/>
    </row>
    <row r="136" spans="1:27" x14ac:dyDescent="0.3">
      <c r="A136">
        <f>A135+Parameters!$B$65</f>
        <v>132</v>
      </c>
      <c r="B136" s="9">
        <f t="shared" si="48"/>
        <v>5.5238794691412761E-2</v>
      </c>
      <c r="C136" s="9">
        <f t="shared" si="48"/>
        <v>2.532692781448906E-3</v>
      </c>
      <c r="D136" s="7">
        <f t="shared" si="48"/>
        <v>0.29265407832178425</v>
      </c>
      <c r="E136" s="7">
        <f>MAX((1-Parameters!$B$4)^Parameters!B$65*E135+B135*Parameters!B$65-Parameters!$B$5*B135^2/E135*Parameters!B$65,0.0001)</f>
        <v>0.818782534681465</v>
      </c>
      <c r="F136" s="9">
        <f>(1-Parameters!$B$4)^Parameters!B$65*F135+C135*Parameters!B$65-Parameters!$B$5*C135^2/F135*Parameters!B$65</f>
        <v>3.829461364823937E-2</v>
      </c>
      <c r="G136" s="7">
        <f>(1-Parameters!$B$4)^Parameters!B$65*G135+D135*Parameters!B$65-Parameters!$B$5*D135^2/G135*Parameters!B$65</f>
        <v>4.3392678012504051</v>
      </c>
      <c r="H136" s="7">
        <f>H135 *(1-Parameters!$B$4)-B135*(B135&lt;0)*Parameters!B$65</f>
        <v>0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23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256.96535506349926</v>
      </c>
      <c r="L136" s="8">
        <f>L135+K136*Parameters!B$65</f>
        <v>19064.505716666794</v>
      </c>
      <c r="M136" s="7">
        <f>M135+Parameters!$B$45*K136</f>
        <v>11.438703430000075</v>
      </c>
      <c r="N136" s="7">
        <f>'6states'!O136</f>
        <v>0.95199701820084992</v>
      </c>
      <c r="O136" s="7">
        <f>MAX(O135+(Parameters!B$31-K136)*Parameters!B$65,30)</f>
        <v>30</v>
      </c>
      <c r="P136" s="7">
        <f>Parameters!B$61*EXP(-Parameters!B$60*A136)+(1-Parameters!B$61)*(O136/Parameters!B$62)^-Parameters!B$63</f>
        <v>0.54036753788590319</v>
      </c>
      <c r="Q136" s="9">
        <f>1-P136/Parameters!$B$12</f>
        <v>0.7298162310570484</v>
      </c>
      <c r="R136" s="23">
        <f t="shared" si="49"/>
        <v>3.7011845823023761</v>
      </c>
      <c r="S136" s="7">
        <f>(Parameters!$B$19*(E136+Parameters!$B$20)^Q136+Parameters!$B$18*F136^Q136)^(1/Q136)</f>
        <v>0.53684336191574122</v>
      </c>
      <c r="T136" s="7">
        <f>(Parameters!$B$10*G136^Parameters!$B$9 + Parameters!$B$11*S136^Parameters!$B$9) ^ (Parameters!$B$7/Parameters!$B$9) * N136</f>
        <v>1.4550470420921544</v>
      </c>
      <c r="U136" s="7">
        <f t="shared" si="50"/>
        <v>1.1046214762975084</v>
      </c>
      <c r="V136" s="7">
        <f>EXP(-Parameters!$B$55*A136)</f>
        <v>0.13625869921873399</v>
      </c>
      <c r="W136" s="7">
        <f>IF(U136&gt;0,U136^(1-Parameters!$B$52)/(1-Parameters!$B$52)*V136,-10+U136*1000)</f>
        <v>-0.37598582799118385</v>
      </c>
      <c r="X136" s="7"/>
      <c r="Y136" s="7"/>
      <c r="Z136" s="7"/>
      <c r="AA136" s="7"/>
    </row>
    <row r="137" spans="1:27" x14ac:dyDescent="0.3">
      <c r="A137">
        <f>A136+Parameters!$B$65</f>
        <v>133</v>
      </c>
      <c r="B137" s="9">
        <f t="shared" si="48"/>
        <v>5.5238794691412761E-2</v>
      </c>
      <c r="C137" s="9">
        <f t="shared" si="48"/>
        <v>2.532692781448906E-3</v>
      </c>
      <c r="D137" s="7">
        <f t="shared" si="48"/>
        <v>0.29265407832178425</v>
      </c>
      <c r="E137" s="7">
        <f>MAX((1-Parameters!$B$4)^Parameters!B$65*E136+B136*Parameters!B$65-Parameters!$B$5*B136^2/E136*Parameters!B$65,0.0001)</f>
        <v>0.81879324755270977</v>
      </c>
      <c r="F137" s="9">
        <f>(1-Parameters!$B$4)^Parameters!B$65*F136+C136*Parameters!B$65-Parameters!$B$5*C136^2/F136*Parameters!B$65</f>
        <v>3.8251070401837103E-2</v>
      </c>
      <c r="G137" s="7">
        <f>(1-Parameters!$B$4)^Parameters!B$65*G136+D136*Parameters!B$65-Parameters!$B$5*D136^2/G136*Parameters!B$65</f>
        <v>4.3392444092168621</v>
      </c>
      <c r="H137" s="7">
        <f>H136 *(1-Parameters!$B$4)-B136*(B136&lt;0)*Parameters!B$65</f>
        <v>0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23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260.25184216880854</v>
      </c>
      <c r="L137" s="8">
        <f>L136+K137*Parameters!B$65</f>
        <v>19324.757558835601</v>
      </c>
      <c r="M137" s="7">
        <f>M136+Parameters!$B$45*K137</f>
        <v>11.59485453530136</v>
      </c>
      <c r="N137" s="7">
        <f>'6states'!O137</f>
        <v>0.95199623912688958</v>
      </c>
      <c r="O137" s="7">
        <f>MAX(O136+(Parameters!B$31-K137)*Parameters!B$65,30)</f>
        <v>30</v>
      </c>
      <c r="P137" s="7">
        <f>Parameters!B$61*EXP(-Parameters!B$60*A137)+(1-Parameters!B$61)*(O137/Parameters!B$62)^-Parameters!B$63</f>
        <v>0.53999026251815896</v>
      </c>
      <c r="Q137" s="9">
        <f>1-P137/Parameters!$B$12</f>
        <v>0.73000486874092052</v>
      </c>
      <c r="R137" s="23">
        <f t="shared" si="49"/>
        <v>3.7037704914776004</v>
      </c>
      <c r="S137" s="7">
        <f>(Parameters!$B$19*(E137+Parameters!$B$20)^Q137+Parameters!$B$18*F137^Q137)^(1/Q137)</f>
        <v>0.53686438408644399</v>
      </c>
      <c r="T137" s="7">
        <f>(Parameters!$B$10*G137^Parameters!$B$9 + Parameters!$B$11*S137^Parameters!$B$9) ^ (Parameters!$B$7/Parameters!$B$9) * N137</f>
        <v>1.4550472514350605</v>
      </c>
      <c r="U137" s="7">
        <f t="shared" si="50"/>
        <v>1.1046216856404145</v>
      </c>
      <c r="V137" s="7">
        <f>EXP(-Parameters!$B$55*A137)</f>
        <v>0.13421664913913783</v>
      </c>
      <c r="W137" s="7">
        <f>IF(U137&gt;0,U137^(1-Parameters!$B$52)/(1-Parameters!$B$52)*V137,-10+U137*1000)</f>
        <v>-0.37035106674916618</v>
      </c>
      <c r="X137" s="7"/>
      <c r="Y137" s="7"/>
      <c r="Z137" s="7"/>
      <c r="AA137" s="7"/>
    </row>
    <row r="138" spans="1:27" x14ac:dyDescent="0.3">
      <c r="A138">
        <f>A137+Parameters!$B$65</f>
        <v>134</v>
      </c>
      <c r="B138" s="9">
        <f t="shared" ref="B138:D153" si="51">B137</f>
        <v>5.5238794691412761E-2</v>
      </c>
      <c r="C138" s="9">
        <f t="shared" si="51"/>
        <v>2.532692781448906E-3</v>
      </c>
      <c r="D138" s="7">
        <f t="shared" si="51"/>
        <v>0.29265407832178425</v>
      </c>
      <c r="E138" s="7">
        <f>MAX((1-Parameters!$B$4)^Parameters!B$65*E137+B137*Parameters!B$65-Parameters!$B$5*B137^2/E137*Parameters!B$65,0.0001)</f>
        <v>0.81880333534297822</v>
      </c>
      <c r="F138" s="9">
        <f>(1-Parameters!$B$4)^Parameters!B$65*F137+C137*Parameters!B$65-Parameters!$B$5*C137^2/F137*Parameters!B$65</f>
        <v>3.8210075345896148E-2</v>
      </c>
      <c r="G138" s="7">
        <f>(1-Parameters!$B$4)^Parameters!B$65*G137+D137*Parameters!B$65-Parameters!$B$5*D137^2/G137*Parameters!B$65</f>
        <v>4.339222382141017</v>
      </c>
      <c r="H138" s="7">
        <f>H137 *(1-Parameters!$B$4)-B137*(B137&lt;0)*Parameters!B$65</f>
        <v>0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23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263.5813709873554</v>
      </c>
      <c r="L138" s="8">
        <f>L137+K138*Parameters!B$65</f>
        <v>19588.338929822956</v>
      </c>
      <c r="M138" s="7">
        <f>M137+Parameters!$B$45*K138</f>
        <v>11.753003357893773</v>
      </c>
      <c r="N138" s="7">
        <f>'6states'!O138</f>
        <v>0.95199545009087805</v>
      </c>
      <c r="O138" s="7">
        <f>MAX(O137+(Parameters!B$31-K138)*Parameters!B$65,30)</f>
        <v>30</v>
      </c>
      <c r="P138" s="7">
        <f>Parameters!B$61*EXP(-Parameters!B$60*A138)+(1-Parameters!B$61)*(O138/Parameters!B$62)^-Parameters!B$63</f>
        <v>0.53962303729781491</v>
      </c>
      <c r="Q138" s="9">
        <f>1-P138/Parameters!$B$12</f>
        <v>0.7301884813510926</v>
      </c>
      <c r="R138" s="23">
        <f t="shared" si="49"/>
        <v>3.7062909878997838</v>
      </c>
      <c r="S138" s="7">
        <f>(Parameters!$B$19*(E138+Parameters!$B$20)^Q138+Parameters!$B$18*F138^Q138)^(1/Q138)</f>
        <v>0.53688550727807938</v>
      </c>
      <c r="T138" s="7">
        <f>(Parameters!$B$10*G138^Parameters!$B$9 + Parameters!$B$11*S138^Parameters!$B$9) ^ (Parameters!$B$7/Parameters!$B$9) * N138</f>
        <v>1.4550475715358204</v>
      </c>
      <c r="U138" s="7">
        <f t="shared" si="50"/>
        <v>1.1046220057411746</v>
      </c>
      <c r="V138" s="7">
        <f>EXP(-Parameters!$B$55*A138)</f>
        <v>0.13220520237919381</v>
      </c>
      <c r="W138" s="7">
        <f>IF(U138&gt;0,U138^(1-Parameters!$B$52)/(1-Parameters!$B$52)*V138,-10+U138*1000)</f>
        <v>-0.36480073879810482</v>
      </c>
      <c r="X138" s="7"/>
      <c r="Y138" s="7"/>
      <c r="Z138" s="7"/>
      <c r="AA138" s="7"/>
    </row>
    <row r="139" spans="1:27" x14ac:dyDescent="0.3">
      <c r="A139">
        <f>A138+Parameters!$B$65</f>
        <v>135</v>
      </c>
      <c r="B139" s="9">
        <f t="shared" si="51"/>
        <v>5.5238794691412761E-2</v>
      </c>
      <c r="C139" s="9">
        <f t="shared" si="51"/>
        <v>2.532692781448906E-3</v>
      </c>
      <c r="D139" s="7">
        <f t="shared" si="51"/>
        <v>0.29265407832178425</v>
      </c>
      <c r="E139" s="7">
        <f>MAX((1-Parameters!$B$4)^Parameters!B$65*E138+B138*Parameters!B$65-Parameters!$B$5*B138^2/E138*Parameters!B$65,0.0001)</f>
        <v>0.81881283452370024</v>
      </c>
      <c r="F139" s="9">
        <f>(1-Parameters!$B$4)^Parameters!B$65*F138+C138*Parameters!B$65-Parameters!$B$5*C138^2/F138*Parameters!B$65</f>
        <v>3.8171478960805312E-2</v>
      </c>
      <c r="G139" s="7">
        <f>(1-Parameters!$B$4)^Parameters!B$65*G138+D138*Parameters!B$65-Parameters!$B$5*D138^2/G138*Parameters!B$65</f>
        <v>4.3392016403746405</v>
      </c>
      <c r="H139" s="7">
        <f>H138 *(1-Parameters!$B$4)-B138*(B138&lt;0)*Parameters!B$65</f>
        <v>0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23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266.95450245320347</v>
      </c>
      <c r="L139" s="8">
        <f>L138+K139*Parameters!B$65</f>
        <v>19855.293432276158</v>
      </c>
      <c r="M139" s="7">
        <f>M138+Parameters!$B$45*K139</f>
        <v>11.913176059365695</v>
      </c>
      <c r="N139" s="7">
        <f>'6states'!O139</f>
        <v>0.95199465096535341</v>
      </c>
      <c r="O139" s="7">
        <f>MAX(O138+(Parameters!B$31-K139)*Parameters!B$65,30)</f>
        <v>30</v>
      </c>
      <c r="P139" s="7">
        <f>Parameters!B$61*EXP(-Parameters!B$60*A139)+(1-Parameters!B$61)*(O139/Parameters!B$62)^-Parameters!B$63</f>
        <v>0.53926559450142175</v>
      </c>
      <c r="Q139" s="9">
        <f>1-P139/Parameters!$B$12</f>
        <v>0.73036720274928912</v>
      </c>
      <c r="R139" s="23">
        <f t="shared" si="49"/>
        <v>3.708747638256249</v>
      </c>
      <c r="S139" s="7">
        <f>(Parameters!$B$19*(E139+Parameters!$B$20)^Q139+Parameters!$B$18*F139^Q139)^(1/Q139)</f>
        <v>0.5369066893942035</v>
      </c>
      <c r="T139" s="7">
        <f>(Parameters!$B$10*G139^Parameters!$B$9 + Parameters!$B$11*S139^Parameters!$B$9) ^ (Parameters!$B$7/Parameters!$B$9) * N139</f>
        <v>1.45504798913432</v>
      </c>
      <c r="U139" s="7">
        <f t="shared" si="50"/>
        <v>1.104622423339674</v>
      </c>
      <c r="V139" s="7">
        <f>EXP(-Parameters!$B$55*A139)</f>
        <v>0.13022390030021183</v>
      </c>
      <c r="W139" s="7">
        <f>IF(U139&gt;0,U139^(1-Parameters!$B$52)/(1-Parameters!$B$52)*V139,-10+U139*1000)</f>
        <v>-0.35933358066080573</v>
      </c>
      <c r="X139" s="7"/>
      <c r="Y139" s="7"/>
      <c r="Z139" s="7"/>
      <c r="AA139" s="7"/>
    </row>
    <row r="140" spans="1:27" x14ac:dyDescent="0.3">
      <c r="A140">
        <f>A139+Parameters!$B$65</f>
        <v>136</v>
      </c>
      <c r="B140" s="9">
        <f t="shared" si="51"/>
        <v>5.5238794691412761E-2</v>
      </c>
      <c r="C140" s="9">
        <f t="shared" si="51"/>
        <v>2.532692781448906E-3</v>
      </c>
      <c r="D140" s="7">
        <f t="shared" si="51"/>
        <v>0.29265407832178425</v>
      </c>
      <c r="E140" s="7">
        <f>MAX((1-Parameters!$B$4)^Parameters!B$65*E139+B139*Parameters!B$65-Parameters!$B$5*B139^2/E139*Parameters!B$65,0.0001)</f>
        <v>0.81882177943844914</v>
      </c>
      <c r="F140" s="9">
        <f>(1-Parameters!$B$4)^Parameters!B$65*F139+C139*Parameters!B$65-Parameters!$B$5*C139^2/F139*Parameters!B$65</f>
        <v>3.8135140544202716E-2</v>
      </c>
      <c r="G140" s="7">
        <f>(1-Parameters!$B$4)^Parameters!B$65*G139+D139*Parameters!B$65-Parameters!$B$5*D139^2/G139*Parameters!B$65</f>
        <v>4.3391821089172691</v>
      </c>
      <c r="H140" s="7">
        <f>H139 *(1-Parameters!$B$4)-B139*(B139&lt;0)*Parameters!B$65</f>
        <v>0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23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270.37180449168875</v>
      </c>
      <c r="L140" s="8">
        <f>L139+K140*Parameters!B$65</f>
        <v>20125.665236767847</v>
      </c>
      <c r="M140" s="7">
        <f>M139+Parameters!$B$45*K140</f>
        <v>12.075399142060707</v>
      </c>
      <c r="N140" s="7">
        <f>'6states'!O140</f>
        <v>0.95199384162122036</v>
      </c>
      <c r="O140" s="7">
        <f>MAX(O139+(Parameters!B$31-K140)*Parameters!B$65,30)</f>
        <v>30</v>
      </c>
      <c r="P140" s="7">
        <f>Parameters!B$61*EXP(-Parameters!B$60*A140)+(1-Parameters!B$61)*(O140/Parameters!B$62)^-Parameters!B$63</f>
        <v>0.53891767353735065</v>
      </c>
      <c r="Q140" s="9">
        <f>1-P140/Parameters!$B$12</f>
        <v>0.73054116323132468</v>
      </c>
      <c r="R140" s="23">
        <f t="shared" si="49"/>
        <v>3.7111419762361653</v>
      </c>
      <c r="S140" s="7">
        <f>(Parameters!$B$19*(E140+Parameters!$B$20)^Q140+Parameters!$B$18*F140^Q140)^(1/Q140)</f>
        <v>0.53692789181895562</v>
      </c>
      <c r="T140" s="7">
        <f>(Parameters!$B$10*G140^Parameters!$B$9 + Parameters!$B$11*S140^Parameters!$B$9) ^ (Parameters!$B$7/Parameters!$B$9) * N140</f>
        <v>1.4550484918948685</v>
      </c>
      <c r="U140" s="7">
        <f t="shared" si="50"/>
        <v>1.1046229261002227</v>
      </c>
      <c r="V140" s="7">
        <f>EXP(-Parameters!$B$55*A140)</f>
        <v>0.12827229113692101</v>
      </c>
      <c r="W140" s="7">
        <f>IF(U140&gt;0,U140^(1-Parameters!$B$52)/(1-Parameters!$B$52)*V140,-10+U140*1000)</f>
        <v>-0.35394834761516686</v>
      </c>
      <c r="X140" s="7"/>
      <c r="Y140" s="7"/>
      <c r="Z140" s="7"/>
      <c r="AA140" s="7"/>
    </row>
    <row r="141" spans="1:27" x14ac:dyDescent="0.3">
      <c r="A141">
        <f>A140+Parameters!$B$65</f>
        <v>137</v>
      </c>
      <c r="B141" s="9">
        <f t="shared" si="51"/>
        <v>5.5238794691412761E-2</v>
      </c>
      <c r="C141" s="9">
        <f t="shared" si="51"/>
        <v>2.532692781448906E-3</v>
      </c>
      <c r="D141" s="7">
        <f t="shared" si="51"/>
        <v>0.29265407832178425</v>
      </c>
      <c r="E141" s="7">
        <f>MAX((1-Parameters!$B$4)^Parameters!B$65*E140+B140*Parameters!B$65-Parameters!$B$5*B140^2/E140*Parameters!B$65,0.0001)</f>
        <v>0.81883020242707261</v>
      </c>
      <c r="F141" s="9">
        <f>(1-Parameters!$B$4)^Parameters!B$65*F140+C140*Parameters!B$65-Parameters!$B$5*C140^2/F140*Parameters!B$65</f>
        <v>3.8100927686223064E-2</v>
      </c>
      <c r="G141" s="7">
        <f>(1-Parameters!$B$4)^Parameters!B$65*G140+D140*Parameters!B$65-Parameters!$B$5*D140^2/G140*Parameters!B$65</f>
        <v>4.3391637171449764</v>
      </c>
      <c r="H141" s="7">
        <f>H140 *(1-Parameters!$B$4)-B140*(B140&lt;0)*Parameters!B$65</f>
        <v>0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23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273.83385212581601</v>
      </c>
      <c r="L141" s="8">
        <f>L140+K141*Parameters!B$65</f>
        <v>20399.499088893663</v>
      </c>
      <c r="M141" s="7">
        <f>M140+Parameters!$B$45*K141</f>
        <v>12.239699453336197</v>
      </c>
      <c r="N141" s="7">
        <f>'6states'!O141</f>
        <v>0.95199302192773028</v>
      </c>
      <c r="O141" s="7">
        <f>MAX(O140+(Parameters!B$31-K141)*Parameters!B$65,30)</f>
        <v>30</v>
      </c>
      <c r="P141" s="7">
        <f>Parameters!B$61*EXP(-Parameters!B$60*A141)+(1-Parameters!B$61)*(O141/Parameters!B$62)^-Parameters!B$63</f>
        <v>0.53857902075580999</v>
      </c>
      <c r="Q141" s="9">
        <f>1-P141/Parameters!$B$12</f>
        <v>0.73071048962209506</v>
      </c>
      <c r="R141" s="23">
        <f t="shared" si="49"/>
        <v>3.7134755029880639</v>
      </c>
      <c r="S141" s="7">
        <f>(Parameters!$B$19*(E141+Parameters!$B$20)^Q141+Parameters!$B$18*F141^Q141)^(1/Q141)</f>
        <v>0.53694907918276935</v>
      </c>
      <c r="T141" s="7">
        <f>(Parameters!$B$10*G141^Parameters!$B$9 + Parameters!$B$11*S141^Parameters!$B$9) ^ (Parameters!$B$7/Parameters!$B$9) * N141</f>
        <v>1.4550490683469648</v>
      </c>
      <c r="U141" s="7">
        <f t="shared" si="50"/>
        <v>1.104623502552319</v>
      </c>
      <c r="V141" s="7">
        <f>EXP(-Parameters!$B$55*A141)</f>
        <v>0.12634992989446087</v>
      </c>
      <c r="W141" s="7">
        <f>IF(U141&gt;0,U141^(1-Parameters!$B$52)/(1-Parameters!$B$52)*V141,-10+U141*1000)</f>
        <v>-0.34864381342806716</v>
      </c>
      <c r="X141" s="7"/>
      <c r="Y141" s="7"/>
      <c r="Z141" s="7"/>
      <c r="AA141" s="7"/>
    </row>
    <row r="142" spans="1:27" x14ac:dyDescent="0.3">
      <c r="A142">
        <f>A141+Parameters!$B$65</f>
        <v>138</v>
      </c>
      <c r="B142" s="9">
        <f t="shared" si="51"/>
        <v>5.5238794691412761E-2</v>
      </c>
      <c r="C142" s="9">
        <f t="shared" si="51"/>
        <v>2.532692781448906E-3</v>
      </c>
      <c r="D142" s="7">
        <f t="shared" si="51"/>
        <v>0.29265407832178425</v>
      </c>
      <c r="E142" s="7">
        <f>MAX((1-Parameters!$B$4)^Parameters!B$65*E141+B141*Parameters!B$65-Parameters!$B$5*B141^2/E141*Parameters!B$65,0.0001)</f>
        <v>0.81883813394258398</v>
      </c>
      <c r="F142" s="9">
        <f>(1-Parameters!$B$4)^Parameters!B$65*F141+C141*Parameters!B$65-Parameters!$B$5*C141^2/F141*Parameters!B$65</f>
        <v>3.8068715776488168E-2</v>
      </c>
      <c r="G142" s="7">
        <f>(1-Parameters!$B$4)^Parameters!B$65*G141+D141*Parameters!B$65-Parameters!$B$5*D141^2/G141*Parameters!B$65</f>
        <v>4.3391463985549743</v>
      </c>
      <c r="H142" s="7">
        <f>H141 *(1-Parameters!$B$4)-B141*(B141&lt;0)*Parameters!B$65</f>
        <v>0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23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277.34122758327823</v>
      </c>
      <c r="L142" s="8">
        <f>L141+K142*Parameters!B$65</f>
        <v>20676.840316476941</v>
      </c>
      <c r="M142" s="7">
        <f>M141+Parameters!$B$45*K142</f>
        <v>12.406104189886165</v>
      </c>
      <c r="N142" s="7">
        <f>'6states'!O142</f>
        <v>0.95199219175245942</v>
      </c>
      <c r="O142" s="7">
        <f>MAX(O141+(Parameters!B$31-K142)*Parameters!B$65,30)</f>
        <v>30</v>
      </c>
      <c r="P142" s="7">
        <f>Parameters!B$61*EXP(-Parameters!B$60*A142)+(1-Parameters!B$61)*(O142/Parameters!B$62)^-Parameters!B$63</f>
        <v>0.53824938926392385</v>
      </c>
      <c r="Q142" s="9">
        <f>1-P142/Parameters!$B$12</f>
        <v>0.73087530536803813</v>
      </c>
      <c r="R142" s="23">
        <f t="shared" si="49"/>
        <v>3.7157496875845508</v>
      </c>
      <c r="S142" s="7">
        <f>(Parameters!$B$19*(E142+Parameters!$B$20)^Q142+Parameters!$B$18*F142^Q142)^(1/Q142)</f>
        <v>0.53697021914278187</v>
      </c>
      <c r="T142" s="7">
        <f>(Parameters!$B$10*G142^Parameters!$B$9 + Parameters!$B$11*S142^Parameters!$B$9) ^ (Parameters!$B$7/Parameters!$B$9) * N142</f>
        <v>1.4550497078296809</v>
      </c>
      <c r="U142" s="7">
        <f t="shared" si="50"/>
        <v>1.1046241420350351</v>
      </c>
      <c r="V142" s="7">
        <f>EXP(-Parameters!$B$55*A142)</f>
        <v>0.12445637824691602</v>
      </c>
      <c r="W142" s="7">
        <f>IF(U142&gt;0,U142^(1-Parameters!$B$52)/(1-Parameters!$B$52)*V142,-10+U142*1000)</f>
        <v>-0.343418770092072</v>
      </c>
      <c r="X142" s="7"/>
      <c r="Y142" s="7"/>
      <c r="Z142" s="7"/>
      <c r="AA142" s="7"/>
    </row>
    <row r="143" spans="1:27" x14ac:dyDescent="0.3">
      <c r="A143">
        <f>A142+Parameters!$B$65</f>
        <v>139</v>
      </c>
      <c r="B143" s="9">
        <f t="shared" si="51"/>
        <v>5.5238794691412761E-2</v>
      </c>
      <c r="C143" s="9">
        <f t="shared" si="51"/>
        <v>2.532692781448906E-3</v>
      </c>
      <c r="D143" s="7">
        <f t="shared" si="51"/>
        <v>0.29265407832178425</v>
      </c>
      <c r="E143" s="7">
        <f>MAX((1-Parameters!$B$4)^Parameters!B$65*E142+B142*Parameters!B$65-Parameters!$B$5*B142^2/E142*Parameters!B$65,0.0001)</f>
        <v>0.81884560266123563</v>
      </c>
      <c r="F143" s="9">
        <f>(1-Parameters!$B$4)^Parameters!B$65*F142+C142*Parameters!B$65-Parameters!$B$5*C142^2/F142*Parameters!B$65</f>
        <v>3.8038387540867385E-2</v>
      </c>
      <c r="G143" s="7">
        <f>(1-Parameters!$B$4)^Parameters!B$65*G142+D142*Parameters!B$65-Parameters!$B$5*D142^2/G142*Parameters!B$65</f>
        <v>4.3391300905251216</v>
      </c>
      <c r="H143" s="7">
        <f>H142 *(1-Parameters!$B$4)-B142*(B142&lt;0)*Parameters!B$65</f>
        <v>0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23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280.89452040414511</v>
      </c>
      <c r="L143" s="8">
        <f>L142+K143*Parameters!B$65</f>
        <v>20957.734836881085</v>
      </c>
      <c r="M143" s="7">
        <f>M142+Parameters!$B$45*K143</f>
        <v>12.574640902128651</v>
      </c>
      <c r="N143" s="7">
        <f>'6states'!O143</f>
        <v>0.95199135096128717</v>
      </c>
      <c r="O143" s="7">
        <f>MAX(O142+(Parameters!B$31-K143)*Parameters!B$65,30)</f>
        <v>30</v>
      </c>
      <c r="P143" s="7">
        <f>Parameters!B$61*EXP(-Parameters!B$60*A143)+(1-Parameters!B$61)*(O143/Parameters!B$62)^-Parameters!B$63</f>
        <v>0.5379285387457361</v>
      </c>
      <c r="Q143" s="9">
        <f>1-P143/Parameters!$B$12</f>
        <v>0.73103573062713201</v>
      </c>
      <c r="R143" s="23">
        <f t="shared" si="49"/>
        <v>3.7179659674932117</v>
      </c>
      <c r="S143" s="7">
        <f>(Parameters!$B$19*(E143+Parameters!$B$20)^Q143+Parameters!$B$18*F143^Q143)^(1/Q143)</f>
        <v>0.53699128217706249</v>
      </c>
      <c r="T143" s="7">
        <f>(Parameters!$B$10*G143^Parameters!$B$9 + Parameters!$B$11*S143^Parameters!$B$9) ^ (Parameters!$B$7/Parameters!$B$9) * N143</f>
        <v>1.455050400439448</v>
      </c>
      <c r="U143" s="7">
        <f t="shared" si="50"/>
        <v>1.104624834644802</v>
      </c>
      <c r="V143" s="7">
        <f>EXP(-Parameters!$B$55*A143)</f>
        <v>0.12259120443737162</v>
      </c>
      <c r="W143" s="7">
        <f>IF(U143&gt;0,U143^(1-Parameters!$B$52)/(1-Parameters!$B$52)*V143,-10+U143*1000)</f>
        <v>-0.33827202756500313</v>
      </c>
      <c r="X143" s="7"/>
      <c r="Y143" s="7"/>
      <c r="Z143" s="7"/>
      <c r="AA143" s="7"/>
    </row>
    <row r="144" spans="1:27" x14ac:dyDescent="0.3">
      <c r="A144">
        <f>A143+Parameters!$B$65</f>
        <v>140</v>
      </c>
      <c r="B144" s="9">
        <f t="shared" si="51"/>
        <v>5.5238794691412761E-2</v>
      </c>
      <c r="C144" s="9">
        <f t="shared" si="51"/>
        <v>2.532692781448906E-3</v>
      </c>
      <c r="D144" s="7">
        <f t="shared" si="51"/>
        <v>0.29265407832178425</v>
      </c>
      <c r="E144" s="7">
        <f>MAX((1-Parameters!$B$4)^Parameters!B$65*E143+B143*Parameters!B$65-Parameters!$B$5*B143^2/E143*Parameters!B$65,0.0001)</f>
        <v>0.81885263558617249</v>
      </c>
      <c r="F144" s="9">
        <f>(1-Parameters!$B$4)^Parameters!B$65*F143+C143*Parameters!B$65-Parameters!$B$5*C143^2/F143*Parameters!B$65</f>
        <v>3.8009832606162676E-2</v>
      </c>
      <c r="G144" s="7">
        <f>(1-Parameters!$B$4)^Parameters!B$65*G143+D143*Parameters!B$65-Parameters!$B$5*D143^2/G143*Parameters!B$65</f>
        <v>4.3391147340874676</v>
      </c>
      <c r="H144" s="7">
        <f>H143 *(1-Parameters!$B$4)-B143*(B143&lt;0)*Parameters!B$65</f>
        <v>0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23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284.49432754926096</v>
      </c>
      <c r="L144" s="8">
        <f>L143+K144*Parameters!B$65</f>
        <v>21242.229164430348</v>
      </c>
      <c r="M144" s="7">
        <f>M143+Parameters!$B$45*K144</f>
        <v>12.745337498658207</v>
      </c>
      <c r="N144" s="7">
        <f>'6states'!O144</f>
        <v>0.95199049941837499</v>
      </c>
      <c r="O144" s="7">
        <f>MAX(O143+(Parameters!B$31-K144)*Parameters!B$65,30)</f>
        <v>30</v>
      </c>
      <c r="P144" s="7">
        <f>Parameters!B$61*EXP(-Parameters!B$60*A144)+(1-Parameters!B$61)*(O144/Parameters!B$62)^-Parameters!B$63</f>
        <v>0.53761623528700919</v>
      </c>
      <c r="Q144" s="9">
        <f>1-P144/Parameters!$B$12</f>
        <v>0.73119188235649535</v>
      </c>
      <c r="R144" s="23">
        <f t="shared" si="49"/>
        <v>3.7201257490527406</v>
      </c>
      <c r="S144" s="7">
        <f>(Parameters!$B$19*(E144+Parameters!$B$20)^Q144+Parameters!$B$18*F144^Q144)^(1/Q144)</f>
        <v>0.53701224139181702</v>
      </c>
      <c r="T144" s="7">
        <f>(Parameters!$B$10*G144^Parameters!$B$9 + Parameters!$B$11*S144^Parameters!$B$9) ^ (Parameters!$B$7/Parameters!$B$9) * N144</f>
        <v>1.4550511369810482</v>
      </c>
      <c r="U144" s="7">
        <f t="shared" si="50"/>
        <v>1.1046255711864021</v>
      </c>
      <c r="V144" s="7">
        <f>EXP(-Parameters!$B$55*A144)</f>
        <v>0.12075398317946676</v>
      </c>
      <c r="W144" s="7">
        <f>IF(U144&gt;0,U144^(1-Parameters!$B$52)/(1-Parameters!$B$52)*V144,-10+U144*1000)</f>
        <v>-0.3332024135124112</v>
      </c>
      <c r="X144" s="7"/>
      <c r="Y144" s="7"/>
      <c r="Z144" s="7"/>
      <c r="AA144" s="7"/>
    </row>
    <row r="145" spans="1:27" x14ac:dyDescent="0.3">
      <c r="A145">
        <f>A144+Parameters!$B$65</f>
        <v>141</v>
      </c>
      <c r="B145" s="9">
        <f t="shared" si="51"/>
        <v>5.5238794691412761E-2</v>
      </c>
      <c r="C145" s="9">
        <f t="shared" si="51"/>
        <v>2.532692781448906E-3</v>
      </c>
      <c r="D145" s="7">
        <f t="shared" si="51"/>
        <v>0.29265407832178425</v>
      </c>
      <c r="E145" s="7">
        <f>MAX((1-Parameters!$B$4)^Parameters!B$65*E144+B144*Parameters!B$65-Parameters!$B$5*B144^2/E144*Parameters!B$65,0.0001)</f>
        <v>0.8188592581450399</v>
      </c>
      <c r="F145" s="9">
        <f>(1-Parameters!$B$4)^Parameters!B$65*F144+C144*Parameters!B$65-Parameters!$B$5*C144^2/F144*Parameters!B$65</f>
        <v>3.7982947090991814E-2</v>
      </c>
      <c r="G145" s="7">
        <f>(1-Parameters!$B$4)^Parameters!B$65*G144+D144*Parameters!B$65-Parameters!$B$5*D144^2/G144*Parameters!B$65</f>
        <v>4.3391002737150091</v>
      </c>
      <c r="H145" s="7">
        <f>H144 *(1-Parameters!$B$4)-B144*(B144&lt;0)*Parameters!B$65</f>
        <v>0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23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288.14125350939793</v>
      </c>
      <c r="L145" s="8">
        <f>L144+K145*Parameters!B$65</f>
        <v>21530.370417939746</v>
      </c>
      <c r="M145" s="7">
        <f>M144+Parameters!$B$45*K145</f>
        <v>12.918222250763845</v>
      </c>
      <c r="N145" s="7">
        <f>'6states'!O145</f>
        <v>0.95198963698614358</v>
      </c>
      <c r="O145" s="7">
        <f>MAX(O144+(Parameters!B$31-K145)*Parameters!B$65,30)</f>
        <v>30</v>
      </c>
      <c r="P145" s="7">
        <f>Parameters!B$61*EXP(-Parameters!B$60*A145)+(1-Parameters!B$61)*(O145/Parameters!B$62)^-Parameters!B$63</f>
        <v>0.53731225120469028</v>
      </c>
      <c r="Q145" s="9">
        <f>1-P145/Parameters!$B$12</f>
        <v>0.7313438743976548</v>
      </c>
      <c r="R145" s="23">
        <f t="shared" si="49"/>
        <v>3.7222304079534103</v>
      </c>
      <c r="S145" s="7">
        <f>(Parameters!$B$19*(E145+Parameters!$B$20)^Q145+Parameters!$B$18*F145^Q145)^(1/Q145)</f>
        <v>0.53703307234078634</v>
      </c>
      <c r="T145" s="7">
        <f>(Parameters!$B$10*G145^Parameters!$B$9 + Parameters!$B$11*S145^Parameters!$B$9) ^ (Parameters!$B$7/Parameters!$B$9) * N145</f>
        <v>1.4550519089216125</v>
      </c>
      <c r="U145" s="7">
        <f t="shared" si="50"/>
        <v>1.1046263431269665</v>
      </c>
      <c r="V145" s="7">
        <f>EXP(-Parameters!$B$55*A145)</f>
        <v>0.11894429556042277</v>
      </c>
      <c r="W145" s="7">
        <f>IF(U145&gt;0,U145^(1-Parameters!$B$52)/(1-Parameters!$B$52)*V145,-10+U145*1000)</f>
        <v>-0.32820877305298352</v>
      </c>
      <c r="X145" s="7"/>
      <c r="Y145" s="7"/>
      <c r="Z145" s="7"/>
      <c r="AA145" s="7"/>
    </row>
    <row r="146" spans="1:27" x14ac:dyDescent="0.3">
      <c r="A146">
        <f>A145+Parameters!$B$65</f>
        <v>142</v>
      </c>
      <c r="B146" s="9">
        <f t="shared" si="51"/>
        <v>5.5238794691412761E-2</v>
      </c>
      <c r="C146" s="9">
        <f t="shared" si="51"/>
        <v>2.532692781448906E-3</v>
      </c>
      <c r="D146" s="7">
        <f t="shared" si="51"/>
        <v>0.29265407832178425</v>
      </c>
      <c r="E146" s="7">
        <f>MAX((1-Parameters!$B$4)^Parameters!B$65*E145+B145*Parameters!B$65-Parameters!$B$5*B145^2/E145*Parameters!B$65,0.0001)</f>
        <v>0.81886549428189781</v>
      </c>
      <c r="F146" s="9">
        <f>(1-Parameters!$B$4)^Parameters!B$65*F145+C145*Parameters!B$65-Parameters!$B$5*C145^2/F145*Parameters!B$65</f>
        <v>3.7957633221254596E-2</v>
      </c>
      <c r="G146" s="7">
        <f>(1-Parameters!$B$4)^Parameters!B$65*G145+D145*Parameters!B$65-Parameters!$B$5*D145^2/G145*Parameters!B$65</f>
        <v>4.3390866571208946</v>
      </c>
      <c r="H146" s="7">
        <f>H145 *(1-Parameters!$B$4)-B145*(B145&lt;0)*Parameters!B$65</f>
        <v>0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23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291.83591041520191</v>
      </c>
      <c r="L146" s="8">
        <f>L145+K146*Parameters!B$65</f>
        <v>21822.206328354947</v>
      </c>
      <c r="M146" s="7">
        <f>M145+Parameters!$B$45*K146</f>
        <v>13.093323797012966</v>
      </c>
      <c r="N146" s="7">
        <f>'6states'!O146</f>
        <v>0.9519887635252513</v>
      </c>
      <c r="O146" s="7">
        <f>MAX(O145+(Parameters!B$31-K146)*Parameters!B$65,30)</f>
        <v>30</v>
      </c>
      <c r="P146" s="7">
        <f>Parameters!B$61*EXP(-Parameters!B$60*A146)+(1-Parameters!B$61)*(O146/Parameters!B$62)^-Parameters!B$63</f>
        <v>0.53701636488092086</v>
      </c>
      <c r="Q146" s="9">
        <f>1-P146/Parameters!$B$12</f>
        <v>0.73149181755953951</v>
      </c>
      <c r="R146" s="23">
        <f t="shared" si="49"/>
        <v>3.7242812897210009</v>
      </c>
      <c r="S146" s="7">
        <f>(Parameters!$B$19*(E146+Parameters!$B$20)^Q146+Parameters!$B$18*F146^Q146)^(1/Q146)</f>
        <v>0.53705375285609169</v>
      </c>
      <c r="T146" s="7">
        <f>(Parameters!$B$10*G146^Parameters!$B$9 + Parameters!$B$11*S146^Parameters!$B$9) ^ (Parameters!$B$7/Parameters!$B$9) * N146</f>
        <v>1.4550527083474554</v>
      </c>
      <c r="U146" s="7">
        <f t="shared" si="50"/>
        <v>1.1046271425528094</v>
      </c>
      <c r="V146" s="7">
        <f>EXP(-Parameters!$B$55*A146)</f>
        <v>0.11716172894552528</v>
      </c>
      <c r="W146" s="7">
        <f>IF(U146&gt;0,U146^(1-Parameters!$B$52)/(1-Parameters!$B$52)*V146,-10+U146*1000)</f>
        <v>-0.32328996850691427</v>
      </c>
      <c r="X146" s="7"/>
      <c r="Y146" s="7"/>
      <c r="Z146" s="7"/>
      <c r="AA146" s="7"/>
    </row>
    <row r="147" spans="1:27" x14ac:dyDescent="0.3">
      <c r="A147">
        <f>A146+Parameters!$B$65</f>
        <v>143</v>
      </c>
      <c r="B147" s="9">
        <f t="shared" si="51"/>
        <v>5.5238794691412761E-2</v>
      </c>
      <c r="C147" s="9">
        <f t="shared" si="51"/>
        <v>2.532692781448906E-3</v>
      </c>
      <c r="D147" s="7">
        <f t="shared" si="51"/>
        <v>0.29265407832178425</v>
      </c>
      <c r="E147" s="7">
        <f>MAX((1-Parameters!$B$4)^Parameters!B$65*E146+B146*Parameters!B$65-Parameters!$B$5*B146^2/E146*Parameters!B$65,0.0001)</f>
        <v>0.8188713665437739</v>
      </c>
      <c r="F147" s="9">
        <f>(1-Parameters!$B$4)^Parameters!B$65*F146+C146*Parameters!B$65-Parameters!$B$5*C146^2/F146*Parameters!B$65</f>
        <v>3.7933798968670079E-2</v>
      </c>
      <c r="G147" s="7">
        <f>(1-Parameters!$B$4)^Parameters!B$65*G146+D146*Parameters!B$65-Parameters!$B$5*D146^2/G146*Parameters!B$65</f>
        <v>4.3390738350693461</v>
      </c>
      <c r="H147" s="7">
        <f>H146 *(1-Parameters!$B$4)-B146*(B146&lt;0)*Parameters!B$65</f>
        <v>0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23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295.57891814797489</v>
      </c>
      <c r="L147" s="8">
        <f>L146+K147*Parameters!B$65</f>
        <v>22117.785246502921</v>
      </c>
      <c r="M147" s="7">
        <f>M146+Parameters!$B$45*K147</f>
        <v>13.270671147901751</v>
      </c>
      <c r="N147" s="7">
        <f>'6states'!O147</f>
        <v>0.95198787889457059</v>
      </c>
      <c r="O147" s="7">
        <f>MAX(O146+(Parameters!B$31-K147)*Parameters!B$65,30)</f>
        <v>30</v>
      </c>
      <c r="P147" s="7">
        <f>Parameters!B$61*EXP(-Parameters!B$60*A147)+(1-Parameters!B$61)*(O147/Parameters!B$62)^-Parameters!B$63</f>
        <v>0.53672836060146656</v>
      </c>
      <c r="Q147" s="9">
        <f>1-P147/Parameters!$B$12</f>
        <v>0.73163581969926672</v>
      </c>
      <c r="R147" s="23">
        <f t="shared" si="49"/>
        <v>3.7262797102034395</v>
      </c>
      <c r="S147" s="7">
        <f>(Parameters!$B$19*(E147+Parameters!$B$20)^Q147+Parameters!$B$18*F147^Q147)^(1/Q147)</f>
        <v>0.53707426288983307</v>
      </c>
      <c r="T147" s="7">
        <f>(Parameters!$B$10*G147^Parameters!$B$9 + Parameters!$B$11*S147^Parameters!$B$9) ^ (Parameters!$B$7/Parameters!$B$9) * N147</f>
        <v>1.4550535279235675</v>
      </c>
      <c r="U147" s="7">
        <f t="shared" si="50"/>
        <v>1.1046279621289217</v>
      </c>
      <c r="V147" s="7">
        <f>EXP(-Parameters!$B$55*A147)</f>
        <v>0.11540587688403768</v>
      </c>
      <c r="W147" s="7">
        <f>IF(U147&gt;0,U147^(1-Parameters!$B$52)/(1-Parameters!$B$52)*V147,-10+U147*1000)</f>
        <v>-0.31844487914725639</v>
      </c>
      <c r="X147" s="7"/>
      <c r="Y147" s="7"/>
      <c r="Z147" s="7"/>
      <c r="AA147" s="7"/>
    </row>
    <row r="148" spans="1:27" x14ac:dyDescent="0.3">
      <c r="A148">
        <f>A147+Parameters!$B$65</f>
        <v>144</v>
      </c>
      <c r="B148" s="9">
        <f t="shared" si="51"/>
        <v>5.5238794691412761E-2</v>
      </c>
      <c r="C148" s="9">
        <f t="shared" si="51"/>
        <v>2.532692781448906E-3</v>
      </c>
      <c r="D148" s="7">
        <f t="shared" si="51"/>
        <v>0.29265407832178425</v>
      </c>
      <c r="E148" s="7">
        <f>MAX((1-Parameters!$B$4)^Parameters!B$65*E147+B147*Parameters!B$65-Parameters!$B$5*B147^2/E147*Parameters!B$65,0.0001)</f>
        <v>0.81887689616216797</v>
      </c>
      <c r="F148" s="9">
        <f>(1-Parameters!$B$4)^Parameters!B$65*F147+C147*Parameters!B$65-Parameters!$B$5*C147^2/F147*Parameters!B$65</f>
        <v>3.7911357710969602E-2</v>
      </c>
      <c r="G148" s="7">
        <f>(1-Parameters!$B$4)^Parameters!B$65*G147+D147*Parameters!B$65-Parameters!$B$5*D147^2/G147*Parameters!B$65</f>
        <v>4.3390617611976143</v>
      </c>
      <c r="H148" s="7">
        <f>H147 *(1-Parameters!$B$4)-B147*(B147&lt;0)*Parameters!B$65</f>
        <v>0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23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299.37090445132998</v>
      </c>
      <c r="L148" s="8">
        <f>L147+K148*Parameters!B$65</f>
        <v>22417.156150954252</v>
      </c>
      <c r="M148" s="7">
        <f>M147+Parameters!$B$45*K148</f>
        <v>13.450293690572549</v>
      </c>
      <c r="N148" s="7">
        <f>'6states'!O148</f>
        <v>0.95198698295116602</v>
      </c>
      <c r="O148" s="7">
        <f>MAX(O147+(Parameters!B$31-K148)*Parameters!B$65,30)</f>
        <v>30</v>
      </c>
      <c r="P148" s="7">
        <f>Parameters!B$61*EXP(-Parameters!B$60*A148)+(1-Parameters!B$61)*(O148/Parameters!B$62)^-Parameters!B$63</f>
        <v>0.53644802839845251</v>
      </c>
      <c r="Q148" s="9">
        <f>1-P148/Parameters!$B$12</f>
        <v>0.73177598580077374</v>
      </c>
      <c r="R148" s="23">
        <f t="shared" si="49"/>
        <v>3.7282269560593457</v>
      </c>
      <c r="S148" s="7">
        <f>(Parameters!$B$19*(E148+Parameters!$B$20)^Q148+Parameters!$B$18*F148^Q148)^(1/Q148)</f>
        <v>0.53709458436577739</v>
      </c>
      <c r="T148" s="7">
        <f>(Parameters!$B$10*G148^Parameters!$B$9 + Parameters!$B$11*S148^Parameters!$B$9) ^ (Parameters!$B$7/Parameters!$B$9) * N148</f>
        <v>1.4550543608556148</v>
      </c>
      <c r="U148" s="7">
        <f t="shared" si="50"/>
        <v>1.104628795060969</v>
      </c>
      <c r="V148" s="7">
        <f>EXP(-Parameters!$B$55*A148)</f>
        <v>0.11367633901652432</v>
      </c>
      <c r="W148" s="7">
        <f>IF(U148&gt;0,U148^(1-Parameters!$B$52)/(1-Parameters!$B$52)*V148,-10+U148*1000)</f>
        <v>-0.31367240095427157</v>
      </c>
      <c r="X148" s="7"/>
      <c r="Y148" s="7"/>
      <c r="Z148" s="7"/>
      <c r="AA148" s="7"/>
    </row>
    <row r="149" spans="1:27" x14ac:dyDescent="0.3">
      <c r="A149">
        <f>A148+Parameters!$B$65</f>
        <v>145</v>
      </c>
      <c r="B149" s="9">
        <f t="shared" si="51"/>
        <v>5.5238794691412761E-2</v>
      </c>
      <c r="C149" s="9">
        <f t="shared" si="51"/>
        <v>2.532692781448906E-3</v>
      </c>
      <c r="D149" s="7">
        <f t="shared" si="51"/>
        <v>0.29265407832178425</v>
      </c>
      <c r="E149" s="7">
        <f>MAX((1-Parameters!$B$4)^Parameters!B$65*E148+B148*Parameters!B$65-Parameters!$B$5*B148^2/E148*Parameters!B$65,0.0001)</f>
        <v>0.81888210312980181</v>
      </c>
      <c r="F149" s="9">
        <f>(1-Parameters!$B$4)^Parameters!B$65*F148+C148*Parameters!B$65-Parameters!$B$5*C148^2/F148*Parameters!B$65</f>
        <v>3.78902279124202E-2</v>
      </c>
      <c r="G149" s="7">
        <f>(1-Parameters!$B$4)^Parameters!B$65*G148+D148*Parameters!B$65-Parameters!$B$5*D148^2/G148*Parameters!B$65</f>
        <v>4.3390503918483274</v>
      </c>
      <c r="H149" s="7">
        <f>H148 *(1-Parameters!$B$4)-B148*(B148&lt;0)*Parameters!B$65</f>
        <v>0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23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303.21250504375939</v>
      </c>
      <c r="L149" s="8">
        <f>L148+K149*Parameters!B$65</f>
        <v>22720.368655998012</v>
      </c>
      <c r="M149" s="7">
        <f>M148+Parameters!$B$45*K149</f>
        <v>13.632221193598804</v>
      </c>
      <c r="N149" s="7">
        <f>'6states'!O149</f>
        <v>0.95198607555027015</v>
      </c>
      <c r="O149" s="7">
        <f>MAX(O148+(Parameters!B$31-K149)*Parameters!B$65,30)</f>
        <v>30</v>
      </c>
      <c r="P149" s="7">
        <f>Parameters!B$61*EXP(-Parameters!B$60*A149)+(1-Parameters!B$61)*(O149/Parameters!B$62)^-Parameters!B$63</f>
        <v>0.53617516389728759</v>
      </c>
      <c r="Q149" s="9">
        <f>1-P149/Parameters!$B$12</f>
        <v>0.73191241805135621</v>
      </c>
      <c r="R149" s="23">
        <f t="shared" si="49"/>
        <v>3.7301242852478151</v>
      </c>
      <c r="S149" s="7">
        <f>(Parameters!$B$19*(E149+Parameters!$B$20)^Q149+Parameters!$B$18*F149^Q149)^(1/Q149)</f>
        <v>0.53711470104052239</v>
      </c>
      <c r="T149" s="7">
        <f>(Parameters!$B$10*G149^Parameters!$B$9 + Parameters!$B$11*S149^Parameters!$B$9) ^ (Parameters!$B$7/Parameters!$B$9) * N149</f>
        <v>1.4550552008542883</v>
      </c>
      <c r="U149" s="7">
        <f t="shared" si="50"/>
        <v>1.1046296350596423</v>
      </c>
      <c r="V149" s="7">
        <f>EXP(-Parameters!$B$55*A149)</f>
        <v>0.11197272098356298</v>
      </c>
      <c r="W149" s="7">
        <f>IF(U149&gt;0,U149^(1-Parameters!$B$52)/(1-Parameters!$B$52)*V149,-10+U149*1000)</f>
        <v>-0.30897144637279006</v>
      </c>
      <c r="X149" s="7"/>
      <c r="Y149" s="7"/>
      <c r="Z149" s="7"/>
      <c r="AA149" s="7"/>
    </row>
    <row r="150" spans="1:27" x14ac:dyDescent="0.3">
      <c r="A150">
        <f>A149+Parameters!$B$65</f>
        <v>146</v>
      </c>
      <c r="B150" s="9">
        <f t="shared" si="51"/>
        <v>5.5238794691412761E-2</v>
      </c>
      <c r="C150" s="9">
        <f t="shared" si="51"/>
        <v>2.532692781448906E-3</v>
      </c>
      <c r="D150" s="7">
        <f t="shared" si="51"/>
        <v>0.29265407832178425</v>
      </c>
      <c r="E150" s="7">
        <f>MAX((1-Parameters!$B$4)^Parameters!B$65*E149+B149*Parameters!B$65-Parameters!$B$5*B149^2/E149*Parameters!B$65,0.0001)</f>
        <v>0.81888700627289235</v>
      </c>
      <c r="F150" s="9">
        <f>(1-Parameters!$B$4)^Parameters!B$65*F149+C149*Parameters!B$65-Parameters!$B$5*C149^2/F149*Parameters!B$65</f>
        <v>3.7870332823436992E-2</v>
      </c>
      <c r="G150" s="7">
        <f>(1-Parameters!$B$4)^Parameters!B$65*G149+D149*Parameters!B$65-Parameters!$B$5*D149^2/G149*Parameters!B$65</f>
        <v>4.3390396859116196</v>
      </c>
      <c r="H150" s="7">
        <f>H149 *(1-Parameters!$B$4)-B149*(B149&lt;0)*Parameters!B$65</f>
        <v>0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23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307.10436373215151</v>
      </c>
      <c r="L150" s="8">
        <f>L149+K150*Parameters!B$65</f>
        <v>23027.473019730165</v>
      </c>
      <c r="M150" s="7">
        <f>M149+Parameters!$B$45*K150</f>
        <v>13.816483811838095</v>
      </c>
      <c r="N150" s="7">
        <f>'6states'!O150</f>
        <v>0.95198515654526072</v>
      </c>
      <c r="O150" s="7">
        <f>MAX(O149+(Parameters!B$31-K150)*Parameters!B$65,30)</f>
        <v>30</v>
      </c>
      <c r="P150" s="7">
        <f>Parameters!B$61*EXP(-Parameters!B$60*A150)+(1-Parameters!B$61)*(O150/Parameters!B$62)^-Parameters!B$63</f>
        <v>0.53590956816766566</v>
      </c>
      <c r="Q150" s="9">
        <f>1-P150/Parameters!$B$12</f>
        <v>0.73204521591616722</v>
      </c>
      <c r="R150" s="23">
        <f t="shared" si="49"/>
        <v>3.7319729275187652</v>
      </c>
      <c r="S150" s="7">
        <f>(Parameters!$B$19*(E150+Parameters!$B$20)^Q150+Parameters!$B$18*F150^Q150)^(1/Q150)</f>
        <v>0.53713459837355226</v>
      </c>
      <c r="T150" s="7">
        <f>(Parameters!$B$10*G150^Parameters!$B$9 + Parameters!$B$11*S150^Parameters!$B$9) ^ (Parameters!$B$7/Parameters!$B$9) * N150</f>
        <v>1.4550560421018628</v>
      </c>
      <c r="U150" s="7">
        <f t="shared" si="50"/>
        <v>1.104630476307217</v>
      </c>
      <c r="V150" s="7">
        <f>EXP(-Parameters!$B$55*A150)</f>
        <v>0.11029463433582516</v>
      </c>
      <c r="W150" s="7">
        <f>IF(U150&gt;0,U150^(1-Parameters!$B$52)/(1-Parameters!$B$52)*V150,-10+U150*1000)</f>
        <v>-0.30434094407258433</v>
      </c>
      <c r="X150" s="7"/>
      <c r="Y150" s="7"/>
      <c r="Z150" s="7"/>
      <c r="AA150" s="7"/>
    </row>
    <row r="151" spans="1:27" x14ac:dyDescent="0.3">
      <c r="A151">
        <f>A150+Parameters!$B$65</f>
        <v>147</v>
      </c>
      <c r="B151" s="9">
        <f t="shared" si="51"/>
        <v>5.5238794691412761E-2</v>
      </c>
      <c r="C151" s="9">
        <f t="shared" si="51"/>
        <v>2.532692781448906E-3</v>
      </c>
      <c r="D151" s="7">
        <f t="shared" si="51"/>
        <v>0.29265407832178425</v>
      </c>
      <c r="E151" s="7">
        <f>MAX((1-Parameters!$B$4)^Parameters!B$65*E150+B150*Parameters!B$65-Parameters!$B$5*B150^2/E150*Parameters!B$65,0.0001)</f>
        <v>0.81889162331920851</v>
      </c>
      <c r="F151" s="9">
        <f>(1-Parameters!$B$4)^Parameters!B$65*F150+C150*Parameters!B$65-Parameters!$B$5*C150^2/F150*Parameters!B$65</f>
        <v>3.7851600198121664E-2</v>
      </c>
      <c r="G151" s="7">
        <f>(1-Parameters!$B$4)^Parameters!B$65*G150+D150*Parameters!B$65-Parameters!$B$5*D150^2/G150*Parameters!B$65</f>
        <v>4.3390296046764742</v>
      </c>
      <c r="H151" s="7">
        <f>H150 *(1-Parameters!$B$4)-B150*(B150&lt;0)*Parameters!B$65</f>
        <v>0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23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311.04713252629517</v>
      </c>
      <c r="L151" s="8">
        <f>L150+K151*Parameters!B$65</f>
        <v>23338.52015225646</v>
      </c>
      <c r="M151" s="7">
        <f>M150+Parameters!$B$45*K151</f>
        <v>14.003112091353872</v>
      </c>
      <c r="N151" s="7">
        <f>'6states'!O151</f>
        <v>0.95198422578763653</v>
      </c>
      <c r="O151" s="7">
        <f>MAX(O150+(Parameters!B$31-K151)*Parameters!B$65,30)</f>
        <v>30</v>
      </c>
      <c r="P151" s="7">
        <f>Parameters!B$61*EXP(-Parameters!B$60*A151)+(1-Parameters!B$61)*(O151/Parameters!B$62)^-Parameters!B$63</f>
        <v>0.53565104757853743</v>
      </c>
      <c r="Q151" s="9">
        <f>1-P151/Parameters!$B$12</f>
        <v>0.73217447621073128</v>
      </c>
      <c r="R151" s="23">
        <f t="shared" si="49"/>
        <v>3.7337740849032111</v>
      </c>
      <c r="S151" s="7">
        <f>(Parameters!$B$19*(E151+Parameters!$B$20)^Q151+Parameters!$B$18*F151^Q151)^(1/Q151)</f>
        <v>0.53715426340563577</v>
      </c>
      <c r="T151" s="7">
        <f>(Parameters!$B$10*G151^Parameters!$B$9 + Parameters!$B$11*S151^Parameters!$B$9) ^ (Parameters!$B$7/Parameters!$B$9) * N151</f>
        <v>1.4550568792208354</v>
      </c>
      <c r="U151" s="7">
        <f t="shared" si="50"/>
        <v>1.1046313134261894</v>
      </c>
      <c r="V151" s="7">
        <f>EXP(-Parameters!$B$55*A151)</f>
        <v>0.1086416964455041</v>
      </c>
      <c r="W151" s="7">
        <f>IF(U151&gt;0,U151^(1-Parameters!$B$52)/(1-Parameters!$B$52)*V151,-10+U151*1000)</f>
        <v>-0.29977983871176228</v>
      </c>
      <c r="X151" s="7"/>
      <c r="Y151" s="7"/>
      <c r="Z151" s="7"/>
      <c r="AA151" s="7"/>
    </row>
    <row r="152" spans="1:27" x14ac:dyDescent="0.3">
      <c r="A152">
        <f>A151+Parameters!$B$65</f>
        <v>148</v>
      </c>
      <c r="B152" s="9">
        <f t="shared" si="51"/>
        <v>5.5238794691412761E-2</v>
      </c>
      <c r="C152" s="9">
        <f t="shared" si="51"/>
        <v>2.532692781448906E-3</v>
      </c>
      <c r="D152" s="7">
        <f t="shared" si="51"/>
        <v>0.29265407832178425</v>
      </c>
      <c r="E152" s="7">
        <f>MAX((1-Parameters!$B$4)^Parameters!B$65*E151+B151*Parameters!B$65-Parameters!$B$5*B151^2/E151*Parameters!B$65,0.0001)</f>
        <v>0.81889597096215805</v>
      </c>
      <c r="F152" s="9">
        <f>(1-Parameters!$B$4)^Parameters!B$65*F151+C151*Parameters!B$65-Parameters!$B$5*C151^2/F151*Parameters!B$65</f>
        <v>3.7833962028637091E-2</v>
      </c>
      <c r="G152" s="7">
        <f>(1-Parameters!$B$4)^Parameters!B$65*G151+D151*Parameters!B$65-Parameters!$B$5*D151^2/G151*Parameters!B$65</f>
        <v>4.3390201116907425</v>
      </c>
      <c r="H152" s="7">
        <f>H151 *(1-Parameters!$B$4)-B151*(B151&lt;0)*Parameters!B$65</f>
        <v>0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23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315.04147175440687</v>
      </c>
      <c r="L152" s="8">
        <f>L151+K152*Parameters!B$65</f>
        <v>23653.561624010868</v>
      </c>
      <c r="M152" s="7">
        <f>M151+Parameters!$B$45*K152</f>
        <v>14.192136974406516</v>
      </c>
      <c r="N152" s="7">
        <f>'6states'!O152</f>
        <v>0.9519832831269931</v>
      </c>
      <c r="O152" s="7">
        <f>MAX(O151+(Parameters!B$31-K152)*Parameters!B$65,30)</f>
        <v>30</v>
      </c>
      <c r="P152" s="7">
        <f>Parameters!B$61*EXP(-Parameters!B$60*A152)+(1-Parameters!B$61)*(O152/Parameters!B$62)^-Parameters!B$63</f>
        <v>0.53539941365694399</v>
      </c>
      <c r="Q152" s="9">
        <f>1-P152/Parameters!$B$12</f>
        <v>0.73230029317152801</v>
      </c>
      <c r="R152" s="23">
        <f t="shared" si="49"/>
        <v>3.7355289322029321</v>
      </c>
      <c r="S152" s="7">
        <f>(Parameters!$B$19*(E152+Parameters!$B$20)^Q152+Parameters!$B$18*F152^Q152)^(1/Q152)</f>
        <v>0.53717368464505477</v>
      </c>
      <c r="T152" s="7">
        <f>(Parameters!$B$10*G152^Parameters!$B$9 + Parameters!$B$11*S152^Parameters!$B$9) ^ (Parameters!$B$7/Parameters!$B$9) * N152</f>
        <v>1.4550577072445117</v>
      </c>
      <c r="U152" s="7">
        <f t="shared" si="50"/>
        <v>1.1046321414498657</v>
      </c>
      <c r="V152" s="7">
        <f>EXP(-Parameters!$B$55*A152)</f>
        <v>0.10701353041907032</v>
      </c>
      <c r="W152" s="7">
        <f>IF(U152&gt;0,U152^(1-Parameters!$B$52)/(1-Parameters!$B$52)*V152,-10+U152*1000)</f>
        <v>-0.2952870907031771</v>
      </c>
      <c r="X152" s="7"/>
      <c r="Y152" s="7"/>
      <c r="Z152" s="7"/>
      <c r="AA152" s="7"/>
    </row>
    <row r="153" spans="1:27" x14ac:dyDescent="0.3">
      <c r="A153">
        <f>A152+Parameters!$B$65</f>
        <v>149</v>
      </c>
      <c r="B153" s="9">
        <f t="shared" si="51"/>
        <v>5.5238794691412761E-2</v>
      </c>
      <c r="C153" s="9">
        <f t="shared" si="51"/>
        <v>2.532692781448906E-3</v>
      </c>
      <c r="D153" s="7">
        <f t="shared" si="51"/>
        <v>0.29265407832178425</v>
      </c>
      <c r="E153" s="7">
        <f>MAX((1-Parameters!$B$4)^Parameters!B$65*E152+B152*Parameters!B$65-Parameters!$B$5*B152^2/E152*Parameters!B$65,0.0001)</f>
        <v>0.81890006492113565</v>
      </c>
      <c r="F153" s="9">
        <f>(1-Parameters!$B$4)^Parameters!B$65*F152+C152*Parameters!B$65-Parameters!$B$5*C152^2/F152*Parameters!B$65</f>
        <v>3.7817354295396725E-2</v>
      </c>
      <c r="G153" s="7">
        <f>(1-Parameters!$B$4)^Parameters!B$65*G152+D152*Parameters!B$65-Parameters!$B$5*D152^2/G152*Parameters!B$65</f>
        <v>4.3390111726293314</v>
      </c>
      <c r="H153" s="7">
        <f>H152 *(1-Parameters!$B$4)-B152*(B152&lt;0)*Parameters!B$65</f>
        <v>0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23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319.08805017971514</v>
      </c>
      <c r="L153" s="8">
        <f>L152+K153*Parameters!B$65</f>
        <v>23972.649674190583</v>
      </c>
      <c r="M153" s="7">
        <f>M152+Parameters!$B$45*K153</f>
        <v>14.383589804514346</v>
      </c>
      <c r="N153" s="7">
        <f>'6states'!O153</f>
        <v>0.95198232841099839</v>
      </c>
      <c r="O153" s="7">
        <f>MAX(O152+(Parameters!B$31-K153)*Parameters!B$65,30)</f>
        <v>30</v>
      </c>
      <c r="P153" s="7">
        <f>Parameters!B$61*EXP(-Parameters!B$60*A153)+(1-Parameters!B$61)*(O153/Parameters!B$62)^-Parameters!B$63</f>
        <v>0.53515448295061208</v>
      </c>
      <c r="Q153" s="9">
        <f>1-P153/Parameters!$B$12</f>
        <v>0.73242275852469396</v>
      </c>
      <c r="R153" s="23">
        <f t="shared" si="49"/>
        <v>3.7372386174789356</v>
      </c>
      <c r="S153" s="7">
        <f>(Parameters!$B$19*(E153+Parameters!$B$20)^Q153+Parameters!$B$18*F153^Q153)^(1/Q153)</f>
        <v>0.53719285196117761</v>
      </c>
      <c r="T153" s="7">
        <f>(Parameters!$B$10*G153^Parameters!$B$9 + Parameters!$B$11*S153^Parameters!$B$9) ^ (Parameters!$B$7/Parameters!$B$9) * N153</f>
        <v>1.4550585215894296</v>
      </c>
      <c r="U153" s="7">
        <f t="shared" si="50"/>
        <v>1.1046329557947838</v>
      </c>
      <c r="V153" s="7">
        <f>EXP(-Parameters!$B$55*A153)</f>
        <v>0.10540976501133419</v>
      </c>
      <c r="W153" s="7">
        <f>IF(U153&gt;0,U153^(1-Parameters!$B$52)/(1-Parameters!$B$52)*V153,-10+U153*1000)</f>
        <v>-0.29086167598384904</v>
      </c>
      <c r="X153" s="7"/>
      <c r="Y153" s="7"/>
      <c r="Z153" s="7"/>
      <c r="AA153" s="7"/>
    </row>
    <row r="154" spans="1:27" x14ac:dyDescent="0.3">
      <c r="A154">
        <f>A153+Parameters!$B$65</f>
        <v>150</v>
      </c>
      <c r="B154" s="9">
        <f t="shared" ref="B154:D169" si="52">B153</f>
        <v>5.5238794691412761E-2</v>
      </c>
      <c r="C154" s="9">
        <f t="shared" si="52"/>
        <v>2.532692781448906E-3</v>
      </c>
      <c r="D154" s="7">
        <f t="shared" si="52"/>
        <v>0.29265407832178425</v>
      </c>
      <c r="E154" s="7">
        <f>MAX((1-Parameters!$B$4)^Parameters!B$65*E153+B153*Parameters!B$65-Parameters!$B$5*B153^2/E153*Parameters!B$65,0.0001)</f>
        <v>0.81890391999835122</v>
      </c>
      <c r="F154" s="9">
        <f>(1-Parameters!$B$4)^Parameters!B$65*F153+C153*Parameters!B$65-Parameters!$B$5*C153^2/F153*Parameters!B$65</f>
        <v>3.7801716732111072E-2</v>
      </c>
      <c r="G154" s="7">
        <f>(1-Parameters!$B$4)^Parameters!B$65*G153+D153*Parameters!B$65-Parameters!$B$5*D153^2/G153*Parameters!B$65</f>
        <v>4.3390027551700827</v>
      </c>
      <c r="H154" s="7">
        <f>H153 *(1-Parameters!$B$4)-B153*(B153&lt;0)*Parameters!B$65</f>
        <v>0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23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323.18754511813938</v>
      </c>
      <c r="L154" s="8">
        <f>L153+K154*Parameters!B$65</f>
        <v>24295.837219308723</v>
      </c>
      <c r="M154" s="7">
        <f>M153+Parameters!$B$45*K154</f>
        <v>14.577502331585229</v>
      </c>
      <c r="N154" s="7">
        <f>'6states'!O154</f>
        <v>0.95198136148536816</v>
      </c>
      <c r="O154" s="7">
        <f>MAX(O153+(Parameters!B$31-K154)*Parameters!B$65,30)</f>
        <v>30</v>
      </c>
      <c r="P154" s="7">
        <f>Parameters!B$61*EXP(-Parameters!B$60*A154)+(1-Parameters!B$61)*(O154/Parameters!B$62)^-Parameters!B$63</f>
        <v>0.53491607689420939</v>
      </c>
      <c r="Q154" s="9">
        <f>1-P154/Parameters!$B$12</f>
        <v>0.7325419615528953</v>
      </c>
      <c r="R154" s="23">
        <f t="shared" si="49"/>
        <v>3.738904262538254</v>
      </c>
      <c r="S154" s="7">
        <f>(Parameters!$B$19*(E154+Parameters!$B$20)^Q154+Parameters!$B$18*F154^Q154)^(1/Q154)</f>
        <v>0.53721175648492303</v>
      </c>
      <c r="T154" s="7">
        <f>(Parameters!$B$10*G154^Parameters!$B$9 + Parameters!$B$11*S154^Parameters!$B$9) ^ (Parameters!$B$7/Parameters!$B$9) * N154</f>
        <v>1.4550593180295004</v>
      </c>
      <c r="U154" s="7">
        <f t="shared" si="50"/>
        <v>1.1046337522348546</v>
      </c>
      <c r="V154" s="7">
        <f>EXP(-Parameters!$B$55*A154)</f>
        <v>0.10383003454079688</v>
      </c>
      <c r="W154" s="7">
        <f>IF(U154&gt;0,U154^(1-Parameters!$B$52)/(1-Parameters!$B$52)*V154,-10+U154*1000)</f>
        <v>-0.28650258578739313</v>
      </c>
      <c r="X154" s="7"/>
      <c r="Y154" s="7"/>
      <c r="Z154" s="7"/>
      <c r="AA154" s="7"/>
    </row>
    <row r="155" spans="1:27" x14ac:dyDescent="0.3">
      <c r="A155">
        <f>A154+Parameters!$B$65</f>
        <v>151</v>
      </c>
      <c r="B155" s="9">
        <f t="shared" si="52"/>
        <v>5.5238794691412761E-2</v>
      </c>
      <c r="C155" s="9">
        <f t="shared" si="52"/>
        <v>2.532692781448906E-3</v>
      </c>
      <c r="D155" s="7">
        <f t="shared" si="52"/>
        <v>0.29265407832178425</v>
      </c>
      <c r="E155" s="7">
        <f>MAX((1-Parameters!$B$4)^Parameters!B$65*E154+B154*Parameters!B$65-Parameters!$B$5*B154^2/E154*Parameters!B$65,0.0001)</f>
        <v>0.81890755013234173</v>
      </c>
      <c r="F155" s="9">
        <f>(1-Parameters!$B$4)^Parameters!B$65*F154+C154*Parameters!B$65-Parameters!$B$5*C154^2/F154*Parameters!B$65</f>
        <v>3.7786992604793408E-2</v>
      </c>
      <c r="G155" s="7">
        <f>(1-Parameters!$B$4)^Parameters!B$65*G154+D154*Parameters!B$65-Parameters!$B$5*D154^2/G154*Parameters!B$65</f>
        <v>4.3389948288768938</v>
      </c>
      <c r="H155" s="7">
        <f>H154 *(1-Parameters!$B$4)-B154*(B154&lt;0)*Parameters!B$65</f>
        <v>0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23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327.34064255709535</v>
      </c>
      <c r="L155" s="8">
        <f>L154+K155*Parameters!B$65</f>
        <v>24623.177861865817</v>
      </c>
      <c r="M155" s="7">
        <f>M154+Parameters!$B$45*K155</f>
        <v>14.773906717119486</v>
      </c>
      <c r="N155" s="7">
        <f>'6states'!O155</f>
        <v>0.95198038219384074</v>
      </c>
      <c r="O155" s="7">
        <f>MAX(O154+(Parameters!B$31-K155)*Parameters!B$65,30)</f>
        <v>30</v>
      </c>
      <c r="P155" s="7">
        <f>Parameters!B$61*EXP(-Parameters!B$60*A155)+(1-Parameters!B$61)*(O155/Parameters!B$62)^-Parameters!B$63</f>
        <v>0.5346840216791624</v>
      </c>
      <c r="Q155" s="9">
        <f>1-P155/Parameters!$B$12</f>
        <v>0.7326579891604188</v>
      </c>
      <c r="R155" s="23">
        <f t="shared" si="49"/>
        <v>3.740526963418596</v>
      </c>
      <c r="S155" s="7">
        <f>(Parameters!$B$19*(E155+Parameters!$B$20)^Q155+Parameters!$B$18*F155^Q155)^(1/Q155)</f>
        <v>0.53723039051568577</v>
      </c>
      <c r="T155" s="7">
        <f>(Parameters!$B$10*G155^Parameters!$B$9 + Parameters!$B$11*S155^Parameters!$B$9) ^ (Parameters!$B$7/Parameters!$B$9) * N155</f>
        <v>1.4550600926717687</v>
      </c>
      <c r="U155" s="7">
        <f t="shared" si="50"/>
        <v>1.1046345268771227</v>
      </c>
      <c r="V155" s="7">
        <f>EXP(-Parameters!$B$55*A155)</f>
        <v>0.10227397880626984</v>
      </c>
      <c r="W155" s="7">
        <f>IF(U155&gt;0,U155^(1-Parameters!$B$52)/(1-Parameters!$B$52)*V155,-10+U155*1000)</f>
        <v>-0.2822088264194425</v>
      </c>
      <c r="X155" s="7"/>
      <c r="Y155" s="7"/>
      <c r="Z155" s="7"/>
      <c r="AA155" s="7"/>
    </row>
    <row r="156" spans="1:27" x14ac:dyDescent="0.3">
      <c r="A156">
        <f>A155+Parameters!$B$65</f>
        <v>152</v>
      </c>
      <c r="B156" s="9">
        <f t="shared" si="52"/>
        <v>5.5238794691412761E-2</v>
      </c>
      <c r="C156" s="9">
        <f t="shared" si="52"/>
        <v>2.532692781448906E-3</v>
      </c>
      <c r="D156" s="7">
        <f t="shared" si="52"/>
        <v>0.29265407832178425</v>
      </c>
      <c r="E156" s="7">
        <f>MAX((1-Parameters!$B$4)^Parameters!B$65*E155+B155*Parameters!B$65-Parameters!$B$5*B155^2/E155*Parameters!B$65,0.0001)</f>
        <v>0.81891096844836242</v>
      </c>
      <c r="F156" s="9">
        <f>(1-Parameters!$B$4)^Parameters!B$65*F155+C155*Parameters!B$65-Parameters!$B$5*C155^2/F155*Parameters!B$65</f>
        <v>3.7773128503882432E-2</v>
      </c>
      <c r="G156" s="7">
        <f>(1-Parameters!$B$4)^Parameters!B$65*G155+D155*Parameters!B$65-Parameters!$B$5*D155^2/G155*Parameters!B$65</f>
        <v>4.3389873650896629</v>
      </c>
      <c r="H156" s="7">
        <f>H155 *(1-Parameters!$B$4)-B155*(B155&lt;0)*Parameters!B$65</f>
        <v>0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23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331.5480372754613</v>
      </c>
      <c r="L156" s="8">
        <f>L155+K156*Parameters!B$65</f>
        <v>24954.725899141278</v>
      </c>
      <c r="M156" s="7">
        <f>M155+Parameters!$B$45*K156</f>
        <v>14.972835539484763</v>
      </c>
      <c r="N156" s="7">
        <f>'6states'!O156</f>
        <v>0.95197939037815149</v>
      </c>
      <c r="O156" s="7">
        <f>MAX(O155+(Parameters!B$31-K156)*Parameters!B$65,30)</f>
        <v>30</v>
      </c>
      <c r="P156" s="7">
        <f>Parameters!B$61*EXP(-Parameters!B$60*A156)+(1-Parameters!B$61)*(O156/Parameters!B$62)^-Parameters!B$63</f>
        <v>0.53445814812694203</v>
      </c>
      <c r="Q156" s="9">
        <f>1-P156/Parameters!$B$12</f>
        <v>0.73277092593652893</v>
      </c>
      <c r="R156" s="23">
        <f t="shared" si="49"/>
        <v>3.7421077908704068</v>
      </c>
      <c r="S156" s="7">
        <f>(Parameters!$B$19*(E156+Parameters!$B$20)^Q156+Parameters!$B$18*F156^Q156)^(1/Q156)</f>
        <v>0.53724874743432527</v>
      </c>
      <c r="T156" s="7">
        <f>(Parameters!$B$10*G156^Parameters!$B$9 + Parameters!$B$11*S156^Parameters!$B$9) ^ (Parameters!$B$7/Parameters!$B$9) * N156</f>
        <v>1.4550608419336917</v>
      </c>
      <c r="U156" s="7">
        <f t="shared" si="50"/>
        <v>1.1046352761390459</v>
      </c>
      <c r="V156" s="7">
        <f>EXP(-Parameters!$B$55*A156)</f>
        <v>0.10074124300474355</v>
      </c>
      <c r="W156" s="7">
        <f>IF(U156&gt;0,U156^(1-Parameters!$B$52)/(1-Parameters!$B$52)*V156,-10+U156*1000)</f>
        <v>-0.27797941903605344</v>
      </c>
      <c r="X156" s="7"/>
      <c r="Y156" s="7"/>
      <c r="Z156" s="7"/>
      <c r="AA156" s="7"/>
    </row>
    <row r="157" spans="1:27" x14ac:dyDescent="0.3">
      <c r="A157">
        <f>A156+Parameters!$B$65</f>
        <v>153</v>
      </c>
      <c r="B157" s="9">
        <f t="shared" si="52"/>
        <v>5.5238794691412761E-2</v>
      </c>
      <c r="C157" s="9">
        <f t="shared" si="52"/>
        <v>2.532692781448906E-3</v>
      </c>
      <c r="D157" s="7">
        <f t="shared" si="52"/>
        <v>0.29265407832178425</v>
      </c>
      <c r="E157" s="7">
        <f>MAX((1-Parameters!$B$4)^Parameters!B$65*E156+B156*Parameters!B$65-Parameters!$B$5*B156^2/E156*Parameters!B$65,0.0001)</f>
        <v>0.81891418730583765</v>
      </c>
      <c r="F157" s="9">
        <f>(1-Parameters!$B$4)^Parameters!B$65*F156+C156*Parameters!B$65-Parameters!$B$5*C156^2/F156*Parameters!B$65</f>
        <v>3.7760074148692022E-2</v>
      </c>
      <c r="G157" s="7">
        <f>(1-Parameters!$B$4)^Parameters!B$65*G156+D156*Parameters!B$65-Parameters!$B$5*D156^2/G156*Parameters!B$65</f>
        <v>4.3389803368206525</v>
      </c>
      <c r="H157" s="7">
        <f>H156 *(1-Parameters!$B$4)-B156*(B156&lt;0)*Parameters!B$65</f>
        <v>0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23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335.81043296473945</v>
      </c>
      <c r="L157" s="8">
        <f>L156+K157*Parameters!B$65</f>
        <v>25290.536332106018</v>
      </c>
      <c r="M157" s="7">
        <f>M156+Parameters!$B$45*K157</f>
        <v>15.174321799263605</v>
      </c>
      <c r="N157" s="7">
        <f>'6states'!O157</f>
        <v>0.95197838587800743</v>
      </c>
      <c r="O157" s="7">
        <f>MAX(O156+(Parameters!B$31-K157)*Parameters!B$65,30)</f>
        <v>30</v>
      </c>
      <c r="P157" s="7">
        <f>Parameters!B$61*EXP(-Parameters!B$60*A157)+(1-Parameters!B$61)*(O157/Parameters!B$62)^-Parameters!B$63</f>
        <v>0.53423829156572533</v>
      </c>
      <c r="Q157" s="9">
        <f>1-P157/Parameters!$B$12</f>
        <v>0.73288085421713733</v>
      </c>
      <c r="R157" s="23">
        <f t="shared" si="49"/>
        <v>3.7436477908359502</v>
      </c>
      <c r="S157" s="7">
        <f>(Parameters!$B$19*(E157+Parameters!$B$20)^Q157+Parameters!$B$18*F157^Q157)^(1/Q157)</f>
        <v>0.53726682162183614</v>
      </c>
      <c r="T157" s="7">
        <f>(Parameters!$B$10*G157^Parameters!$B$9 + Parameters!$B$11*S157^Parameters!$B$9) ^ (Parameters!$B$7/Parameters!$B$9) * N157</f>
        <v>1.4550615625218413</v>
      </c>
      <c r="U157" s="7">
        <f t="shared" si="50"/>
        <v>1.1046359967271955</v>
      </c>
      <c r="V157" s="7">
        <f>EXP(-Parameters!$B$55*A157)</f>
        <v>9.9231477650487412E-2</v>
      </c>
      <c r="W157" s="7">
        <f>IF(U157&gt;0,U157^(1-Parameters!$B$52)/(1-Parameters!$B$52)*V157,-10+U157*1000)</f>
        <v>-0.27381339942507893</v>
      </c>
      <c r="X157" s="7"/>
      <c r="Y157" s="7"/>
      <c r="Z157" s="7"/>
      <c r="AA157" s="7"/>
    </row>
    <row r="158" spans="1:27" x14ac:dyDescent="0.3">
      <c r="A158">
        <f>A157+Parameters!$B$65</f>
        <v>154</v>
      </c>
      <c r="B158" s="9">
        <f t="shared" si="52"/>
        <v>5.5238794691412761E-2</v>
      </c>
      <c r="C158" s="9">
        <f t="shared" si="52"/>
        <v>2.532692781448906E-3</v>
      </c>
      <c r="D158" s="7">
        <f t="shared" si="52"/>
        <v>0.29265407832178425</v>
      </c>
      <c r="E158" s="7">
        <f>MAX((1-Parameters!$B$4)^Parameters!B$65*E157+B157*Parameters!B$65-Parameters!$B$5*B157^2/E157*Parameters!B$65,0.0001)</f>
        <v>0.81891721834304354</v>
      </c>
      <c r="F158" s="9">
        <f>(1-Parameters!$B$4)^Parameters!B$65*F157+C157*Parameters!B$65-Parameters!$B$5*C157^2/F157*Parameters!B$65</f>
        <v>3.7747782203446795E-2</v>
      </c>
      <c r="G158" s="7">
        <f>(1-Parameters!$B$4)^Parameters!B$65*G157+D157*Parameters!B$65-Parameters!$B$5*D157^2/G157*Parameters!B$65</f>
        <v>4.338973718656904</v>
      </c>
      <c r="H158" s="7">
        <f>H157 *(1-Parameters!$B$4)-B157*(B157&lt;0)*Parameters!B$65</f>
        <v>0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23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340.12854235144454</v>
      </c>
      <c r="L158" s="8">
        <f>L157+K158*Parameters!B$65</f>
        <v>25630.664874457463</v>
      </c>
      <c r="M158" s="7">
        <f>M157+Parameters!$B$45*K158</f>
        <v>15.378398924674473</v>
      </c>
      <c r="N158" s="7">
        <f>'6states'!O158</f>
        <v>0.95197736853106052</v>
      </c>
      <c r="O158" s="7">
        <f>MAX(O157+(Parameters!B$31-K158)*Parameters!B$65,30)</f>
        <v>30</v>
      </c>
      <c r="P158" s="7">
        <f>Parameters!B$61*EXP(-Parameters!B$60*A158)+(1-Parameters!B$61)*(O158/Parameters!B$62)^-Parameters!B$63</f>
        <v>0.53402429171034216</v>
      </c>
      <c r="Q158" s="9">
        <f>1-P158/Parameters!$B$12</f>
        <v>0.73298785414482892</v>
      </c>
      <c r="R158" s="23">
        <f t="shared" si="49"/>
        <v>3.7451479849250218</v>
      </c>
      <c r="S158" s="7">
        <f>(Parameters!$B$19*(E158+Parameters!$B$20)^Q158+Parameters!$B$18*F158^Q158)^(1/Q158)</f>
        <v>0.53728460838335013</v>
      </c>
      <c r="T158" s="7">
        <f>(Parameters!$B$10*G158^Parameters!$B$9 + Parameters!$B$11*S158^Parameters!$B$9) ^ (Parameters!$B$7/Parameters!$B$9) * N158</f>
        <v>1.4550622514119484</v>
      </c>
      <c r="U158" s="7">
        <f t="shared" si="50"/>
        <v>1.1046366856173027</v>
      </c>
      <c r="V158" s="7">
        <f>EXP(-Parameters!$B$55*A158)</f>
        <v>9.7744338495362112E-2</v>
      </c>
      <c r="W158" s="7">
        <f>IF(U158&gt;0,U158^(1-Parameters!$B$52)/(1-Parameters!$B$52)*V158,-10+U158*1000)</f>
        <v>-0.26970981779049313</v>
      </c>
      <c r="X158" s="7"/>
      <c r="Y158" s="7"/>
      <c r="Z158" s="7"/>
      <c r="AA158" s="7"/>
    </row>
    <row r="159" spans="1:27" x14ac:dyDescent="0.3">
      <c r="A159">
        <f>A158+Parameters!$B$65</f>
        <v>155</v>
      </c>
      <c r="B159" s="9">
        <f t="shared" si="52"/>
        <v>5.5238794691412761E-2</v>
      </c>
      <c r="C159" s="9">
        <f t="shared" si="52"/>
        <v>2.532692781448906E-3</v>
      </c>
      <c r="D159" s="7">
        <f t="shared" si="52"/>
        <v>0.29265407832178425</v>
      </c>
      <c r="E159" s="7">
        <f>MAX((1-Parameters!$B$4)^Parameters!B$65*E158+B158*Parameters!B$65-Parameters!$B$5*B158^2/E158*Parameters!B$65,0.0001)</f>
        <v>0.81892007251918386</v>
      </c>
      <c r="F159" s="9">
        <f>(1-Parameters!$B$4)^Parameters!B$65*F158+C158*Parameters!B$65-Parameters!$B$5*C158^2/F158*Parameters!B$65</f>
        <v>3.7736208104207983E-2</v>
      </c>
      <c r="G159" s="7">
        <f>(1-Parameters!$B$4)^Parameters!B$65*G158+D158*Parameters!B$65-Parameters!$B$5*D158^2/G158*Parameters!B$65</f>
        <v>4.3389674866683441</v>
      </c>
      <c r="H159" s="7">
        <f>H158 *(1-Parameters!$B$4)-B158*(B158&lt;0)*Parameters!B$65</f>
        <v>0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23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344.50308732075138</v>
      </c>
      <c r="L159" s="8">
        <f>L158+K159*Parameters!B$65</f>
        <v>25975.167961778214</v>
      </c>
      <c r="M159" s="7">
        <f>M158+Parameters!$B$45*K159</f>
        <v>15.585100777066923</v>
      </c>
      <c r="N159" s="7">
        <f>'6states'!O159</f>
        <v>0.95197633817288196</v>
      </c>
      <c r="O159" s="7">
        <f>MAX(O158+(Parameters!B$31-K159)*Parameters!B$65,30)</f>
        <v>30</v>
      </c>
      <c r="P159" s="7">
        <f>Parameters!B$61*EXP(-Parameters!B$60*A159)+(1-Parameters!B$61)*(O159/Parameters!B$62)^-Parameters!B$63</f>
        <v>0.53381599254542045</v>
      </c>
      <c r="Q159" s="9">
        <f>1-P159/Parameters!$B$12</f>
        <v>0.73309200372728978</v>
      </c>
      <c r="R159" s="23">
        <f t="shared" si="49"/>
        <v>3.7466093708869677</v>
      </c>
      <c r="S159" s="7">
        <f>(Parameters!$B$19*(E159+Parameters!$B$20)^Q159+Parameters!$B$18*F159^Q159)^(1/Q159)</f>
        <v>0.53730210387713351</v>
      </c>
      <c r="T159" s="7">
        <f>(Parameters!$B$10*G159^Parameters!$B$9 + Parameters!$B$11*S159^Parameters!$B$9) ^ (Parameters!$B$7/Parameters!$B$9) * N159</f>
        <v>1.4550629058302014</v>
      </c>
      <c r="U159" s="7">
        <f t="shared" si="50"/>
        <v>1.1046373400355556</v>
      </c>
      <c r="V159" s="7">
        <f>EXP(-Parameters!$B$55*A159)</f>
        <v>9.6279486450325927E-2</v>
      </c>
      <c r="W159" s="7">
        <f>IF(U159&gt;0,U159^(1-Parameters!$B$52)/(1-Parameters!$B$52)*V159,-10+U159*1000)</f>
        <v>-0.26566773853964715</v>
      </c>
      <c r="X159" s="7"/>
      <c r="Y159" s="7"/>
      <c r="Z159" s="7"/>
      <c r="AA159" s="7"/>
    </row>
    <row r="160" spans="1:27" x14ac:dyDescent="0.3">
      <c r="A160">
        <f>A159+Parameters!$B$65</f>
        <v>156</v>
      </c>
      <c r="B160" s="9">
        <f t="shared" si="52"/>
        <v>5.5238794691412761E-2</v>
      </c>
      <c r="C160" s="9">
        <f t="shared" si="52"/>
        <v>2.532692781448906E-3</v>
      </c>
      <c r="D160" s="7">
        <f t="shared" si="52"/>
        <v>0.29265407832178425</v>
      </c>
      <c r="E160" s="7">
        <f>MAX((1-Parameters!$B$4)^Parameters!B$65*E159+B159*Parameters!B$65-Parameters!$B$5*B159^2/E159*Parameters!B$65,0.0001)</f>
        <v>0.818922760154011</v>
      </c>
      <c r="F160" s="9">
        <f>(1-Parameters!$B$4)^Parameters!B$65*F159+C159*Parameters!B$65-Parameters!$B$5*C159^2/F159*Parameters!B$65</f>
        <v>3.7725309896036785E-2</v>
      </c>
      <c r="G160" s="7">
        <f>(1-Parameters!$B$4)^Parameters!B$65*G159+D159*Parameters!B$65-Parameters!$B$5*D159^2/G159*Parameters!B$65</f>
        <v>4.3389616183212558</v>
      </c>
      <c r="H160" s="7">
        <f>H159 *(1-Parameters!$B$4)-B159*(B159&lt;0)*Parameters!B$65</f>
        <v>0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23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348.9347990414355</v>
      </c>
      <c r="L160" s="8">
        <f>L159+K160*Parameters!B$65</f>
        <v>26324.102760819649</v>
      </c>
      <c r="M160" s="7">
        <f>M159+Parameters!$B$45*K160</f>
        <v>15.794461656491785</v>
      </c>
      <c r="N160" s="7">
        <f>'6states'!O160</f>
        <v>0.95197529463693498</v>
      </c>
      <c r="O160" s="7">
        <f>MAX(O159+(Parameters!B$31-K160)*Parameters!B$65,30)</f>
        <v>30</v>
      </c>
      <c r="P160" s="7">
        <f>Parameters!B$61*EXP(-Parameters!B$60*A160)+(1-Parameters!B$61)*(O160/Parameters!B$62)^-Parameters!B$63</f>
        <v>0.53361324221164363</v>
      </c>
      <c r="Q160" s="9">
        <f>1-P160/Parameters!$B$12</f>
        <v>0.73319337889417824</v>
      </c>
      <c r="R160" s="23">
        <f t="shared" si="49"/>
        <v>3.748032923078684</v>
      </c>
      <c r="S160" s="7">
        <f>(Parameters!$B$19*(E160+Parameters!$B$20)^Q160+Parameters!$B$18*F160^Q160)^(1/Q160)</f>
        <v>0.53731930504826864</v>
      </c>
      <c r="T160" s="7">
        <f>(Parameters!$B$10*G160^Parameters!$B$9 + Parameters!$B$11*S160^Parameters!$B$9) ^ (Parameters!$B$7/Parameters!$B$9) * N160</f>
        <v>1.455063523235725</v>
      </c>
      <c r="U160" s="7">
        <f t="shared" si="50"/>
        <v>1.1046379574410792</v>
      </c>
      <c r="V160" s="7">
        <f>EXP(-Parameters!$B$55*A160)</f>
        <v>9.4836587508117826E-2</v>
      </c>
      <c r="W160" s="7">
        <f>IF(U160&gt;0,U160^(1-Parameters!$B$52)/(1-Parameters!$B$52)*V160,-10+U160*1000)</f>
        <v>-0.26168624007343877</v>
      </c>
      <c r="X160" s="7"/>
      <c r="Y160" s="7"/>
      <c r="Z160" s="7"/>
      <c r="AA160" s="7"/>
    </row>
    <row r="161" spans="1:27" x14ac:dyDescent="0.3">
      <c r="A161">
        <f>A160+Parameters!$B$65</f>
        <v>157</v>
      </c>
      <c r="B161" s="9">
        <f t="shared" si="52"/>
        <v>5.5238794691412761E-2</v>
      </c>
      <c r="C161" s="9">
        <f t="shared" si="52"/>
        <v>2.532692781448906E-3</v>
      </c>
      <c r="D161" s="7">
        <f t="shared" si="52"/>
        <v>0.29265407832178425</v>
      </c>
      <c r="E161" s="7">
        <f>MAX((1-Parameters!$B$4)^Parameters!B$65*E160+B160*Parameters!B$65-Parameters!$B$5*B160^2/E160*Parameters!B$65,0.0001)</f>
        <v>0.81892529096513578</v>
      </c>
      <c r="F161" s="9">
        <f>(1-Parameters!$B$4)^Parameters!B$65*F160+C160*Parameters!B$65-Parameters!$B$5*C160^2/F160*Parameters!B$65</f>
        <v>3.7715048079782494E-2</v>
      </c>
      <c r="G161" s="7">
        <f>(1-Parameters!$B$4)^Parameters!B$65*G160+D160*Parameters!B$65-Parameters!$B$5*D160^2/G160*Parameters!B$65</f>
        <v>4.3389560923967956</v>
      </c>
      <c r="H161" s="7">
        <f>H160 *(1-Parameters!$B$4)-B160*(B160&lt;0)*Parameters!B$65</f>
        <v>0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23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353.42441809213619</v>
      </c>
      <c r="L161" s="8">
        <f>L160+K161*Parameters!B$65</f>
        <v>26677.527178911787</v>
      </c>
      <c r="M161" s="7">
        <f>M160+Parameters!$B$45*K161</f>
        <v>16.006516307347066</v>
      </c>
      <c r="N161" s="7">
        <f>'6states'!O161</f>
        <v>0.95197423775454793</v>
      </c>
      <c r="O161" s="7">
        <f>MAX(O160+(Parameters!B$31-K161)*Parameters!B$65,30)</f>
        <v>30</v>
      </c>
      <c r="P161" s="7">
        <f>Parameters!B$61*EXP(-Parameters!B$60*A161)+(1-Parameters!B$61)*(O161/Parameters!B$62)^-Parameters!B$63</f>
        <v>0.53341589289503932</v>
      </c>
      <c r="Q161" s="9">
        <f>1-P161/Parameters!$B$12</f>
        <v>0.73329205355248028</v>
      </c>
      <c r="R161" s="23">
        <f t="shared" si="49"/>
        <v>3.7494195929282919</v>
      </c>
      <c r="S161" s="7">
        <f>(Parameters!$B$19*(E161+Parameters!$B$20)^Q161+Parameters!$B$18*F161^Q161)^(1/Q161)</f>
        <v>0.53733620956672756</v>
      </c>
      <c r="T161" s="7">
        <f>(Parameters!$B$10*G161^Parameters!$B$9 + Parameters!$B$11*S161^Parameters!$B$9) ^ (Parameters!$B$7/Parameters!$B$9) * N161</f>
        <v>1.4550641013041679</v>
      </c>
      <c r="U161" s="7">
        <f t="shared" si="50"/>
        <v>1.1046385355095221</v>
      </c>
      <c r="V161" s="7">
        <f>EXP(-Parameters!$B$55*A161)</f>
        <v>9.3415312667098696E-2</v>
      </c>
      <c r="W161" s="7">
        <f>IF(U161&gt;0,U161^(1-Parameters!$B$52)/(1-Parameters!$B$52)*V161,-10+U161*1000)</f>
        <v>-0.25776441457936922</v>
      </c>
      <c r="X161" s="7"/>
      <c r="Y161" s="7"/>
      <c r="Z161" s="7"/>
      <c r="AA161" s="7"/>
    </row>
    <row r="162" spans="1:27" x14ac:dyDescent="0.3">
      <c r="A162">
        <f>A161+Parameters!$B$65</f>
        <v>158</v>
      </c>
      <c r="B162" s="9">
        <f t="shared" si="52"/>
        <v>5.5238794691412761E-2</v>
      </c>
      <c r="C162" s="9">
        <f t="shared" si="52"/>
        <v>2.532692781448906E-3</v>
      </c>
      <c r="D162" s="7">
        <f t="shared" si="52"/>
        <v>0.29265407832178425</v>
      </c>
      <c r="E162" s="7">
        <f>MAX((1-Parameters!$B$4)^Parameters!B$65*E161+B161*Parameters!B$65-Parameters!$B$5*B161^2/E161*Parameters!B$65,0.0001)</f>
        <v>0.81892767410316003</v>
      </c>
      <c r="F162" s="9">
        <f>(1-Parameters!$B$4)^Parameters!B$65*F161+C161*Parameters!B$65-Parameters!$B$5*C161^2/F161*Parameters!B$65</f>
        <v>3.7705385467919933E-2</v>
      </c>
      <c r="G162" s="7">
        <f>(1-Parameters!$B$4)^Parameters!B$65*G161+D161*Parameters!B$65-Parameters!$B$5*D161^2/G161*Parameters!B$65</f>
        <v>4.3389508889142716</v>
      </c>
      <c r="H162" s="7">
        <f>H161 *(1-Parameters!$B$4)-B161*(B161&lt;0)*Parameters!B$65</f>
        <v>0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23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357.97269458897512</v>
      </c>
      <c r="L162" s="8">
        <f>L161+K162*Parameters!B$65</f>
        <v>27035.499873500761</v>
      </c>
      <c r="M162" s="7">
        <f>M161+Parameters!$B$45*K162</f>
        <v>16.221299924100453</v>
      </c>
      <c r="N162" s="7">
        <f>'6states'!O162</f>
        <v>0.95197316735488657</v>
      </c>
      <c r="O162" s="7">
        <f>MAX(O161+(Parameters!B$31-K162)*Parameters!B$65,30)</f>
        <v>30</v>
      </c>
      <c r="P162" s="7">
        <f>Parameters!B$61*EXP(-Parameters!B$60*A162)+(1-Parameters!B$61)*(O162/Parameters!B$62)^-Parameters!B$63</f>
        <v>0.53322380071921527</v>
      </c>
      <c r="Q162" s="9">
        <f>1-P162/Parameters!$B$12</f>
        <v>0.73338809964039231</v>
      </c>
      <c r="R162" s="23">
        <f t="shared" si="49"/>
        <v>3.7507703093942699</v>
      </c>
      <c r="S162" s="7">
        <f>(Parameters!$B$19*(E162+Parameters!$B$20)^Q162+Parameters!$B$18*F162^Q162)^(1/Q162)</f>
        <v>0.53735281576955962</v>
      </c>
      <c r="T162" s="7">
        <f>(Parameters!$B$10*G162^Parameters!$B$9 + Parameters!$B$11*S162^Parameters!$B$9) ^ (Parameters!$B$7/Parameters!$B$9) * N162</f>
        <v>1.4550646379123264</v>
      </c>
      <c r="U162" s="7">
        <f t="shared" si="50"/>
        <v>1.1046390721176804</v>
      </c>
      <c r="V162" s="7">
        <f>EXP(-Parameters!$B$55*A162)</f>
        <v>9.2015337856234475E-2</v>
      </c>
      <c r="W162" s="7">
        <f>IF(U162&gt;0,U162^(1-Parameters!$B$52)/(1-Parameters!$B$52)*V162,-10+U162*1000)</f>
        <v>-0.25390136782746925</v>
      </c>
      <c r="X162" s="7"/>
      <c r="Y162" s="7"/>
      <c r="Z162" s="7"/>
      <c r="AA162" s="7"/>
    </row>
    <row r="163" spans="1:27" x14ac:dyDescent="0.3">
      <c r="A163">
        <f>A162+Parameters!$B$65</f>
        <v>159</v>
      </c>
      <c r="B163" s="9">
        <f t="shared" si="52"/>
        <v>5.5238794691412761E-2</v>
      </c>
      <c r="C163" s="9">
        <f t="shared" si="52"/>
        <v>2.532692781448906E-3</v>
      </c>
      <c r="D163" s="7">
        <f t="shared" si="52"/>
        <v>0.29265407832178425</v>
      </c>
      <c r="E163" s="7">
        <f>MAX((1-Parameters!$B$4)^Parameters!B$65*E162+B162*Parameters!B$65-Parameters!$B$5*B162^2/E162*Parameters!B$65,0.0001)</f>
        <v>0.81892991818476002</v>
      </c>
      <c r="F163" s="9">
        <f>(1-Parameters!$B$4)^Parameters!B$65*F162+C162*Parameters!B$65-Parameters!$B$5*C162^2/F162*Parameters!B$65</f>
        <v>3.7696287048896042E-2</v>
      </c>
      <c r="G163" s="7">
        <f>(1-Parameters!$B$4)^Parameters!B$65*G162+D162*Parameters!B$65-Parameters!$B$5*D162^2/G162*Parameters!B$65</f>
        <v>4.3389459890588897</v>
      </c>
      <c r="H163" s="7">
        <f>H162 *(1-Parameters!$B$4)-B162*(B162&lt;0)*Parameters!B$65</f>
        <v>0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23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362.58038831456173</v>
      </c>
      <c r="L163" s="8">
        <f>L162+K163*Parameters!B$65</f>
        <v>27398.080261815321</v>
      </c>
      <c r="M163" s="7">
        <f>M162+Parameters!$B$45*K163</f>
        <v>16.43884815708919</v>
      </c>
      <c r="N163" s="7">
        <f>'6states'!O163</f>
        <v>0.95197208326492666</v>
      </c>
      <c r="O163" s="7">
        <f>MAX(O162+(Parameters!B$31-K163)*Parameters!B$65,30)</f>
        <v>30</v>
      </c>
      <c r="P163" s="7">
        <f>Parameters!B$61*EXP(-Parameters!B$60*A163)+(1-Parameters!B$61)*(O163/Parameters!B$62)^-Parameters!B$63</f>
        <v>0.53303682564046806</v>
      </c>
      <c r="Q163" s="9">
        <f>1-P163/Parameters!$B$12</f>
        <v>0.73348158717976597</v>
      </c>
      <c r="R163" s="23">
        <f t="shared" si="49"/>
        <v>3.7520859794197312</v>
      </c>
      <c r="S163" s="7">
        <f>(Parameters!$B$19*(E163+Parameters!$B$20)^Q163+Parameters!$B$18*F163^Q163)^(1/Q163)</f>
        <v>0.53736912260693637</v>
      </c>
      <c r="T163" s="7">
        <f>(Parameters!$B$10*G163^Parameters!$B$9 + Parameters!$B$11*S163^Parameters!$B$9) ^ (Parameters!$B$7/Parameters!$B$9) * N163</f>
        <v>1.4550651311237488</v>
      </c>
      <c r="U163" s="7">
        <f t="shared" si="50"/>
        <v>1.1046395653291028</v>
      </c>
      <c r="V163" s="7">
        <f>EXP(-Parameters!$B$55*A163)</f>
        <v>9.0636343861203325E-2</v>
      </c>
      <c r="W163" s="7">
        <f>IF(U163&gt;0,U163^(1-Parameters!$B$52)/(1-Parameters!$B$52)*V163,-10+U163*1000)</f>
        <v>-0.25009621896906614</v>
      </c>
      <c r="X163" s="7"/>
      <c r="Y163" s="7"/>
      <c r="Z163" s="7"/>
      <c r="AA163" s="7"/>
    </row>
    <row r="164" spans="1:27" x14ac:dyDescent="0.3">
      <c r="A164">
        <f>A163+Parameters!$B$65</f>
        <v>160</v>
      </c>
      <c r="B164" s="9">
        <f t="shared" si="52"/>
        <v>5.5238794691412761E-2</v>
      </c>
      <c r="C164" s="9">
        <f t="shared" si="52"/>
        <v>2.532692781448906E-3</v>
      </c>
      <c r="D164" s="7">
        <f t="shared" si="52"/>
        <v>0.29265407832178425</v>
      </c>
      <c r="E164" s="7">
        <f>MAX((1-Parameters!$B$4)^Parameters!B$65*E163+B163*Parameters!B$65-Parameters!$B$5*B163^2/E163*Parameters!B$65,0.0001)</f>
        <v>0.81893203132383896</v>
      </c>
      <c r="F164" s="9">
        <f>(1-Parameters!$B$4)^Parameters!B$65*F163+C163*Parameters!B$65-Parameters!$B$5*C163^2/F163*Parameters!B$65</f>
        <v>3.7687719859478247E-2</v>
      </c>
      <c r="G164" s="7">
        <f>(1-Parameters!$B$4)^Parameters!B$65*G163+D163*Parameters!B$65-Parameters!$B$5*D163^2/G163*Parameters!B$65</f>
        <v>4.3389413751137242</v>
      </c>
      <c r="H164" s="7">
        <f>H163 *(1-Parameters!$B$4)-B163*(B163&lt;0)*Parameters!B$65</f>
        <v>0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23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367.24826884841366</v>
      </c>
      <c r="L164" s="8">
        <f>L163+K164*Parameters!B$65</f>
        <v>27765.328530663734</v>
      </c>
      <c r="M164" s="7">
        <f>M163+Parameters!$B$45*K164</f>
        <v>16.659197118398239</v>
      </c>
      <c r="N164" s="7">
        <f>'6states'!O164</f>
        <v>0.95197098530942548</v>
      </c>
      <c r="O164" s="7">
        <f>MAX(O163+(Parameters!B$31-K164)*Parameters!B$65,30)</f>
        <v>30</v>
      </c>
      <c r="P164" s="7">
        <f>Parameters!B$61*EXP(-Parameters!B$60*A164)+(1-Parameters!B$61)*(O164/Parameters!B$62)^-Parameters!B$63</f>
        <v>0.53285483134568457</v>
      </c>
      <c r="Q164" s="9">
        <f>1-P164/Parameters!$B$12</f>
        <v>0.73357258432715766</v>
      </c>
      <c r="R164" s="23">
        <f t="shared" si="49"/>
        <v>3.753367488381687</v>
      </c>
      <c r="S164" s="7">
        <f>(Parameters!$B$19*(E164+Parameters!$B$20)^Q164+Parameters!$B$18*F164^Q164)^(1/Q164)</f>
        <v>0.53738512959181073</v>
      </c>
      <c r="T164" s="7">
        <f>(Parameters!$B$10*G164^Parameters!$B$9 + Parameters!$B$11*S164^Parameters!$B$9) ^ (Parameters!$B$7/Parameters!$B$9) * N164</f>
        <v>1.4550655791752483</v>
      </c>
      <c r="U164" s="7">
        <f t="shared" si="50"/>
        <v>1.1046400133806022</v>
      </c>
      <c r="V164" s="7">
        <f>EXP(-Parameters!$B$55*A164)</f>
        <v>8.9278016251610026E-2</v>
      </c>
      <c r="W164" s="7">
        <f>IF(U164&gt;0,U164^(1-Parameters!$B$52)/(1-Parameters!$B$52)*V164,-10+U164*1000)</f>
        <v>-0.24634810033836801</v>
      </c>
      <c r="X164" s="7"/>
      <c r="Y164" s="7"/>
      <c r="Z164" s="7"/>
      <c r="AA164" s="7"/>
    </row>
    <row r="165" spans="1:27" x14ac:dyDescent="0.3">
      <c r="A165">
        <f>A164+Parameters!$B$65</f>
        <v>161</v>
      </c>
      <c r="B165" s="9">
        <f t="shared" si="52"/>
        <v>5.5238794691412761E-2</v>
      </c>
      <c r="C165" s="9">
        <f t="shared" si="52"/>
        <v>2.532692781448906E-3</v>
      </c>
      <c r="D165" s="7">
        <f t="shared" si="52"/>
        <v>0.29265407832178425</v>
      </c>
      <c r="E165" s="7">
        <f>MAX((1-Parameters!$B$4)^Parameters!B$65*E164+B164*Parameters!B$65-Parameters!$B$5*B164^2/E164*Parameters!B$65,0.0001)</f>
        <v>0.81893402116086289</v>
      </c>
      <c r="F165" s="9">
        <f>(1-Parameters!$B$4)^Parameters!B$65*F164+C164*Parameters!B$65-Parameters!$B$5*C164^2/F164*Parameters!B$65</f>
        <v>3.7679652864628009E-2</v>
      </c>
      <c r="G165" s="7">
        <f>(1-Parameters!$B$4)^Parameters!B$65*G164+D164*Parameters!B$65-Parameters!$B$5*D164^2/G164*Parameters!B$65</f>
        <v>4.3389370303956554</v>
      </c>
      <c r="H165" s="7">
        <f>H164 *(1-Parameters!$B$4)-B164*(B164&lt;0)*Parameters!B$65</f>
        <v>0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23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371.97711569882819</v>
      </c>
      <c r="L165" s="8">
        <f>L164+K165*Parameters!B$65</f>
        <v>28137.305646362562</v>
      </c>
      <c r="M165" s="7">
        <f>M164+Parameters!$B$45*K165</f>
        <v>16.882383387817537</v>
      </c>
      <c r="N165" s="7">
        <f>'6states'!O165</f>
        <v>0.95196987331089333</v>
      </c>
      <c r="O165" s="7">
        <f>MAX(O164+(Parameters!B$31-K165)*Parameters!B$65,30)</f>
        <v>30</v>
      </c>
      <c r="P165" s="7">
        <f>Parameters!B$61*EXP(-Parameters!B$60*A165)+(1-Parameters!B$61)*(O165/Parameters!B$62)^-Parameters!B$63</f>
        <v>0.53267768515296376</v>
      </c>
      <c r="Q165" s="9">
        <f>1-P165/Parameters!$B$12</f>
        <v>0.73366115742351812</v>
      </c>
      <c r="R165" s="23">
        <f t="shared" si="49"/>
        <v>3.7546157005350804</v>
      </c>
      <c r="S165" s="7">
        <f>(Parameters!$B$19*(E165+Parameters!$B$20)^Q165+Parameters!$B$18*F165^Q165)^(1/Q165)</f>
        <v>0.53740083675296213</v>
      </c>
      <c r="T165" s="7">
        <f>(Parameters!$B$10*G165^Parameters!$B$9 + Parameters!$B$11*S165^Parameters!$B$9) ^ (Parameters!$B$7/Parameters!$B$9) * N165</f>
        <v>1.4550659804642823</v>
      </c>
      <c r="U165" s="7">
        <f t="shared" si="50"/>
        <v>1.1046404146696363</v>
      </c>
      <c r="V165" s="7">
        <f>EXP(-Parameters!$B$55*A165)</f>
        <v>8.7940045309291504E-2</v>
      </c>
      <c r="W165" s="7">
        <f>IF(U165&gt;0,U165^(1-Parameters!$B$52)/(1-Parameters!$B$52)*V165,-10+U165*1000)</f>
        <v>-0.24265615725683876</v>
      </c>
      <c r="X165" s="7"/>
      <c r="Y165" s="7"/>
      <c r="Z165" s="7"/>
      <c r="AA165" s="7"/>
    </row>
    <row r="166" spans="1:27" x14ac:dyDescent="0.3">
      <c r="A166">
        <f>A165+Parameters!$B$65</f>
        <v>162</v>
      </c>
      <c r="B166" s="9">
        <f t="shared" si="52"/>
        <v>5.5238794691412761E-2</v>
      </c>
      <c r="C166" s="9">
        <f t="shared" si="52"/>
        <v>2.532692781448906E-3</v>
      </c>
      <c r="D166" s="7">
        <f t="shared" si="52"/>
        <v>0.29265407832178425</v>
      </c>
      <c r="E166" s="7">
        <f>MAX((1-Parameters!$B$4)^Parameters!B$65*E165+B165*Parameters!B$65-Parameters!$B$5*B165^2/E165*Parameters!B$65,0.0001)</f>
        <v>0.81893589489048413</v>
      </c>
      <c r="F166" s="9">
        <f>(1-Parameters!$B$4)^Parameters!B$65*F165+C165*Parameters!B$65-Parameters!$B$5*C165^2/F165*Parameters!B$65</f>
        <v>3.7672056844451907E-2</v>
      </c>
      <c r="G166" s="7">
        <f>(1-Parameters!$B$4)^Parameters!B$65*G165+D165*Parameters!B$65-Parameters!$B$5*D165^2/G165*Parameters!B$65</f>
        <v>4.3389329391950433</v>
      </c>
      <c r="H166" s="7">
        <f>H165 *(1-Parameters!$B$4)-B165*(B165&lt;0)*Parameters!B$65</f>
        <v>0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23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376.76771843622896</v>
      </c>
      <c r="L166" s="8">
        <f>L165+K166*Parameters!B$65</f>
        <v>28514.073364798791</v>
      </c>
      <c r="M166" s="7">
        <f>M165+Parameters!$B$45*K166</f>
        <v>17.108444018879275</v>
      </c>
      <c r="N166" s="7">
        <f>'6states'!O166</f>
        <v>0.95196874708956469</v>
      </c>
      <c r="O166" s="7">
        <f>MAX(O165+(Parameters!B$31-K166)*Parameters!B$65,30)</f>
        <v>30</v>
      </c>
      <c r="P166" s="7">
        <f>Parameters!B$61*EXP(-Parameters!B$60*A166)+(1-Parameters!B$61)*(O166/Parameters!B$62)^-Parameters!B$63</f>
        <v>0.53250525791488568</v>
      </c>
      <c r="Q166" s="9">
        <f>1-P166/Parameters!$B$12</f>
        <v>0.73374737104255716</v>
      </c>
      <c r="R166" s="23">
        <f t="shared" si="49"/>
        <v>3.7558314594513829</v>
      </c>
      <c r="S166" s="7">
        <f>(Parameters!$B$19*(E166+Parameters!$B$20)^Q166+Parameters!$B$18*F166^Q166)^(1/Q166)</f>
        <v>0.53741624459121262</v>
      </c>
      <c r="T166" s="7">
        <f>(Parameters!$B$10*G166^Parameters!$B$9 + Parameters!$B$11*S166^Parameters!$B$9) ^ (Parameters!$B$7/Parameters!$B$9) * N166</f>
        <v>1.4550663335371319</v>
      </c>
      <c r="U166" s="7">
        <f t="shared" si="50"/>
        <v>1.1046407677424859</v>
      </c>
      <c r="V166" s="7">
        <f>EXP(-Parameters!$B$55*A166)</f>
        <v>8.6622125957696541E-2</v>
      </c>
      <c r="W166" s="7">
        <f>IF(U166&gt;0,U166^(1-Parameters!$B$52)/(1-Parameters!$B$52)*V166,-10+U166*1000)</f>
        <v>-0.23901954784033594</v>
      </c>
      <c r="X166" s="7"/>
      <c r="Y166" s="7"/>
      <c r="Z166" s="7"/>
      <c r="AA166" s="7"/>
    </row>
    <row r="167" spans="1:27" x14ac:dyDescent="0.3">
      <c r="A167">
        <f>A166+Parameters!$B$65</f>
        <v>163</v>
      </c>
      <c r="B167" s="9">
        <f t="shared" si="52"/>
        <v>5.5238794691412761E-2</v>
      </c>
      <c r="C167" s="9">
        <f t="shared" si="52"/>
        <v>2.532692781448906E-3</v>
      </c>
      <c r="D167" s="7">
        <f t="shared" si="52"/>
        <v>0.29265407832178425</v>
      </c>
      <c r="E167" s="7">
        <f>MAX((1-Parameters!$B$4)^Parameters!B$65*E166+B166*Parameters!B$65-Parameters!$B$5*B166^2/E166*Parameters!B$65,0.0001)</f>
        <v>0.81893765928755358</v>
      </c>
      <c r="F167" s="9">
        <f>(1-Parameters!$B$4)^Parameters!B$65*F166+C166*Parameters!B$65-Parameters!$B$5*C166^2/F166*Parameters!B$65</f>
        <v>3.7664904287809664E-2</v>
      </c>
      <c r="G167" s="7">
        <f>(1-Parameters!$B$4)^Parameters!B$65*G166+D166*Parameters!B$65-Parameters!$B$5*D166^2/G166*Parameters!B$65</f>
        <v>4.3389290867189239</v>
      </c>
      <c r="H167" s="7">
        <f>H166 *(1-Parameters!$B$4)-B166*(B166&lt;0)*Parameters!B$65</f>
        <v>0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23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381.62087682802382</v>
      </c>
      <c r="L167" s="8">
        <f>L166+K167*Parameters!B$65</f>
        <v>28895.694241626814</v>
      </c>
      <c r="M167" s="7">
        <f>M166+Parameters!$B$45*K167</f>
        <v>17.33741654497609</v>
      </c>
      <c r="N167" s="7">
        <f>'6states'!O167</f>
        <v>0.95196760646336898</v>
      </c>
      <c r="O167" s="7">
        <f>MAX(O166+(Parameters!B$31-K167)*Parameters!B$65,30)</f>
        <v>30</v>
      </c>
      <c r="P167" s="7">
        <f>Parameters!B$61*EXP(-Parameters!B$60*A167)+(1-Parameters!B$61)*(O167/Parameters!B$62)^-Parameters!B$63</f>
        <v>0.53233742392435746</v>
      </c>
      <c r="Q167" s="9">
        <f>1-P167/Parameters!$B$12</f>
        <v>0.73383128803782127</v>
      </c>
      <c r="R167" s="23">
        <f t="shared" si="49"/>
        <v>3.7570155884516399</v>
      </c>
      <c r="S167" s="7">
        <f>(Parameters!$B$19*(E167+Parameters!$B$20)^Q167+Parameters!$B$18*F167^Q167)^(1/Q167)</f>
        <v>0.53743135403861864</v>
      </c>
      <c r="T167" s="7">
        <f>(Parameters!$B$10*G167^Parameters!$B$9 + Parameters!$B$11*S167^Parameters!$B$9) ^ (Parameters!$B$7/Parameters!$B$9) * N167</f>
        <v>1.4550666370778407</v>
      </c>
      <c r="U167" s="7">
        <f t="shared" si="50"/>
        <v>1.1046410712831949</v>
      </c>
      <c r="V167" s="7">
        <f>EXP(-Parameters!$B$55*A167)</f>
        <v>8.5323957692323968E-2</v>
      </c>
      <c r="W167" s="7">
        <f>IF(U167&gt;0,U167^(1-Parameters!$B$52)/(1-Parameters!$B$52)*V167,-10+U167*1000)</f>
        <v>-0.23543744280898443</v>
      </c>
      <c r="X167" s="7"/>
      <c r="Y167" s="7"/>
      <c r="Z167" s="7"/>
      <c r="AA167" s="7"/>
    </row>
    <row r="168" spans="1:27" x14ac:dyDescent="0.3">
      <c r="A168">
        <f>A167+Parameters!$B$65</f>
        <v>164</v>
      </c>
      <c r="B168" s="9">
        <f t="shared" si="52"/>
        <v>5.5238794691412761E-2</v>
      </c>
      <c r="C168" s="9">
        <f t="shared" si="52"/>
        <v>2.532692781448906E-3</v>
      </c>
      <c r="D168" s="7">
        <f t="shared" si="52"/>
        <v>0.29265407832178425</v>
      </c>
      <c r="E168" s="7">
        <f>MAX((1-Parameters!$B$4)^Parameters!B$65*E167+B167*Parameters!B$65-Parameters!$B$5*B167^2/E167*Parameters!B$65,0.0001)</f>
        <v>0.81893932073161468</v>
      </c>
      <c r="F168" s="9">
        <f>(1-Parameters!$B$4)^Parameters!B$65*F167+C167*Parameters!B$65-Parameters!$B$5*C167^2/F167*Parameters!B$65</f>
        <v>3.765816929218388E-2</v>
      </c>
      <c r="G168" s="7">
        <f>(1-Parameters!$B$4)^Parameters!B$65*G167+D167*Parameters!B$65-Parameters!$B$5*D167^2/G167*Parameters!B$65</f>
        <v>4.3389254590375197</v>
      </c>
      <c r="H168" s="7">
        <f>H167 *(1-Parameters!$B$4)-B167*(B167&lt;0)*Parameters!B$65</f>
        <v>0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23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386.53740097499883</v>
      </c>
      <c r="L168" s="8">
        <f>L167+K168*Parameters!B$65</f>
        <v>29282.231642601811</v>
      </c>
      <c r="M168" s="7">
        <f>M167+Parameters!$B$45*K168</f>
        <v>17.569338985561089</v>
      </c>
      <c r="N168" s="7">
        <f>'6states'!O168</f>
        <v>0.95196645124790091</v>
      </c>
      <c r="O168" s="7">
        <f>MAX(O167+(Parameters!B$31-K168)*Parameters!B$65,30)</f>
        <v>30</v>
      </c>
      <c r="P168" s="7">
        <f>Parameters!B$61*EXP(-Parameters!B$60*A168)+(1-Parameters!B$61)*(O168/Parameters!B$62)^-Parameters!B$63</f>
        <v>0.53217406082296692</v>
      </c>
      <c r="Q168" s="9">
        <f>1-P168/Parameters!$B$12</f>
        <v>0.73391296958851648</v>
      </c>
      <c r="R168" s="23">
        <f t="shared" si="49"/>
        <v>3.7581688910337925</v>
      </c>
      <c r="S168" s="7">
        <f>(Parameters!$B$19*(E168+Parameters!$B$20)^Q168+Parameters!$B$18*F168^Q168)^(1/Q168)</f>
        <v>0.53744616642044085</v>
      </c>
      <c r="T168" s="7">
        <f>(Parameters!$B$10*G168^Parameters!$B$9 + Parameters!$B$11*S168^Parameters!$B$9) ^ (Parameters!$B$7/Parameters!$B$9) * N168</f>
        <v>1.4550668898978611</v>
      </c>
      <c r="U168" s="7">
        <f t="shared" si="50"/>
        <v>1.1046413241032154</v>
      </c>
      <c r="V168" s="7">
        <f>EXP(-Parameters!$B$55*A168)</f>
        <v>8.4045244512203479E-2</v>
      </c>
      <c r="W168" s="7">
        <f>IF(U168&gt;0,U168^(1-Parameters!$B$52)/(1-Parameters!$B$52)*V168,-10+U168*1000)</f>
        <v>-0.23190902529975702</v>
      </c>
      <c r="X168" s="7"/>
      <c r="Y168" s="7"/>
      <c r="Z168" s="7"/>
      <c r="AA168" s="7"/>
    </row>
    <row r="169" spans="1:27" x14ac:dyDescent="0.3">
      <c r="A169">
        <f>A168+Parameters!$B$65</f>
        <v>165</v>
      </c>
      <c r="B169" s="9">
        <f t="shared" si="52"/>
        <v>5.5238794691412761E-2</v>
      </c>
      <c r="C169" s="9">
        <f t="shared" si="52"/>
        <v>2.532692781448906E-3</v>
      </c>
      <c r="D169" s="7">
        <f t="shared" si="52"/>
        <v>0.29265407832178425</v>
      </c>
      <c r="E169" s="7">
        <f>MAX((1-Parameters!$B$4)^Parameters!B$65*E168+B168*Parameters!B$65-Parameters!$B$5*B168^2/E168*Parameters!B$65,0.0001)</f>
        <v>0.81894088522996966</v>
      </c>
      <c r="F169" s="9">
        <f>(1-Parameters!$B$4)^Parameters!B$65*F168+C168*Parameters!B$65-Parameters!$B$5*C168^2/F168*Parameters!B$65</f>
        <v>3.7651827469440062E-2</v>
      </c>
      <c r="G169" s="7">
        <f>(1-Parameters!$B$4)^Parameters!B$65*G168+D168*Parameters!B$65-Parameters!$B$5*D168^2/G168*Parameters!B$65</f>
        <v>4.3389220430338709</v>
      </c>
      <c r="H169" s="7">
        <f>H168 *(1-Parameters!$B$4)-B168*(B168&lt;0)*Parameters!B$65</f>
        <v>0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23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391.51811144928553</v>
      </c>
      <c r="L169" s="8">
        <f>L168+K169*Parameters!B$65</f>
        <v>29673.749754051096</v>
      </c>
      <c r="M169" s="7">
        <f>M168+Parameters!$B$45*K169</f>
        <v>17.804249852430662</v>
      </c>
      <c r="N169" s="7">
        <f>'6states'!O169</f>
        <v>0.95196528125639013</v>
      </c>
      <c r="O169" s="7">
        <f>MAX(O168+(Parameters!B$31-K169)*Parameters!B$65,30)</f>
        <v>30</v>
      </c>
      <c r="P169" s="7">
        <f>Parameters!B$61*EXP(-Parameters!B$60*A169)+(1-Parameters!B$61)*(O169/Parameters!B$62)^-Parameters!B$63</f>
        <v>0.53201504951177814</v>
      </c>
      <c r="Q169" s="9">
        <f>1-P169/Parameters!$B$12</f>
        <v>0.73399247524411093</v>
      </c>
      <c r="R169" s="23">
        <f t="shared" si="49"/>
        <v>3.7592921512941571</v>
      </c>
      <c r="S169" s="7">
        <f>(Parameters!$B$19*(E169+Parameters!$B$20)^Q169+Parameters!$B$18*F169^Q169)^(1/Q169)</f>
        <v>0.5374606834197263</v>
      </c>
      <c r="T169" s="7">
        <f>(Parameters!$B$10*G169^Parameters!$B$9 + Parameters!$B$11*S169^Parameters!$B$9) ^ (Parameters!$B$7/Parameters!$B$9) * N169</f>
        <v>1.4550670909263679</v>
      </c>
      <c r="U169" s="7">
        <f t="shared" si="50"/>
        <v>1.1046415251317221</v>
      </c>
      <c r="V169" s="7">
        <f>EXP(-Parameters!$B$55*A169)</f>
        <v>8.2785694852402933E-2</v>
      </c>
      <c r="W169" s="7">
        <f>IF(U169&gt;0,U169^(1-Parameters!$B$52)/(1-Parameters!$B$52)*V169,-10+U169*1000)</f>
        <v>-0.22843349068173169</v>
      </c>
      <c r="X169" s="7"/>
      <c r="Y169" s="7"/>
      <c r="Z169" s="7"/>
      <c r="AA169" s="7"/>
    </row>
    <row r="170" spans="1:27" x14ac:dyDescent="0.3">
      <c r="A170">
        <f>A169+Parameters!$B$65</f>
        <v>166</v>
      </c>
      <c r="B170" s="9">
        <f t="shared" ref="B170:D185" si="53">B169</f>
        <v>5.5238794691412761E-2</v>
      </c>
      <c r="C170" s="9">
        <f t="shared" si="53"/>
        <v>2.532692781448906E-3</v>
      </c>
      <c r="D170" s="7">
        <f t="shared" si="53"/>
        <v>0.29265407832178425</v>
      </c>
      <c r="E170" s="7">
        <f>MAX((1-Parameters!$B$4)^Parameters!B$65*E169+B169*Parameters!B$65-Parameters!$B$5*B169^2/E169*Parameters!B$65,0.0001)</f>
        <v>0.81894235843939844</v>
      </c>
      <c r="F170" s="9">
        <f>(1-Parameters!$B$4)^Parameters!B$65*F169+C169*Parameters!B$65-Parameters!$B$5*C169^2/F169*Parameters!B$65</f>
        <v>3.7645855857127999E-2</v>
      </c>
      <c r="G170" s="7">
        <f>(1-Parameters!$B$4)^Parameters!B$65*G169+D169*Parameters!B$65-Parameters!$B$5*D169^2/G169*Parameters!B$65</f>
        <v>4.338918826356406</v>
      </c>
      <c r="H170" s="7">
        <f>H169 *(1-Parameters!$B$4)-B169*(B169&lt;0)*Parameters!B$65</f>
        <v>0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23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396.56383943392194</v>
      </c>
      <c r="L170" s="8">
        <f>L169+K170*Parameters!B$65</f>
        <v>30070.313593485018</v>
      </c>
      <c r="M170" s="7">
        <f>M169+Parameters!$B$45*K170</f>
        <v>18.042188156091015</v>
      </c>
      <c r="N170" s="7">
        <f>'6states'!O170</f>
        <v>0.95196409629967138</v>
      </c>
      <c r="O170" s="7">
        <f>MAX(O169+(Parameters!B$31-K170)*Parameters!B$65,30)</f>
        <v>30</v>
      </c>
      <c r="P170" s="7">
        <f>Parameters!B$61*EXP(-Parameters!B$60*A170)+(1-Parameters!B$61)*(O170/Parameters!B$62)^-Parameters!B$63</f>
        <v>0.53186027406450298</v>
      </c>
      <c r="Q170" s="9">
        <f>1-P170/Parameters!$B$12</f>
        <v>0.73406986296774845</v>
      </c>
      <c r="R170" s="23">
        <f t="shared" si="49"/>
        <v>3.7603861343429523</v>
      </c>
      <c r="S170" s="7">
        <f>(Parameters!$B$19*(E170+Parameters!$B$20)^Q170+Parameters!$B$18*F170^Q170)^(1/Q170)</f>
        <v>0.53747490704432765</v>
      </c>
      <c r="T170" s="7">
        <f>(Parameters!$B$10*G170^Parameters!$B$9 + Parameters!$B$11*S170^Parameters!$B$9) ^ (Parameters!$B$7/Parameters!$B$9) * N170</f>
        <v>1.4550672392011954</v>
      </c>
      <c r="U170" s="7">
        <f t="shared" si="50"/>
        <v>1.1046416734065496</v>
      </c>
      <c r="V170" s="7">
        <f>EXP(-Parameters!$B$55*A170)</f>
        <v>8.1545021517547445E-2</v>
      </c>
      <c r="W170" s="7">
        <f>IF(U170&gt;0,U170^(1-Parameters!$B$52)/(1-Parameters!$B$52)*V170,-10+U170*1000)</f>
        <v>-0.22501004637399827</v>
      </c>
      <c r="X170" s="7"/>
      <c r="Y170" s="7"/>
      <c r="Z170" s="7"/>
      <c r="AA170" s="7"/>
    </row>
    <row r="171" spans="1:27" x14ac:dyDescent="0.3">
      <c r="A171">
        <f>A170+Parameters!$B$65</f>
        <v>167</v>
      </c>
      <c r="B171" s="9">
        <f t="shared" si="53"/>
        <v>5.5238794691412761E-2</v>
      </c>
      <c r="C171" s="9">
        <f t="shared" si="53"/>
        <v>2.532692781448906E-3</v>
      </c>
      <c r="D171" s="7">
        <f t="shared" si="53"/>
        <v>0.29265407832178425</v>
      </c>
      <c r="E171" s="7">
        <f>MAX((1-Parameters!$B$4)^Parameters!B$65*E170+B170*Parameters!B$65-Parameters!$B$5*B170^2/E170*Parameters!B$65,0.0001)</f>
        <v>0.81894374568661099</v>
      </c>
      <c r="F171" s="9">
        <f>(1-Parameters!$B$4)^Parameters!B$65*F170+C170*Parameters!B$65-Parameters!$B$5*C170^2/F170*Parameters!B$65</f>
        <v>3.7640232834996228E-2</v>
      </c>
      <c r="G171" s="7">
        <f>(1-Parameters!$B$4)^Parameters!B$65*G170+D170*Parameters!B$65-Parameters!$B$5*D170^2/G170*Parameters!B$65</f>
        <v>4.3389157973742822</v>
      </c>
      <c r="H171" s="7">
        <f>H170 *(1-Parameters!$B$4)-B170*(B170&lt;0)*Parameters!B$65</f>
        <v>0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23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401.67542686404738</v>
      </c>
      <c r="L171" s="8">
        <f>L170+K171*Parameters!B$65</f>
        <v>30471.989020349065</v>
      </c>
      <c r="M171" s="7">
        <f>M170+Parameters!$B$45*K171</f>
        <v>18.283193412209442</v>
      </c>
      <c r="N171" s="7">
        <f>'6states'!O171</f>
        <v>0.95196289618615304</v>
      </c>
      <c r="O171" s="7">
        <f>MAX(O170+(Parameters!B$31-K171)*Parameters!B$65,30)</f>
        <v>30</v>
      </c>
      <c r="P171" s="7">
        <f>Parameters!B$61*EXP(-Parameters!B$60*A171)+(1-Parameters!B$61)*(O171/Parameters!B$62)^-Parameters!B$63</f>
        <v>0.53170962164298585</v>
      </c>
      <c r="Q171" s="9">
        <f>1-P171/Parameters!$B$12</f>
        <v>0.73414518917850713</v>
      </c>
      <c r="R171" s="23">
        <f t="shared" si="49"/>
        <v>3.7614515867137945</v>
      </c>
      <c r="S171" s="7">
        <f>(Parameters!$B$19*(E171+Parameters!$B$20)^Q171+Parameters!$B$18*F171^Q171)^(1/Q171)</f>
        <v>0.53748883959621041</v>
      </c>
      <c r="T171" s="7">
        <f>(Parameters!$B$10*G171^Parameters!$B$9 + Parameters!$B$11*S171^Parameters!$B$9) ^ (Parameters!$B$7/Parameters!$B$9) * N171</f>
        <v>1.4550673338603581</v>
      </c>
      <c r="U171" s="7">
        <f t="shared" si="50"/>
        <v>1.1046417680657123</v>
      </c>
      <c r="V171" s="7">
        <f>EXP(-Parameters!$B$55*A171)</f>
        <v>8.0322941616334922E-2</v>
      </c>
      <c r="W171" s="7">
        <f>IF(U171&gt;0,U171^(1-Parameters!$B$52)/(1-Parameters!$B$52)*V171,-10+U171*1000)</f>
        <v>-0.22163791166618368</v>
      </c>
      <c r="X171" s="7"/>
      <c r="Y171" s="7"/>
      <c r="Z171" s="7"/>
      <c r="AA171" s="7"/>
    </row>
    <row r="172" spans="1:27" x14ac:dyDescent="0.3">
      <c r="A172">
        <f>A171+Parameters!$B$65</f>
        <v>168</v>
      </c>
      <c r="B172" s="9">
        <f t="shared" si="53"/>
        <v>5.5238794691412761E-2</v>
      </c>
      <c r="C172" s="9">
        <f t="shared" si="53"/>
        <v>2.532692781448906E-3</v>
      </c>
      <c r="D172" s="7">
        <f t="shared" si="53"/>
        <v>0.29265407832178425</v>
      </c>
      <c r="E172" s="7">
        <f>MAX((1-Parameters!$B$4)^Parameters!B$65*E171+B171*Parameters!B$65-Parameters!$B$5*B171^2/E171*Parameters!B$65,0.0001)</f>
        <v>0.81894505198750678</v>
      </c>
      <c r="F172" s="9">
        <f>(1-Parameters!$B$4)^Parameters!B$65*F171+C171*Parameters!B$65-Parameters!$B$5*C171^2/F171*Parameters!B$65</f>
        <v>3.7634938046411354E-2</v>
      </c>
      <c r="G172" s="7">
        <f>(1-Parameters!$B$4)^Parameters!B$65*G171+D171*Parameters!B$65-Parameters!$B$5*D171^2/G171*Parameters!B$65</f>
        <v>4.3389129451353279</v>
      </c>
      <c r="H172" s="7">
        <f>H171 *(1-Parameters!$B$4)-B171*(B171&lt;0)*Parameters!B$65</f>
        <v>0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23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406.85372656975323</v>
      </c>
      <c r="L172" s="8">
        <f>L171+K172*Parameters!B$65</f>
        <v>30878.842746918817</v>
      </c>
      <c r="M172" s="7">
        <f>M171+Parameters!$B$45*K172</f>
        <v>18.527305648151295</v>
      </c>
      <c r="N172" s="7">
        <f>'6states'!O172</f>
        <v>0.95196168072178622</v>
      </c>
      <c r="O172" s="7">
        <f>MAX(O171+(Parameters!B$31-K172)*Parameters!B$65,30)</f>
        <v>30</v>
      </c>
      <c r="P172" s="7">
        <f>Parameters!B$61*EXP(-Parameters!B$60*A172)+(1-Parameters!B$61)*(O172/Parameters!B$62)^-Parameters!B$63</f>
        <v>0.53156298241493916</v>
      </c>
      <c r="Q172" s="9">
        <f>1-P172/Parameters!$B$12</f>
        <v>0.73421850879253037</v>
      </c>
      <c r="R172" s="23">
        <f t="shared" si="49"/>
        <v>3.7624892367670468</v>
      </c>
      <c r="S172" s="7">
        <f>(Parameters!$B$19*(E172+Parameters!$B$20)^Q172+Parameters!$B$18*F172^Q172)^(1/Q172)</f>
        <v>0.53750248364289865</v>
      </c>
      <c r="T172" s="7">
        <f>(Parameters!$B$10*G172^Parameters!$B$9 + Parameters!$B$11*S172^Parameters!$B$9) ^ (Parameters!$B$7/Parameters!$B$9) * N172</f>
        <v>1.4550673741341249</v>
      </c>
      <c r="U172" s="7">
        <f t="shared" si="50"/>
        <v>1.1046418083394789</v>
      </c>
      <c r="V172" s="7">
        <f>EXP(-Parameters!$B$55*A172)</f>
        <v>7.9119176497032498E-2</v>
      </c>
      <c r="W172" s="7">
        <f>IF(U172&gt;0,U172^(1-Parameters!$B$52)/(1-Parameters!$B$52)*V172,-10+U172*1000)</f>
        <v>-0.21831631754156311</v>
      </c>
      <c r="X172" s="7"/>
      <c r="Y172" s="7"/>
      <c r="Z172" s="7"/>
      <c r="AA172" s="7"/>
    </row>
    <row r="173" spans="1:27" x14ac:dyDescent="0.3">
      <c r="A173">
        <f>A172+Parameters!$B$65</f>
        <v>169</v>
      </c>
      <c r="B173" s="9">
        <f t="shared" si="53"/>
        <v>5.5238794691412761E-2</v>
      </c>
      <c r="C173" s="9">
        <f t="shared" si="53"/>
        <v>2.532692781448906E-3</v>
      </c>
      <c r="D173" s="7">
        <f t="shared" si="53"/>
        <v>0.29265407832178425</v>
      </c>
      <c r="E173" s="7">
        <f>MAX((1-Parameters!$B$4)^Parameters!B$65*E172+B172*Parameters!B$65-Parameters!$B$5*B172^2/E172*Parameters!B$65,0.0001)</f>
        <v>0.81894628206530939</v>
      </c>
      <c r="F173" s="9">
        <f>(1-Parameters!$B$4)^Parameters!B$65*F172+C172*Parameters!B$65-Parameters!$B$5*C172^2/F172*Parameters!B$65</f>
        <v>3.7629952324392146E-2</v>
      </c>
      <c r="G173" s="7">
        <f>(1-Parameters!$B$4)^Parameters!B$65*G172+D172*Parameters!B$65-Parameters!$B$5*D172^2/G172*Parameters!B$65</f>
        <v>4.3389102593264397</v>
      </c>
      <c r="H173" s="7">
        <f>H172 *(1-Parameters!$B$4)-B172*(B172&lt;0)*Parameters!B$65</f>
        <v>0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23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412.09960242062363</v>
      </c>
      <c r="L173" s="8">
        <f>L172+K173*Parameters!B$65</f>
        <v>31290.942349339442</v>
      </c>
      <c r="M173" s="7">
        <f>M172+Parameters!$B$45*K173</f>
        <v>18.774565409603667</v>
      </c>
      <c r="N173" s="7">
        <f>'6states'!O173</f>
        <v>0.95196044971003335</v>
      </c>
      <c r="O173" s="7">
        <f>MAX(O172+(Parameters!B$31-K173)*Parameters!B$65,30)</f>
        <v>30</v>
      </c>
      <c r="P173" s="7">
        <f>Parameters!B$61*EXP(-Parameters!B$60*A173)+(1-Parameters!B$61)*(O173/Parameters!B$62)^-Parameters!B$63</f>
        <v>0.53142024947387156</v>
      </c>
      <c r="Q173" s="9">
        <f>1-P173/Parameters!$B$12</f>
        <v>0.73428987526306422</v>
      </c>
      <c r="R173" s="23">
        <f t="shared" si="49"/>
        <v>3.7634997950870037</v>
      </c>
      <c r="S173" s="7">
        <f>(Parameters!$B$19*(E173+Parameters!$B$20)^Q173+Parameters!$B$18*F173^Q173)^(1/Q173)</f>
        <v>0.53751584199092473</v>
      </c>
      <c r="T173" s="7">
        <f>(Parameters!$B$10*G173^Parameters!$B$9 + Parameters!$B$11*S173^Parameters!$B$9) ^ (Parameters!$B$7/Parameters!$B$9) * N173</f>
        <v>1.4550673593376036</v>
      </c>
      <c r="U173" s="7">
        <f t="shared" si="50"/>
        <v>1.1046417935429576</v>
      </c>
      <c r="V173" s="7">
        <f>EXP(-Parameters!$B$55*A173)</f>
        <v>7.79334516839401E-2</v>
      </c>
      <c r="W173" s="7">
        <f>IF(U173&gt;0,U173^(1-Parameters!$B$52)/(1-Parameters!$B$52)*V173,-10+U173*1000)</f>
        <v>-0.21504450650273135</v>
      </c>
      <c r="X173" s="7"/>
      <c r="Y173" s="7"/>
      <c r="Z173" s="7"/>
      <c r="AA173" s="7"/>
    </row>
    <row r="174" spans="1:27" x14ac:dyDescent="0.3">
      <c r="A174">
        <f>A173+Parameters!$B$65</f>
        <v>170</v>
      </c>
      <c r="B174" s="9">
        <f t="shared" si="53"/>
        <v>5.5238794691412761E-2</v>
      </c>
      <c r="C174" s="9">
        <f t="shared" si="53"/>
        <v>2.532692781448906E-3</v>
      </c>
      <c r="D174" s="7">
        <f t="shared" si="53"/>
        <v>0.29265407832178425</v>
      </c>
      <c r="E174" s="7">
        <f>MAX((1-Parameters!$B$4)^Parameters!B$65*E173+B173*Parameters!B$65-Parameters!$B$5*B173^2/E173*Parameters!B$65,0.0001)</f>
        <v>0.81894744036764455</v>
      </c>
      <c r="F174" s="9">
        <f>(1-Parameters!$B$4)^Parameters!B$65*F173+C173*Parameters!B$65-Parameters!$B$5*C173^2/F173*Parameters!B$65</f>
        <v>3.7625257621985882E-2</v>
      </c>
      <c r="G174" s="7">
        <f>(1-Parameters!$B$4)^Parameters!B$65*G173+D173*Parameters!B$65-Parameters!$B$5*D173^2/G173*Parameters!B$65</f>
        <v>4.3389077302362971</v>
      </c>
      <c r="H174" s="7">
        <f>H173 *(1-Parameters!$B$4)-B173*(B173&lt;0)*Parameters!B$65</f>
        <v>0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23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417.41392947199517</v>
      </c>
      <c r="L174" s="8">
        <f>L173+K174*Parameters!B$65</f>
        <v>31708.356278811436</v>
      </c>
      <c r="M174" s="7">
        <f>M173+Parameters!$B$45*K174</f>
        <v>19.025013767286865</v>
      </c>
      <c r="N174" s="7">
        <f>'6states'!O174</f>
        <v>0.95195920295183567</v>
      </c>
      <c r="O174" s="7">
        <f>MAX(O173+(Parameters!B$31-K174)*Parameters!B$65,30)</f>
        <v>30</v>
      </c>
      <c r="P174" s="7">
        <f>Parameters!B$61*EXP(-Parameters!B$60*A174)+(1-Parameters!B$61)*(O174/Parameters!B$62)^-Parameters!B$63</f>
        <v>0.53128131876114748</v>
      </c>
      <c r="Q174" s="9">
        <f>1-P174/Parameters!$B$12</f>
        <v>0.7343593406194262</v>
      </c>
      <c r="R174" s="23">
        <f t="shared" si="49"/>
        <v>3.7644839548727971</v>
      </c>
      <c r="S174" s="7">
        <f>(Parameters!$B$19*(E174+Parameters!$B$20)^Q174+Parameters!$B$18*F174^Q174)^(1/Q174)</f>
        <v>0.53752891766115318</v>
      </c>
      <c r="T174" s="7">
        <f>(Parameters!$B$10*G174^Parameters!$B$9 + Parameters!$B$11*S174^Parameters!$B$9) ^ (Parameters!$B$7/Parameters!$B$9) * N174</f>
        <v>1.4550672888638101</v>
      </c>
      <c r="U174" s="7">
        <f t="shared" si="50"/>
        <v>1.1046417230691641</v>
      </c>
      <c r="V174" s="7">
        <f>EXP(-Parameters!$B$55*A174)</f>
        <v>7.6765496814806045E-2</v>
      </c>
      <c r="W174" s="7">
        <f>IF(U174&gt;0,U174^(1-Parameters!$B$52)/(1-Parameters!$B$52)*V174,-10+U174*1000)</f>
        <v>-0.21182173239979971</v>
      </c>
      <c r="X174" s="7"/>
      <c r="Y174" s="7"/>
      <c r="Z174" s="7"/>
      <c r="AA174" s="7"/>
    </row>
    <row r="175" spans="1:27" x14ac:dyDescent="0.3">
      <c r="A175">
        <f>A174+Parameters!$B$65</f>
        <v>171</v>
      </c>
      <c r="B175" s="9">
        <f t="shared" si="53"/>
        <v>5.5238794691412761E-2</v>
      </c>
      <c r="C175" s="9">
        <f t="shared" si="53"/>
        <v>2.532692781448906E-3</v>
      </c>
      <c r="D175" s="7">
        <f t="shared" si="53"/>
        <v>0.29265407832178425</v>
      </c>
      <c r="E175" s="7">
        <f>MAX((1-Parameters!$B$4)^Parameters!B$65*E174+B174*Parameters!B$65-Parameters!$B$5*B174^2/E174*Parameters!B$65,0.0001)</f>
        <v>0.81894853108262045</v>
      </c>
      <c r="F175" s="9">
        <f>(1-Parameters!$B$4)^Parameters!B$65*F174+C174*Parameters!B$65-Parameters!$B$5*C174^2/F174*Parameters!B$65</f>
        <v>3.7620836946730601E-2</v>
      </c>
      <c r="G175" s="7">
        <f>(1-Parameters!$B$4)^Parameters!B$65*G174+D174*Parameters!B$65-Parameters!$B$5*D174^2/G174*Parameters!B$65</f>
        <v>4.3389053487202416</v>
      </c>
      <c r="H175" s="7">
        <f>H174 *(1-Parameters!$B$4)-B174*(B174&lt;0)*Parameters!B$65</f>
        <v>0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23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422.79759411296277</v>
      </c>
      <c r="L175" s="8">
        <f>L174+K175*Parameters!B$65</f>
        <v>32131.153872924398</v>
      </c>
      <c r="M175" s="7">
        <f>M174+Parameters!$B$45*K175</f>
        <v>19.278692323754644</v>
      </c>
      <c r="N175" s="7">
        <f>'6states'!O175</f>
        <v>0.951957940245581</v>
      </c>
      <c r="O175" s="7">
        <f>MAX(O174+(Parameters!B$31-K175)*Parameters!B$65,30)</f>
        <v>30</v>
      </c>
      <c r="P175" s="7">
        <f>Parameters!B$61*EXP(-Parameters!B$60*A175)+(1-Parameters!B$61)*(O175/Parameters!B$62)^-Parameters!B$63</f>
        <v>0.53114608899012461</v>
      </c>
      <c r="Q175" s="9">
        <f>1-P175/Parameters!$B$12</f>
        <v>0.73442695550493764</v>
      </c>
      <c r="R175" s="23">
        <f t="shared" si="49"/>
        <v>3.7654423923230373</v>
      </c>
      <c r="S175" s="7">
        <f>(Parameters!$B$19*(E175+Parameters!$B$20)^Q175+Parameters!$B$18*F175^Q175)^(1/Q175)</f>
        <v>0.53754171386585914</v>
      </c>
      <c r="T175" s="7">
        <f>(Parameters!$B$10*G175^Parameters!$B$9 + Parameters!$B$11*S175^Parameters!$B$9) ^ (Parameters!$B$7/Parameters!$B$9) * N175</f>
        <v>1.4550671621771918</v>
      </c>
      <c r="U175" s="7">
        <f t="shared" si="50"/>
        <v>1.104641596382546</v>
      </c>
      <c r="V175" s="7">
        <f>EXP(-Parameters!$B$55*A175)</f>
        <v>7.5615045579180543E-2</v>
      </c>
      <c r="W175" s="7">
        <f>IF(U175&gt;0,U175^(1-Parameters!$B$52)/(1-Parameters!$B$52)*V175,-10+U175*1000)</f>
        <v>-0.20864726026108871</v>
      </c>
      <c r="X175" s="7"/>
      <c r="Y175" s="7"/>
      <c r="Z175" s="7"/>
      <c r="AA175" s="7"/>
    </row>
    <row r="176" spans="1:27" x14ac:dyDescent="0.3">
      <c r="A176">
        <f>A175+Parameters!$B$65</f>
        <v>172</v>
      </c>
      <c r="B176" s="9">
        <f t="shared" si="53"/>
        <v>5.5238794691412761E-2</v>
      </c>
      <c r="C176" s="9">
        <f t="shared" si="53"/>
        <v>2.532692781448906E-3</v>
      </c>
      <c r="D176" s="7">
        <f t="shared" si="53"/>
        <v>0.29265407832178425</v>
      </c>
      <c r="E176" s="7">
        <f>MAX((1-Parameters!$B$4)^Parameters!B$65*E175+B175*Parameters!B$65-Parameters!$B$5*B175^2/E175*Parameters!B$65,0.0001)</f>
        <v>0.81894955815397008</v>
      </c>
      <c r="F176" s="9">
        <f>(1-Parameters!$B$4)^Parameters!B$65*F175+C175*Parameters!B$65-Parameters!$B$5*C175^2/F175*Parameters!B$65</f>
        <v>3.7616674298962191E-2</v>
      </c>
      <c r="G176" s="7">
        <f>(1-Parameters!$B$4)^Parameters!B$65*G175+D175*Parameters!B$65-Parameters!$B$5*D175^2/G175*Parameters!B$65</f>
        <v>4.3389031061672148</v>
      </c>
      <c r="H176" s="7">
        <f>H175 *(1-Parameters!$B$4)-B175*(B175&lt;0)*Parameters!B$65</f>
        <v>0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23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428.25149421616777</v>
      </c>
      <c r="L176" s="8">
        <f>L175+K176*Parameters!B$65</f>
        <v>32559.405367140567</v>
      </c>
      <c r="M176" s="7">
        <f>M175+Parameters!$B$45*K176</f>
        <v>19.535643220284346</v>
      </c>
      <c r="N176" s="7">
        <f>'6states'!O176</f>
        <v>0.95195666138707091</v>
      </c>
      <c r="O176" s="7">
        <f>MAX(O175+(Parameters!B$31-K176)*Parameters!B$65,30)</f>
        <v>30</v>
      </c>
      <c r="P176" s="7">
        <f>Parameters!B$61*EXP(-Parameters!B$60*A176)+(1-Parameters!B$61)*(O176/Parameters!B$62)^-Parameters!B$63</f>
        <v>0.53101446157231069</v>
      </c>
      <c r="Q176" s="9">
        <f>1-P176/Parameters!$B$12</f>
        <v>0.73449276921384465</v>
      </c>
      <c r="R176" s="23">
        <f t="shared" si="49"/>
        <v>3.7663757670141171</v>
      </c>
      <c r="S176" s="7">
        <f>(Parameters!$B$19*(E176+Parameters!$B$20)^Q176+Parameters!$B$18*F176^Q176)^(1/Q176)</f>
        <v>0.53755423398744739</v>
      </c>
      <c r="T176" s="7">
        <f>(Parameters!$B$10*G176^Parameters!$B$9 + Parameters!$B$11*S176^Parameters!$B$9) ^ (Parameters!$B$7/Parameters!$B$9) * N176</f>
        <v>1.4550669788075716</v>
      </c>
      <c r="U176" s="7">
        <f t="shared" si="50"/>
        <v>1.1046414130129256</v>
      </c>
      <c r="V176" s="7">
        <f>EXP(-Parameters!$B$55*A176)</f>
        <v>7.4481835657693174E-2</v>
      </c>
      <c r="W176" s="7">
        <f>IF(U176&gt;0,U176^(1-Parameters!$B$52)/(1-Parameters!$B$52)*V176,-10+U176*1000)</f>
        <v>-0.20552036612628788</v>
      </c>
      <c r="X176" s="7"/>
      <c r="Y176" s="7"/>
      <c r="Z176" s="7"/>
      <c r="AA176" s="7"/>
    </row>
    <row r="177" spans="1:27" x14ac:dyDescent="0.3">
      <c r="A177">
        <f>A176+Parameters!$B$65</f>
        <v>173</v>
      </c>
      <c r="B177" s="9">
        <f t="shared" si="53"/>
        <v>5.5238794691412761E-2</v>
      </c>
      <c r="C177" s="9">
        <f t="shared" si="53"/>
        <v>2.532692781448906E-3</v>
      </c>
      <c r="D177" s="7">
        <f t="shared" si="53"/>
        <v>0.29265407832178425</v>
      </c>
      <c r="E177" s="7">
        <f>MAX((1-Parameters!$B$4)^Parameters!B$65*E176+B176*Parameters!B$65-Parameters!$B$5*B176^2/E176*Parameters!B$65,0.0001)</f>
        <v>0.81895052529531087</v>
      </c>
      <c r="F177" s="9">
        <f>(1-Parameters!$B$4)^Parameters!B$65*F176+C176*Parameters!B$65-Parameters!$B$5*C176^2/F176*Parameters!B$65</f>
        <v>3.7612754613739655E-2</v>
      </c>
      <c r="G177" s="7">
        <f>(1-Parameters!$B$4)^Parameters!B$65*G176+D176*Parameters!B$65-Parameters!$B$5*D176^2/G176*Parameters!B$65</f>
        <v>4.3389009944686228</v>
      </c>
      <c r="H177" s="7">
        <f>H176 *(1-Parameters!$B$4)-B176*(B176&lt;0)*Parameters!B$65</f>
        <v>0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23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433.77653928939105</v>
      </c>
      <c r="L177" s="8">
        <f>L176+K177*Parameters!B$65</f>
        <v>32993.181906429956</v>
      </c>
      <c r="M177" s="7">
        <f>M176+Parameters!$B$45*K177</f>
        <v>19.79590914385798</v>
      </c>
      <c r="N177" s="7">
        <f>'6states'!O177</f>
        <v>0.95195536616948728</v>
      </c>
      <c r="O177" s="7">
        <f>MAX(O176+(Parameters!B$31-K177)*Parameters!B$65,30)</f>
        <v>30</v>
      </c>
      <c r="P177" s="7">
        <f>Parameters!B$61*EXP(-Parameters!B$60*A177)+(1-Parameters!B$61)*(O177/Parameters!B$62)^-Parameters!B$63</f>
        <v>0.53088634054548878</v>
      </c>
      <c r="Q177" s="9">
        <f>1-P177/Parameters!$B$12</f>
        <v>0.73455682972725556</v>
      </c>
      <c r="R177" s="23">
        <f t="shared" si="49"/>
        <v>3.7672847222721684</v>
      </c>
      <c r="S177" s="7">
        <f>(Parameters!$B$19*(E177+Parameters!$B$20)^Q177+Parameters!$B$18*F177^Q177)^(1/Q177)</f>
        <v>0.53756648155870856</v>
      </c>
      <c r="T177" s="7">
        <f>(Parameters!$B$10*G177^Parameters!$B$9 + Parameters!$B$11*S177^Parameters!$B$9) ^ (Parameters!$B$7/Parameters!$B$9) * N177</f>
        <v>1.4550667383444948</v>
      </c>
      <c r="U177" s="7">
        <f t="shared" si="50"/>
        <v>1.1046411725498491</v>
      </c>
      <c r="V177" s="7">
        <f>EXP(-Parameters!$B$55*A177)</f>
        <v>7.3365608662240192E-2</v>
      </c>
      <c r="W177" s="7">
        <f>IF(U177&gt;0,U177^(1-Parameters!$B$52)/(1-Parameters!$B$52)*V177,-10+U177*1000)</f>
        <v>-0.20244033688204696</v>
      </c>
      <c r="X177" s="7"/>
      <c r="Y177" s="7"/>
      <c r="Z177" s="7"/>
      <c r="AA177" s="7"/>
    </row>
    <row r="178" spans="1:27" x14ac:dyDescent="0.3">
      <c r="A178">
        <f>A177+Parameters!$B$65</f>
        <v>174</v>
      </c>
      <c r="B178" s="9">
        <f t="shared" si="53"/>
        <v>5.5238794691412761E-2</v>
      </c>
      <c r="C178" s="9">
        <f t="shared" si="53"/>
        <v>2.532692781448906E-3</v>
      </c>
      <c r="D178" s="7">
        <f t="shared" si="53"/>
        <v>0.29265407832178425</v>
      </c>
      <c r="E178" s="7">
        <f>MAX((1-Parameters!$B$4)^Parameters!B$65*E177+B177*Parameters!B$65-Parameters!$B$5*B177^2/E177*Parameters!B$65,0.0001)</f>
        <v>0.81895143600357112</v>
      </c>
      <c r="F178" s="9">
        <f>(1-Parameters!$B$4)^Parameters!B$65*F177+C177*Parameters!B$65-Parameters!$B$5*C177^2/F177*Parameters!B$65</f>
        <v>3.7609063706175408E-2</v>
      </c>
      <c r="G178" s="7">
        <f>(1-Parameters!$B$4)^Parameters!B$65*G177+D177*Parameters!B$65-Parameters!$B$5*D177^2/G177*Parameters!B$65</f>
        <v>4.3388990059890133</v>
      </c>
      <c r="H178" s="7">
        <f>H177 *(1-Parameters!$B$4)-B177*(B177&lt;0)*Parameters!B$65</f>
        <v>0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23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439.3736506289859</v>
      </c>
      <c r="L178" s="8">
        <f>L177+K178*Parameters!B$65</f>
        <v>33432.555557058942</v>
      </c>
      <c r="M178" s="7">
        <f>M177+Parameters!$B$45*K178</f>
        <v>20.059533334235372</v>
      </c>
      <c r="N178" s="7">
        <f>'6states'!O178</f>
        <v>0.95195405438335867</v>
      </c>
      <c r="O178" s="7">
        <f>MAX(O177+(Parameters!B$31-K178)*Parameters!B$65,30)</f>
        <v>30</v>
      </c>
      <c r="P178" s="7">
        <f>Parameters!B$61*EXP(-Parameters!B$60*A178)+(1-Parameters!B$61)*(O178/Parameters!B$62)^-Parameters!B$63</f>
        <v>0.53076163250375596</v>
      </c>
      <c r="Q178" s="9">
        <f>1-P178/Parameters!$B$12</f>
        <v>0.73461918374812196</v>
      </c>
      <c r="R178" s="23">
        <f t="shared" si="49"/>
        <v>3.7681698855386774</v>
      </c>
      <c r="S178" s="7">
        <f>(Parameters!$B$19*(E178+Parameters!$B$20)^Q178+Parameters!$B$18*F178^Q178)^(1/Q178)</f>
        <v>0.53757846024451028</v>
      </c>
      <c r="T178" s="7">
        <f>(Parameters!$B$10*G178^Parameters!$B$9 + Parameters!$B$11*S178^Parameters!$B$9) ^ (Parameters!$B$7/Parameters!$B$9) * N178</f>
        <v>1.4550664404319429</v>
      </c>
      <c r="U178" s="7">
        <f t="shared" si="50"/>
        <v>1.1046408746372971</v>
      </c>
      <c r="V178" s="7">
        <f>EXP(-Parameters!$B$55*A178)</f>
        <v>7.226611007706836E-2</v>
      </c>
      <c r="W178" s="7">
        <f>IF(U178&gt;0,U178^(1-Parameters!$B$52)/(1-Parameters!$B$52)*V178,-10+U178*1000)</f>
        <v>-0.19940647009997328</v>
      </c>
      <c r="X178" s="7"/>
      <c r="Y178" s="7"/>
      <c r="Z178" s="7"/>
      <c r="AA178" s="7"/>
    </row>
    <row r="179" spans="1:27" x14ac:dyDescent="0.3">
      <c r="A179">
        <f>A178+Parameters!$B$65</f>
        <v>175</v>
      </c>
      <c r="B179" s="9">
        <f t="shared" si="53"/>
        <v>5.5238794691412761E-2</v>
      </c>
      <c r="C179" s="9">
        <f t="shared" si="53"/>
        <v>2.532692781448906E-3</v>
      </c>
      <c r="D179" s="7">
        <f t="shared" si="53"/>
        <v>0.29265407832178425</v>
      </c>
      <c r="E179" s="7">
        <f>MAX((1-Parameters!$B$4)^Parameters!B$65*E178+B178*Parameters!B$65-Parameters!$B$5*B178^2/E178*Parameters!B$65,0.0001)</f>
        <v>0.8189522935716339</v>
      </c>
      <c r="F179" s="9">
        <f>(1-Parameters!$B$4)^Parameters!B$65*F178+C178*Parameters!B$65-Parameters!$B$5*C178^2/F178*Parameters!B$65</f>
        <v>3.7605588219969968E-2</v>
      </c>
      <c r="G179" s="7">
        <f>(1-Parameters!$B$4)^Parameters!B$65*G178+D178*Parameters!B$65-Parameters!$B$5*D178^2/G178*Parameters!B$65</f>
        <v>4.3388971335384712</v>
      </c>
      <c r="H179" s="7">
        <f>H178 *(1-Parameters!$B$4)-B178*(B178&lt;0)*Parameters!B$65</f>
        <v>0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23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445.0437614751807</v>
      </c>
      <c r="L179" s="8">
        <f>L178+K179*Parameters!B$65</f>
        <v>33877.599318534121</v>
      </c>
      <c r="M179" s="7">
        <f>M178+Parameters!$B$45*K179</f>
        <v>20.326559591120482</v>
      </c>
      <c r="N179" s="7">
        <f>'6states'!O179</f>
        <v>0.95195272581652635</v>
      </c>
      <c r="O179" s="7">
        <f>MAX(O178+(Parameters!B$31-K179)*Parameters!B$65,30)</f>
        <v>30</v>
      </c>
      <c r="P179" s="7">
        <f>Parameters!B$61*EXP(-Parameters!B$60*A179)+(1-Parameters!B$61)*(O179/Parameters!B$62)^-Parameters!B$63</f>
        <v>0.53064024652942676</v>
      </c>
      <c r="Q179" s="9">
        <f>1-P179/Parameters!$B$12</f>
        <v>0.73467987673528667</v>
      </c>
      <c r="R179" s="23">
        <f t="shared" si="49"/>
        <v>3.7690318687297122</v>
      </c>
      <c r="S179" s="7">
        <f>(Parameters!$B$19*(E179+Parameters!$B$20)^Q179+Parameters!$B$18*F179^Q179)^(1/Q179)</f>
        <v>0.53759017382483198</v>
      </c>
      <c r="T179" s="7">
        <f>(Parameters!$B$10*G179^Parameters!$B$9 + Parameters!$B$11*S179^Parameters!$B$9) ^ (Parameters!$B$7/Parameters!$B$9) * N179</f>
        <v>1.4550660847634043</v>
      </c>
      <c r="U179" s="7">
        <f t="shared" si="50"/>
        <v>1.1046405189687585</v>
      </c>
      <c r="V179" s="7">
        <f>EXP(-Parameters!$B$55*A179)</f>
        <v>7.1183089200741873E-2</v>
      </c>
      <c r="W179" s="7">
        <f>IF(U179&gt;0,U179^(1-Parameters!$B$52)/(1-Parameters!$B$52)*V179,-10+U179*1000)</f>
        <v>-0.1964180738769998</v>
      </c>
      <c r="X179" s="7"/>
      <c r="Y179" s="7"/>
      <c r="Z179" s="7"/>
      <c r="AA179" s="7"/>
    </row>
    <row r="180" spans="1:27" x14ac:dyDescent="0.3">
      <c r="A180">
        <f>A179+Parameters!$B$65</f>
        <v>176</v>
      </c>
      <c r="B180" s="9">
        <f t="shared" si="53"/>
        <v>5.5238794691412761E-2</v>
      </c>
      <c r="C180" s="9">
        <f t="shared" si="53"/>
        <v>2.532692781448906E-3</v>
      </c>
      <c r="D180" s="7">
        <f t="shared" si="53"/>
        <v>0.29265407832178425</v>
      </c>
      <c r="E180" s="7">
        <f>MAX((1-Parameters!$B$4)^Parameters!B$65*E179+B179*Parameters!B$65-Parameters!$B$5*B179^2/E179*Parameters!B$65,0.0001)</f>
        <v>0.81895310110024311</v>
      </c>
      <c r="F180" s="9">
        <f>(1-Parameters!$B$4)^Parameters!B$65*F179+C179*Parameters!B$65-Parameters!$B$5*C179^2/F179*Parameters!B$65</f>
        <v>3.7602315578962597E-2</v>
      </c>
      <c r="G180" s="7">
        <f>(1-Parameters!$B$4)^Parameters!B$65*G179+D179*Parameters!B$65-Parameters!$B$5*D179^2/G179*Parameters!B$65</f>
        <v>4.3388953703466173</v>
      </c>
      <c r="H180" s="7">
        <f>H179 *(1-Parameters!$B$4)-B179*(B179&lt;0)*Parameters!B$65</f>
        <v>0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23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450.78781716927557</v>
      </c>
      <c r="L180" s="8">
        <f>L179+K180*Parameters!B$65</f>
        <v>34328.3871357034</v>
      </c>
      <c r="M180" s="7">
        <f>M179+Parameters!$B$45*K180</f>
        <v>20.597032281422049</v>
      </c>
      <c r="N180" s="7">
        <f>'6states'!O180</f>
        <v>0.95195138025410897</v>
      </c>
      <c r="O180" s="7">
        <f>MAX(O179+(Parameters!B$31-K180)*Parameters!B$65,30)</f>
        <v>30</v>
      </c>
      <c r="P180" s="7">
        <f>Parameters!B$61*EXP(-Parameters!B$60*A180)+(1-Parameters!B$61)*(O180/Parameters!B$62)^-Parameters!B$63</f>
        <v>0.53052209412675011</v>
      </c>
      <c r="Q180" s="9">
        <f>1-P180/Parameters!$B$12</f>
        <v>0.73473895293662494</v>
      </c>
      <c r="R180" s="23">
        <f t="shared" si="49"/>
        <v>3.7698712685888034</v>
      </c>
      <c r="S180" s="7">
        <f>(Parameters!$B$19*(E180+Parameters!$B$20)^Q180+Parameters!$B$18*F180^Q180)^(1/Q180)</f>
        <v>0.53760162617905538</v>
      </c>
      <c r="T180" s="7">
        <f>(Parameters!$B$10*G180^Parameters!$B$9 + Parameters!$B$11*S180^Parameters!$B$9) ^ (Parameters!$B$7/Parameters!$B$9) * N180</f>
        <v>1.4550656710772636</v>
      </c>
      <c r="U180" s="7">
        <f t="shared" si="50"/>
        <v>1.1046401052826176</v>
      </c>
      <c r="V180" s="7">
        <f>EXP(-Parameters!$B$55*A180)</f>
        <v>7.0116299088978581E-2</v>
      </c>
      <c r="W180" s="7">
        <f>IF(U180&gt;0,U180^(1-Parameters!$B$52)/(1-Parameters!$B$52)*V180,-10+U180*1000)</f>
        <v>-0.19347446667809517</v>
      </c>
      <c r="X180" s="7"/>
      <c r="Y180" s="7"/>
      <c r="Z180" s="7"/>
      <c r="AA180" s="7"/>
    </row>
    <row r="181" spans="1:27" x14ac:dyDescent="0.3">
      <c r="A181">
        <f>A180+Parameters!$B$65</f>
        <v>177</v>
      </c>
      <c r="B181" s="9">
        <f t="shared" si="53"/>
        <v>5.5238794691412761E-2</v>
      </c>
      <c r="C181" s="9">
        <f t="shared" si="53"/>
        <v>2.532692781448906E-3</v>
      </c>
      <c r="D181" s="7">
        <f t="shared" si="53"/>
        <v>0.29265407832178425</v>
      </c>
      <c r="E181" s="7">
        <f>MAX((1-Parameters!$B$4)^Parameters!B$65*E180+B180*Parameters!B$65-Parameters!$B$5*B180^2/E180*Parameters!B$65,0.0001)</f>
        <v>0.81895386150921401</v>
      </c>
      <c r="F181" s="9">
        <f>(1-Parameters!$B$4)^Parameters!B$65*F180+C180*Parameters!B$65-Parameters!$B$5*C180^2/F180*Parameters!B$65</f>
        <v>3.759923394152033E-2</v>
      </c>
      <c r="G181" s="7">
        <f>(1-Parameters!$B$4)^Parameters!B$65*G180+D180*Parameters!B$65-Parameters!$B$5*D180^2/G180*Parameters!B$65</f>
        <v>4.3388937100381302</v>
      </c>
      <c r="H181" s="7">
        <f>H180 *(1-Parameters!$B$4)-B180*(B180&lt;0)*Parameters!B$65</f>
        <v>0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23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456.60677531277423</v>
      </c>
      <c r="L181" s="8">
        <f>L180+K181*Parameters!B$65</f>
        <v>34784.993911016172</v>
      </c>
      <c r="M181" s="7">
        <f>M180+Parameters!$B$45*K181</f>
        <v>20.870996346609715</v>
      </c>
      <c r="N181" s="7">
        <f>'6states'!O181</f>
        <v>0.95195001747846852</v>
      </c>
      <c r="O181" s="7">
        <f>MAX(O180+(Parameters!B$31-K181)*Parameters!B$65,30)</f>
        <v>30</v>
      </c>
      <c r="P181" s="7">
        <f>Parameters!B$61*EXP(-Parameters!B$60*A181)+(1-Parameters!B$61)*(O181/Parameters!B$62)^-Parameters!B$63</f>
        <v>0.53040708915739176</v>
      </c>
      <c r="Q181" s="9">
        <f>1-P181/Parameters!$B$12</f>
        <v>0.73479645542130412</v>
      </c>
      <c r="R181" s="23">
        <f t="shared" si="49"/>
        <v>3.7706886670334918</v>
      </c>
      <c r="S181" s="7">
        <f>(Parameters!$B$19*(E181+Parameters!$B$20)^Q181+Parameters!$B$18*F181^Q181)^(1/Q181)</f>
        <v>0.5376128212714294</v>
      </c>
      <c r="T181" s="7">
        <f>(Parameters!$B$10*G181^Parameters!$B$9 + Parameters!$B$11*S181^Parameters!$B$9) ^ (Parameters!$B$7/Parameters!$B$9) * N181</f>
        <v>1.4550651991525061</v>
      </c>
      <c r="U181" s="7">
        <f t="shared" si="50"/>
        <v>1.1046396333578601</v>
      </c>
      <c r="V181" s="7">
        <f>EXP(-Parameters!$B$55*A181)</f>
        <v>6.9065496498343315E-2</v>
      </c>
      <c r="W181" s="7">
        <f>IF(U181&gt;0,U181^(1-Parameters!$B$52)/(1-Parameters!$B$52)*V181,-10+U181*1000)</f>
        <v>-0.19057497718128485</v>
      </c>
      <c r="X181" s="7"/>
      <c r="Y181" s="7"/>
      <c r="Z181" s="7"/>
      <c r="AA181" s="7"/>
    </row>
    <row r="182" spans="1:27" x14ac:dyDescent="0.3">
      <c r="A182">
        <f>A181+Parameters!$B$65</f>
        <v>178</v>
      </c>
      <c r="B182" s="9">
        <f t="shared" si="53"/>
        <v>5.5238794691412761E-2</v>
      </c>
      <c r="C182" s="9">
        <f t="shared" si="53"/>
        <v>2.532692781448906E-3</v>
      </c>
      <c r="D182" s="7">
        <f t="shared" si="53"/>
        <v>0.29265407832178425</v>
      </c>
      <c r="E182" s="7">
        <f>MAX((1-Parameters!$B$4)^Parameters!B$65*E181+B181*Parameters!B$65-Parameters!$B$5*B181^2/E181*Parameters!B$65,0.0001)</f>
        <v>0.81895457754799106</v>
      </c>
      <c r="F182" s="9">
        <f>(1-Parameters!$B$4)^Parameters!B$65*F181+C181*Parameters!B$65-Parameters!$B$5*C181^2/F181*Parameters!B$65</f>
        <v>3.7596332157598486E-2</v>
      </c>
      <c r="G182" s="7">
        <f>(1-Parameters!$B$4)^Parameters!B$65*G181+D181*Parameters!B$65-Parameters!$B$5*D181^2/G181*Parameters!B$65</f>
        <v>4.3388921466096946</v>
      </c>
      <c r="H182" s="7">
        <f>H181 *(1-Parameters!$B$4)-B181*(B181&lt;0)*Parameters!B$65</f>
        <v>0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23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462.50160592847163</v>
      </c>
      <c r="L182" s="8">
        <f>L181+K182*Parameters!B$65</f>
        <v>35247.49551694464</v>
      </c>
      <c r="M182" s="7">
        <f>M181+Parameters!$B$45*K182</f>
        <v>21.1484973101668</v>
      </c>
      <c r="N182" s="7">
        <f>'6states'!O182</f>
        <v>0.95194863726917378</v>
      </c>
      <c r="O182" s="7">
        <f>MAX(O181+(Parameters!B$31-K182)*Parameters!B$65,30)</f>
        <v>30</v>
      </c>
      <c r="P182" s="7">
        <f>Parameters!B$61*EXP(-Parameters!B$60*A182)+(1-Parameters!B$61)*(O182/Parameters!B$62)^-Parameters!B$63</f>
        <v>0.53029514777763553</v>
      </c>
      <c r="Q182" s="9">
        <f>1-P182/Parameters!$B$12</f>
        <v>0.73485242611118218</v>
      </c>
      <c r="R182" s="23">
        <f t="shared" si="49"/>
        <v>3.771484631495523</v>
      </c>
      <c r="S182" s="7">
        <f>(Parameters!$B$19*(E182+Parameters!$B$20)^Q182+Parameters!$B$18*F182^Q182)^(1/Q182)</f>
        <v>0.53762376313763227</v>
      </c>
      <c r="T182" s="7">
        <f>(Parameters!$B$10*G182^Parameters!$B$9 + Parameters!$B$11*S182^Parameters!$B$9) ^ (Parameters!$B$7/Parameters!$B$9) * N182</f>
        <v>1.4550646688047055</v>
      </c>
      <c r="U182" s="7">
        <f t="shared" si="50"/>
        <v>1.1046391030100597</v>
      </c>
      <c r="V182" s="7">
        <f>EXP(-Parameters!$B$55*A182)</f>
        <v>6.8030441830784896E-2</v>
      </c>
      <c r="W182" s="7">
        <f>IF(U182&gt;0,U182^(1-Parameters!$B$52)/(1-Parameters!$B$52)*V182,-10+U182*1000)</f>
        <v>-0.18771894412495205</v>
      </c>
      <c r="X182" s="7"/>
      <c r="Y182" s="7"/>
      <c r="Z182" s="7"/>
      <c r="AA182" s="7"/>
    </row>
    <row r="183" spans="1:27" x14ac:dyDescent="0.3">
      <c r="A183">
        <f>A182+Parameters!$B$65</f>
        <v>179</v>
      </c>
      <c r="B183" s="9">
        <f t="shared" si="53"/>
        <v>5.5238794691412761E-2</v>
      </c>
      <c r="C183" s="9">
        <f t="shared" si="53"/>
        <v>2.532692781448906E-3</v>
      </c>
      <c r="D183" s="7">
        <f t="shared" si="53"/>
        <v>0.29265407832178425</v>
      </c>
      <c r="E183" s="7">
        <f>MAX((1-Parameters!$B$4)^Parameters!B$65*E182+B182*Parameters!B$65-Parameters!$B$5*B182^2/E182*Parameters!B$65,0.0001)</f>
        <v>0.81895525180558859</v>
      </c>
      <c r="F183" s="9">
        <f>(1-Parameters!$B$4)^Parameters!B$65*F182+C182*Parameters!B$65-Parameters!$B$5*C182^2/F182*Parameters!B$65</f>
        <v>3.7593599728315788E-2</v>
      </c>
      <c r="G183" s="7">
        <f>(1-Parameters!$B$4)^Parameters!B$65*G182+D182*Parameters!B$65-Parameters!$B$5*D182^2/G182*Parameters!B$65</f>
        <v>4.338890674408292</v>
      </c>
      <c r="H183" s="7">
        <f>H182 *(1-Parameters!$B$4)-B182*(B182&lt;0)*Parameters!B$65</f>
        <v>0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23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468.47329162353134</v>
      </c>
      <c r="L183" s="8">
        <f>L182+K183*Parameters!B$65</f>
        <v>35715.96880856817</v>
      </c>
      <c r="M183" s="7">
        <f>M182+Parameters!$B$45*K183</f>
        <v>21.42958128514092</v>
      </c>
      <c r="N183" s="7">
        <f>'6states'!O183</f>
        <v>0.951947239402965</v>
      </c>
      <c r="O183" s="7">
        <f>MAX(O182+(Parameters!B$31-K183)*Parameters!B$65,30)</f>
        <v>30</v>
      </c>
      <c r="P183" s="7">
        <f>Parameters!B$61*EXP(-Parameters!B$60*A183)+(1-Parameters!B$61)*(O183/Parameters!B$62)^-Parameters!B$63</f>
        <v>0.53018618837725806</v>
      </c>
      <c r="Q183" s="9">
        <f>1-P183/Parameters!$B$12</f>
        <v>0.73490690581137097</v>
      </c>
      <c r="R183" s="23">
        <f t="shared" si="49"/>
        <v>3.7722597152547563</v>
      </c>
      <c r="S183" s="7">
        <f>(Parameters!$B$19*(E183+Parameters!$B$20)^Q183+Parameters!$B$18*F183^Q183)^(1/Q183)</f>
        <v>0.53763445587235892</v>
      </c>
      <c r="T183" s="7">
        <f>(Parameters!$B$10*G183^Parameters!$B$9 + Parameters!$B$11*S183^Parameters!$B$9) ^ (Parameters!$B$7/Parameters!$B$9) * N183</f>
        <v>1.45506407988228</v>
      </c>
      <c r="U183" s="7">
        <f t="shared" si="50"/>
        <v>1.1046385140876342</v>
      </c>
      <c r="V183" s="7">
        <f>EXP(-Parameters!$B$55*A183)</f>
        <v>6.701089907900426E-2</v>
      </c>
      <c r="W183" s="7">
        <f>IF(U183&gt;0,U183^(1-Parameters!$B$52)/(1-Parameters!$B$52)*V183,-10+U183*1000)</f>
        <v>-0.18490571615738841</v>
      </c>
      <c r="X183" s="7"/>
      <c r="Y183" s="7"/>
      <c r="Z183" s="7"/>
      <c r="AA183" s="7"/>
    </row>
    <row r="184" spans="1:27" x14ac:dyDescent="0.3">
      <c r="A184">
        <f>A183+Parameters!$B$65</f>
        <v>180</v>
      </c>
      <c r="B184" s="9">
        <f t="shared" si="53"/>
        <v>5.5238794691412761E-2</v>
      </c>
      <c r="C184" s="9">
        <f t="shared" si="53"/>
        <v>2.532692781448906E-3</v>
      </c>
      <c r="D184" s="7">
        <f t="shared" si="53"/>
        <v>0.29265407832178425</v>
      </c>
      <c r="E184" s="7">
        <f>MAX((1-Parameters!$B$4)^Parameters!B$65*E183+B183*Parameters!B$65-Parameters!$B$5*B183^2/E183*Parameters!B$65,0.0001)</f>
        <v>0.81895588671995156</v>
      </c>
      <c r="F184" s="9">
        <f>(1-Parameters!$B$4)^Parameters!B$65*F183+C183*Parameters!B$65-Parameters!$B$5*C183^2/F183*Parameters!B$65</f>
        <v>3.7591026767896142E-2</v>
      </c>
      <c r="G184" s="7">
        <f>(1-Parameters!$B$4)^Parameters!B$65*G183+D183*Parameters!B$65-Parameters!$B$5*D183^2/G183*Parameters!B$65</f>
        <v>4.3388892881107637</v>
      </c>
      <c r="H184" s="7">
        <f>H183 *(1-Parameters!$B$4)-B183*(B183&lt;0)*Parameters!B$65</f>
        <v>0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23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474.52282775458366</v>
      </c>
      <c r="L184" s="8">
        <f>L183+K184*Parameters!B$65</f>
        <v>36190.491636322753</v>
      </c>
      <c r="M184" s="7">
        <f>M183+Parameters!$B$45*K184</f>
        <v>21.714294981793671</v>
      </c>
      <c r="N184" s="7">
        <f>'6states'!O184</f>
        <v>0.95194582365371716</v>
      </c>
      <c r="O184" s="7">
        <f>MAX(O183+(Parameters!B$31-K184)*Parameters!B$65,30)</f>
        <v>30</v>
      </c>
      <c r="P184" s="7">
        <f>Parameters!B$61*EXP(-Parameters!B$60*A184)+(1-Parameters!B$61)*(O184/Parameters!B$62)^-Parameters!B$63</f>
        <v>0.53008013152003097</v>
      </c>
      <c r="Q184" s="9">
        <f>1-P184/Parameters!$B$12</f>
        <v>0.73495993423998451</v>
      </c>
      <c r="R184" s="23">
        <f t="shared" si="49"/>
        <v>3.7730144577667932</v>
      </c>
      <c r="S184" s="7">
        <f>(Parameters!$B$19*(E184+Parameters!$B$20)^Q184+Parameters!$B$18*F184^Q184)^(1/Q184)</f>
        <v>0.5376449036178661</v>
      </c>
      <c r="T184" s="7">
        <f>(Parameters!$B$10*G184^Parameters!$B$9 + Parameters!$B$11*S184^Parameters!$B$9) ^ (Parameters!$B$7/Parameters!$B$9) * N184</f>
        <v>1.4550634322630043</v>
      </c>
      <c r="U184" s="7">
        <f t="shared" si="50"/>
        <v>1.1046378664683583</v>
      </c>
      <c r="V184" s="7">
        <f>EXP(-Parameters!$B$55*A184)</f>
        <v>6.6006635772641528E-2</v>
      </c>
      <c r="W184" s="7">
        <f>IF(U184&gt;0,U184^(1-Parameters!$B$52)/(1-Parameters!$B$52)*V184,-10+U184*1000)</f>
        <v>-0.18213465168856391</v>
      </c>
      <c r="X184" s="7"/>
      <c r="Y184" s="7"/>
      <c r="Z184" s="7"/>
      <c r="AA184" s="7"/>
    </row>
    <row r="185" spans="1:27" x14ac:dyDescent="0.3">
      <c r="A185">
        <f>A184+Parameters!$B$65</f>
        <v>181</v>
      </c>
      <c r="B185" s="9">
        <f t="shared" si="53"/>
        <v>5.5238794691412761E-2</v>
      </c>
      <c r="C185" s="9">
        <f t="shared" si="53"/>
        <v>2.532692781448906E-3</v>
      </c>
      <c r="D185" s="7">
        <f t="shared" si="53"/>
        <v>0.29265407832178425</v>
      </c>
      <c r="E185" s="7">
        <f>MAX((1-Parameters!$B$4)^Parameters!B$65*E184+B184*Parameters!B$65-Parameters!$B$5*B184^2/E184*Parameters!B$65,0.0001)</f>
        <v>0.81895648458677073</v>
      </c>
      <c r="F185" s="9">
        <f>(1-Parameters!$B$4)^Parameters!B$65*F184+C184*Parameters!B$65-Parameters!$B$5*C184^2/F184*Parameters!B$65</f>
        <v>3.7588603967838266E-2</v>
      </c>
      <c r="G185" s="7">
        <f>(1-Parameters!$B$4)^Parameters!B$65*G184+D184*Parameters!B$65-Parameters!$B$5*D184^2/G184*Parameters!B$65</f>
        <v>4.3388879827045601</v>
      </c>
      <c r="H185" s="7">
        <f>H184 *(1-Parameters!$B$4)-B184*(B184&lt;0)*Parameters!B$65</f>
        <v>0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23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480.65122259487777</v>
      </c>
      <c r="L185" s="8">
        <f>L184+K185*Parameters!B$65</f>
        <v>36671.142858917628</v>
      </c>
      <c r="M185" s="7">
        <f>M184+Parameters!$B$45*K185</f>
        <v>22.002685715350598</v>
      </c>
      <c r="N185" s="7">
        <f>'6states'!O185</f>
        <v>0.95194438979240315</v>
      </c>
      <c r="O185" s="7">
        <f>MAX(O184+(Parameters!B$31-K185)*Parameters!B$65,30)</f>
        <v>30</v>
      </c>
      <c r="P185" s="7">
        <f>Parameters!B$61*EXP(-Parameters!B$60*A185)+(1-Parameters!B$61)*(O185/Parameters!B$62)^-Parameters!B$63</f>
        <v>0.52997689988580821</v>
      </c>
      <c r="Q185" s="9">
        <f>1-P185/Parameters!$B$12</f>
        <v>0.73501155005709595</v>
      </c>
      <c r="R185" s="23">
        <f t="shared" si="49"/>
        <v>3.7737493849843862</v>
      </c>
      <c r="S185" s="7">
        <f>(Parameters!$B$19*(E185+Parameters!$B$20)^Q185+Parameters!$B$18*F185^Q185)^(1/Q185)</f>
        <v>0.53765511055341275</v>
      </c>
      <c r="T185" s="7">
        <f>(Parameters!$B$10*G185^Parameters!$B$9 + Parameters!$B$11*S185^Parameters!$B$9) ^ (Parameters!$B$7/Parameters!$B$9) * N185</f>
        <v>1.4550627258507549</v>
      </c>
      <c r="U185" s="7">
        <f t="shared" si="50"/>
        <v>1.1046371600561091</v>
      </c>
      <c r="V185" s="7">
        <f>EXP(-Parameters!$B$55*A185)</f>
        <v>6.5017422925269325E-2</v>
      </c>
      <c r="W185" s="7">
        <f>IF(U185&gt;0,U185^(1-Parameters!$B$52)/(1-Parameters!$B$52)*V185,-10+U185*1000)</f>
        <v>-0.17940511874408591</v>
      </c>
      <c r="X185" s="7"/>
      <c r="Y185" s="7"/>
      <c r="Z185" s="7"/>
      <c r="AA185" s="7"/>
    </row>
    <row r="186" spans="1:27" x14ac:dyDescent="0.3">
      <c r="A186">
        <f>A185+Parameters!$B$65</f>
        <v>182</v>
      </c>
      <c r="B186" s="9">
        <f t="shared" ref="B186:D201" si="54">B185</f>
        <v>5.5238794691412761E-2</v>
      </c>
      <c r="C186" s="9">
        <f t="shared" si="54"/>
        <v>2.532692781448906E-3</v>
      </c>
      <c r="D186" s="7">
        <f t="shared" si="54"/>
        <v>0.29265407832178425</v>
      </c>
      <c r="E186" s="7">
        <f>MAX((1-Parameters!$B$4)^Parameters!B$65*E185+B185*Parameters!B$65-Parameters!$B$5*B185^2/E185*Parameters!B$65,0.0001)</f>
        <v>0.81895704756778331</v>
      </c>
      <c r="F186" s="9">
        <f>(1-Parameters!$B$4)^Parameters!B$65*F185+C185*Parameters!B$65-Parameters!$B$5*C185^2/F185*Parameters!B$65</f>
        <v>3.758632256318227E-2</v>
      </c>
      <c r="G186" s="7">
        <f>(1-Parameters!$B$4)^Parameters!B$65*G185+D185*Parameters!B$65-Parameters!$B$5*D185^2/G185*Parameters!B$65</f>
        <v>4.3388867534696187</v>
      </c>
      <c r="H186" s="7">
        <f>H185 *(1-Parameters!$B$4)-B185*(B185&lt;0)*Parameters!B$65</f>
        <v>0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23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486.85949750351381</v>
      </c>
      <c r="L186" s="8">
        <f>L185+K186*Parameters!B$65</f>
        <v>37158.002356421144</v>
      </c>
      <c r="M186" s="7">
        <f>M185+Parameters!$B$45*K186</f>
        <v>22.294801413852706</v>
      </c>
      <c r="N186" s="7">
        <f>'6states'!O186</f>
        <v>0.95194293758705595</v>
      </c>
      <c r="O186" s="7">
        <f>MAX(O185+(Parameters!B$31-K186)*Parameters!B$65,30)</f>
        <v>30</v>
      </c>
      <c r="P186" s="7">
        <f>Parameters!B$61*EXP(-Parameters!B$60*A186)+(1-Parameters!B$61)*(O186/Parameters!B$62)^-Parameters!B$63</f>
        <v>0.52987641821415665</v>
      </c>
      <c r="Q186" s="9">
        <f>1-P186/Parameters!$B$12</f>
        <v>0.73506179089292167</v>
      </c>
      <c r="R186" s="23">
        <f t="shared" si="49"/>
        <v>3.7744650096726389</v>
      </c>
      <c r="S186" s="7">
        <f>(Parameters!$B$19*(E186+Parameters!$B$20)^Q186+Parameters!$B$18*F186^Q186)^(1/Q186)</f>
        <v>0.53766508088553588</v>
      </c>
      <c r="T186" s="7">
        <f>(Parameters!$B$10*G186^Parameters!$B$9 + Parameters!$B$11*S186^Parameters!$B$9) ^ (Parameters!$B$7/Parameters!$B$9) * N186</f>
        <v>1.4550619605724782</v>
      </c>
      <c r="U186" s="7">
        <f t="shared" si="50"/>
        <v>1.1046363947778324</v>
      </c>
      <c r="V186" s="7">
        <f>EXP(-Parameters!$B$55*A186)</f>
        <v>6.4043034982180613E-2</v>
      </c>
      <c r="W186" s="7">
        <f>IF(U186&gt;0,U186^(1-Parameters!$B$52)/(1-Parameters!$B$52)*V186,-10+U186*1000)</f>
        <v>-0.17671649482131724</v>
      </c>
      <c r="X186" s="7"/>
      <c r="Y186" s="7"/>
      <c r="Z186" s="7"/>
      <c r="AA186" s="7"/>
    </row>
    <row r="187" spans="1:27" x14ac:dyDescent="0.3">
      <c r="A187">
        <f>A186+Parameters!$B$65</f>
        <v>183</v>
      </c>
      <c r="B187" s="9">
        <f t="shared" si="54"/>
        <v>5.5238794691412761E-2</v>
      </c>
      <c r="C187" s="9">
        <f t="shared" si="54"/>
        <v>2.532692781448906E-3</v>
      </c>
      <c r="D187" s="7">
        <f t="shared" si="54"/>
        <v>0.29265407832178425</v>
      </c>
      <c r="E187" s="7">
        <f>MAX((1-Parameters!$B$4)^Parameters!B$65*E186+B186*Parameters!B$65-Parameters!$B$5*B186^2/E186*Parameters!B$65,0.0001)</f>
        <v>0.81895757769858868</v>
      </c>
      <c r="F187" s="9">
        <f>(1-Parameters!$B$4)^Parameters!B$65*F186+C186*Parameters!B$65-Parameters!$B$5*C186^2/F186*Parameters!B$65</f>
        <v>3.7584174300750124E-2</v>
      </c>
      <c r="G187" s="7">
        <f>(1-Parameters!$B$4)^Parameters!B$65*G186+D186*Parameters!B$65-Parameters!$B$5*D186^2/G186*Parameters!B$65</f>
        <v>4.3388855959612966</v>
      </c>
      <c r="H187" s="7">
        <f>H186 *(1-Parameters!$B$4)-B186*(B186&lt;0)*Parameters!B$65</f>
        <v>0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23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493.14868709678905</v>
      </c>
      <c r="L187" s="8">
        <f>L186+K187*Parameters!B$65</f>
        <v>37651.15104351793</v>
      </c>
      <c r="M187" s="7">
        <f>M186+Parameters!$B$45*K187</f>
        <v>22.590690626110781</v>
      </c>
      <c r="N187" s="7">
        <f>'6states'!O187</f>
        <v>0.95194146680273073</v>
      </c>
      <c r="O187" s="7">
        <f>MAX(O186+(Parameters!B$31-K187)*Parameters!B$65,30)</f>
        <v>30</v>
      </c>
      <c r="P187" s="7">
        <f>Parameters!B$61*EXP(-Parameters!B$60*A187)+(1-Parameters!B$61)*(O187/Parameters!B$62)^-Parameters!B$63</f>
        <v>0.52977861324948727</v>
      </c>
      <c r="Q187" s="9">
        <f>1-P187/Parameters!$B$12</f>
        <v>0.73511069337525636</v>
      </c>
      <c r="R187" s="23">
        <f t="shared" si="49"/>
        <v>3.7751618317180826</v>
      </c>
      <c r="S187" s="7">
        <f>(Parameters!$B$19*(E187+Parameters!$B$20)^Q187+Parameters!$B$18*F187^Q187)^(1/Q187)</f>
        <v>0.53767481883910562</v>
      </c>
      <c r="T187" s="7">
        <f>(Parameters!$B$10*G187^Parameters!$B$9 + Parameters!$B$11*S187^Parameters!$B$9) ^ (Parameters!$B$7/Parameters!$B$9) * N187</f>
        <v>1.4550611363753636</v>
      </c>
      <c r="U187" s="7">
        <f t="shared" si="50"/>
        <v>1.1046355705807178</v>
      </c>
      <c r="V187" s="7">
        <f>EXP(-Parameters!$B$55*A187)</f>
        <v>6.3083249768959085E-2</v>
      </c>
      <c r="W187" s="7">
        <f>IF(U187&gt;0,U187^(1-Parameters!$B$52)/(1-Parameters!$B$52)*V187,-10+U187*1000)</f>
        <v>-0.17406816674762424</v>
      </c>
      <c r="X187" s="7"/>
      <c r="Y187" s="7"/>
      <c r="Z187" s="7"/>
      <c r="AA187" s="7"/>
    </row>
    <row r="188" spans="1:27" x14ac:dyDescent="0.3">
      <c r="A188">
        <f>A187+Parameters!$B$65</f>
        <v>184</v>
      </c>
      <c r="B188" s="9">
        <f t="shared" si="54"/>
        <v>5.5238794691412761E-2</v>
      </c>
      <c r="C188" s="9">
        <f t="shared" si="54"/>
        <v>2.532692781448906E-3</v>
      </c>
      <c r="D188" s="7">
        <f t="shared" si="54"/>
        <v>0.29265407832178425</v>
      </c>
      <c r="E188" s="7">
        <f>MAX((1-Parameters!$B$4)^Parameters!B$65*E187+B187*Parameters!B$65-Parameters!$B$5*B187^2/E187*Parameters!B$65,0.0001)</f>
        <v>0.81895807689600864</v>
      </c>
      <c r="F188" s="9">
        <f>(1-Parameters!$B$4)^Parameters!B$65*F187+C187*Parameters!B$65-Parameters!$B$5*C187^2/F187*Parameters!B$65</f>
        <v>3.7582151409244299E-2</v>
      </c>
      <c r="G188" s="7">
        <f>(1-Parameters!$B$4)^Parameters!B$65*G187+D187*Parameters!B$65-Parameters!$B$5*D187^2/G187*Parameters!B$65</f>
        <v>4.3388845059942973</v>
      </c>
      <c r="H188" s="7">
        <f>H187 *(1-Parameters!$B$4)-B187*(B187&lt;0)*Parameters!B$65</f>
        <v>0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23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499.5198394216917</v>
      </c>
      <c r="L188" s="8">
        <f>L187+K188*Parameters!B$65</f>
        <v>38150.670882939623</v>
      </c>
      <c r="M188" s="7">
        <f>M187+Parameters!$B$45*K188</f>
        <v>22.890402529763797</v>
      </c>
      <c r="N188" s="7">
        <f>'6states'!O188</f>
        <v>0.95193997720146617</v>
      </c>
      <c r="O188" s="7">
        <f>MAX(O187+(Parameters!B$31-K188)*Parameters!B$65,30)</f>
        <v>30</v>
      </c>
      <c r="P188" s="7">
        <f>Parameters!B$61*EXP(-Parameters!B$60*A188)+(1-Parameters!B$61)*(O188/Parameters!B$62)^-Parameters!B$63</f>
        <v>0.5296834136876496</v>
      </c>
      <c r="Q188" s="9">
        <f>1-P188/Parameters!$B$12</f>
        <v>0.7351582931561752</v>
      </c>
      <c r="R188" s="23">
        <f t="shared" si="49"/>
        <v>3.7758403384316375</v>
      </c>
      <c r="S188" s="7">
        <f>(Parameters!$B$19*(E188+Parameters!$B$20)^Q188+Parameters!$B$18*F188^Q188)^(1/Q188)</f>
        <v>0.53768432864910931</v>
      </c>
      <c r="T188" s="7">
        <f>(Parameters!$B$10*G188^Parameters!$B$9 + Parameters!$B$11*S188^Parameters!$B$9) ^ (Parameters!$B$7/Parameters!$B$9) * N188</f>
        <v>1.4550602532242127</v>
      </c>
      <c r="U188" s="7">
        <f t="shared" si="50"/>
        <v>1.1046346874295669</v>
      </c>
      <c r="V188" s="7">
        <f>EXP(-Parameters!$B$55*A188)</f>
        <v>6.2137848440820063E-2</v>
      </c>
      <c r="W188" s="7">
        <f>IF(U188&gt;0,U188^(1-Parameters!$B$52)/(1-Parameters!$B$52)*V188,-10+U188*1000)</f>
        <v>-0.17145953054072388</v>
      </c>
      <c r="X188" s="7"/>
      <c r="Y188" s="7"/>
      <c r="Z188" s="7"/>
      <c r="AA188" s="7"/>
    </row>
    <row r="189" spans="1:27" x14ac:dyDescent="0.3">
      <c r="A189">
        <f>A188+Parameters!$B$65</f>
        <v>185</v>
      </c>
      <c r="B189" s="9">
        <f t="shared" si="54"/>
        <v>5.5238794691412761E-2</v>
      </c>
      <c r="C189" s="9">
        <f t="shared" si="54"/>
        <v>2.532692781448906E-3</v>
      </c>
      <c r="D189" s="7">
        <f t="shared" si="54"/>
        <v>0.29265407832178425</v>
      </c>
      <c r="E189" s="7">
        <f>MAX((1-Parameters!$B$4)^Parameters!B$65*E188+B188*Parameters!B$65-Parameters!$B$5*B188^2/E188*Parameters!B$65,0.0001)</f>
        <v>0.81895854696501813</v>
      </c>
      <c r="F189" s="9">
        <f>(1-Parameters!$B$4)^Parameters!B$65*F188+C188*Parameters!B$65-Parameters!$B$5*C188^2/F188*Parameters!B$65</f>
        <v>3.7580246571095467E-2</v>
      </c>
      <c r="G189" s="7">
        <f>(1-Parameters!$B$4)^Parameters!B$65*G188+D188*Parameters!B$65-Parameters!$B$5*D188^2/G188*Parameters!B$65</f>
        <v>4.3388834796275404</v>
      </c>
      <c r="H189" s="7">
        <f>H188 *(1-Parameters!$B$4)-B188*(B188&lt;0)*Parameters!B$65</f>
        <v>0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23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505.974016131567</v>
      </c>
      <c r="L189" s="8">
        <f>L188+K189*Parameters!B$65</f>
        <v>38656.644899071187</v>
      </c>
      <c r="M189" s="7">
        <f>M188+Parameters!$B$45*K189</f>
        <v>23.193986939442738</v>
      </c>
      <c r="N189" s="7">
        <f>'6states'!O189</f>
        <v>0.95193846854224451</v>
      </c>
      <c r="O189" s="7">
        <f>MAX(O188+(Parameters!B$31-K189)*Parameters!B$65,30)</f>
        <v>30</v>
      </c>
      <c r="P189" s="7">
        <f>Parameters!B$61*EXP(-Parameters!B$60*A189)+(1-Parameters!B$61)*(O189/Parameters!B$62)^-Parameters!B$63</f>
        <v>0.52959075012394663</v>
      </c>
      <c r="Q189" s="9">
        <f>1-P189/Parameters!$B$12</f>
        <v>0.73520462493802663</v>
      </c>
      <c r="R189" s="23">
        <f t="shared" si="49"/>
        <v>3.7765010048455623</v>
      </c>
      <c r="S189" s="7">
        <f>(Parameters!$B$19*(E189+Parameters!$B$20)^Q189+Parameters!$B$18*F189^Q189)^(1/Q189)</f>
        <v>0.53769361455311449</v>
      </c>
      <c r="T189" s="7">
        <f>(Parameters!$B$10*G189^Parameters!$B$9 + Parameters!$B$11*S189^Parameters!$B$9) ^ (Parameters!$B$7/Parameters!$B$9) * N189</f>
        <v>1.4550593110989876</v>
      </c>
      <c r="U189" s="7">
        <f t="shared" si="50"/>
        <v>1.1046337453043416</v>
      </c>
      <c r="V189" s="7">
        <f>EXP(-Parameters!$B$55*A189)</f>
        <v>6.1206615432710852E-2</v>
      </c>
      <c r="W189" s="7">
        <f>IF(U189&gt;0,U189^(1-Parameters!$B$52)/(1-Parameters!$B$52)*V189,-10+U189*1000)</f>
        <v>-0.16888999127110219</v>
      </c>
      <c r="X189" s="7"/>
      <c r="Y189" s="7"/>
      <c r="Z189" s="7"/>
      <c r="AA189" s="7"/>
    </row>
    <row r="190" spans="1:27" x14ac:dyDescent="0.3">
      <c r="A190">
        <f>A189+Parameters!$B$65</f>
        <v>186</v>
      </c>
      <c r="B190" s="9">
        <f t="shared" si="54"/>
        <v>5.5238794691412761E-2</v>
      </c>
      <c r="C190" s="9">
        <f t="shared" si="54"/>
        <v>2.532692781448906E-3</v>
      </c>
      <c r="D190" s="7">
        <f t="shared" si="54"/>
        <v>0.29265407832178425</v>
      </c>
      <c r="E190" s="7">
        <f>MAX((1-Parameters!$B$4)^Parameters!B$65*E189+B189*Parameters!B$65-Parameters!$B$5*B189^2/E189*Parameters!B$65,0.0001)</f>
        <v>0.81895898960527147</v>
      </c>
      <c r="F190" s="9">
        <f>(1-Parameters!$B$4)^Parameters!B$65*F189+C189*Parameters!B$65-Parameters!$B$5*C189^2/F189*Parameters!B$65</f>
        <v>3.7578452895956835E-2</v>
      </c>
      <c r="G190" s="7">
        <f>(1-Parameters!$B$4)^Parameters!B$65*G189+D189*Parameters!B$65-Parameters!$B$5*D189^2/G189*Parameters!B$65</f>
        <v>4.3388825131499109</v>
      </c>
      <c r="H190" s="7">
        <f>H189 *(1-Parameters!$B$4)-B189*(B189&lt;0)*Parameters!B$65</f>
        <v>0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23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512.51229266399901</v>
      </c>
      <c r="L190" s="8">
        <f>L189+K190*Parameters!B$65</f>
        <v>39169.157191735183</v>
      </c>
      <c r="M190" s="7">
        <f>M189+Parameters!$B$45*K190</f>
        <v>23.501494315041136</v>
      </c>
      <c r="N190" s="7">
        <f>'6states'!O190</f>
        <v>0.95193694058095091</v>
      </c>
      <c r="O190" s="7">
        <f>MAX(O189+(Parameters!B$31-K190)*Parameters!B$65,30)</f>
        <v>30</v>
      </c>
      <c r="P190" s="7">
        <f>Parameters!B$61*EXP(-Parameters!B$60*A190)+(1-Parameters!B$61)*(O190/Parameters!B$62)^-Parameters!B$63</f>
        <v>0.52950055500253668</v>
      </c>
      <c r="Q190" s="9">
        <f>1-P190/Parameters!$B$12</f>
        <v>0.73524972249873166</v>
      </c>
      <c r="R190" s="23">
        <f t="shared" si="49"/>
        <v>3.7771442940044104</v>
      </c>
      <c r="S190" s="7">
        <f>(Parameters!$B$19*(E190+Parameters!$B$20)^Q190+Parameters!$B$18*F190^Q190)^(1/Q190)</f>
        <v>0.53770268078436401</v>
      </c>
      <c r="T190" s="7">
        <f>(Parameters!$B$10*G190^Parameters!$B$9 + Parameters!$B$11*S190^Parameters!$B$9) ^ (Parameters!$B$7/Parameters!$B$9) * N190</f>
        <v>1.4550583099925285</v>
      </c>
      <c r="U190" s="7">
        <f t="shared" si="50"/>
        <v>1.1046327441978825</v>
      </c>
      <c r="V190" s="7">
        <f>EXP(-Parameters!$B$55*A190)</f>
        <v>6.0289338410158787E-2</v>
      </c>
      <c r="W190" s="7">
        <f>IF(U190&gt;0,U190^(1-Parameters!$B$52)/(1-Parameters!$B$52)*V190,-10+U190*1000)</f>
        <v>-0.16635896292647434</v>
      </c>
      <c r="X190" s="7"/>
      <c r="Y190" s="7"/>
      <c r="Z190" s="7"/>
      <c r="AA190" s="7"/>
    </row>
    <row r="191" spans="1:27" x14ac:dyDescent="0.3">
      <c r="A191">
        <f>A190+Parameters!$B$65</f>
        <v>187</v>
      </c>
      <c r="B191" s="9">
        <f t="shared" si="54"/>
        <v>5.5238794691412761E-2</v>
      </c>
      <c r="C191" s="9">
        <f t="shared" si="54"/>
        <v>2.532692781448906E-3</v>
      </c>
      <c r="D191" s="7">
        <f t="shared" si="54"/>
        <v>0.29265407832178425</v>
      </c>
      <c r="E191" s="7">
        <f>MAX((1-Parameters!$B$4)^Parameters!B$65*E190+B190*Parameters!B$65-Parameters!$B$5*B190^2/E190*Parameters!B$65,0.0001)</f>
        <v>0.81895940641724774</v>
      </c>
      <c r="F191" s="9">
        <f>(1-Parameters!$B$4)^Parameters!B$65*F190+C190*Parameters!B$65-Parameters!$B$5*C190^2/F190*Parameters!B$65</f>
        <v>3.7576763895748502E-2</v>
      </c>
      <c r="G191" s="7">
        <f>(1-Parameters!$B$4)^Parameters!B$65*G190+D190*Parameters!B$65-Parameters!$B$5*D190^2/G190*Parameters!B$65</f>
        <v>4.3388816030668398</v>
      </c>
      <c r="H191" s="7">
        <f>H190 *(1-Parameters!$B$4)-B190*(B190&lt;0)*Parameters!B$65</f>
        <v>0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23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519.135758420927</v>
      </c>
      <c r="L191" s="8">
        <f>L190+K191*Parameters!B$65</f>
        <v>39688.292950156108</v>
      </c>
      <c r="M191" s="7">
        <f>M190+Parameters!$B$45*K191</f>
        <v>23.812975770093693</v>
      </c>
      <c r="N191" s="7">
        <f>'6states'!O191</f>
        <v>0.95193539307033115</v>
      </c>
      <c r="O191" s="7">
        <f>MAX(O190+(Parameters!B$31-K191)*Parameters!B$65,30)</f>
        <v>30</v>
      </c>
      <c r="P191" s="7">
        <f>Parameters!B$61*EXP(-Parameters!B$60*A191)+(1-Parameters!B$61)*(O191/Parameters!B$62)^-Parameters!B$63</f>
        <v>0.52941276256718162</v>
      </c>
      <c r="Q191" s="9">
        <f>1-P191/Parameters!$B$12</f>
        <v>0.73529361871640919</v>
      </c>
      <c r="R191" s="23">
        <f t="shared" si="49"/>
        <v>3.7777706572500755</v>
      </c>
      <c r="S191" s="7">
        <f>(Parameters!$B$19*(E191+Parameters!$B$20)^Q191+Parameters!$B$18*F191^Q191)^(1/Q191)</f>
        <v>0.5377115315654647</v>
      </c>
      <c r="T191" s="7">
        <f>(Parameters!$B$10*G191^Parameters!$B$9 + Parameters!$B$11*S191^Parameters!$B$9) ^ (Parameters!$B$7/Parameters!$B$9) * N191</f>
        <v>1.4550572499084296</v>
      </c>
      <c r="U191" s="7">
        <f t="shared" si="50"/>
        <v>1.1046316841137838</v>
      </c>
      <c r="V191" s="7">
        <f>EXP(-Parameters!$B$55*A191)</f>
        <v>5.9385808220855908E-2</v>
      </c>
      <c r="W191" s="7">
        <f>IF(U191&gt;0,U191^(1-Parameters!$B$52)/(1-Parameters!$B$52)*V191,-10+U191*1000)</f>
        <v>-0.16386586827825722</v>
      </c>
      <c r="X191" s="7"/>
      <c r="Y191" s="7"/>
      <c r="Z191" s="7"/>
      <c r="AA191" s="7"/>
    </row>
    <row r="192" spans="1:27" x14ac:dyDescent="0.3">
      <c r="A192">
        <f>A191+Parameters!$B$65</f>
        <v>188</v>
      </c>
      <c r="B192" s="9">
        <f t="shared" si="54"/>
        <v>5.5238794691412761E-2</v>
      </c>
      <c r="C192" s="9">
        <f t="shared" si="54"/>
        <v>2.532692781448906E-3</v>
      </c>
      <c r="D192" s="7">
        <f t="shared" si="54"/>
        <v>0.29265407832178425</v>
      </c>
      <c r="E192" s="7">
        <f>MAX((1-Parameters!$B$4)^Parameters!B$65*E191+B191*Parameters!B$65-Parameters!$B$5*B191^2/E191*Parameters!B$65,0.0001)</f>
        <v>0.81895979890803761</v>
      </c>
      <c r="F192" s="9">
        <f>(1-Parameters!$B$4)^Parameters!B$65*F191+C191*Parameters!B$65-Parameters!$B$5*C191^2/F191*Parameters!B$65</f>
        <v>3.7575173461161071E-2</v>
      </c>
      <c r="G192" s="7">
        <f>(1-Parameters!$B$4)^Parameters!B$65*G191+D191*Parameters!B$65-Parameters!$B$5*D191^2/G191*Parameters!B$65</f>
        <v>4.3388807460876668</v>
      </c>
      <c r="H192" s="7">
        <f>H191 *(1-Parameters!$B$4)-B191*(B191&lt;0)*Parameters!B$65</f>
        <v>0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23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525.8455169510396</v>
      </c>
      <c r="L192" s="8">
        <f>L191+K192*Parameters!B$65</f>
        <v>40214.13846710715</v>
      </c>
      <c r="M192" s="7">
        <f>M191+Parameters!$B$45*K192</f>
        <v>24.128483080264317</v>
      </c>
      <c r="N192" s="7">
        <f>'6states'!O192</f>
        <v>0.95193382575994623</v>
      </c>
      <c r="O192" s="7">
        <f>MAX(O191+(Parameters!B$31-K192)*Parameters!B$65,30)</f>
        <v>30</v>
      </c>
      <c r="P192" s="7">
        <f>Parameters!B$61*EXP(-Parameters!B$60*A192)+(1-Parameters!B$61)*(O192/Parameters!B$62)^-Parameters!B$63</f>
        <v>0.52932730881330792</v>
      </c>
      <c r="Q192" s="9">
        <f>1-P192/Parameters!$B$12</f>
        <v>0.73533634559334604</v>
      </c>
      <c r="R192" s="23">
        <f t="shared" si="49"/>
        <v>3.7783805345009958</v>
      </c>
      <c r="S192" s="7">
        <f>(Parameters!$B$19*(E192+Parameters!$B$20)^Q192+Parameters!$B$18*F192^Q192)^(1/Q192)</f>
        <v>0.53772017110262349</v>
      </c>
      <c r="T192" s="7">
        <f>(Parameters!$B$10*G192^Parameters!$B$9 + Parameters!$B$11*S192^Parameters!$B$9) ^ (Parameters!$B$7/Parameters!$B$9) * N192</f>
        <v>1.4550561308590573</v>
      </c>
      <c r="U192" s="7">
        <f t="shared" si="50"/>
        <v>1.1046305650644115</v>
      </c>
      <c r="V192" s="7">
        <f>EXP(-Parameters!$B$55*A192)</f>
        <v>5.8495818846969333E-2</v>
      </c>
      <c r="W192" s="7">
        <f>IF(U192&gt;0,U192^(1-Parameters!$B$52)/(1-Parameters!$B$52)*V192,-10+U192*1000)</f>
        <v>-0.1614101387500278</v>
      </c>
      <c r="X192" s="7"/>
      <c r="Y192" s="7"/>
      <c r="Z192" s="7"/>
      <c r="AA192" s="7"/>
    </row>
    <row r="193" spans="1:27" x14ac:dyDescent="0.3">
      <c r="A193">
        <f>A192+Parameters!$B$65</f>
        <v>189</v>
      </c>
      <c r="B193" s="9">
        <f t="shared" si="54"/>
        <v>5.5238794691412761E-2</v>
      </c>
      <c r="C193" s="9">
        <f t="shared" si="54"/>
        <v>2.532692781448906E-3</v>
      </c>
      <c r="D193" s="7">
        <f t="shared" si="54"/>
        <v>0.29265407832178425</v>
      </c>
      <c r="E193" s="7">
        <f>MAX((1-Parameters!$B$4)^Parameters!B$65*E192+B192*Parameters!B$65-Parameters!$B$5*B192^2/E192*Parameters!B$65,0.0001)</f>
        <v>0.81896016849679265</v>
      </c>
      <c r="F193" s="9">
        <f>(1-Parameters!$B$4)^Parameters!B$65*F192+C192*Parameters!B$65-Parameters!$B$5*C192^2/F192*Parameters!B$65</f>
        <v>3.7573675839532937E-2</v>
      </c>
      <c r="G193" s="7">
        <f>(1-Parameters!$B$4)^Parameters!B$65*G192+D192*Parameters!B$65-Parameters!$B$5*D192^2/G192*Parameters!B$65</f>
        <v>4.338879939113748</v>
      </c>
      <c r="H193" s="7">
        <f>H192 *(1-Parameters!$B$4)-B192*(B192&lt;0)*Parameters!B$65</f>
        <v>0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23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532.64268613447291</v>
      </c>
      <c r="L193" s="8">
        <f>L192+K193*Parameters!B$65</f>
        <v>40746.781153241624</v>
      </c>
      <c r="M193" s="7">
        <f>M192+Parameters!$B$45*K193</f>
        <v>24.448068691945</v>
      </c>
      <c r="N193" s="7">
        <f>'6states'!O193</f>
        <v>0.95193223839612384</v>
      </c>
      <c r="O193" s="7">
        <f>MAX(O192+(Parameters!B$31-K193)*Parameters!B$65,30)</f>
        <v>30</v>
      </c>
      <c r="P193" s="7">
        <f>Parameters!B$61*EXP(-Parameters!B$60*A193)+(1-Parameters!B$61)*(O193/Parameters!B$62)^-Parameters!B$63</f>
        <v>0.52924413144134452</v>
      </c>
      <c r="Q193" s="9">
        <f>1-P193/Parameters!$B$12</f>
        <v>0.73537793427932774</v>
      </c>
      <c r="R193" s="23">
        <f t="shared" si="49"/>
        <v>3.7789743545255683</v>
      </c>
      <c r="S193" s="7">
        <f>(Parameters!$B$19*(E193+Parameters!$B$20)^Q193+Parameters!$B$18*F193^Q193)^(1/Q193)</f>
        <v>0.53772860358039898</v>
      </c>
      <c r="T193" s="7">
        <f>(Parameters!$B$10*G193^Parameters!$B$9 + Parameters!$B$11*S193^Parameters!$B$9) ^ (Parameters!$B$7/Parameters!$B$9) * N193</f>
        <v>1.4550549528637067</v>
      </c>
      <c r="U193" s="7">
        <f t="shared" si="50"/>
        <v>1.1046293870690609</v>
      </c>
      <c r="V193" s="7">
        <f>EXP(-Parameters!$B$55*A193)</f>
        <v>5.7619167358166093E-2</v>
      </c>
      <c r="W193" s="7">
        <f>IF(U193&gt;0,U193^(1-Parameters!$B$52)/(1-Parameters!$B$52)*V193,-10+U193*1000)</f>
        <v>-0.15899121428793622</v>
      </c>
      <c r="X193" s="7"/>
      <c r="Y193" s="7"/>
      <c r="Z193" s="7"/>
      <c r="AA193" s="7"/>
    </row>
    <row r="194" spans="1:27" x14ac:dyDescent="0.3">
      <c r="A194">
        <f>A193+Parameters!$B$65</f>
        <v>190</v>
      </c>
      <c r="B194" s="9">
        <f t="shared" si="54"/>
        <v>5.5238794691412761E-2</v>
      </c>
      <c r="C194" s="9">
        <f t="shared" si="54"/>
        <v>2.532692781448906E-3</v>
      </c>
      <c r="D194" s="7">
        <f t="shared" si="54"/>
        <v>0.29265407832178425</v>
      </c>
      <c r="E194" s="7">
        <f>MAX((1-Parameters!$B$4)^Parameters!B$65*E193+B193*Parameters!B$65-Parameters!$B$5*B193^2/E193*Parameters!B$65,0.0001)</f>
        <v>0.81896051651985646</v>
      </c>
      <c r="F194" s="9">
        <f>(1-Parameters!$B$4)^Parameters!B$65*F193+C193*Parameters!B$65-Parameters!$B$5*C193^2/F193*Parameters!B$65</f>
        <v>3.7572265614020932E-2</v>
      </c>
      <c r="G194" s="7">
        <f>(1-Parameters!$B$4)^Parameters!B$65*G193+D193*Parameters!B$65-Parameters!$B$5*D193^2/G193*Parameters!B$65</f>
        <v>4.3388791792272441</v>
      </c>
      <c r="H194" s="7">
        <f>H193 *(1-Parameters!$B$4)-B193*(B193&lt;0)*Parameters!B$65</f>
        <v>0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23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539.52839836984833</v>
      </c>
      <c r="L194" s="8">
        <f>L193+K194*Parameters!B$65</f>
        <v>41286.30955161147</v>
      </c>
      <c r="M194" s="7">
        <f>M193+Parameters!$B$45*K194</f>
        <v>24.771785730966908</v>
      </c>
      <c r="N194" s="7">
        <f>'6states'!O194</f>
        <v>0.95193063072190343</v>
      </c>
      <c r="O194" s="7">
        <f>MAX(O193+(Parameters!B$31-K194)*Parameters!B$65,30)</f>
        <v>30</v>
      </c>
      <c r="P194" s="7">
        <f>Parameters!B$61*EXP(-Parameters!B$60*A194)+(1-Parameters!B$61)*(O194/Parameters!B$62)^-Parameters!B$63</f>
        <v>0.52916316981130362</v>
      </c>
      <c r="Q194" s="9">
        <f>1-P194/Parameters!$B$12</f>
        <v>0.73541841509434813</v>
      </c>
      <c r="R194" s="23">
        <f t="shared" si="49"/>
        <v>3.7795525352098625</v>
      </c>
      <c r="S194" s="7">
        <f>(Parameters!$B$19*(E194+Parameters!$B$20)^Q194+Parameters!$B$18*F194^Q194)^(1/Q194)</f>
        <v>0.53773683315692999</v>
      </c>
      <c r="T194" s="7">
        <f>(Parameters!$B$10*G194^Parameters!$B$9 + Parameters!$B$11*S194^Parameters!$B$9) ^ (Parameters!$B$7/Parameters!$B$9) * N194</f>
        <v>1.4550537159468757</v>
      </c>
      <c r="U194" s="7">
        <f t="shared" si="50"/>
        <v>1.1046281501522297</v>
      </c>
      <c r="V194" s="7">
        <f>EXP(-Parameters!$B$55*A194)</f>
        <v>5.6755653865342197E-2</v>
      </c>
      <c r="W194" s="7">
        <f>IF(U194&gt;0,U194^(1-Parameters!$B$52)/(1-Parameters!$B$52)*V194,-10+U194*1000)</f>
        <v>-0.1566085432330496</v>
      </c>
      <c r="X194" s="7"/>
      <c r="Y194" s="7"/>
      <c r="Z194" s="7"/>
      <c r="AA194" s="7"/>
    </row>
    <row r="195" spans="1:27" x14ac:dyDescent="0.3">
      <c r="A195">
        <f>A194+Parameters!$B$65</f>
        <v>191</v>
      </c>
      <c r="B195" s="9">
        <f t="shared" si="54"/>
        <v>5.5238794691412761E-2</v>
      </c>
      <c r="C195" s="9">
        <f t="shared" si="54"/>
        <v>2.532692781448906E-3</v>
      </c>
      <c r="D195" s="7">
        <f t="shared" si="54"/>
        <v>0.29265407832178425</v>
      </c>
      <c r="E195" s="7">
        <f>MAX((1-Parameters!$B$4)^Parameters!B$65*E194+B194*Parameters!B$65-Parameters!$B$5*B194^2/E194*Parameters!B$65,0.0001)</f>
        <v>0.81896084423559679</v>
      </c>
      <c r="F195" s="9">
        <f>(1-Parameters!$B$4)^Parameters!B$65*F194+C194*Parameters!B$65-Parameters!$B$5*C194^2/F194*Parameters!B$65</f>
        <v>3.757093768398842E-2</v>
      </c>
      <c r="G195" s="7">
        <f>(1-Parameters!$B$4)^Parameters!B$65*G194+D194*Parameters!B$65-Parameters!$B$5*D194^2/G194*Parameters!B$65</f>
        <v>4.3388784636805742</v>
      </c>
      <c r="H195" s="7">
        <f>H194 *(1-Parameters!$B$4)-B194*(B194&lt;0)*Parameters!B$65</f>
        <v>0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23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546.50380076368378</v>
      </c>
      <c r="L195" s="8">
        <f>L194+K195*Parameters!B$65</f>
        <v>41832.813352375153</v>
      </c>
      <c r="M195" s="7">
        <f>M194+Parameters!$B$45*K195</f>
        <v>25.099688011425119</v>
      </c>
      <c r="N195" s="7">
        <f>'6states'!O195</f>
        <v>0.95192900247697076</v>
      </c>
      <c r="O195" s="7">
        <f>MAX(O194+(Parameters!B$31-K195)*Parameters!B$65,30)</f>
        <v>30</v>
      </c>
      <c r="P195" s="7">
        <f>Parameters!B$61*EXP(-Parameters!B$60*A195)+(1-Parameters!B$61)*(O195/Parameters!B$62)^-Parameters!B$63</f>
        <v>0.52908436489857102</v>
      </c>
      <c r="Q195" s="9">
        <f>1-P195/Parameters!$B$12</f>
        <v>0.73545781755071449</v>
      </c>
      <c r="R195" s="23">
        <f t="shared" si="49"/>
        <v>3.7801154838196989</v>
      </c>
      <c r="S195" s="7">
        <f>(Parameters!$B$19*(E195+Parameters!$B$20)^Q195+Parameters!$B$18*F195^Q195)^(1/Q195)</f>
        <v>0.53774486395960852</v>
      </c>
      <c r="T195" s="7">
        <f>(Parameters!$B$10*G195^Parameters!$B$9 + Parameters!$B$11*S195^Parameters!$B$9) ^ (Parameters!$B$7/Parameters!$B$9) * N195</f>
        <v>1.4550524201366477</v>
      </c>
      <c r="U195" s="7">
        <f t="shared" si="50"/>
        <v>1.1046268543420017</v>
      </c>
      <c r="V195" s="7">
        <f>EXP(-Parameters!$B$55*A195)</f>
        <v>5.5905081475045089E-2</v>
      </c>
      <c r="W195" s="7">
        <f>IF(U195&gt;0,U195^(1-Parameters!$B$52)/(1-Parameters!$B$52)*V195,-10+U195*1000)</f>
        <v>-0.1542615821955961</v>
      </c>
      <c r="X195" s="7"/>
      <c r="Y195" s="7"/>
      <c r="Z195" s="7"/>
      <c r="AA195" s="7"/>
    </row>
    <row r="196" spans="1:27" x14ac:dyDescent="0.3">
      <c r="A196">
        <f>A195+Parameters!$B$65</f>
        <v>192</v>
      </c>
      <c r="B196" s="9">
        <f t="shared" si="54"/>
        <v>5.5238794691412761E-2</v>
      </c>
      <c r="C196" s="9">
        <f t="shared" si="54"/>
        <v>2.532692781448906E-3</v>
      </c>
      <c r="D196" s="7">
        <f t="shared" si="54"/>
        <v>0.29265407832178425</v>
      </c>
      <c r="E196" s="7">
        <f>MAX((1-Parameters!$B$4)^Parameters!B$65*E195+B195*Parameters!B$65-Parameters!$B$5*B195^2/E195*Parameters!B$65,0.0001)</f>
        <v>0.81896115282895499</v>
      </c>
      <c r="F196" s="9">
        <f>(1-Parameters!$B$4)^Parameters!B$65*F195+C195*Parameters!B$65-Parameters!$B$5*C195^2/F195*Parameters!B$65</f>
        <v>3.7569687246539675E-2</v>
      </c>
      <c r="G196" s="7">
        <f>(1-Parameters!$B$4)^Parameters!B$65*G195+D195*Parameters!B$65-Parameters!$B$5*D195^2/G195*Parameters!B$65</f>
        <v>4.3388777898864817</v>
      </c>
      <c r="H196" s="7">
        <f>H195 *(1-Parameters!$B$4)-B195*(B195&lt;0)*Parameters!B$65</f>
        <v>0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23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553.57005532220819</v>
      </c>
      <c r="L196" s="8">
        <f>L195+K196*Parameters!B$65</f>
        <v>42386.383407697358</v>
      </c>
      <c r="M196" s="7">
        <f>M195+Parameters!$B$45*K196</f>
        <v>25.431830044618444</v>
      </c>
      <c r="N196" s="7">
        <f>'6states'!O196</f>
        <v>0.95192735339757772</v>
      </c>
      <c r="O196" s="7">
        <f>MAX(O195+(Parameters!B$31-K196)*Parameters!B$65,30)</f>
        <v>30</v>
      </c>
      <c r="P196" s="7">
        <f>Parameters!B$61*EXP(-Parameters!B$60*A196)+(1-Parameters!B$61)*(O196/Parameters!B$62)^-Parameters!B$63</f>
        <v>0.52900765925087545</v>
      </c>
      <c r="Q196" s="9">
        <f>1-P196/Parameters!$B$12</f>
        <v>0.73549617037456227</v>
      </c>
      <c r="R196" s="23">
        <f t="shared" si="49"/>
        <v>3.780663597257151</v>
      </c>
      <c r="S196" s="7">
        <f>(Parameters!$B$19*(E196+Parameters!$B$20)^Q196+Parameters!$B$18*F196^Q196)^(1/Q196)</f>
        <v>0.53775270008116771</v>
      </c>
      <c r="T196" s="7">
        <f>(Parameters!$B$10*G196^Parameters!$B$9 + Parameters!$B$11*S196^Parameters!$B$9) ^ (Parameters!$B$7/Parameters!$B$9) * N196</f>
        <v>1.4550510654631654</v>
      </c>
      <c r="U196" s="7">
        <f t="shared" si="50"/>
        <v>1.1046254996685194</v>
      </c>
      <c r="V196" s="7">
        <f>EXP(-Parameters!$B$55*A196)</f>
        <v>5.5067256244579005E-2</v>
      </c>
      <c r="W196" s="7">
        <f>IF(U196&gt;0,U196^(1-Parameters!$B$52)/(1-Parameters!$B$52)*V196,-10+U196*1000)</f>
        <v>-0.15194979593108363</v>
      </c>
      <c r="X196" s="7"/>
      <c r="Y196" s="7"/>
      <c r="Z196" s="7"/>
      <c r="AA196" s="7"/>
    </row>
    <row r="197" spans="1:27" x14ac:dyDescent="0.3">
      <c r="A197">
        <f>A196+Parameters!$B$65</f>
        <v>193</v>
      </c>
      <c r="B197" s="9">
        <f t="shared" si="54"/>
        <v>5.5238794691412761E-2</v>
      </c>
      <c r="C197" s="9">
        <f t="shared" si="54"/>
        <v>2.532692781448906E-3</v>
      </c>
      <c r="D197" s="7">
        <f t="shared" si="54"/>
        <v>0.29265407832178425</v>
      </c>
      <c r="E197" s="7">
        <f>MAX((1-Parameters!$B$4)^Parameters!B$65*E196+B196*Parameters!B$65-Parameters!$B$5*B196^2/E196*Parameters!B$65,0.0001)</f>
        <v>0.81896144341573085</v>
      </c>
      <c r="F197" s="9">
        <f>(1-Parameters!$B$4)^Parameters!B$65*F196+C196*Parameters!B$65-Parameters!$B$5*C196^2/F196*Parameters!B$65</f>
        <v>3.7568509779133424E-2</v>
      </c>
      <c r="G197" s="7">
        <f>(1-Parameters!$B$4)^Parameters!B$65*G196+D196*Parameters!B$65-Parameters!$B$5*D196^2/G196*Parameters!B$65</f>
        <v>4.338877155408678</v>
      </c>
      <c r="H197" s="7">
        <f>H196 *(1-Parameters!$B$4)-B196*(B196&lt;0)*Parameters!B$65</f>
        <v>0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23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560.72833914561875</v>
      </c>
      <c r="L197" s="8">
        <f>L196+K197*Parameters!B$65</f>
        <v>42947.11174684298</v>
      </c>
      <c r="M197" s="7">
        <f>M196+Parameters!$B$45*K197</f>
        <v>25.768267048105816</v>
      </c>
      <c r="N197" s="7">
        <f>'6states'!O197</f>
        <v>0.95192568321643878</v>
      </c>
      <c r="O197" s="7">
        <f>MAX(O196+(Parameters!B$31-K197)*Parameters!B$65,30)</f>
        <v>30</v>
      </c>
      <c r="P197" s="7">
        <f>Parameters!B$61*EXP(-Parameters!B$60*A197)+(1-Parameters!B$61)*(O197/Parameters!B$62)^-Parameters!B$63</f>
        <v>0.52893299694640261</v>
      </c>
      <c r="Q197" s="9">
        <f>1-P197/Parameters!$B$12</f>
        <v>0.73553350152679875</v>
      </c>
      <c r="R197" s="23">
        <f t="shared" ref="R197:R204" si="55">1/(1-Q197)</f>
        <v>3.7811972623115868</v>
      </c>
      <c r="S197" s="7">
        <f>(Parameters!$B$19*(E197+Parameters!$B$20)^Q197+Parameters!$B$18*F197^Q197)^(1/Q197)</f>
        <v>0.53776034557615426</v>
      </c>
      <c r="T197" s="7">
        <f>(Parameters!$B$10*G197^Parameters!$B$9 + Parameters!$B$11*S197^Parameters!$B$9) ^ (Parameters!$B$7/Parameters!$B$9) * N197</f>
        <v>1.4550496519571752</v>
      </c>
      <c r="U197" s="7">
        <f t="shared" ref="U197:U204" si="56">T197-B197-C197-D197</f>
        <v>1.1046240861625294</v>
      </c>
      <c r="V197" s="7">
        <f>EXP(-Parameters!$B$55*A197)</f>
        <v>5.4241987137783339E-2</v>
      </c>
      <c r="W197" s="7">
        <f>IF(U197&gt;0,U197^(1-Parameters!$B$52)/(1-Parameters!$B$52)*V197,-10+U197*1000)</f>
        <v>-0.14967265721826711</v>
      </c>
      <c r="X197" s="7"/>
      <c r="Y197" s="7"/>
      <c r="Z197" s="7"/>
      <c r="AA197" s="7"/>
    </row>
    <row r="198" spans="1:27" x14ac:dyDescent="0.3">
      <c r="A198">
        <f>A197+Parameters!$B$65</f>
        <v>194</v>
      </c>
      <c r="B198" s="9">
        <f t="shared" si="54"/>
        <v>5.5238794691412761E-2</v>
      </c>
      <c r="C198" s="9">
        <f t="shared" si="54"/>
        <v>2.532692781448906E-3</v>
      </c>
      <c r="D198" s="7">
        <f t="shared" si="54"/>
        <v>0.29265407832178425</v>
      </c>
      <c r="E198" s="7">
        <f>MAX((1-Parameters!$B$4)^Parameters!B$65*E197+B197*Parameters!B$65-Parameters!$B$5*B197^2/E197*Parameters!B$65,0.0001)</f>
        <v>0.81896171704661691</v>
      </c>
      <c r="F198" s="9">
        <f>(1-Parameters!$B$4)^Parameters!B$65*F197+C197*Parameters!B$65-Parameters!$B$5*C197^2/F197*Parameters!B$65</f>
        <v>3.7567401023212391E-2</v>
      </c>
      <c r="G198" s="7">
        <f>(1-Parameters!$B$4)^Parameters!B$65*G197+D197*Parameters!B$65-Parameters!$B$5*D197^2/G197*Parameters!B$65</f>
        <v>4.338876557953034</v>
      </c>
      <c r="H198" s="7">
        <f>H197 *(1-Parameters!$B$4)-B197*(B197&lt;0)*Parameters!B$65</f>
        <v>0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23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567.97984462481111</v>
      </c>
      <c r="L198" s="8">
        <f>L197+K198*Parameters!B$65</f>
        <v>43515.09159146779</v>
      </c>
      <c r="M198" s="7">
        <f>M197+Parameters!$B$45*K198</f>
        <v>26.109054954880701</v>
      </c>
      <c r="N198" s="7">
        <f>'6states'!O198</f>
        <v>0.95192399166259056</v>
      </c>
      <c r="O198" s="7">
        <f>MAX(O197+(Parameters!B$31-K198)*Parameters!B$65,30)</f>
        <v>30</v>
      </c>
      <c r="P198" s="7">
        <f>Parameters!B$61*EXP(-Parameters!B$60*A198)+(1-Parameters!B$61)*(O198/Parameters!B$62)^-Parameters!B$63</f>
        <v>0.52886032355302581</v>
      </c>
      <c r="Q198" s="9">
        <f>1-P198/Parameters!$B$12</f>
        <v>0.73556983822348709</v>
      </c>
      <c r="R198" s="23">
        <f t="shared" si="55"/>
        <v>3.7817168559052838</v>
      </c>
      <c r="S198" s="7">
        <f>(Parameters!$B$19*(E198+Parameters!$B$20)^Q198+Parameters!$B$18*F198^Q198)^(1/Q198)</f>
        <v>0.53776780445776018</v>
      </c>
      <c r="T198" s="7">
        <f>(Parameters!$B$10*G198^Parameters!$B$9 + Parameters!$B$11*S198^Parameters!$B$9) ^ (Parameters!$B$7/Parameters!$B$9) * N198</f>
        <v>1.4550481796486152</v>
      </c>
      <c r="U198" s="7">
        <f t="shared" si="56"/>
        <v>1.1046226138539694</v>
      </c>
      <c r="V198" s="7">
        <f>EXP(-Parameters!$B$55*A198)</f>
        <v>5.3429085981473647E-2</v>
      </c>
      <c r="W198" s="7">
        <f>IF(U198&gt;0,U198^(1-Parameters!$B$52)/(1-Parameters!$B$52)*V198,-10+U198*1000)</f>
        <v>-0.14742964673893749</v>
      </c>
      <c r="X198" s="7"/>
      <c r="Y198" s="7"/>
      <c r="Z198" s="7"/>
      <c r="AA198" s="7"/>
    </row>
    <row r="199" spans="1:27" x14ac:dyDescent="0.3">
      <c r="A199">
        <f>A198+Parameters!$B$65</f>
        <v>195</v>
      </c>
      <c r="B199" s="9">
        <f t="shared" si="54"/>
        <v>5.5238794691412761E-2</v>
      </c>
      <c r="C199" s="9">
        <f t="shared" si="54"/>
        <v>2.532692781448906E-3</v>
      </c>
      <c r="D199" s="7">
        <f t="shared" si="54"/>
        <v>0.29265407832178425</v>
      </c>
      <c r="E199" s="7">
        <f>MAX((1-Parameters!$B$4)^Parameters!B$65*E198+B198*Parameters!B$65-Parameters!$B$5*B198^2/E198*Parameters!B$65,0.0001)</f>
        <v>0.81896197471099719</v>
      </c>
      <c r="F199" s="9">
        <f>(1-Parameters!$B$4)^Parameters!B$65*F198+C198*Parameters!B$65-Parameters!$B$5*C198^2/F198*Parameters!B$65</f>
        <v>3.7566356968789329E-2</v>
      </c>
      <c r="G199" s="7">
        <f>(1-Parameters!$B$4)^Parameters!B$65*G198+D198*Parameters!B$65-Parameters!$B$5*D198^2/G198*Parameters!B$65</f>
        <v>4.3388759953592819</v>
      </c>
      <c r="H199" s="7">
        <f>H198 *(1-Parameters!$B$4)-B198*(B198&lt;0)*Parameters!B$65</f>
        <v>0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23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575.32577964061545</v>
      </c>
      <c r="L199" s="8">
        <f>L198+K199*Parameters!B$65</f>
        <v>44090.417371108408</v>
      </c>
      <c r="M199" s="7">
        <f>M198+Parameters!$B$45*K199</f>
        <v>26.454250422665069</v>
      </c>
      <c r="N199" s="7">
        <f>'6states'!O199</f>
        <v>0.95192227846120014</v>
      </c>
      <c r="O199" s="7">
        <f>MAX(O198+(Parameters!B$31-K199)*Parameters!B$65,30)</f>
        <v>30</v>
      </c>
      <c r="P199" s="7">
        <f>Parameters!B$61*EXP(-Parameters!B$60*A199)+(1-Parameters!B$61)*(O199/Parameters!B$62)^-Parameters!B$63</f>
        <v>0.52878958608862281</v>
      </c>
      <c r="Q199" s="9">
        <f>1-P199/Parameters!$B$12</f>
        <v>0.73560520695568865</v>
      </c>
      <c r="R199" s="23">
        <f t="shared" si="55"/>
        <v>3.7822227453337351</v>
      </c>
      <c r="S199" s="7">
        <f>(Parameters!$B$19*(E199+Parameters!$B$20)^Q199+Parameters!$B$18*F199^Q199)^(1/Q199)</f>
        <v>0.53777508069498525</v>
      </c>
      <c r="T199" s="7">
        <f>(Parameters!$B$10*G199^Parameters!$B$9 + Parameters!$B$11*S199^Parameters!$B$9) ^ (Parameters!$B$7/Parameters!$B$9) * N199</f>
        <v>1.4550466485652196</v>
      </c>
      <c r="U199" s="7">
        <f t="shared" si="56"/>
        <v>1.1046210827705738</v>
      </c>
      <c r="V199" s="7">
        <f>EXP(-Parameters!$B$55*A199)</f>
        <v>5.2628367422535426E-2</v>
      </c>
      <c r="W199" s="7">
        <f>IF(U199&gt;0,U199^(1-Parameters!$B$52)/(1-Parameters!$B$52)*V199,-10+U199*1000)</f>
        <v>-0.14522025295950719</v>
      </c>
      <c r="X199" s="7"/>
      <c r="Y199" s="7"/>
      <c r="Z199" s="7"/>
      <c r="AA199" s="7"/>
    </row>
    <row r="200" spans="1:27" x14ac:dyDescent="0.3">
      <c r="A200">
        <f>A199+Parameters!$B$65</f>
        <v>196</v>
      </c>
      <c r="B200" s="9">
        <f t="shared" si="54"/>
        <v>5.5238794691412761E-2</v>
      </c>
      <c r="C200" s="9">
        <f t="shared" si="54"/>
        <v>2.532692781448906E-3</v>
      </c>
      <c r="D200" s="7">
        <f t="shared" si="54"/>
        <v>0.29265407832178425</v>
      </c>
      <c r="E200" s="7">
        <f>MAX((1-Parameters!$B$4)^Parameters!B$65*E199+B199*Parameters!B$65-Parameters!$B$5*B199^2/E199*Parameters!B$65,0.0001)</f>
        <v>0.8189622173405251</v>
      </c>
      <c r="F200" s="9">
        <f>(1-Parameters!$B$4)^Parameters!B$65*F199+C199*Parameters!B$65-Parameters!$B$5*C199^2/F199*Parameters!B$65</f>
        <v>3.7565373839933698E-2</v>
      </c>
      <c r="G200" s="7">
        <f>(1-Parameters!$B$4)^Parameters!B$65*G199+D199*Parameters!B$65-Parameters!$B$5*D199^2/G199*Parameters!B$65</f>
        <v>4.33887546559321</v>
      </c>
      <c r="H200" s="7">
        <f>H199 *(1-Parameters!$B$4)-B199*(B199&lt;0)*Parameters!B$65</f>
        <v>0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23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582.76736776557857</v>
      </c>
      <c r="L200" s="8">
        <f>L199+K200*Parameters!B$65</f>
        <v>44673.184738873984</v>
      </c>
      <c r="M200" s="7">
        <f>M199+Parameters!$B$45*K200</f>
        <v>26.803910843324417</v>
      </c>
      <c r="N200" s="7">
        <f>'6states'!O200</f>
        <v>0.95192054333329712</v>
      </c>
      <c r="O200" s="7">
        <f>MAX(O199+(Parameters!B$31-K200)*Parameters!B$65,30)</f>
        <v>30</v>
      </c>
      <c r="P200" s="7">
        <f>Parameters!B$61*EXP(-Parameters!B$60*A200)+(1-Parameters!B$61)*(O200/Parameters!B$62)^-Parameters!B$63</f>
        <v>0.52872073298244926</v>
      </c>
      <c r="Q200" s="9">
        <f>1-P200/Parameters!$B$12</f>
        <v>0.73563963350877537</v>
      </c>
      <c r="R200" s="23">
        <f t="shared" si="55"/>
        <v>3.7827152885006865</v>
      </c>
      <c r="S200" s="7">
        <f>(Parameters!$B$19*(E200+Parameters!$B$20)^Q200+Parameters!$B$18*F200^Q200)^(1/Q200)</f>
        <v>0.53778217821011076</v>
      </c>
      <c r="T200" s="7">
        <f>(Parameters!$B$10*G200^Parameters!$B$9 + Parameters!$B$11*S200^Parameters!$B$9) ^ (Parameters!$B$7/Parameters!$B$9) * N200</f>
        <v>1.4550450587310926</v>
      </c>
      <c r="U200" s="7">
        <f t="shared" si="56"/>
        <v>1.1046194929364468</v>
      </c>
      <c r="V200" s="7">
        <f>EXP(-Parameters!$B$55*A200)</f>
        <v>5.1839648885661067E-2</v>
      </c>
      <c r="W200" s="7">
        <f>IF(U200&gt;0,U200^(1-Parameters!$B$52)/(1-Parameters!$B$52)*V200,-10+U200*1000)</f>
        <v>-0.14304397201436822</v>
      </c>
      <c r="X200" s="7"/>
      <c r="Y200" s="7"/>
      <c r="Z200" s="7"/>
      <c r="AA200" s="7"/>
    </row>
    <row r="201" spans="1:27" x14ac:dyDescent="0.3">
      <c r="A201">
        <f>A200+Parameters!$B$65</f>
        <v>197</v>
      </c>
      <c r="B201" s="9">
        <f t="shared" si="54"/>
        <v>5.5238794691412761E-2</v>
      </c>
      <c r="C201" s="9">
        <f t="shared" si="54"/>
        <v>2.532692781448906E-3</v>
      </c>
      <c r="D201" s="7">
        <f t="shared" si="54"/>
        <v>0.29265407832178425</v>
      </c>
      <c r="E201" s="7">
        <f>MAX((1-Parameters!$B$4)^Parameters!B$65*E200+B200*Parameters!B$65-Parameters!$B$5*B200^2/E200*Parameters!B$65,0.0001)</f>
        <v>0.81896244581249134</v>
      </c>
      <c r="F201" s="9">
        <f>(1-Parameters!$B$4)^Parameters!B$65*F200+C200*Parameters!B$65-Parameters!$B$5*C200^2/F200*Parameters!B$65</f>
        <v>3.7564448081106198E-2</v>
      </c>
      <c r="G201" s="7">
        <f>(1-Parameters!$B$4)^Parameters!B$65*G200+D200*Parameters!B$65-Parameters!$B$5*D200^2/G200*Parameters!B$65</f>
        <v>4.3388749667393034</v>
      </c>
      <c r="H201" s="7">
        <f>H200 *(1-Parameters!$B$4)-B200*(B200&lt;0)*Parameters!B$65</f>
        <v>0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23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590.30584846832483</v>
      </c>
      <c r="L201" s="8">
        <f>L200+K201*Parameters!B$65</f>
        <v>45263.490587342312</v>
      </c>
      <c r="M201" s="7">
        <f>M200+Parameters!$B$45*K201</f>
        <v>27.15809435240541</v>
      </c>
      <c r="N201" s="7">
        <f>'6states'!O201</f>
        <v>0.95191878599540036</v>
      </c>
      <c r="O201" s="7">
        <f>MAX(O200+(Parameters!B$31-K201)*Parameters!B$65,30)</f>
        <v>30</v>
      </c>
      <c r="P201" s="7">
        <f>Parameters!B$61*EXP(-Parameters!B$60*A201)+(1-Parameters!B$61)*(O201/Parameters!B$62)^-Parameters!B$63</f>
        <v>0.52865371403754124</v>
      </c>
      <c r="Q201" s="9">
        <f>1-P201/Parameters!$B$12</f>
        <v>0.73567314298122932</v>
      </c>
      <c r="R201" s="23">
        <f t="shared" si="55"/>
        <v>3.7831948341480368</v>
      </c>
      <c r="S201" s="7">
        <f>(Parameters!$B$19*(E201+Parameters!$B$20)^Q201+Parameters!$B$18*F201^Q201)^(1/Q201)</f>
        <v>0.53778910087645959</v>
      </c>
      <c r="T201" s="7">
        <f>(Parameters!$B$10*G201^Parameters!$B$9 + Parameters!$B$11*S201^Parameters!$B$9) ^ (Parameters!$B$7/Parameters!$B$9) * N201</f>
        <v>1.4550434101652012</v>
      </c>
      <c r="U201" s="7">
        <f t="shared" si="56"/>
        <v>1.1046178443705554</v>
      </c>
      <c r="V201" s="7">
        <f>EXP(-Parameters!$B$55*A201)</f>
        <v>5.1062750531719887E-2</v>
      </c>
      <c r="W201" s="7">
        <f>IF(U201&gt;0,U201^(1-Parameters!$B$52)/(1-Parameters!$B$52)*V201,-10+U201*1000)</f>
        <v>-0.14090030759099698</v>
      </c>
      <c r="X201" s="7"/>
      <c r="Y201" s="7"/>
      <c r="Z201" s="7"/>
      <c r="AA201" s="7"/>
    </row>
    <row r="202" spans="1:27" x14ac:dyDescent="0.3">
      <c r="A202">
        <f>A201+Parameters!$B$65</f>
        <v>198</v>
      </c>
      <c r="B202" s="9">
        <f t="shared" ref="B202:D204" si="57">B201</f>
        <v>5.5238794691412761E-2</v>
      </c>
      <c r="C202" s="9">
        <f t="shared" si="57"/>
        <v>2.532692781448906E-3</v>
      </c>
      <c r="D202" s="7">
        <f t="shared" si="57"/>
        <v>0.29265407832178425</v>
      </c>
      <c r="E202" s="7">
        <f>MAX((1-Parameters!$B$4)^Parameters!B$65*E201+B201*Parameters!B$65-Parameters!$B$5*B201^2/E201*Parameters!B$65,0.0001)</f>
        <v>0.81896266095299652</v>
      </c>
      <c r="F202" s="9">
        <f>(1-Parameters!$B$4)^Parameters!B$65*F201+C201*Parameters!B$65-Parameters!$B$5*C201^2/F201*Parameters!B$65</f>
        <v>3.7563576344291631E-2</v>
      </c>
      <c r="G202" s="7">
        <f>(1-Parameters!$B$4)^Parameters!B$65*G201+D201*Parameters!B$65-Parameters!$B$5*D201^2/G201*Parameters!B$65</f>
        <v>4.3388744969938173</v>
      </c>
      <c r="H202" s="7">
        <f>H201 *(1-Parameters!$B$4)-B201*(B201&lt;0)*Parameters!B$65</f>
        <v>0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23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597.9424773205277</v>
      </c>
      <c r="L202" s="8">
        <f>L201+K202*Parameters!B$65</f>
        <v>45861.433064662837</v>
      </c>
      <c r="M202" s="7">
        <f>M201+Parameters!$B$45*K202</f>
        <v>27.516859838797725</v>
      </c>
      <c r="N202" s="7">
        <f>'6states'!O202</f>
        <v>0.95191700615900288</v>
      </c>
      <c r="O202" s="7">
        <f>MAX(O201+(Parameters!B$31-K202)*Parameters!B$65,30)</f>
        <v>30</v>
      </c>
      <c r="P202" s="7">
        <f>Parameters!B$61*EXP(-Parameters!B$60*A202)+(1-Parameters!B$61)*(O202/Parameters!B$62)^-Parameters!B$63</f>
        <v>0.52858848039411999</v>
      </c>
      <c r="Q202" s="9">
        <f>1-P202/Parameters!$B$12</f>
        <v>0.73570575980293995</v>
      </c>
      <c r="R202" s="23">
        <f t="shared" si="55"/>
        <v>3.7836617220806303</v>
      </c>
      <c r="S202" s="7">
        <f>(Parameters!$B$19*(E202+Parameters!$B$20)^Q202+Parameters!$B$18*F202^Q202)^(1/Q202)</f>
        <v>0.53779585251642137</v>
      </c>
      <c r="T202" s="7">
        <f>(Parameters!$B$10*G202^Parameters!$B$9 + Parameters!$B$11*S202^Parameters!$B$9) ^ (Parameters!$B$7/Parameters!$B$9) * N202</f>
        <v>1.4550417028797309</v>
      </c>
      <c r="U202" s="7">
        <f t="shared" si="56"/>
        <v>1.1046161370850851</v>
      </c>
      <c r="V202" s="7">
        <f>EXP(-Parameters!$B$55*A202)</f>
        <v>5.0297495216752343E-2</v>
      </c>
      <c r="W202" s="7">
        <f>IF(U202&gt;0,U202^(1-Parameters!$B$52)/(1-Parameters!$B$52)*V202,-10+U202*1000)</f>
        <v>-0.13878877081678387</v>
      </c>
      <c r="X202" s="7"/>
      <c r="Y202" s="7"/>
      <c r="Z202" s="7"/>
      <c r="AA202" s="7"/>
    </row>
    <row r="203" spans="1:27" x14ac:dyDescent="0.3">
      <c r="A203">
        <f>A202+Parameters!$B$65</f>
        <v>199</v>
      </c>
      <c r="B203" s="9">
        <f t="shared" si="57"/>
        <v>5.5238794691412761E-2</v>
      </c>
      <c r="C203" s="9">
        <f t="shared" si="57"/>
        <v>2.532692781448906E-3</v>
      </c>
      <c r="D203" s="7">
        <f t="shared" si="57"/>
        <v>0.29265407832178425</v>
      </c>
      <c r="E203" s="7">
        <f>MAX((1-Parameters!$B$4)^Parameters!B$65*E202+B202*Parameters!B$65-Parameters!$B$5*B202^2/E202*Parameters!B$65,0.0001)</f>
        <v>0.81896286353993819</v>
      </c>
      <c r="F203" s="9">
        <f>(1-Parameters!$B$4)^Parameters!B$65*F202+C202*Parameters!B$65-Parameters!$B$5*C202^2/F202*Parameters!B$65</f>
        <v>3.7562755476883355E-2</v>
      </c>
      <c r="G203" s="7">
        <f>(1-Parameters!$B$4)^Parameters!B$65*G202+D202*Parameters!B$65-Parameters!$B$5*D202^2/G202*Parameters!B$65</f>
        <v>4.3388740546582589</v>
      </c>
      <c r="H203" s="7">
        <f>H202 *(1-Parameters!$B$4)-B202*(B202&lt;0)*Parameters!B$65</f>
        <v>0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23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605.67852620653355</v>
      </c>
      <c r="L203" s="8">
        <f>L202+K203*Parameters!B$65</f>
        <v>46467.111590869368</v>
      </c>
      <c r="M203" s="7">
        <f>M202+Parameters!$B$45*K203</f>
        <v>27.880266954521645</v>
      </c>
      <c r="N203" s="7">
        <f>'6states'!O203</f>
        <v>0.95191520352986836</v>
      </c>
      <c r="O203" s="7">
        <f>MAX(O202+(Parameters!B$31-K203)*Parameters!B$65,30)</f>
        <v>30</v>
      </c>
      <c r="P203" s="7">
        <f>Parameters!B$61*EXP(-Parameters!B$60*A203)+(1-Parameters!B$61)*(O203/Parameters!B$62)^-Parameters!B$63</f>
        <v>0.52852498449397034</v>
      </c>
      <c r="Q203" s="9">
        <f>1-P203/Parameters!$B$12</f>
        <v>0.73573750775301483</v>
      </c>
      <c r="R203" s="23">
        <f t="shared" si="55"/>
        <v>3.7841162833860635</v>
      </c>
      <c r="S203" s="7">
        <f>(Parameters!$B$19*(E203+Parameters!$B$20)^Q203+Parameters!$B$18*F203^Q203)^(1/Q203)</f>
        <v>0.53780243689972684</v>
      </c>
      <c r="T203" s="7">
        <f>(Parameters!$B$10*G203^Parameters!$B$9 + Parameters!$B$11*S203^Parameters!$B$9) ^ (Parameters!$B$7/Parameters!$B$9) * N203</f>
        <v>1.4550399368782216</v>
      </c>
      <c r="U203" s="7">
        <f t="shared" si="56"/>
        <v>1.1046143710835756</v>
      </c>
      <c r="V203" s="7">
        <f>EXP(-Parameters!$B$55*A203)</f>
        <v>4.9543708451578718E-2</v>
      </c>
      <c r="W203" s="7">
        <f>IF(U203&gt;0,U203^(1-Parameters!$B$52)/(1-Parameters!$B$52)*V203,-10+U203*1000)</f>
        <v>-0.13670888014756422</v>
      </c>
      <c r="X203" s="7"/>
      <c r="Y203" s="7"/>
      <c r="Z203" s="7"/>
      <c r="AA203" s="7"/>
    </row>
    <row r="204" spans="1:27" x14ac:dyDescent="0.3">
      <c r="A204">
        <f>A203+Parameters!$B$65</f>
        <v>200</v>
      </c>
      <c r="B204" s="9">
        <f t="shared" si="57"/>
        <v>5.5238794691412761E-2</v>
      </c>
      <c r="C204" s="9">
        <f t="shared" si="57"/>
        <v>2.532692781448906E-3</v>
      </c>
      <c r="D204" s="7">
        <f t="shared" si="57"/>
        <v>0.29265407832178425</v>
      </c>
      <c r="E204" s="7">
        <f>MAX((1-Parameters!$B$4)^Parameters!B$65*E203+B203*Parameters!B$65-Parameters!$B$5*B203^2/E203*Parameters!B$65,0.0001)</f>
        <v>0.81896305430582284</v>
      </c>
      <c r="F204" s="9">
        <f>(1-Parameters!$B$4)^Parameters!B$65*F203+C203*Parameters!B$65-Parameters!$B$5*C203^2/F203*Parameters!B$65</f>
        <v>3.7561982510275441E-2</v>
      </c>
      <c r="G204" s="7">
        <f>(1-Parameters!$B$4)^Parameters!B$65*G203+D203*Parameters!B$65-Parameters!$B$5*D203^2/G203*Parameters!B$65</f>
        <v>4.3388736381332409</v>
      </c>
      <c r="H204" s="7">
        <f>H203 *(1-Parameters!$B$4)-B203*(B203&lt;0)*Parameters!B$65</f>
        <v>0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23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613.51528353567107</v>
      </c>
      <c r="L204" s="8">
        <f>L203+K204*Parameters!B$65</f>
        <v>47080.626874405039</v>
      </c>
      <c r="M204" s="7">
        <f>M203+Parameters!$B$45*K204</f>
        <v>28.248376124643048</v>
      </c>
      <c r="N204" s="7">
        <f>'6states'!O204</f>
        <v>0.95191337780708851</v>
      </c>
      <c r="O204" s="7">
        <f>MAX(O203+(Parameters!B$31-K204)*Parameters!B$65,30)</f>
        <v>30</v>
      </c>
      <c r="P204" s="7">
        <f>Parameters!B$61*EXP(-Parameters!B$60*A204)+(1-Parameters!B$61)*(O204/Parameters!B$62)^-Parameters!B$63</f>
        <v>0.52846318004576898</v>
      </c>
      <c r="Q204" s="9">
        <f>1-P204/Parameters!$B$12</f>
        <v>0.73576840997711557</v>
      </c>
      <c r="R204" s="23">
        <f t="shared" si="55"/>
        <v>3.78455884064957</v>
      </c>
      <c r="S204" s="7">
        <f>(Parameters!$B$19*(E204+Parameters!$B$20)^Q204+Parameters!$B$18*F204^Q204)^(1/Q204)</f>
        <v>0.53780885774194809</v>
      </c>
      <c r="T204" s="7">
        <f>(Parameters!$B$10*G204^Parameters!$B$9 + Parameters!$B$11*S204^Parameters!$B$9) ^ (Parameters!$B$7/Parameters!$B$9) * N204</f>
        <v>1.4550381121534042</v>
      </c>
      <c r="U204" s="7">
        <f t="shared" si="56"/>
        <v>1.1046125463587582</v>
      </c>
      <c r="V204" s="7">
        <f>EXP(-Parameters!$B$55*A204)</f>
        <v>4.8801218362012941E-2</v>
      </c>
      <c r="W204" s="7">
        <f>IF(U204&gt;0,U204^(1-Parameters!$B$52)/(1-Parameters!$B$52)*V204/Parameters!$B$55,-10+U204*1000)</f>
        <v>-8.9178914740282771</v>
      </c>
      <c r="X204" s="7"/>
      <c r="Y204" s="7"/>
      <c r="Z204" s="7"/>
      <c r="AA204" s="7"/>
    </row>
    <row r="205" spans="1:27" x14ac:dyDescent="0.3">
      <c r="B205" s="9"/>
      <c r="C205" s="9"/>
      <c r="D205" s="7"/>
      <c r="E205" s="7"/>
      <c r="F205" s="9"/>
      <c r="G205" s="7"/>
      <c r="I205" s="7"/>
      <c r="J205" s="7"/>
      <c r="K205" s="23"/>
      <c r="L205" s="8"/>
      <c r="M205" s="7"/>
      <c r="N205" s="7"/>
      <c r="O205" s="7"/>
      <c r="P205" s="7"/>
      <c r="Q205" s="9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x14ac:dyDescent="0.3">
      <c r="B206" s="9"/>
      <c r="C206" s="9"/>
      <c r="D206" s="7"/>
      <c r="E206" s="7"/>
      <c r="F206" s="9"/>
      <c r="G206" s="7"/>
      <c r="I206" s="7"/>
      <c r="J206" s="7"/>
      <c r="K206" s="23"/>
      <c r="L206" s="8"/>
      <c r="M206" s="7"/>
      <c r="N206" s="7"/>
      <c r="O206" s="7"/>
      <c r="P206" s="7"/>
      <c r="Q206" s="9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x14ac:dyDescent="0.3">
      <c r="B207" s="9"/>
      <c r="C207" s="9"/>
      <c r="D207" s="7"/>
      <c r="E207" s="7"/>
      <c r="F207" s="9"/>
      <c r="G207" s="7"/>
      <c r="I207" s="7"/>
      <c r="J207" s="7"/>
      <c r="K207" s="23"/>
      <c r="L207" s="8"/>
      <c r="M207" s="7"/>
      <c r="N207" s="7"/>
      <c r="O207" s="7"/>
      <c r="P207" s="7"/>
      <c r="Q207" s="9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x14ac:dyDescent="0.3">
      <c r="B208" s="9"/>
      <c r="C208" s="9"/>
      <c r="D208" s="7"/>
      <c r="E208" s="7"/>
      <c r="F208" s="9"/>
      <c r="G208" s="7"/>
      <c r="I208" s="7"/>
      <c r="J208" s="7"/>
      <c r="K208" s="23"/>
      <c r="L208" s="8"/>
      <c r="M208" s="7"/>
      <c r="N208" s="7"/>
      <c r="O208" s="7"/>
      <c r="P208" s="7"/>
      <c r="Q208" s="9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x14ac:dyDescent="0.3">
      <c r="B209" s="9"/>
      <c r="C209" s="9"/>
      <c r="D209" s="7"/>
      <c r="E209" s="7"/>
      <c r="F209" s="9"/>
      <c r="G209" s="7"/>
      <c r="I209" s="7"/>
      <c r="J209" s="7"/>
      <c r="K209" s="23"/>
      <c r="L209" s="8"/>
      <c r="M209" s="7"/>
      <c r="N209" s="7"/>
      <c r="O209" s="7"/>
      <c r="P209" s="7"/>
      <c r="Q209" s="9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x14ac:dyDescent="0.3">
      <c r="B210" s="9"/>
      <c r="C210" s="9"/>
      <c r="D210" s="7"/>
      <c r="E210" s="7"/>
      <c r="F210" s="9"/>
      <c r="G210" s="7"/>
      <c r="I210" s="7"/>
      <c r="J210" s="7"/>
      <c r="K210" s="23"/>
      <c r="L210" s="8"/>
      <c r="M210" s="7"/>
      <c r="N210" s="7"/>
      <c r="O210" s="7"/>
      <c r="P210" s="7"/>
      <c r="Q210" s="9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x14ac:dyDescent="0.3">
      <c r="B211" s="9"/>
      <c r="C211" s="9"/>
      <c r="D211" s="7"/>
      <c r="E211" s="7"/>
      <c r="F211" s="9"/>
      <c r="G211" s="7"/>
      <c r="I211" s="7"/>
      <c r="J211" s="7"/>
      <c r="K211" s="23"/>
      <c r="L211" s="8"/>
      <c r="M211" s="7"/>
      <c r="N211" s="7"/>
      <c r="O211" s="7"/>
      <c r="P211" s="7"/>
      <c r="Q211" s="9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x14ac:dyDescent="0.3">
      <c r="B212" s="9"/>
      <c r="C212" s="9"/>
      <c r="D212" s="7"/>
      <c r="E212" s="7"/>
      <c r="F212" s="9"/>
      <c r="G212" s="7"/>
      <c r="I212" s="7"/>
      <c r="J212" s="7"/>
      <c r="K212" s="23"/>
      <c r="L212" s="8"/>
      <c r="M212" s="7"/>
      <c r="N212" s="7"/>
      <c r="O212" s="7"/>
      <c r="P212" s="7"/>
      <c r="Q212" s="9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x14ac:dyDescent="0.3">
      <c r="B213" s="9"/>
      <c r="C213" s="9"/>
      <c r="D213" s="7"/>
      <c r="E213" s="7"/>
      <c r="F213" s="9"/>
      <c r="G213" s="7"/>
      <c r="I213" s="7"/>
      <c r="J213" s="7"/>
      <c r="K213" s="23"/>
      <c r="L213" s="8"/>
      <c r="M213" s="7"/>
      <c r="N213" s="7"/>
      <c r="O213" s="7"/>
      <c r="P213" s="7"/>
      <c r="Q213" s="9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x14ac:dyDescent="0.3">
      <c r="B214" s="9"/>
      <c r="C214" s="9"/>
      <c r="D214" s="7"/>
      <c r="E214" s="7"/>
      <c r="F214" s="9"/>
      <c r="G214" s="7"/>
      <c r="I214" s="7"/>
      <c r="J214" s="7"/>
      <c r="K214" s="23"/>
      <c r="L214" s="8"/>
      <c r="M214" s="7"/>
      <c r="N214" s="7"/>
      <c r="O214" s="7"/>
      <c r="P214" s="7"/>
      <c r="Q214" s="9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x14ac:dyDescent="0.3">
      <c r="B215" s="9"/>
      <c r="C215" s="9"/>
      <c r="D215" s="7"/>
      <c r="E215" s="7"/>
      <c r="F215" s="9"/>
      <c r="G215" s="7"/>
      <c r="I215" s="7"/>
      <c r="J215" s="7"/>
      <c r="K215" s="23"/>
      <c r="L215" s="8"/>
      <c r="M215" s="7"/>
      <c r="N215" s="7"/>
      <c r="O215" s="7"/>
      <c r="P215" s="7"/>
      <c r="Q215" s="9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x14ac:dyDescent="0.3">
      <c r="B216" s="9"/>
      <c r="C216" s="9"/>
      <c r="D216" s="7"/>
      <c r="E216" s="7"/>
      <c r="F216" s="9"/>
      <c r="G216" s="7"/>
      <c r="I216" s="7"/>
      <c r="J216" s="7"/>
      <c r="K216" s="23"/>
      <c r="L216" s="8"/>
      <c r="M216" s="7"/>
      <c r="N216" s="7"/>
      <c r="O216" s="7"/>
      <c r="P216" s="7"/>
      <c r="Q216" s="9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x14ac:dyDescent="0.3">
      <c r="B217" s="9"/>
      <c r="C217" s="9"/>
      <c r="D217" s="7"/>
      <c r="E217" s="7"/>
      <c r="F217" s="9"/>
      <c r="G217" s="7"/>
      <c r="I217" s="7"/>
      <c r="J217" s="7"/>
      <c r="K217" s="23"/>
      <c r="L217" s="8"/>
      <c r="M217" s="7"/>
      <c r="N217" s="7"/>
      <c r="O217" s="7"/>
      <c r="P217" s="7"/>
      <c r="Q217" s="9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x14ac:dyDescent="0.3">
      <c r="B218" s="9"/>
      <c r="C218" s="9"/>
      <c r="D218" s="7"/>
      <c r="E218" s="7"/>
      <c r="F218" s="9"/>
      <c r="G218" s="7"/>
      <c r="I218" s="7"/>
      <c r="J218" s="7"/>
      <c r="K218" s="23"/>
      <c r="L218" s="8"/>
      <c r="M218" s="7"/>
      <c r="N218" s="7"/>
      <c r="O218" s="7"/>
      <c r="P218" s="7"/>
      <c r="Q218" s="9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x14ac:dyDescent="0.3">
      <c r="B219" s="9"/>
      <c r="C219" s="9"/>
      <c r="D219" s="7"/>
      <c r="E219" s="7"/>
      <c r="F219" s="9"/>
      <c r="G219" s="7"/>
      <c r="I219" s="7"/>
      <c r="J219" s="7"/>
      <c r="K219" s="23"/>
      <c r="L219" s="8"/>
      <c r="M219" s="7"/>
      <c r="N219" s="7"/>
      <c r="O219" s="7"/>
      <c r="P219" s="7"/>
      <c r="Q219" s="9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x14ac:dyDescent="0.3">
      <c r="B220" s="9"/>
      <c r="C220" s="9"/>
      <c r="D220" s="7"/>
      <c r="E220" s="7"/>
      <c r="F220" s="9"/>
      <c r="G220" s="7"/>
      <c r="I220" s="7"/>
      <c r="J220" s="7"/>
      <c r="K220" s="23"/>
      <c r="L220" s="8"/>
      <c r="M220" s="7"/>
      <c r="N220" s="7"/>
      <c r="O220" s="7"/>
      <c r="P220" s="7"/>
      <c r="Q220" s="9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x14ac:dyDescent="0.3">
      <c r="B221" s="9"/>
      <c r="C221" s="9"/>
      <c r="D221" s="7"/>
      <c r="E221" s="7"/>
      <c r="F221" s="9"/>
      <c r="G221" s="7"/>
      <c r="I221" s="7"/>
      <c r="J221" s="7"/>
      <c r="K221" s="23"/>
      <c r="L221" s="8"/>
      <c r="M221" s="7"/>
      <c r="N221" s="7"/>
      <c r="O221" s="7"/>
      <c r="P221" s="7"/>
      <c r="Q221" s="9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x14ac:dyDescent="0.3">
      <c r="B222" s="9"/>
      <c r="C222" s="9"/>
      <c r="D222" s="7"/>
      <c r="E222" s="7"/>
      <c r="F222" s="9"/>
      <c r="G222" s="7"/>
      <c r="I222" s="7"/>
      <c r="J222" s="7"/>
      <c r="K222" s="23"/>
      <c r="L222" s="8"/>
      <c r="M222" s="7"/>
      <c r="N222" s="7"/>
      <c r="O222" s="7"/>
      <c r="P222" s="7"/>
      <c r="Q222" s="9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x14ac:dyDescent="0.3">
      <c r="B223" s="9"/>
      <c r="C223" s="9"/>
      <c r="D223" s="7"/>
      <c r="E223" s="7"/>
      <c r="F223" s="9"/>
      <c r="G223" s="7"/>
      <c r="I223" s="7"/>
      <c r="J223" s="7"/>
      <c r="K223" s="23"/>
      <c r="L223" s="8"/>
      <c r="M223" s="7"/>
      <c r="N223" s="7"/>
      <c r="O223" s="7"/>
      <c r="P223" s="7"/>
      <c r="Q223" s="9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x14ac:dyDescent="0.3">
      <c r="B224" s="9"/>
      <c r="C224" s="9"/>
      <c r="D224" s="7"/>
      <c r="E224" s="7"/>
      <c r="F224" s="9"/>
      <c r="G224" s="7"/>
      <c r="I224" s="7"/>
      <c r="J224" s="7"/>
      <c r="K224" s="23"/>
      <c r="L224" s="8"/>
      <c r="M224" s="7"/>
      <c r="N224" s="7"/>
      <c r="O224" s="7"/>
      <c r="P224" s="7"/>
      <c r="Q224" s="9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x14ac:dyDescent="0.3">
      <c r="B225" s="9"/>
      <c r="C225" s="9"/>
      <c r="D225" s="7"/>
      <c r="E225" s="7"/>
      <c r="F225" s="9"/>
      <c r="G225" s="7"/>
      <c r="I225" s="7"/>
      <c r="J225" s="7"/>
      <c r="K225" s="23"/>
      <c r="L225" s="8"/>
      <c r="M225" s="7"/>
      <c r="N225" s="7"/>
      <c r="O225" s="7"/>
      <c r="P225" s="7"/>
      <c r="Q225" s="9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x14ac:dyDescent="0.3">
      <c r="B226" s="9"/>
      <c r="C226" s="9"/>
      <c r="D226" s="7"/>
      <c r="E226" s="7"/>
      <c r="F226" s="9"/>
      <c r="G226" s="7"/>
      <c r="I226" s="7"/>
      <c r="J226" s="7"/>
      <c r="K226" s="23"/>
      <c r="L226" s="8"/>
      <c r="M226" s="7"/>
      <c r="N226" s="7"/>
      <c r="O226" s="7"/>
      <c r="P226" s="7"/>
      <c r="Q226" s="9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x14ac:dyDescent="0.3">
      <c r="B227" s="9"/>
      <c r="C227" s="9"/>
      <c r="D227" s="7"/>
      <c r="E227" s="7"/>
      <c r="F227" s="9"/>
      <c r="G227" s="7"/>
      <c r="I227" s="7"/>
      <c r="J227" s="7"/>
      <c r="K227" s="23"/>
      <c r="L227" s="8"/>
      <c r="M227" s="7"/>
      <c r="N227" s="7"/>
      <c r="O227" s="7"/>
      <c r="P227" s="7"/>
      <c r="Q227" s="9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x14ac:dyDescent="0.3">
      <c r="B228" s="9"/>
      <c r="C228" s="9"/>
      <c r="D228" s="7"/>
      <c r="E228" s="7"/>
      <c r="F228" s="9"/>
      <c r="G228" s="7"/>
      <c r="I228" s="7"/>
      <c r="J228" s="7"/>
      <c r="K228" s="23"/>
      <c r="L228" s="8"/>
      <c r="M228" s="7"/>
      <c r="N228" s="7"/>
      <c r="O228" s="7"/>
      <c r="P228" s="7"/>
      <c r="Q228" s="9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x14ac:dyDescent="0.3">
      <c r="B229" s="9"/>
      <c r="C229" s="9"/>
      <c r="D229" s="7"/>
      <c r="E229" s="7"/>
      <c r="F229" s="9"/>
      <c r="G229" s="7"/>
      <c r="I229" s="7"/>
      <c r="J229" s="7"/>
      <c r="K229" s="23"/>
      <c r="L229" s="8"/>
      <c r="M229" s="7"/>
      <c r="N229" s="7"/>
      <c r="O229" s="7"/>
      <c r="P229" s="7"/>
      <c r="Q229" s="9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x14ac:dyDescent="0.3">
      <c r="B230" s="9"/>
      <c r="C230" s="9"/>
      <c r="D230" s="7"/>
      <c r="E230" s="7"/>
      <c r="F230" s="9"/>
      <c r="G230" s="7"/>
      <c r="I230" s="7"/>
      <c r="J230" s="7"/>
      <c r="K230" s="23"/>
      <c r="L230" s="8"/>
      <c r="M230" s="7"/>
      <c r="N230" s="7"/>
      <c r="O230" s="7"/>
      <c r="P230" s="7"/>
      <c r="Q230" s="9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x14ac:dyDescent="0.3">
      <c r="B231" s="9"/>
      <c r="C231" s="9"/>
      <c r="D231" s="7"/>
      <c r="E231" s="7"/>
      <c r="F231" s="9"/>
      <c r="G231" s="7"/>
      <c r="I231" s="7"/>
      <c r="J231" s="7"/>
      <c r="K231" s="23"/>
      <c r="L231" s="8"/>
      <c r="M231" s="7"/>
      <c r="N231" s="7"/>
      <c r="O231" s="7"/>
      <c r="P231" s="7"/>
      <c r="Q231" s="9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x14ac:dyDescent="0.3">
      <c r="B232" s="9"/>
      <c r="C232" s="9"/>
      <c r="D232" s="7"/>
      <c r="E232" s="7"/>
      <c r="F232" s="9"/>
      <c r="G232" s="7"/>
      <c r="I232" s="7"/>
      <c r="J232" s="7"/>
      <c r="K232" s="23"/>
      <c r="L232" s="8"/>
      <c r="M232" s="7"/>
      <c r="N232" s="7"/>
      <c r="O232" s="7"/>
      <c r="P232" s="7"/>
      <c r="Q232" s="9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x14ac:dyDescent="0.3">
      <c r="B233" s="9"/>
      <c r="C233" s="9"/>
      <c r="D233" s="7"/>
      <c r="E233" s="7"/>
      <c r="F233" s="9"/>
      <c r="G233" s="7"/>
      <c r="I233" s="7"/>
      <c r="J233" s="7"/>
      <c r="K233" s="23"/>
      <c r="L233" s="8"/>
      <c r="M233" s="7"/>
      <c r="N233" s="7"/>
      <c r="O233" s="7"/>
      <c r="P233" s="7"/>
      <c r="Q233" s="9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x14ac:dyDescent="0.3">
      <c r="B234" s="9"/>
      <c r="C234" s="9"/>
      <c r="D234" s="7"/>
      <c r="E234" s="7"/>
      <c r="F234" s="9"/>
      <c r="G234" s="7"/>
      <c r="I234" s="7"/>
      <c r="J234" s="7"/>
      <c r="K234" s="23"/>
      <c r="L234" s="8"/>
      <c r="M234" s="7"/>
      <c r="N234" s="7"/>
      <c r="O234" s="7"/>
      <c r="P234" s="7"/>
      <c r="Q234" s="9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x14ac:dyDescent="0.3">
      <c r="B235" s="9"/>
      <c r="C235" s="9"/>
      <c r="D235" s="7"/>
      <c r="E235" s="7"/>
      <c r="F235" s="9"/>
      <c r="G235" s="7"/>
      <c r="I235" s="7"/>
      <c r="J235" s="7"/>
      <c r="K235" s="23"/>
      <c r="L235" s="8"/>
      <c r="M235" s="7"/>
      <c r="N235" s="7"/>
      <c r="O235" s="7"/>
      <c r="P235" s="7"/>
      <c r="Q235" s="9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x14ac:dyDescent="0.3">
      <c r="B236" s="9"/>
      <c r="C236" s="9"/>
      <c r="D236" s="7"/>
      <c r="E236" s="7"/>
      <c r="F236" s="9"/>
      <c r="G236" s="7"/>
      <c r="I236" s="7"/>
      <c r="J236" s="7"/>
      <c r="K236" s="23"/>
      <c r="L236" s="8"/>
      <c r="M236" s="7"/>
      <c r="N236" s="7"/>
      <c r="O236" s="7"/>
      <c r="P236" s="7"/>
      <c r="Q236" s="9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x14ac:dyDescent="0.3">
      <c r="B237" s="9"/>
      <c r="C237" s="9"/>
      <c r="D237" s="7"/>
      <c r="E237" s="7"/>
      <c r="F237" s="9"/>
      <c r="G237" s="7"/>
      <c r="I237" s="7"/>
      <c r="J237" s="7"/>
      <c r="K237" s="23"/>
      <c r="L237" s="8"/>
      <c r="M237" s="7"/>
      <c r="N237" s="7"/>
      <c r="O237" s="7"/>
      <c r="P237" s="7"/>
      <c r="Q237" s="9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x14ac:dyDescent="0.3">
      <c r="B238" s="9"/>
      <c r="C238" s="9"/>
      <c r="D238" s="7"/>
      <c r="E238" s="7"/>
      <c r="F238" s="9"/>
      <c r="G238" s="7"/>
      <c r="I238" s="7"/>
      <c r="J238" s="7"/>
      <c r="K238" s="23"/>
      <c r="L238" s="8"/>
      <c r="M238" s="7"/>
      <c r="N238" s="7"/>
      <c r="O238" s="7"/>
      <c r="P238" s="7"/>
      <c r="Q238" s="9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x14ac:dyDescent="0.3">
      <c r="B239" s="9"/>
      <c r="C239" s="9"/>
      <c r="D239" s="7"/>
      <c r="E239" s="7"/>
      <c r="F239" s="9"/>
      <c r="G239" s="7"/>
      <c r="I239" s="7"/>
      <c r="J239" s="7"/>
      <c r="K239" s="23"/>
      <c r="L239" s="8"/>
      <c r="M239" s="7"/>
      <c r="N239" s="7"/>
      <c r="O239" s="7"/>
      <c r="P239" s="7"/>
      <c r="Q239" s="9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x14ac:dyDescent="0.3">
      <c r="B240" s="9"/>
      <c r="C240" s="9"/>
      <c r="D240" s="7"/>
      <c r="E240" s="7"/>
      <c r="F240" s="9"/>
      <c r="G240" s="7"/>
      <c r="I240" s="7"/>
      <c r="J240" s="7"/>
      <c r="K240" s="23"/>
      <c r="L240" s="8"/>
      <c r="M240" s="7"/>
      <c r="N240" s="7"/>
      <c r="O240" s="7"/>
      <c r="P240" s="7"/>
      <c r="Q240" s="9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x14ac:dyDescent="0.3">
      <c r="B241" s="9"/>
      <c r="C241" s="9"/>
      <c r="D241" s="7"/>
      <c r="E241" s="7"/>
      <c r="F241" s="9"/>
      <c r="G241" s="7"/>
      <c r="I241" s="7"/>
      <c r="J241" s="7"/>
      <c r="K241" s="23"/>
      <c r="L241" s="8"/>
      <c r="M241" s="7"/>
      <c r="N241" s="7"/>
      <c r="O241" s="7"/>
      <c r="P241" s="7"/>
      <c r="Q241" s="9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x14ac:dyDescent="0.3">
      <c r="B242" s="9"/>
      <c r="C242" s="9"/>
      <c r="D242" s="7"/>
      <c r="E242" s="7"/>
      <c r="F242" s="9"/>
      <c r="G242" s="7"/>
      <c r="I242" s="7"/>
      <c r="J242" s="7"/>
      <c r="K242" s="23"/>
      <c r="L242" s="8"/>
      <c r="M242" s="7"/>
      <c r="N242" s="7"/>
      <c r="O242" s="7"/>
      <c r="P242" s="7"/>
      <c r="Q242" s="9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x14ac:dyDescent="0.3">
      <c r="B243" s="9"/>
      <c r="C243" s="9"/>
      <c r="D243" s="7"/>
      <c r="E243" s="7"/>
      <c r="F243" s="9"/>
      <c r="G243" s="7"/>
      <c r="I243" s="7"/>
      <c r="J243" s="7"/>
      <c r="K243" s="23"/>
      <c r="L243" s="8"/>
      <c r="M243" s="7"/>
      <c r="N243" s="7"/>
      <c r="O243" s="7"/>
      <c r="P243" s="7"/>
      <c r="Q243" s="9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x14ac:dyDescent="0.3">
      <c r="B244" s="9"/>
      <c r="C244" s="9"/>
      <c r="D244" s="7"/>
      <c r="E244" s="7"/>
      <c r="F244" s="9"/>
      <c r="G244" s="7"/>
      <c r="I244" s="7"/>
      <c r="J244" s="7"/>
      <c r="K244" s="23"/>
      <c r="L244" s="8"/>
      <c r="M244" s="7"/>
      <c r="N244" s="7"/>
      <c r="O244" s="7"/>
      <c r="P244" s="7"/>
      <c r="Q244" s="9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x14ac:dyDescent="0.3">
      <c r="B245" s="9"/>
      <c r="C245" s="9"/>
      <c r="D245" s="7"/>
      <c r="E245" s="7"/>
      <c r="F245" s="9"/>
      <c r="G245" s="7"/>
      <c r="I245" s="7"/>
      <c r="J245" s="7"/>
      <c r="K245" s="23"/>
      <c r="L245" s="8"/>
      <c r="M245" s="7"/>
      <c r="N245" s="7"/>
      <c r="O245" s="7"/>
      <c r="P245" s="7"/>
      <c r="Q245" s="9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x14ac:dyDescent="0.3">
      <c r="B246" s="9"/>
      <c r="C246" s="9"/>
      <c r="D246" s="7"/>
      <c r="E246" s="7"/>
      <c r="F246" s="9"/>
      <c r="G246" s="7"/>
      <c r="I246" s="7"/>
      <c r="J246" s="7"/>
      <c r="K246" s="23"/>
      <c r="L246" s="8"/>
      <c r="M246" s="7"/>
      <c r="N246" s="7"/>
      <c r="O246" s="7"/>
      <c r="P246" s="7"/>
      <c r="Q246" s="9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x14ac:dyDescent="0.3">
      <c r="B247" s="9"/>
      <c r="C247" s="9"/>
      <c r="D247" s="7"/>
      <c r="E247" s="7"/>
      <c r="F247" s="9"/>
      <c r="G247" s="7"/>
      <c r="I247" s="7"/>
      <c r="J247" s="7"/>
      <c r="K247" s="23"/>
      <c r="L247" s="8"/>
      <c r="M247" s="7"/>
      <c r="N247" s="7"/>
      <c r="O247" s="7"/>
      <c r="P247" s="7"/>
      <c r="Q247" s="9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x14ac:dyDescent="0.3">
      <c r="B248" s="9"/>
      <c r="C248" s="9"/>
      <c r="D248" s="7"/>
      <c r="E248" s="7"/>
      <c r="F248" s="9"/>
      <c r="G248" s="7"/>
      <c r="I248" s="7"/>
      <c r="J248" s="7"/>
      <c r="K248" s="23"/>
      <c r="L248" s="8"/>
      <c r="M248" s="7"/>
      <c r="N248" s="7"/>
      <c r="O248" s="7"/>
      <c r="P248" s="7"/>
      <c r="Q248" s="9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x14ac:dyDescent="0.3">
      <c r="B249" s="9"/>
      <c r="C249" s="9"/>
      <c r="D249" s="7"/>
      <c r="E249" s="7"/>
      <c r="F249" s="9"/>
      <c r="G249" s="7"/>
      <c r="I249" s="7"/>
      <c r="J249" s="7"/>
      <c r="K249" s="23"/>
      <c r="L249" s="8"/>
      <c r="M249" s="7"/>
      <c r="N249" s="7"/>
      <c r="O249" s="7"/>
      <c r="P249" s="7"/>
      <c r="Q249" s="9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x14ac:dyDescent="0.3">
      <c r="B250" s="9"/>
      <c r="C250" s="9"/>
      <c r="D250" s="7"/>
      <c r="E250" s="7"/>
      <c r="F250" s="9"/>
      <c r="G250" s="7"/>
      <c r="I250" s="7"/>
      <c r="J250" s="7"/>
      <c r="K250" s="23"/>
      <c r="L250" s="8"/>
      <c r="M250" s="7"/>
      <c r="N250" s="7"/>
      <c r="O250" s="7"/>
      <c r="P250" s="7"/>
      <c r="Q250" s="9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x14ac:dyDescent="0.3">
      <c r="B251" s="9"/>
      <c r="C251" s="9"/>
      <c r="D251" s="7"/>
      <c r="E251" s="7"/>
      <c r="F251" s="9"/>
      <c r="G251" s="7"/>
      <c r="I251" s="7"/>
      <c r="J251" s="7"/>
      <c r="K251" s="23"/>
      <c r="L251" s="8"/>
      <c r="M251" s="7"/>
      <c r="N251" s="7"/>
      <c r="O251" s="7"/>
      <c r="P251" s="7"/>
      <c r="Q251" s="9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x14ac:dyDescent="0.3">
      <c r="B252" s="9"/>
      <c r="C252" s="9"/>
      <c r="D252" s="7"/>
      <c r="E252" s="7"/>
      <c r="F252" s="9"/>
      <c r="G252" s="7"/>
      <c r="I252" s="7"/>
      <c r="J252" s="7"/>
      <c r="K252" s="23"/>
      <c r="L252" s="8"/>
      <c r="M252" s="7"/>
      <c r="N252" s="7"/>
      <c r="O252" s="7"/>
      <c r="P252" s="7"/>
      <c r="Q252" s="9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x14ac:dyDescent="0.3">
      <c r="B253" s="9"/>
      <c r="C253" s="9"/>
      <c r="D253" s="7"/>
      <c r="E253" s="7"/>
      <c r="F253" s="9"/>
      <c r="G253" s="7"/>
      <c r="I253" s="7"/>
      <c r="J253" s="7"/>
      <c r="K253" s="23"/>
      <c r="L253" s="8"/>
      <c r="M253" s="7"/>
      <c r="N253" s="7"/>
      <c r="O253" s="7"/>
      <c r="P253" s="7"/>
      <c r="Q253" s="9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x14ac:dyDescent="0.3">
      <c r="B254" s="9"/>
      <c r="C254" s="9"/>
      <c r="D254" s="7"/>
      <c r="E254" s="7"/>
      <c r="F254" s="9"/>
      <c r="G254" s="7"/>
      <c r="I254" s="7"/>
      <c r="J254" s="7"/>
      <c r="K254" s="23"/>
      <c r="L254" s="8"/>
      <c r="M254" s="7"/>
      <c r="N254" s="7"/>
      <c r="O254" s="7"/>
      <c r="P254" s="7"/>
      <c r="Q254" s="9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x14ac:dyDescent="0.3">
      <c r="B255" s="9"/>
      <c r="C255" s="9"/>
      <c r="D255" s="7"/>
      <c r="E255" s="7"/>
      <c r="F255" s="9"/>
      <c r="G255" s="7"/>
      <c r="I255" s="7"/>
      <c r="J255" s="7"/>
      <c r="K255" s="23"/>
      <c r="L255" s="8"/>
      <c r="M255" s="7"/>
      <c r="N255" s="7"/>
      <c r="O255" s="7"/>
      <c r="P255" s="7"/>
      <c r="Q255" s="9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x14ac:dyDescent="0.3">
      <c r="B256" s="9"/>
      <c r="C256" s="9"/>
      <c r="D256" s="7"/>
      <c r="E256" s="7"/>
      <c r="F256" s="9"/>
      <c r="G256" s="7"/>
      <c r="I256" s="7"/>
      <c r="J256" s="7"/>
      <c r="K256" s="23"/>
      <c r="L256" s="8"/>
      <c r="M256" s="7"/>
      <c r="N256" s="7"/>
      <c r="O256" s="7"/>
      <c r="P256" s="7"/>
      <c r="Q256" s="9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x14ac:dyDescent="0.3">
      <c r="B257" s="9"/>
      <c r="C257" s="9"/>
      <c r="D257" s="7"/>
      <c r="E257" s="7"/>
      <c r="F257" s="9"/>
      <c r="G257" s="7"/>
      <c r="I257" s="7"/>
      <c r="J257" s="7"/>
      <c r="K257" s="23"/>
      <c r="L257" s="8"/>
      <c r="M257" s="7"/>
      <c r="N257" s="7"/>
      <c r="O257" s="7"/>
      <c r="P257" s="7"/>
      <c r="Q257" s="9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x14ac:dyDescent="0.3">
      <c r="B258" s="9"/>
      <c r="C258" s="9"/>
      <c r="D258" s="7"/>
      <c r="E258" s="7"/>
      <c r="F258" s="9"/>
      <c r="G258" s="7"/>
      <c r="I258" s="7"/>
      <c r="J258" s="7"/>
      <c r="K258" s="23"/>
      <c r="L258" s="8"/>
      <c r="M258" s="7"/>
      <c r="N258" s="7"/>
      <c r="O258" s="7"/>
      <c r="P258" s="7"/>
      <c r="Q258" s="9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x14ac:dyDescent="0.3">
      <c r="B259" s="9"/>
      <c r="C259" s="9"/>
      <c r="D259" s="7"/>
      <c r="E259" s="7"/>
      <c r="F259" s="9"/>
      <c r="G259" s="7"/>
      <c r="I259" s="7"/>
      <c r="J259" s="7"/>
      <c r="K259" s="23"/>
      <c r="L259" s="8"/>
      <c r="M259" s="7"/>
      <c r="N259" s="7"/>
      <c r="O259" s="7"/>
      <c r="P259" s="7"/>
      <c r="Q259" s="9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x14ac:dyDescent="0.3">
      <c r="B260" s="9"/>
      <c r="C260" s="9"/>
      <c r="D260" s="7"/>
      <c r="E260" s="7"/>
      <c r="F260" s="9"/>
      <c r="G260" s="7"/>
      <c r="I260" s="7"/>
      <c r="J260" s="7"/>
      <c r="K260" s="23"/>
      <c r="L260" s="8"/>
      <c r="M260" s="7"/>
      <c r="N260" s="7"/>
      <c r="O260" s="7"/>
      <c r="P260" s="7"/>
      <c r="Q260" s="9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x14ac:dyDescent="0.3">
      <c r="B261" s="9"/>
      <c r="C261" s="9"/>
      <c r="D261" s="7"/>
      <c r="E261" s="7"/>
      <c r="F261" s="9"/>
      <c r="G261" s="7"/>
      <c r="I261" s="7"/>
      <c r="J261" s="7"/>
      <c r="K261" s="23"/>
      <c r="L261" s="8"/>
      <c r="M261" s="7"/>
      <c r="N261" s="7"/>
      <c r="O261" s="7"/>
      <c r="P261" s="7"/>
      <c r="Q261" s="9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x14ac:dyDescent="0.3">
      <c r="B262" s="9"/>
      <c r="C262" s="9"/>
      <c r="D262" s="7"/>
      <c r="E262" s="7"/>
      <c r="F262" s="9"/>
      <c r="G262" s="7"/>
      <c r="I262" s="7"/>
      <c r="J262" s="7"/>
      <c r="K262" s="23"/>
      <c r="L262" s="8"/>
      <c r="M262" s="7"/>
      <c r="N262" s="7"/>
      <c r="O262" s="7"/>
      <c r="P262" s="7"/>
      <c r="Q262" s="9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x14ac:dyDescent="0.3">
      <c r="B263" s="9"/>
      <c r="C263" s="9"/>
      <c r="D263" s="7"/>
      <c r="E263" s="7"/>
      <c r="F263" s="9"/>
      <c r="G263" s="7"/>
      <c r="I263" s="7"/>
      <c r="J263" s="7"/>
      <c r="K263" s="23"/>
      <c r="L263" s="8"/>
      <c r="M263" s="7"/>
      <c r="N263" s="7"/>
      <c r="O263" s="7"/>
      <c r="P263" s="7"/>
      <c r="Q263" s="9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x14ac:dyDescent="0.3">
      <c r="B264" s="9"/>
      <c r="C264" s="9"/>
      <c r="D264" s="7"/>
      <c r="E264" s="7"/>
      <c r="F264" s="9"/>
      <c r="G264" s="7"/>
      <c r="I264" s="7"/>
      <c r="J264" s="7"/>
      <c r="K264" s="23"/>
      <c r="L264" s="8"/>
      <c r="M264" s="7"/>
      <c r="N264" s="7"/>
      <c r="O264" s="7"/>
      <c r="P264" s="7"/>
      <c r="Q264" s="9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x14ac:dyDescent="0.3">
      <c r="B265" s="9"/>
      <c r="C265" s="9"/>
      <c r="D265" s="7"/>
      <c r="E265" s="7"/>
      <c r="F265" s="9"/>
      <c r="G265" s="7"/>
      <c r="I265" s="7"/>
      <c r="J265" s="7"/>
      <c r="K265" s="23"/>
      <c r="L265" s="8"/>
      <c r="M265" s="7"/>
      <c r="N265" s="7"/>
      <c r="O265" s="7"/>
      <c r="P265" s="7"/>
      <c r="Q265" s="9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x14ac:dyDescent="0.3">
      <c r="B266" s="9"/>
      <c r="C266" s="9"/>
      <c r="D266" s="7"/>
      <c r="E266" s="7"/>
      <c r="F266" s="9"/>
      <c r="G266" s="7"/>
      <c r="I266" s="7"/>
      <c r="J266" s="7"/>
      <c r="K266" s="23"/>
      <c r="L266" s="8"/>
      <c r="M266" s="7"/>
      <c r="N266" s="7"/>
      <c r="O266" s="7"/>
      <c r="P266" s="7"/>
      <c r="Q266" s="9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x14ac:dyDescent="0.3">
      <c r="B267" s="9"/>
      <c r="C267" s="9"/>
      <c r="D267" s="7"/>
      <c r="E267" s="7"/>
      <c r="F267" s="9"/>
      <c r="G267" s="7"/>
      <c r="I267" s="7"/>
      <c r="J267" s="7"/>
      <c r="K267" s="23"/>
      <c r="L267" s="8"/>
      <c r="M267" s="7"/>
      <c r="N267" s="7"/>
      <c r="O267" s="7"/>
      <c r="P267" s="7"/>
      <c r="Q267" s="9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x14ac:dyDescent="0.3">
      <c r="B268" s="9"/>
      <c r="C268" s="9"/>
      <c r="D268" s="7"/>
      <c r="E268" s="7"/>
      <c r="F268" s="9"/>
      <c r="G268" s="7"/>
      <c r="I268" s="7"/>
      <c r="J268" s="7"/>
      <c r="K268" s="23"/>
      <c r="L268" s="8"/>
      <c r="M268" s="7"/>
      <c r="N268" s="7"/>
      <c r="O268" s="7"/>
      <c r="P268" s="7"/>
      <c r="Q268" s="9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x14ac:dyDescent="0.3">
      <c r="B269" s="9"/>
      <c r="C269" s="9"/>
      <c r="D269" s="7"/>
      <c r="E269" s="7"/>
      <c r="F269" s="9"/>
      <c r="G269" s="7"/>
      <c r="I269" s="7"/>
      <c r="J269" s="7"/>
      <c r="K269" s="23"/>
      <c r="L269" s="8"/>
      <c r="M269" s="7"/>
      <c r="N269" s="7"/>
      <c r="O269" s="7"/>
      <c r="P269" s="7"/>
      <c r="Q269" s="9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x14ac:dyDescent="0.3">
      <c r="B270" s="9"/>
      <c r="C270" s="9"/>
      <c r="D270" s="7"/>
      <c r="E270" s="7"/>
      <c r="F270" s="9"/>
      <c r="G270" s="7"/>
      <c r="I270" s="7"/>
      <c r="J270" s="7"/>
      <c r="K270" s="23"/>
      <c r="L270" s="8"/>
      <c r="M270" s="7"/>
      <c r="N270" s="7"/>
      <c r="O270" s="7"/>
      <c r="P270" s="7"/>
      <c r="Q270" s="9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x14ac:dyDescent="0.3">
      <c r="B271" s="9"/>
      <c r="C271" s="9"/>
      <c r="D271" s="7"/>
      <c r="E271" s="7"/>
      <c r="F271" s="9"/>
      <c r="G271" s="7"/>
      <c r="I271" s="7"/>
      <c r="J271" s="7"/>
      <c r="K271" s="23"/>
      <c r="L271" s="8"/>
      <c r="M271" s="7"/>
      <c r="N271" s="7"/>
      <c r="O271" s="7"/>
      <c r="P271" s="7"/>
      <c r="Q271" s="9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x14ac:dyDescent="0.3">
      <c r="B272" s="9"/>
      <c r="C272" s="9"/>
      <c r="D272" s="7"/>
      <c r="E272" s="7"/>
      <c r="F272" s="9"/>
      <c r="G272" s="7"/>
      <c r="I272" s="7"/>
      <c r="J272" s="7"/>
      <c r="K272" s="23"/>
      <c r="L272" s="8"/>
      <c r="M272" s="7"/>
      <c r="N272" s="7"/>
      <c r="O272" s="7"/>
      <c r="P272" s="7"/>
      <c r="Q272" s="9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x14ac:dyDescent="0.3">
      <c r="B273" s="9"/>
      <c r="C273" s="9"/>
      <c r="D273" s="7"/>
      <c r="E273" s="7"/>
      <c r="F273" s="9"/>
      <c r="G273" s="7"/>
      <c r="I273" s="7"/>
      <c r="J273" s="7"/>
      <c r="K273" s="23"/>
      <c r="L273" s="8"/>
      <c r="M273" s="7"/>
      <c r="N273" s="7"/>
      <c r="O273" s="7"/>
      <c r="P273" s="7"/>
      <c r="Q273" s="9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x14ac:dyDescent="0.3">
      <c r="B274" s="9"/>
      <c r="C274" s="9"/>
      <c r="D274" s="7"/>
      <c r="E274" s="7"/>
      <c r="F274" s="9"/>
      <c r="G274" s="7"/>
      <c r="I274" s="7"/>
      <c r="J274" s="7"/>
      <c r="K274" s="23"/>
      <c r="L274" s="8"/>
      <c r="M274" s="7"/>
      <c r="N274" s="7"/>
      <c r="O274" s="7"/>
      <c r="P274" s="7"/>
      <c r="Q274" s="9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x14ac:dyDescent="0.3">
      <c r="B275" s="9"/>
      <c r="C275" s="9"/>
      <c r="D275" s="7"/>
      <c r="E275" s="7"/>
      <c r="F275" s="9"/>
      <c r="G275" s="7"/>
      <c r="I275" s="7"/>
      <c r="J275" s="7"/>
      <c r="K275" s="23"/>
      <c r="L275" s="8"/>
      <c r="M275" s="7"/>
      <c r="N275" s="7"/>
      <c r="O275" s="7"/>
      <c r="P275" s="7"/>
      <c r="Q275" s="9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x14ac:dyDescent="0.3">
      <c r="B276" s="9"/>
      <c r="C276" s="9"/>
      <c r="D276" s="7"/>
      <c r="E276" s="7"/>
      <c r="F276" s="9"/>
      <c r="G276" s="7"/>
      <c r="I276" s="7"/>
      <c r="J276" s="7"/>
      <c r="K276" s="23"/>
      <c r="L276" s="8"/>
      <c r="M276" s="7"/>
      <c r="N276" s="7"/>
      <c r="O276" s="7"/>
      <c r="P276" s="7"/>
      <c r="Q276" s="9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x14ac:dyDescent="0.3">
      <c r="B277" s="9"/>
      <c r="C277" s="9"/>
      <c r="D277" s="7"/>
      <c r="E277" s="7"/>
      <c r="F277" s="9"/>
      <c r="G277" s="7"/>
      <c r="I277" s="7"/>
      <c r="J277" s="7"/>
      <c r="K277" s="23"/>
      <c r="L277" s="8"/>
      <c r="M277" s="7"/>
      <c r="N277" s="7"/>
      <c r="O277" s="7"/>
      <c r="P277" s="7"/>
      <c r="Q277" s="9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x14ac:dyDescent="0.3">
      <c r="B278" s="9"/>
      <c r="C278" s="9"/>
      <c r="D278" s="7"/>
      <c r="E278" s="7"/>
      <c r="F278" s="9"/>
      <c r="G278" s="7"/>
      <c r="I278" s="7"/>
      <c r="J278" s="7"/>
      <c r="K278" s="23"/>
      <c r="L278" s="8"/>
      <c r="M278" s="7"/>
      <c r="N278" s="7"/>
      <c r="O278" s="7"/>
      <c r="P278" s="7"/>
      <c r="Q278" s="9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x14ac:dyDescent="0.3">
      <c r="B279" s="9"/>
      <c r="C279" s="9"/>
      <c r="D279" s="7"/>
      <c r="E279" s="7"/>
      <c r="F279" s="9"/>
      <c r="G279" s="7"/>
      <c r="I279" s="7"/>
      <c r="J279" s="7"/>
      <c r="K279" s="23"/>
      <c r="L279" s="8"/>
      <c r="M279" s="7"/>
      <c r="N279" s="7"/>
      <c r="O279" s="7"/>
      <c r="P279" s="7"/>
      <c r="Q279" s="9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x14ac:dyDescent="0.3">
      <c r="B280" s="9"/>
      <c r="C280" s="9"/>
      <c r="D280" s="7"/>
      <c r="E280" s="7"/>
      <c r="F280" s="9"/>
      <c r="G280" s="7"/>
      <c r="I280" s="7"/>
      <c r="J280" s="7"/>
      <c r="K280" s="23"/>
      <c r="L280" s="8"/>
      <c r="M280" s="7"/>
      <c r="N280" s="7"/>
      <c r="O280" s="7"/>
      <c r="P280" s="7"/>
      <c r="Q280" s="9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x14ac:dyDescent="0.3">
      <c r="B281" s="9"/>
      <c r="C281" s="9"/>
      <c r="D281" s="7"/>
      <c r="E281" s="7"/>
      <c r="F281" s="9"/>
      <c r="G281" s="7"/>
      <c r="I281" s="7"/>
      <c r="J281" s="7"/>
      <c r="K281" s="23"/>
      <c r="L281" s="8"/>
      <c r="M281" s="7"/>
      <c r="N281" s="7"/>
      <c r="O281" s="7"/>
      <c r="P281" s="7"/>
      <c r="Q281" s="9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x14ac:dyDescent="0.3">
      <c r="B282" s="9"/>
      <c r="C282" s="9"/>
      <c r="D282" s="7"/>
      <c r="E282" s="7"/>
      <c r="F282" s="9"/>
      <c r="G282" s="7"/>
      <c r="I282" s="7"/>
      <c r="J282" s="7"/>
      <c r="K282" s="23"/>
      <c r="L282" s="8"/>
      <c r="M282" s="7"/>
      <c r="N282" s="7"/>
      <c r="O282" s="7"/>
      <c r="P282" s="7"/>
      <c r="Q282" s="9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x14ac:dyDescent="0.3">
      <c r="B283" s="9"/>
      <c r="C283" s="9"/>
      <c r="D283" s="7"/>
      <c r="E283" s="7"/>
      <c r="F283" s="9"/>
      <c r="G283" s="7"/>
      <c r="I283" s="7"/>
      <c r="J283" s="7"/>
      <c r="K283" s="23"/>
      <c r="L283" s="8"/>
      <c r="M283" s="7"/>
      <c r="N283" s="7"/>
      <c r="O283" s="7"/>
      <c r="P283" s="7"/>
      <c r="Q283" s="9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x14ac:dyDescent="0.3">
      <c r="B284" s="9"/>
      <c r="C284" s="9"/>
      <c r="D284" s="7"/>
      <c r="E284" s="7"/>
      <c r="F284" s="9"/>
      <c r="G284" s="7"/>
      <c r="I284" s="7"/>
      <c r="J284" s="7"/>
      <c r="K284" s="23"/>
      <c r="L284" s="8"/>
      <c r="M284" s="7"/>
      <c r="N284" s="7"/>
      <c r="O284" s="7"/>
      <c r="P284" s="7"/>
      <c r="Q284" s="9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x14ac:dyDescent="0.3">
      <c r="B285" s="9"/>
      <c r="C285" s="9"/>
      <c r="D285" s="7"/>
      <c r="E285" s="7"/>
      <c r="F285" s="9"/>
      <c r="G285" s="7"/>
      <c r="I285" s="7"/>
      <c r="J285" s="7"/>
      <c r="K285" s="23"/>
      <c r="L285" s="8"/>
      <c r="M285" s="7"/>
      <c r="N285" s="7"/>
      <c r="O285" s="7"/>
      <c r="P285" s="7"/>
      <c r="Q285" s="9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x14ac:dyDescent="0.3">
      <c r="B286" s="9"/>
      <c r="C286" s="9"/>
      <c r="D286" s="7"/>
      <c r="E286" s="7"/>
      <c r="F286" s="9"/>
      <c r="G286" s="7"/>
      <c r="I286" s="7"/>
      <c r="J286" s="7"/>
      <c r="K286" s="23"/>
      <c r="L286" s="8"/>
      <c r="M286" s="7"/>
      <c r="N286" s="7"/>
      <c r="O286" s="7"/>
      <c r="P286" s="7"/>
      <c r="Q286" s="9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x14ac:dyDescent="0.3">
      <c r="B287" s="9"/>
      <c r="C287" s="9"/>
      <c r="D287" s="7"/>
      <c r="E287" s="7"/>
      <c r="F287" s="9"/>
      <c r="G287" s="7"/>
      <c r="I287" s="7"/>
      <c r="J287" s="7"/>
      <c r="K287" s="23"/>
      <c r="L287" s="8"/>
      <c r="M287" s="7"/>
      <c r="N287" s="7"/>
      <c r="O287" s="7"/>
      <c r="P287" s="7"/>
      <c r="Q287" s="9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x14ac:dyDescent="0.3">
      <c r="B288" s="9"/>
      <c r="C288" s="9"/>
      <c r="D288" s="7"/>
      <c r="E288" s="7"/>
      <c r="F288" s="9"/>
      <c r="G288" s="7"/>
      <c r="I288" s="7"/>
      <c r="J288" s="7"/>
      <c r="K288" s="23"/>
      <c r="L288" s="8"/>
      <c r="M288" s="7"/>
      <c r="N288" s="7"/>
      <c r="O288" s="7"/>
      <c r="P288" s="7"/>
      <c r="Q288" s="9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x14ac:dyDescent="0.3">
      <c r="B289" s="9"/>
      <c r="C289" s="9"/>
      <c r="D289" s="7"/>
      <c r="E289" s="7"/>
      <c r="F289" s="9"/>
      <c r="G289" s="7"/>
      <c r="I289" s="7"/>
      <c r="J289" s="7"/>
      <c r="K289" s="23"/>
      <c r="L289" s="8"/>
      <c r="M289" s="7"/>
      <c r="N289" s="7"/>
      <c r="O289" s="7"/>
      <c r="P289" s="7"/>
      <c r="Q289" s="9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x14ac:dyDescent="0.3">
      <c r="B290" s="9"/>
      <c r="C290" s="9"/>
      <c r="D290" s="7"/>
      <c r="E290" s="7"/>
      <c r="F290" s="9"/>
      <c r="G290" s="7"/>
      <c r="I290" s="7"/>
      <c r="J290" s="7"/>
      <c r="K290" s="23"/>
      <c r="L290" s="8"/>
      <c r="M290" s="7"/>
      <c r="N290" s="7"/>
      <c r="O290" s="7"/>
      <c r="P290" s="7"/>
      <c r="Q290" s="9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x14ac:dyDescent="0.3">
      <c r="B291" s="9"/>
      <c r="C291" s="9"/>
      <c r="D291" s="7"/>
      <c r="E291" s="7"/>
      <c r="F291" s="9"/>
      <c r="G291" s="7"/>
      <c r="I291" s="7"/>
      <c r="J291" s="7"/>
      <c r="K291" s="23"/>
      <c r="L291" s="8"/>
      <c r="M291" s="7"/>
      <c r="N291" s="7"/>
      <c r="O291" s="7"/>
      <c r="P291" s="7"/>
      <c r="Q291" s="9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x14ac:dyDescent="0.3">
      <c r="B292" s="9"/>
      <c r="C292" s="9"/>
      <c r="D292" s="7"/>
      <c r="E292" s="7"/>
      <c r="F292" s="9"/>
      <c r="G292" s="7"/>
      <c r="I292" s="7"/>
      <c r="J292" s="7"/>
      <c r="K292" s="23"/>
      <c r="L292" s="8"/>
      <c r="M292" s="7"/>
      <c r="N292" s="7"/>
      <c r="O292" s="7"/>
      <c r="P292" s="7"/>
      <c r="Q292" s="9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x14ac:dyDescent="0.3">
      <c r="B293" s="9"/>
      <c r="C293" s="9"/>
      <c r="D293" s="7"/>
      <c r="E293" s="7"/>
      <c r="F293" s="9"/>
      <c r="G293" s="7"/>
      <c r="I293" s="7"/>
      <c r="J293" s="7"/>
      <c r="K293" s="23"/>
      <c r="L293" s="8"/>
      <c r="M293" s="7"/>
      <c r="N293" s="7"/>
      <c r="O293" s="7"/>
      <c r="P293" s="7"/>
      <c r="Q293" s="9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x14ac:dyDescent="0.3">
      <c r="B294" s="9"/>
      <c r="C294" s="9"/>
      <c r="D294" s="7"/>
      <c r="E294" s="7"/>
      <c r="F294" s="9"/>
      <c r="G294" s="7"/>
      <c r="I294" s="7"/>
      <c r="J294" s="7"/>
      <c r="K294" s="23"/>
      <c r="L294" s="8"/>
      <c r="M294" s="7"/>
      <c r="N294" s="7"/>
      <c r="O294" s="7"/>
      <c r="P294" s="7"/>
      <c r="Q294" s="9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x14ac:dyDescent="0.3">
      <c r="B295" s="9"/>
      <c r="C295" s="9"/>
      <c r="D295" s="7"/>
      <c r="E295" s="7"/>
      <c r="F295" s="9"/>
      <c r="G295" s="7"/>
      <c r="I295" s="7"/>
      <c r="J295" s="7"/>
      <c r="K295" s="23"/>
      <c r="L295" s="8"/>
      <c r="M295" s="7"/>
      <c r="N295" s="7"/>
      <c r="O295" s="7"/>
      <c r="P295" s="7"/>
      <c r="Q295" s="9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x14ac:dyDescent="0.3">
      <c r="B296" s="9"/>
      <c r="C296" s="9"/>
      <c r="D296" s="7"/>
      <c r="E296" s="7"/>
      <c r="F296" s="9"/>
      <c r="G296" s="7"/>
      <c r="I296" s="7"/>
      <c r="J296" s="7"/>
      <c r="K296" s="23"/>
      <c r="L296" s="8"/>
      <c r="M296" s="7"/>
      <c r="N296" s="7"/>
      <c r="O296" s="7"/>
      <c r="P296" s="7"/>
      <c r="Q296" s="9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x14ac:dyDescent="0.3">
      <c r="B297" s="9"/>
      <c r="C297" s="9"/>
      <c r="D297" s="7"/>
      <c r="E297" s="7"/>
      <c r="F297" s="9"/>
      <c r="G297" s="7"/>
      <c r="I297" s="7"/>
      <c r="J297" s="7"/>
      <c r="K297" s="23"/>
      <c r="L297" s="8"/>
      <c r="M297" s="7"/>
      <c r="N297" s="7"/>
      <c r="O297" s="7"/>
      <c r="P297" s="7"/>
      <c r="Q297" s="9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x14ac:dyDescent="0.3">
      <c r="B298" s="9"/>
      <c r="C298" s="9"/>
      <c r="D298" s="7"/>
      <c r="E298" s="7"/>
      <c r="F298" s="9"/>
      <c r="G298" s="7"/>
      <c r="I298" s="7"/>
      <c r="J298" s="7"/>
      <c r="K298" s="23"/>
      <c r="L298" s="8"/>
      <c r="M298" s="7"/>
      <c r="N298" s="7"/>
      <c r="O298" s="7"/>
      <c r="P298" s="7"/>
      <c r="Q298" s="9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x14ac:dyDescent="0.3">
      <c r="B299" s="9"/>
      <c r="C299" s="9"/>
      <c r="D299" s="7"/>
      <c r="E299" s="7"/>
      <c r="F299" s="9"/>
      <c r="G299" s="7"/>
      <c r="I299" s="7"/>
      <c r="J299" s="7"/>
      <c r="K299" s="23"/>
      <c r="L299" s="8"/>
      <c r="M299" s="7"/>
      <c r="N299" s="7"/>
      <c r="O299" s="7"/>
      <c r="P299" s="7"/>
      <c r="Q299" s="9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x14ac:dyDescent="0.3">
      <c r="B300" s="9"/>
      <c r="C300" s="9"/>
      <c r="D300" s="7"/>
      <c r="E300" s="7"/>
      <c r="F300" s="9"/>
      <c r="G300" s="7"/>
      <c r="I300" s="7"/>
      <c r="J300" s="7"/>
      <c r="K300" s="23"/>
      <c r="L300" s="8"/>
      <c r="M300" s="7"/>
      <c r="N300" s="7"/>
      <c r="O300" s="7"/>
      <c r="P300" s="7"/>
      <c r="Q300" s="9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x14ac:dyDescent="0.3">
      <c r="B301" s="9"/>
      <c r="C301" s="9"/>
      <c r="D301" s="7"/>
      <c r="E301" s="7"/>
      <c r="F301" s="9"/>
      <c r="G301" s="7"/>
      <c r="I301" s="7"/>
      <c r="J301" s="7"/>
      <c r="K301" s="23"/>
      <c r="L301" s="8"/>
      <c r="M301" s="7"/>
      <c r="N301" s="7"/>
      <c r="O301" s="7"/>
      <c r="P301" s="7"/>
      <c r="Q301" s="9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x14ac:dyDescent="0.3">
      <c r="B302" s="9"/>
      <c r="C302" s="9"/>
      <c r="D302" s="7"/>
      <c r="E302" s="7"/>
      <c r="F302" s="9"/>
      <c r="G302" s="7"/>
      <c r="I302" s="7"/>
      <c r="J302" s="7"/>
      <c r="K302" s="23"/>
      <c r="L302" s="8"/>
      <c r="M302" s="7"/>
      <c r="N302" s="7"/>
      <c r="O302" s="7"/>
      <c r="P302" s="7"/>
      <c r="Q302" s="9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x14ac:dyDescent="0.3">
      <c r="B303" s="9"/>
      <c r="C303" s="9"/>
      <c r="D303" s="7"/>
      <c r="E303" s="7"/>
      <c r="F303" s="9"/>
      <c r="G303" s="7"/>
      <c r="I303" s="7"/>
      <c r="J303" s="7"/>
      <c r="K303" s="23"/>
      <c r="L303" s="8"/>
      <c r="M303" s="7"/>
      <c r="N303" s="7"/>
      <c r="O303" s="7"/>
      <c r="P303" s="7"/>
      <c r="Q303" s="9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x14ac:dyDescent="0.3">
      <c r="B304" s="9"/>
      <c r="C304" s="9"/>
      <c r="D304" s="7"/>
      <c r="E304" s="7"/>
      <c r="F304" s="9"/>
      <c r="G304" s="7"/>
      <c r="I304" s="7"/>
      <c r="J304" s="7"/>
      <c r="K304" s="23"/>
      <c r="L304" s="8"/>
      <c r="M304" s="7"/>
      <c r="N304" s="7"/>
      <c r="O304" s="7"/>
      <c r="P304" s="7"/>
      <c r="Q304" s="9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x14ac:dyDescent="0.3">
      <c r="B305" s="9"/>
      <c r="C305" s="9"/>
      <c r="D305" s="7"/>
      <c r="E305" s="7"/>
      <c r="F305" s="9"/>
      <c r="G305" s="7"/>
      <c r="I305" s="7"/>
      <c r="J305" s="7"/>
      <c r="K305" s="23"/>
      <c r="L305" s="8"/>
      <c r="M305" s="7"/>
      <c r="N305" s="7"/>
      <c r="O305" s="7"/>
      <c r="P305" s="7"/>
      <c r="Q305" s="9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x14ac:dyDescent="0.3">
      <c r="B306" s="9"/>
      <c r="C306" s="9"/>
      <c r="D306" s="7"/>
      <c r="E306" s="7"/>
      <c r="F306" s="9"/>
      <c r="G306" s="7"/>
      <c r="I306" s="7"/>
      <c r="J306" s="7"/>
      <c r="K306" s="23"/>
      <c r="L306" s="8"/>
      <c r="M306" s="7"/>
      <c r="N306" s="7"/>
      <c r="O306" s="7"/>
      <c r="P306" s="7"/>
      <c r="Q306" s="9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x14ac:dyDescent="0.3">
      <c r="B307" s="9"/>
      <c r="C307" s="9"/>
      <c r="D307" s="7"/>
      <c r="E307" s="7"/>
      <c r="F307" s="9"/>
      <c r="G307" s="7"/>
      <c r="I307" s="7"/>
      <c r="J307" s="7"/>
      <c r="K307" s="23"/>
      <c r="L307" s="8"/>
      <c r="M307" s="7"/>
      <c r="N307" s="7"/>
      <c r="O307" s="7"/>
      <c r="P307" s="7"/>
      <c r="Q307" s="9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x14ac:dyDescent="0.3">
      <c r="B308" s="9"/>
      <c r="C308" s="9"/>
      <c r="D308" s="7"/>
      <c r="E308" s="7"/>
      <c r="F308" s="9"/>
      <c r="G308" s="7"/>
      <c r="I308" s="7"/>
      <c r="J308" s="7"/>
      <c r="K308" s="23"/>
      <c r="L308" s="8"/>
      <c r="M308" s="7"/>
      <c r="N308" s="7"/>
      <c r="O308" s="7"/>
      <c r="P308" s="7"/>
      <c r="Q308" s="9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x14ac:dyDescent="0.3">
      <c r="B309" s="9"/>
      <c r="C309" s="9"/>
      <c r="D309" s="7"/>
      <c r="E309" s="7"/>
      <c r="F309" s="9"/>
      <c r="G309" s="7"/>
      <c r="I309" s="7"/>
      <c r="J309" s="7"/>
      <c r="K309" s="23"/>
      <c r="L309" s="8"/>
      <c r="M309" s="7"/>
      <c r="N309" s="7"/>
      <c r="O309" s="7"/>
      <c r="P309" s="7"/>
      <c r="Q309" s="9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x14ac:dyDescent="0.3">
      <c r="B310" s="9"/>
      <c r="C310" s="9"/>
      <c r="D310" s="7"/>
      <c r="E310" s="7"/>
      <c r="F310" s="9"/>
      <c r="G310" s="7"/>
      <c r="I310" s="7"/>
      <c r="J310" s="7"/>
      <c r="K310" s="23"/>
      <c r="L310" s="8"/>
      <c r="M310" s="7"/>
      <c r="N310" s="7"/>
      <c r="O310" s="7"/>
      <c r="P310" s="7"/>
      <c r="Q310" s="9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x14ac:dyDescent="0.3">
      <c r="B311" s="9"/>
      <c r="C311" s="9"/>
      <c r="D311" s="7"/>
      <c r="E311" s="7"/>
      <c r="F311" s="9"/>
      <c r="G311" s="7"/>
      <c r="I311" s="7"/>
      <c r="J311" s="7"/>
      <c r="K311" s="23"/>
      <c r="L311" s="8"/>
      <c r="M311" s="7"/>
      <c r="N311" s="7"/>
      <c r="O311" s="7"/>
      <c r="P311" s="7"/>
      <c r="Q311" s="9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x14ac:dyDescent="0.3">
      <c r="B312" s="9"/>
      <c r="C312" s="9"/>
      <c r="D312" s="7"/>
      <c r="E312" s="7"/>
      <c r="F312" s="9"/>
      <c r="G312" s="7"/>
      <c r="I312" s="7"/>
      <c r="J312" s="7"/>
      <c r="K312" s="23"/>
      <c r="L312" s="8"/>
      <c r="M312" s="7"/>
      <c r="N312" s="7"/>
      <c r="O312" s="7"/>
      <c r="P312" s="7"/>
      <c r="Q312" s="9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x14ac:dyDescent="0.3">
      <c r="B313" s="9"/>
      <c r="C313" s="9"/>
      <c r="D313" s="7"/>
      <c r="E313" s="7"/>
      <c r="F313" s="9"/>
      <c r="G313" s="7"/>
      <c r="I313" s="7"/>
      <c r="J313" s="7"/>
      <c r="K313" s="23"/>
      <c r="L313" s="8"/>
      <c r="M313" s="7"/>
      <c r="N313" s="7"/>
      <c r="O313" s="7"/>
      <c r="P313" s="7"/>
      <c r="Q313" s="9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x14ac:dyDescent="0.3">
      <c r="B314" s="9"/>
      <c r="C314" s="9"/>
      <c r="D314" s="7"/>
      <c r="E314" s="7"/>
      <c r="F314" s="9"/>
      <c r="G314" s="7"/>
      <c r="I314" s="7"/>
      <c r="J314" s="7"/>
      <c r="K314" s="23"/>
      <c r="L314" s="8"/>
      <c r="M314" s="7"/>
      <c r="N314" s="7"/>
      <c r="O314" s="7"/>
      <c r="P314" s="7"/>
      <c r="Q314" s="9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x14ac:dyDescent="0.3">
      <c r="B315" s="9"/>
      <c r="C315" s="9"/>
      <c r="D315" s="7"/>
      <c r="E315" s="7"/>
      <c r="F315" s="9"/>
      <c r="G315" s="7"/>
      <c r="I315" s="7"/>
      <c r="J315" s="7"/>
      <c r="K315" s="23"/>
      <c r="L315" s="8"/>
      <c r="M315" s="7"/>
      <c r="N315" s="7"/>
      <c r="O315" s="7"/>
      <c r="P315" s="7"/>
      <c r="Q315" s="9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x14ac:dyDescent="0.3">
      <c r="B316" s="9"/>
      <c r="C316" s="9"/>
      <c r="D316" s="7"/>
      <c r="E316" s="7"/>
      <c r="F316" s="9"/>
      <c r="G316" s="7"/>
      <c r="I316" s="7"/>
      <c r="J316" s="7"/>
      <c r="K316" s="23"/>
      <c r="L316" s="8"/>
      <c r="M316" s="7"/>
      <c r="N316" s="7"/>
      <c r="O316" s="7"/>
      <c r="P316" s="7"/>
      <c r="Q316" s="9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x14ac:dyDescent="0.3">
      <c r="B317" s="9"/>
      <c r="C317" s="9"/>
      <c r="D317" s="7"/>
      <c r="E317" s="7"/>
      <c r="F317" s="9"/>
      <c r="G317" s="7"/>
      <c r="I317" s="7"/>
      <c r="J317" s="7"/>
      <c r="K317" s="23"/>
      <c r="L317" s="8"/>
      <c r="M317" s="7"/>
      <c r="N317" s="7"/>
      <c r="O317" s="7"/>
      <c r="P317" s="7"/>
      <c r="Q317" s="9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x14ac:dyDescent="0.3">
      <c r="B318" s="9"/>
      <c r="C318" s="9"/>
      <c r="D318" s="7"/>
      <c r="E318" s="7"/>
      <c r="F318" s="9"/>
      <c r="G318" s="7"/>
      <c r="I318" s="7"/>
      <c r="J318" s="7"/>
      <c r="K318" s="23"/>
      <c r="L318" s="8"/>
      <c r="M318" s="7"/>
      <c r="N318" s="7"/>
      <c r="O318" s="7"/>
      <c r="P318" s="7"/>
      <c r="Q318" s="9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x14ac:dyDescent="0.3">
      <c r="B319" s="9"/>
      <c r="C319" s="9"/>
      <c r="D319" s="7"/>
      <c r="E319" s="7"/>
      <c r="F319" s="9"/>
      <c r="G319" s="7"/>
      <c r="I319" s="7"/>
      <c r="J319" s="7"/>
      <c r="K319" s="23"/>
      <c r="L319" s="8"/>
      <c r="M319" s="7"/>
      <c r="N319" s="7"/>
      <c r="O319" s="7"/>
      <c r="P319" s="7"/>
      <c r="Q319" s="9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x14ac:dyDescent="0.3">
      <c r="B320" s="9"/>
      <c r="C320" s="9"/>
      <c r="D320" s="7"/>
      <c r="E320" s="7"/>
      <c r="F320" s="9"/>
      <c r="G320" s="7"/>
      <c r="I320" s="7"/>
      <c r="J320" s="7"/>
      <c r="K320" s="23"/>
      <c r="L320" s="8"/>
      <c r="M320" s="7"/>
      <c r="N320" s="7"/>
      <c r="O320" s="7"/>
      <c r="P320" s="7"/>
      <c r="Q320" s="9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x14ac:dyDescent="0.3">
      <c r="B321" s="9"/>
      <c r="C321" s="9"/>
      <c r="D321" s="7"/>
      <c r="E321" s="7"/>
      <c r="F321" s="9"/>
      <c r="G321" s="7"/>
      <c r="I321" s="7"/>
      <c r="J321" s="7"/>
      <c r="K321" s="23"/>
      <c r="L321" s="8"/>
      <c r="M321" s="7"/>
      <c r="N321" s="7"/>
      <c r="O321" s="7"/>
      <c r="P321" s="7"/>
      <c r="Q321" s="9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x14ac:dyDescent="0.3">
      <c r="B322" s="9"/>
      <c r="C322" s="9"/>
      <c r="D322" s="7"/>
      <c r="E322" s="7"/>
      <c r="F322" s="9"/>
      <c r="G322" s="7"/>
      <c r="I322" s="7"/>
      <c r="J322" s="7"/>
      <c r="K322" s="23"/>
      <c r="L322" s="8"/>
      <c r="M322" s="7"/>
      <c r="N322" s="7"/>
      <c r="O322" s="7"/>
      <c r="P322" s="7"/>
      <c r="Q322" s="9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x14ac:dyDescent="0.3">
      <c r="B323" s="9"/>
      <c r="C323" s="9"/>
      <c r="D323" s="7"/>
      <c r="E323" s="7"/>
      <c r="F323" s="9"/>
      <c r="G323" s="7"/>
      <c r="I323" s="7"/>
      <c r="J323" s="7"/>
      <c r="K323" s="23"/>
      <c r="L323" s="8"/>
      <c r="M323" s="7"/>
      <c r="N323" s="7"/>
      <c r="O323" s="7"/>
      <c r="P323" s="7"/>
      <c r="Q323" s="9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x14ac:dyDescent="0.3">
      <c r="B324" s="9"/>
      <c r="C324" s="9"/>
      <c r="D324" s="7"/>
      <c r="E324" s="7"/>
      <c r="F324" s="9"/>
      <c r="G324" s="7"/>
      <c r="I324" s="7"/>
      <c r="J324" s="7"/>
      <c r="K324" s="23"/>
      <c r="L324" s="8"/>
      <c r="M324" s="7"/>
      <c r="N324" s="7"/>
      <c r="O324" s="7"/>
      <c r="P324" s="7"/>
      <c r="Q324" s="9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x14ac:dyDescent="0.3">
      <c r="B325" s="9"/>
      <c r="C325" s="9"/>
      <c r="D325" s="7"/>
      <c r="E325" s="7"/>
      <c r="F325" s="9"/>
      <c r="G325" s="7"/>
      <c r="I325" s="7"/>
      <c r="J325" s="7"/>
      <c r="K325" s="23"/>
      <c r="L325" s="8"/>
      <c r="M325" s="7"/>
      <c r="N325" s="7"/>
      <c r="O325" s="7"/>
      <c r="P325" s="7"/>
      <c r="Q325" s="9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x14ac:dyDescent="0.3">
      <c r="B326" s="9"/>
      <c r="C326" s="9"/>
      <c r="D326" s="7"/>
      <c r="E326" s="7"/>
      <c r="F326" s="9"/>
      <c r="G326" s="7"/>
      <c r="I326" s="7"/>
      <c r="J326" s="7"/>
      <c r="K326" s="23"/>
      <c r="L326" s="8"/>
      <c r="M326" s="7"/>
      <c r="N326" s="7"/>
      <c r="O326" s="7"/>
      <c r="P326" s="7"/>
      <c r="Q326" s="9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x14ac:dyDescent="0.3">
      <c r="B327" s="9"/>
      <c r="C327" s="9"/>
      <c r="D327" s="7"/>
      <c r="E327" s="7"/>
      <c r="F327" s="9"/>
      <c r="G327" s="7"/>
      <c r="I327" s="7"/>
      <c r="J327" s="7"/>
      <c r="K327" s="23"/>
      <c r="L327" s="8"/>
      <c r="M327" s="7"/>
      <c r="N327" s="7"/>
      <c r="O327" s="7"/>
      <c r="P327" s="7"/>
      <c r="Q327" s="9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x14ac:dyDescent="0.3">
      <c r="B328" s="9"/>
      <c r="C328" s="9"/>
      <c r="D328" s="7"/>
      <c r="E328" s="7"/>
      <c r="F328" s="9"/>
      <c r="G328" s="7"/>
      <c r="I328" s="7"/>
      <c r="J328" s="7"/>
      <c r="K328" s="23"/>
      <c r="L328" s="8"/>
      <c r="M328" s="7"/>
      <c r="N328" s="7"/>
      <c r="O328" s="7"/>
      <c r="P328" s="7"/>
      <c r="Q328" s="9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x14ac:dyDescent="0.3">
      <c r="B329" s="9"/>
      <c r="C329" s="9"/>
      <c r="D329" s="7"/>
      <c r="E329" s="7"/>
      <c r="F329" s="9"/>
      <c r="G329" s="7"/>
      <c r="I329" s="7"/>
      <c r="J329" s="7"/>
      <c r="K329" s="23"/>
      <c r="L329" s="8"/>
      <c r="M329" s="7"/>
      <c r="N329" s="7"/>
      <c r="O329" s="7"/>
      <c r="P329" s="7"/>
      <c r="Q329" s="9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x14ac:dyDescent="0.3">
      <c r="B330" s="9"/>
      <c r="C330" s="9"/>
      <c r="D330" s="7"/>
      <c r="E330" s="7"/>
      <c r="F330" s="9"/>
      <c r="G330" s="7"/>
      <c r="I330" s="7"/>
      <c r="J330" s="7"/>
      <c r="K330" s="23"/>
      <c r="L330" s="8"/>
      <c r="M330" s="7"/>
      <c r="N330" s="7"/>
      <c r="O330" s="7"/>
      <c r="P330" s="7"/>
      <c r="Q330" s="9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x14ac:dyDescent="0.3">
      <c r="B331" s="9"/>
      <c r="C331" s="9"/>
      <c r="D331" s="7"/>
      <c r="E331" s="7"/>
      <c r="F331" s="9"/>
      <c r="G331" s="7"/>
      <c r="I331" s="7"/>
      <c r="J331" s="7"/>
      <c r="K331" s="23"/>
      <c r="L331" s="8"/>
      <c r="M331" s="7"/>
      <c r="N331" s="7"/>
      <c r="O331" s="7"/>
      <c r="P331" s="7"/>
      <c r="Q331" s="9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x14ac:dyDescent="0.3">
      <c r="B332" s="9"/>
      <c r="C332" s="9"/>
      <c r="D332" s="7"/>
      <c r="E332" s="7"/>
      <c r="F332" s="9"/>
      <c r="G332" s="7"/>
      <c r="I332" s="7"/>
      <c r="J332" s="7"/>
      <c r="K332" s="23"/>
      <c r="L332" s="8"/>
      <c r="M332" s="7"/>
      <c r="N332" s="7"/>
      <c r="O332" s="7"/>
      <c r="P332" s="7"/>
      <c r="Q332" s="9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x14ac:dyDescent="0.3">
      <c r="B333" s="9"/>
      <c r="C333" s="9"/>
      <c r="D333" s="7"/>
      <c r="E333" s="7"/>
      <c r="F333" s="9"/>
      <c r="G333" s="7"/>
      <c r="I333" s="7"/>
      <c r="J333" s="7"/>
      <c r="K333" s="23"/>
      <c r="L333" s="8"/>
      <c r="M333" s="7"/>
      <c r="N333" s="7"/>
      <c r="O333" s="7"/>
      <c r="P333" s="7"/>
      <c r="Q333" s="9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x14ac:dyDescent="0.3">
      <c r="B334" s="9"/>
      <c r="C334" s="9"/>
      <c r="D334" s="7"/>
      <c r="E334" s="7"/>
      <c r="F334" s="9"/>
      <c r="G334" s="7"/>
      <c r="I334" s="7"/>
      <c r="J334" s="7"/>
      <c r="K334" s="23"/>
      <c r="L334" s="8"/>
      <c r="M334" s="7"/>
      <c r="N334" s="7"/>
      <c r="O334" s="7"/>
      <c r="P334" s="7"/>
      <c r="Q334" s="9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x14ac:dyDescent="0.3">
      <c r="B335" s="9"/>
      <c r="C335" s="9"/>
      <c r="D335" s="7"/>
      <c r="E335" s="7"/>
      <c r="F335" s="9"/>
      <c r="G335" s="7"/>
      <c r="I335" s="7"/>
      <c r="J335" s="7"/>
      <c r="K335" s="23"/>
      <c r="L335" s="8"/>
      <c r="M335" s="7"/>
      <c r="N335" s="7"/>
      <c r="O335" s="7"/>
      <c r="P335" s="7"/>
      <c r="Q335" s="9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x14ac:dyDescent="0.3">
      <c r="B336" s="9"/>
      <c r="C336" s="9"/>
      <c r="D336" s="7"/>
      <c r="E336" s="7"/>
      <c r="F336" s="9"/>
      <c r="G336" s="7"/>
      <c r="I336" s="7"/>
      <c r="J336" s="7"/>
      <c r="K336" s="23"/>
      <c r="L336" s="8"/>
      <c r="M336" s="7"/>
      <c r="N336" s="7"/>
      <c r="O336" s="7"/>
      <c r="P336" s="7"/>
      <c r="Q336" s="9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x14ac:dyDescent="0.3">
      <c r="B337" s="9"/>
      <c r="C337" s="9"/>
      <c r="D337" s="7"/>
      <c r="E337" s="7"/>
      <c r="F337" s="9"/>
      <c r="G337" s="7"/>
      <c r="I337" s="7"/>
      <c r="J337" s="7"/>
      <c r="K337" s="23"/>
      <c r="L337" s="8"/>
      <c r="M337" s="7"/>
      <c r="N337" s="7"/>
      <c r="O337" s="7"/>
      <c r="P337" s="7"/>
      <c r="Q337" s="9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x14ac:dyDescent="0.3">
      <c r="B338" s="9"/>
      <c r="C338" s="9"/>
      <c r="D338" s="7"/>
      <c r="E338" s="7"/>
      <c r="F338" s="9"/>
      <c r="G338" s="7"/>
      <c r="I338" s="7"/>
      <c r="J338" s="7"/>
      <c r="K338" s="23"/>
      <c r="L338" s="8"/>
      <c r="M338" s="7"/>
      <c r="N338" s="7"/>
      <c r="O338" s="7"/>
      <c r="P338" s="7"/>
      <c r="Q338" s="9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x14ac:dyDescent="0.3">
      <c r="B339" s="9"/>
      <c r="C339" s="9"/>
      <c r="D339" s="7"/>
      <c r="E339" s="7"/>
      <c r="F339" s="9"/>
      <c r="G339" s="7"/>
      <c r="I339" s="7"/>
      <c r="J339" s="7"/>
      <c r="K339" s="23"/>
      <c r="L339" s="8"/>
      <c r="M339" s="7"/>
      <c r="N339" s="7"/>
      <c r="O339" s="7"/>
      <c r="P339" s="7"/>
      <c r="Q339" s="9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x14ac:dyDescent="0.3">
      <c r="B340" s="9"/>
      <c r="C340" s="9"/>
      <c r="D340" s="7"/>
      <c r="E340" s="7"/>
      <c r="F340" s="9"/>
      <c r="G340" s="7"/>
      <c r="I340" s="7"/>
      <c r="J340" s="7"/>
      <c r="K340" s="23"/>
      <c r="L340" s="8"/>
      <c r="M340" s="7"/>
      <c r="N340" s="7"/>
      <c r="O340" s="7"/>
      <c r="P340" s="7"/>
      <c r="Q340" s="9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x14ac:dyDescent="0.3">
      <c r="B341" s="9"/>
      <c r="C341" s="9"/>
      <c r="D341" s="7"/>
      <c r="E341" s="7"/>
      <c r="F341" s="9"/>
      <c r="G341" s="7"/>
      <c r="I341" s="7"/>
      <c r="J341" s="7"/>
      <c r="K341" s="23"/>
      <c r="L341" s="8"/>
      <c r="M341" s="7"/>
      <c r="N341" s="7"/>
      <c r="O341" s="7"/>
      <c r="P341" s="7"/>
      <c r="Q341" s="9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x14ac:dyDescent="0.3">
      <c r="B342" s="9"/>
      <c r="C342" s="9"/>
      <c r="D342" s="7"/>
      <c r="E342" s="7"/>
      <c r="F342" s="9"/>
      <c r="G342" s="7"/>
      <c r="I342" s="7"/>
      <c r="J342" s="7"/>
      <c r="K342" s="23"/>
      <c r="L342" s="8"/>
      <c r="M342" s="7"/>
      <c r="N342" s="7"/>
      <c r="O342" s="7"/>
      <c r="P342" s="7"/>
      <c r="Q342" s="9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x14ac:dyDescent="0.3">
      <c r="B343" s="9"/>
      <c r="C343" s="9"/>
      <c r="D343" s="7"/>
      <c r="E343" s="7"/>
      <c r="F343" s="9"/>
      <c r="G343" s="7"/>
      <c r="I343" s="7"/>
      <c r="J343" s="7"/>
      <c r="K343" s="23"/>
      <c r="L343" s="8"/>
      <c r="M343" s="7"/>
      <c r="N343" s="7"/>
      <c r="O343" s="7"/>
      <c r="P343" s="7"/>
      <c r="Q343" s="9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x14ac:dyDescent="0.3">
      <c r="B344" s="9"/>
      <c r="C344" s="9"/>
      <c r="D344" s="7"/>
      <c r="E344" s="7"/>
      <c r="F344" s="9"/>
      <c r="G344" s="7"/>
      <c r="I344" s="7"/>
      <c r="J344" s="7"/>
      <c r="K344" s="23"/>
      <c r="L344" s="8"/>
      <c r="M344" s="7"/>
      <c r="N344" s="7"/>
      <c r="O344" s="7"/>
      <c r="P344" s="7"/>
      <c r="Q344" s="9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x14ac:dyDescent="0.3">
      <c r="B345" s="9"/>
      <c r="C345" s="9"/>
      <c r="D345" s="7"/>
      <c r="E345" s="7"/>
      <c r="F345" s="9"/>
      <c r="G345" s="7"/>
      <c r="I345" s="7"/>
      <c r="J345" s="7"/>
      <c r="K345" s="23"/>
      <c r="L345" s="8"/>
      <c r="M345" s="7"/>
      <c r="N345" s="7"/>
      <c r="O345" s="7"/>
      <c r="P345" s="7"/>
      <c r="Q345" s="9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x14ac:dyDescent="0.3">
      <c r="B346" s="9"/>
      <c r="C346" s="9"/>
      <c r="D346" s="7"/>
      <c r="E346" s="7"/>
      <c r="F346" s="9"/>
      <c r="G346" s="7"/>
      <c r="I346" s="7"/>
      <c r="J346" s="7"/>
      <c r="K346" s="23"/>
      <c r="L346" s="8"/>
      <c r="M346" s="7"/>
      <c r="N346" s="7"/>
      <c r="O346" s="7"/>
      <c r="P346" s="7"/>
      <c r="Q346" s="9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x14ac:dyDescent="0.3">
      <c r="B347" s="9"/>
      <c r="C347" s="9"/>
      <c r="D347" s="7"/>
      <c r="E347" s="7"/>
      <c r="F347" s="9"/>
      <c r="G347" s="7"/>
      <c r="I347" s="7"/>
      <c r="J347" s="7"/>
      <c r="K347" s="23"/>
      <c r="L347" s="8"/>
      <c r="M347" s="7"/>
      <c r="N347" s="7"/>
      <c r="O347" s="7"/>
      <c r="P347" s="7"/>
      <c r="Q347" s="9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x14ac:dyDescent="0.3">
      <c r="B348" s="9"/>
      <c r="C348" s="9"/>
      <c r="D348" s="7"/>
      <c r="E348" s="7"/>
      <c r="F348" s="9"/>
      <c r="G348" s="7"/>
      <c r="I348" s="7"/>
      <c r="J348" s="7"/>
      <c r="K348" s="23"/>
      <c r="L348" s="8"/>
      <c r="M348" s="7"/>
      <c r="N348" s="7"/>
      <c r="O348" s="7"/>
      <c r="P348" s="7"/>
      <c r="Q348" s="9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x14ac:dyDescent="0.3">
      <c r="B349" s="9"/>
      <c r="C349" s="9"/>
      <c r="D349" s="7"/>
      <c r="E349" s="7"/>
      <c r="F349" s="9"/>
      <c r="G349" s="7"/>
      <c r="I349" s="7"/>
      <c r="J349" s="7"/>
      <c r="K349" s="23"/>
      <c r="L349" s="8"/>
      <c r="M349" s="7"/>
      <c r="N349" s="7"/>
      <c r="O349" s="7"/>
      <c r="P349" s="7"/>
      <c r="Q349" s="9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x14ac:dyDescent="0.3">
      <c r="B350" s="9"/>
      <c r="C350" s="9"/>
      <c r="D350" s="7"/>
      <c r="E350" s="7"/>
      <c r="F350" s="9"/>
      <c r="G350" s="7"/>
      <c r="I350" s="7"/>
      <c r="J350" s="7"/>
      <c r="K350" s="23"/>
      <c r="L350" s="8"/>
      <c r="M350" s="7"/>
      <c r="N350" s="7"/>
      <c r="O350" s="7"/>
      <c r="P350" s="7"/>
      <c r="Q350" s="9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x14ac:dyDescent="0.3">
      <c r="B351" s="9"/>
      <c r="C351" s="9"/>
      <c r="D351" s="7"/>
      <c r="E351" s="7"/>
      <c r="F351" s="9"/>
      <c r="G351" s="7"/>
      <c r="I351" s="7"/>
      <c r="J351" s="7"/>
      <c r="K351" s="23"/>
      <c r="L351" s="8"/>
      <c r="M351" s="7"/>
      <c r="N351" s="7"/>
      <c r="O351" s="7"/>
      <c r="P351" s="7"/>
      <c r="Q351" s="9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x14ac:dyDescent="0.3">
      <c r="B352" s="9"/>
      <c r="C352" s="9"/>
      <c r="D352" s="7"/>
      <c r="E352" s="7"/>
      <c r="F352" s="9"/>
      <c r="G352" s="7"/>
      <c r="I352" s="7"/>
      <c r="J352" s="7"/>
      <c r="K352" s="23"/>
      <c r="L352" s="8"/>
      <c r="M352" s="7"/>
      <c r="N352" s="7"/>
      <c r="O352" s="7"/>
      <c r="P352" s="7"/>
      <c r="Q352" s="9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x14ac:dyDescent="0.3">
      <c r="B353" s="9"/>
      <c r="C353" s="9"/>
      <c r="D353" s="7"/>
      <c r="E353" s="7"/>
      <c r="F353" s="9"/>
      <c r="G353" s="7"/>
      <c r="I353" s="7"/>
      <c r="J353" s="7"/>
      <c r="K353" s="23"/>
      <c r="L353" s="8"/>
      <c r="M353" s="7"/>
      <c r="N353" s="7"/>
      <c r="O353" s="7"/>
      <c r="P353" s="7"/>
      <c r="Q353" s="9"/>
      <c r="S353" s="7"/>
      <c r="T353" s="7"/>
      <c r="U353" s="7"/>
      <c r="V353" s="7"/>
      <c r="W353" s="7"/>
      <c r="X353" s="7"/>
      <c r="Y353" s="7"/>
      <c r="Z353" s="7"/>
      <c r="AA353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/>
  </sheetViews>
  <sheetFormatPr defaultRowHeight="14.4" x14ac:dyDescent="0.3"/>
  <cols>
    <col min="2" max="2" width="11.109375" bestFit="1" customWidth="1"/>
    <col min="3" max="7" width="9.33203125" bestFit="1" customWidth="1"/>
    <col min="8" max="8" width="9.33203125" style="7" bestFit="1" customWidth="1"/>
    <col min="9" max="9" width="10.33203125" bestFit="1" customWidth="1"/>
    <col min="10" max="10" width="12.33203125" bestFit="1" customWidth="1"/>
    <col min="11" max="11" width="9.33203125" bestFit="1" customWidth="1"/>
    <col min="12" max="12" width="9.33203125" customWidth="1"/>
    <col min="13" max="13" width="9.33203125" style="23" customWidth="1"/>
    <col min="14" max="15" width="9.33203125" bestFit="1" customWidth="1"/>
    <col min="16" max="16" width="10.109375" bestFit="1" customWidth="1"/>
    <col min="17" max="17" width="9.33203125" bestFit="1" customWidth="1"/>
    <col min="18" max="18" width="10" bestFit="1" customWidth="1"/>
    <col min="19" max="19" width="13.33203125" customWidth="1"/>
    <col min="20" max="20" width="9.33203125" bestFit="1" customWidth="1"/>
    <col min="21" max="21" width="11.109375" bestFit="1" customWidth="1"/>
    <col min="22" max="22" width="9.33203125" bestFit="1" customWidth="1"/>
  </cols>
  <sheetData>
    <row r="1" spans="1:23" x14ac:dyDescent="0.3">
      <c r="A1" s="1" t="s">
        <v>199</v>
      </c>
      <c r="M1"/>
    </row>
    <row r="2" spans="1:23" s="2" customFormat="1" x14ac:dyDescent="0.3">
      <c r="B2" s="14"/>
      <c r="C2" s="14"/>
      <c r="D2" s="14"/>
      <c r="E2" s="27">
        <f>0.065*E4</f>
        <v>5.1404274999999999E-2</v>
      </c>
      <c r="F2" s="27">
        <f t="shared" ref="F2:G2" si="0">0.065*F4</f>
        <v>9.9151000000000013E-3</v>
      </c>
      <c r="G2" s="27">
        <f t="shared" si="0"/>
        <v>0.28275</v>
      </c>
      <c r="H2" s="15"/>
    </row>
    <row r="3" spans="1:23" x14ac:dyDescent="0.3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s="67" t="s">
        <v>173</v>
      </c>
      <c r="L3" s="67" t="s">
        <v>178</v>
      </c>
      <c r="M3" s="67" t="s">
        <v>179</v>
      </c>
      <c r="N3" t="s">
        <v>180</v>
      </c>
      <c r="O3" t="s">
        <v>181</v>
      </c>
      <c r="P3" t="s">
        <v>182</v>
      </c>
      <c r="Q3" s="67" t="s">
        <v>183</v>
      </c>
      <c r="R3" t="s">
        <v>184</v>
      </c>
      <c r="S3" t="s">
        <v>185</v>
      </c>
      <c r="T3" t="s">
        <v>20</v>
      </c>
      <c r="U3" t="s">
        <v>21</v>
      </c>
      <c r="V3" t="s">
        <v>24</v>
      </c>
      <c r="W3" t="s">
        <v>193</v>
      </c>
    </row>
    <row r="4" spans="1:23" x14ac:dyDescent="0.3">
      <c r="A4">
        <v>0</v>
      </c>
      <c r="B4" s="19">
        <v>5.1922619820570996E-2</v>
      </c>
      <c r="C4" s="45">
        <v>1.0018486720692412E-2</v>
      </c>
      <c r="D4" s="18">
        <v>0.29598808476524485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7">
        <f>'6states'!$O$4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0.55006250755068387</v>
      </c>
      <c r="O4" s="7">
        <f>(Parameters!$B$10*G4^Parameters!$B$9 + Parameters!$B$11*N4^Parameters!$B$9) ^ (Parameters!$B$7/Parameters!$B$9) * K4</f>
        <v>1.5023869881199998</v>
      </c>
      <c r="P4" s="7">
        <f t="shared" ref="P4:P67" si="1">O4-B4-C4-D4</f>
        <v>1.1444577968134917</v>
      </c>
      <c r="Q4" s="7">
        <f>EXP(-Parameters!$B$55*A4)</f>
        <v>1</v>
      </c>
      <c r="R4" s="7">
        <f>IF(P4&gt;0,P4^(1-Parameters!$B$52)/(1-Parameters!$B$52)*Q4,-10+P4*1000)</f>
        <v>-2.725348418021428</v>
      </c>
      <c r="S4" s="28">
        <f>SUM(R4:R353)*Parameters!$B$65</f>
        <v>-181.79674725238144</v>
      </c>
      <c r="T4" s="7"/>
      <c r="U4" s="7"/>
      <c r="V4" s="7"/>
      <c r="W4" s="13">
        <f t="shared" ref="W4:W35" si="2">(B4+C4+D4)/O4</f>
        <v>0.23824034295877397</v>
      </c>
    </row>
    <row r="5" spans="1:23" x14ac:dyDescent="0.3">
      <c r="A5">
        <f>A4+Parameters!$B$65</f>
        <v>1</v>
      </c>
      <c r="B5" s="19">
        <v>5.192267232746807E-2</v>
      </c>
      <c r="C5" s="45">
        <v>1.0018479514771424E-2</v>
      </c>
      <c r="D5" s="18">
        <v>0.29598863091971178</v>
      </c>
      <c r="E5" s="7">
        <f>MAX((1-Parameters!$B$4)^Parameters!B$65*E4+B4*Parameters!B$65-Parameters!$B$5*B4^2/E4*Parameters!B$65,0.0001)</f>
        <v>0.78960509587501471</v>
      </c>
      <c r="F5" s="9">
        <f>MAX((1-Parameters!$B$4)^Parameters!B$65*F4+C4*Parameters!B$65-Parameters!$B$5*C4^2/F4*Parameters!B$65,0.0001)</f>
        <v>0.15230572887479829</v>
      </c>
      <c r="G5" s="7">
        <f>MAX((1-Parameters!$B$4)^Parameters!B$65*G4+D4*Parameters!B$65-Parameters!$B$5*D4^2/G4*Parameters!B$65,0.0001)</f>
        <v>4.3522330971047856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7">
        <f>'6states'!$O$4</f>
        <v>0.98104277196026479</v>
      </c>
      <c r="L5" s="9">
        <f>L4</f>
        <v>0.5</v>
      </c>
      <c r="M5" s="23">
        <f t="shared" ref="M5:M65" si="3">1/(1-L5)</f>
        <v>2</v>
      </c>
      <c r="N5" s="7">
        <f>(Parameters!$B$19*(E5+Parameters!$B$20)^L5+Parameters!$B$18*F5^L5)^(1/L5)</f>
        <v>0.54921773198009338</v>
      </c>
      <c r="O5" s="7">
        <f>(Parameters!$B$10*G5^Parameters!$B$9 + Parameters!$B$11*N5^Parameters!$B$9) ^ (Parameters!$B$7/Parameters!$B$9) * K5</f>
        <v>1.5024516335947995</v>
      </c>
      <c r="P5" s="7">
        <f t="shared" si="1"/>
        <v>1.1445218508328481</v>
      </c>
      <c r="Q5" s="7">
        <f>EXP(-Parameters!$B$55*A5)</f>
        <v>0.98501343333449787</v>
      </c>
      <c r="R5" s="7">
        <f>IF(P5&gt;0,P5^(1-Parameters!$B$52)/(1-Parameters!$B$52)*Q5,-10+P5*1000)</f>
        <v>-2.684452217201557</v>
      </c>
      <c r="S5" s="7"/>
      <c r="T5" s="9">
        <f t="shared" ref="T5:T18" si="4">SUM(B4:B6)/3</f>
        <v>5.1922665876039491E-2</v>
      </c>
      <c r="U5" s="9">
        <f t="shared" ref="U5:U18" si="5">SUM(C4:C6)/3</f>
        <v>1.0018491950855409E-2</v>
      </c>
      <c r="V5" s="7">
        <f t="shared" ref="V5:V18" si="6">SUM(D4:D6)/3</f>
        <v>0.29598860718670766</v>
      </c>
      <c r="W5" s="13">
        <f t="shared" si="2"/>
        <v>0.23823048593288851</v>
      </c>
    </row>
    <row r="6" spans="1:23" x14ac:dyDescent="0.3">
      <c r="A6">
        <f>A5+Parameters!$B$65</f>
        <v>2</v>
      </c>
      <c r="B6" s="19">
        <v>5.1922705480079406E-2</v>
      </c>
      <c r="C6" s="45">
        <v>1.0018509617102392E-2</v>
      </c>
      <c r="D6" s="18">
        <v>0.29598910587516619</v>
      </c>
      <c r="E6" s="7">
        <f>MAX((1-Parameters!$B$4)^Parameters!B$65*E5+B5*Parameters!B$65-Parameters!$B$5*B5^2/E5*Parameters!B$65,0.0001)</f>
        <v>0.78844728839296596</v>
      </c>
      <c r="F6" s="9">
        <f>MAX((1-Parameters!$B$4)^Parameters!B$65*F5+C5*Parameters!B$65-Parameters!$B$5*C5^2/F5*Parameters!B$65,0.0001)</f>
        <v>0.15208517504635058</v>
      </c>
      <c r="G6" s="7">
        <f>MAX((1-Parameters!$B$4)^Parameters!B$65*G5+D5*Parameters!B$65-Parameters!$B$5*D5^2/G5*Parameters!B$65,0.0001)</f>
        <v>4.3543365379417107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7">
        <f>'6states'!$O$4</f>
        <v>0.98104277196026479</v>
      </c>
      <c r="L6" s="9">
        <f t="shared" ref="L6:L69" si="7">L5</f>
        <v>0.5</v>
      </c>
      <c r="M6" s="23">
        <f t="shared" si="3"/>
        <v>2</v>
      </c>
      <c r="N6" s="7">
        <f>(Parameters!$B$19*(E6+Parameters!$B$20)^L6+Parameters!$B$18*F6^L6)^(1/L6)</f>
        <v>0.54842246791426108</v>
      </c>
      <c r="O6" s="7">
        <f>(Parameters!$B$10*G6^Parameters!$B$9 + Parameters!$B$11*N6^Parameters!$B$9) ^ (Parameters!$B$7/Parameters!$B$9) * K6</f>
        <v>1.5025113038130098</v>
      </c>
      <c r="P6" s="7">
        <f t="shared" si="1"/>
        <v>1.1445809828406617</v>
      </c>
      <c r="Q6" s="7">
        <f>EXP(-Parameters!$B$55*A6)</f>
        <v>0.9702514638494153</v>
      </c>
      <c r="R6" s="7">
        <f>IF(P6&gt;0,P6^(1-Parameters!$B$52)/(1-Parameters!$B$52)*Q6,-10+P6*1000)</f>
        <v>-2.644173681727727</v>
      </c>
      <c r="S6" s="7"/>
      <c r="T6" s="9">
        <f t="shared" si="4"/>
        <v>5.1922716939889098E-2</v>
      </c>
      <c r="U6" s="9">
        <f t="shared" si="5"/>
        <v>1.0018498905945554E-2</v>
      </c>
      <c r="V6" s="7">
        <f t="shared" si="6"/>
        <v>0.29598908931960893</v>
      </c>
      <c r="W6" s="13">
        <f t="shared" si="2"/>
        <v>0.23822138313635813</v>
      </c>
    </row>
    <row r="7" spans="1:23" x14ac:dyDescent="0.3">
      <c r="A7">
        <f>A6+Parameters!$B$65</f>
        <v>3</v>
      </c>
      <c r="B7" s="19">
        <v>5.1922773012119831E-2</v>
      </c>
      <c r="C7" s="45">
        <v>1.0018507585962845E-2</v>
      </c>
      <c r="D7" s="18">
        <v>0.29598953116394894</v>
      </c>
      <c r="E7" s="7">
        <f>MAX((1-Parameters!$B$4)^Parameters!B$65*E6+B6*Parameters!B$65-Parameters!$B$5*B6^2/E6*Parameters!B$65,0.0001)</f>
        <v>0.78735732197828534</v>
      </c>
      <c r="F7" s="9">
        <f>MAX((1-Parameters!$B$4)^Parameters!B$65*F6+C6*Parameters!B$65-Parameters!$B$5*C6^2/F6*Parameters!B$65,0.0001)</f>
        <v>0.15187756450436132</v>
      </c>
      <c r="G7" s="7">
        <f>MAX((1-Parameters!$B$4)^Parameters!B$65*G6+D6*Parameters!B$65-Parameters!$B$5*D6^2/G6*Parameters!B$65,0.0001)</f>
        <v>4.3563178067631103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7">
        <f>'6states'!$O$4</f>
        <v>0.98104277196026479</v>
      </c>
      <c r="L7" s="9">
        <f t="shared" si="7"/>
        <v>0.5</v>
      </c>
      <c r="M7" s="23">
        <f t="shared" si="3"/>
        <v>2</v>
      </c>
      <c r="N7" s="7">
        <f>(Parameters!$B$19*(E7+Parameters!$B$20)^L7+Parameters!$B$18*F7^L7)^(1/L7)</f>
        <v>0.54767381346608934</v>
      </c>
      <c r="O7" s="7">
        <f>(Parameters!$B$10*G7^Parameters!$B$9 + Parameters!$B$11*N7^Parameters!$B$9) ^ (Parameters!$B$7/Parameters!$B$9) * K7</f>
        <v>1.5025664192412249</v>
      </c>
      <c r="P7" s="7">
        <f t="shared" si="1"/>
        <v>1.1446356074791932</v>
      </c>
      <c r="Q7" s="7">
        <f>EXP(-Parameters!$B$55*A7)</f>
        <v>0.95571072560413495</v>
      </c>
      <c r="R7" s="7">
        <f>IF(P7&gt;0,P7^(1-Parameters!$B$52)/(1-Parameters!$B$52)*Q7,-10+P7*1000)</f>
        <v>-2.6045030926669268</v>
      </c>
      <c r="S7" s="7"/>
      <c r="T7" s="9">
        <f t="shared" si="4"/>
        <v>5.1922764764223667E-2</v>
      </c>
      <c r="U7" s="9">
        <f t="shared" si="5"/>
        <v>1.0018508686028526E-2</v>
      </c>
      <c r="V7" s="7">
        <f t="shared" si="6"/>
        <v>0.29598951332597273</v>
      </c>
      <c r="W7" s="13">
        <f t="shared" si="2"/>
        <v>0.23821297160546268</v>
      </c>
    </row>
    <row r="8" spans="1:23" x14ac:dyDescent="0.3">
      <c r="A8">
        <f>A7+Parameters!$B$65</f>
        <v>4</v>
      </c>
      <c r="B8" s="19">
        <v>5.1922815800471755E-2</v>
      </c>
      <c r="C8" s="45">
        <v>1.001850885502034E-2</v>
      </c>
      <c r="D8" s="18">
        <v>0.29598990293880317</v>
      </c>
      <c r="E8" s="7">
        <f>MAX((1-Parameters!$B$4)^Parameters!B$65*E7+B7*Parameters!B$65-Parameters!$B$5*B7^2/E7*Parameters!B$65,0.0001)</f>
        <v>0.78633123956722784</v>
      </c>
      <c r="F8" s="9">
        <f>MAX((1-Parameters!$B$4)^Parameters!B$65*F7+C7*Parameters!B$65-Parameters!$B$5*C7^2/F7*Parameters!B$65,0.0001)</f>
        <v>0.15168210875980614</v>
      </c>
      <c r="G8" s="7">
        <f>MAX((1-Parameters!$B$4)^Parameters!B$65*G7+D7*Parameters!B$65-Parameters!$B$5*D7^2/G7*Parameters!B$65,0.0001)</f>
        <v>4.3581839719508766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7">
        <f>'6states'!$O$4</f>
        <v>0.98104277196026479</v>
      </c>
      <c r="L8" s="9">
        <f t="shared" si="7"/>
        <v>0.5</v>
      </c>
      <c r="M8" s="23">
        <f t="shared" si="3"/>
        <v>2</v>
      </c>
      <c r="N8" s="7">
        <f>(Parameters!$B$19*(E8+Parameters!$B$20)^L8+Parameters!$B$18*F8^L8)^(1/L8)</f>
        <v>0.54696903062518676</v>
      </c>
      <c r="O8" s="7">
        <f>(Parameters!$B$10*G8^Parameters!$B$9 + Parameters!$B$11*N8^Parameters!$B$9) ^ (Parameters!$B$7/Parameters!$B$9) * K8</f>
        <v>1.5026173622174914</v>
      </c>
      <c r="P8" s="7">
        <f t="shared" si="1"/>
        <v>1.144686134623196</v>
      </c>
      <c r="Q8" s="7">
        <f>EXP(-Parameters!$B$55*A8)</f>
        <v>0.94138790310193321</v>
      </c>
      <c r="R8" s="7">
        <f>IF(P8&gt;0,P8^(1-Parameters!$B$52)/(1-Parameters!$B$52)*Q8,-10+P8*1000)</f>
        <v>-2.5654308983677567</v>
      </c>
      <c r="S8" s="7"/>
      <c r="T8" s="9">
        <f t="shared" si="4"/>
        <v>5.1922814930043602E-2</v>
      </c>
      <c r="U8" s="9">
        <f t="shared" si="5"/>
        <v>1.0018513497741389E-2</v>
      </c>
      <c r="V8" s="7">
        <f t="shared" si="6"/>
        <v>0.29598988215108857</v>
      </c>
      <c r="W8" s="13">
        <f t="shared" si="2"/>
        <v>0.23820517225095642</v>
      </c>
    </row>
    <row r="9" spans="1:23" x14ac:dyDescent="0.3">
      <c r="A9">
        <f>A8+Parameters!$B$65</f>
        <v>5</v>
      </c>
      <c r="B9" s="19">
        <v>5.192285597753922E-2</v>
      </c>
      <c r="C9" s="45">
        <v>1.0018524052240982E-2</v>
      </c>
      <c r="D9" s="18">
        <v>0.29599021235051359</v>
      </c>
      <c r="E9" s="7">
        <f>MAX((1-Parameters!$B$4)^Parameters!B$65*E8+B8*Parameters!B$65-Parameters!$B$5*B8^2/E8*Parameters!B$65,0.0001)</f>
        <v>0.78536526680090613</v>
      </c>
      <c r="F9" s="9">
        <f>MAX((1-Parameters!$B$4)^Parameters!B$65*F8+C8*Parameters!B$65-Parameters!$B$5*C8^2/F8*Parameters!B$65,0.0001)</f>
        <v>0.15149809670090852</v>
      </c>
      <c r="G9" s="7">
        <f>MAX((1-Parameters!$B$4)^Parameters!B$65*G8+D8*Parameters!B$65-Parameters!$B$5*D8^2/G8*Parameters!B$65,0.0001)</f>
        <v>4.3599416881018751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7">
        <f>'6states'!$O$4</f>
        <v>0.98104277196026479</v>
      </c>
      <c r="L9" s="9">
        <f t="shared" si="7"/>
        <v>0.5</v>
      </c>
      <c r="M9" s="23">
        <f t="shared" si="3"/>
        <v>2</v>
      </c>
      <c r="N9" s="7">
        <f>(Parameters!$B$19*(E9+Parameters!$B$20)^L9+Parameters!$B$18*F9^L9)^(1/L9)</f>
        <v>0.54630553143902549</v>
      </c>
      <c r="O9" s="7">
        <f>(Parameters!$B$10*G9^Parameters!$B$9 + Parameters!$B$11*N9^Parameters!$B$9) ^ (Parameters!$B$7/Parameters!$B$9) * K9</f>
        <v>1.5026644780665059</v>
      </c>
      <c r="P9" s="7">
        <f t="shared" si="1"/>
        <v>1.144732885686212</v>
      </c>
      <c r="Q9" s="7">
        <f>EXP(-Parameters!$B$55*A9)</f>
        <v>0.92727973053399881</v>
      </c>
      <c r="R9" s="7">
        <f>IF(P9&gt;0,P9^(1-Parameters!$B$52)/(1-Parameters!$B$52)*Q9,-10+P9*1000)</f>
        <v>-2.5269477758634951</v>
      </c>
      <c r="S9" s="7"/>
      <c r="T9" s="9">
        <f t="shared" si="4"/>
        <v>5.192285790896764E-2</v>
      </c>
      <c r="U9" s="9">
        <f t="shared" si="5"/>
        <v>1.0018525541646757E-2</v>
      </c>
      <c r="V9" s="7">
        <f t="shared" si="6"/>
        <v>0.29599020354506272</v>
      </c>
      <c r="W9" s="13">
        <f t="shared" si="2"/>
        <v>0.23819794611824999</v>
      </c>
    </row>
    <row r="10" spans="1:23" x14ac:dyDescent="0.3">
      <c r="A10">
        <f>A9+Parameters!$B$65</f>
        <v>6</v>
      </c>
      <c r="B10" s="19">
        <v>5.1922901948891945E-2</v>
      </c>
      <c r="C10" s="45">
        <v>1.0018543717678952E-2</v>
      </c>
      <c r="D10" s="18">
        <v>0.29599049534587141</v>
      </c>
      <c r="E10" s="7">
        <f>MAX((1-Parameters!$B$4)^Parameters!B$65*E9+B9*Parameters!B$65-Parameters!$B$5*B9^2/E9*Parameters!B$65,0.0001)</f>
        <v>0.78445587158101571</v>
      </c>
      <c r="F10" s="9">
        <f>MAX((1-Parameters!$B$4)^Parameters!B$65*F9+C9*Parameters!B$65-Parameters!$B$5*C9^2/F9*Parameters!B$65,0.0001)</f>
        <v>0.15132486845638593</v>
      </c>
      <c r="G10" s="7">
        <f>MAX((1-Parameters!$B$4)^Parameters!B$65*G9+D9*Parameters!B$65-Parameters!$B$5*D9^2/G9*Parameters!B$65,0.0001)</f>
        <v>4.3615972156223535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7">
        <f>'6states'!$O$4</f>
        <v>0.98104277196026479</v>
      </c>
      <c r="L10" s="9">
        <f t="shared" si="7"/>
        <v>0.5</v>
      </c>
      <c r="M10" s="23">
        <f t="shared" si="3"/>
        <v>2</v>
      </c>
      <c r="N10" s="7">
        <f>(Parameters!$B$19*(E10+Parameters!$B$20)^L10+Parameters!$B$18*F10^L10)^(1/L10)</f>
        <v>0.54568089729446623</v>
      </c>
      <c r="O10" s="7">
        <f>(Parameters!$B$10*G10^Parameters!$B$9 + Parameters!$B$11*N10^Parameters!$B$9) ^ (Parameters!$B$7/Parameters!$B$9) * K10</f>
        <v>1.5027080824649515</v>
      </c>
      <c r="P10" s="7">
        <f t="shared" si="1"/>
        <v>1.1447761414525091</v>
      </c>
      <c r="Q10" s="7">
        <f>EXP(-Parameters!$B$55*A10)</f>
        <v>0.91338299103478215</v>
      </c>
      <c r="R10" s="7">
        <f>IF(P10&gt;0,P10^(1-Parameters!$B$52)/(1-Parameters!$B$52)*Q10,-10+P10*1000)</f>
        <v>-2.4890445864240571</v>
      </c>
      <c r="S10" s="7"/>
      <c r="T10" s="9">
        <f t="shared" si="4"/>
        <v>5.1922910086219437E-2</v>
      </c>
      <c r="U10" s="9">
        <f t="shared" si="5"/>
        <v>1.0018539180782871E-2</v>
      </c>
      <c r="V10" s="7">
        <f t="shared" si="6"/>
        <v>0.29599046945368518</v>
      </c>
      <c r="W10" s="13">
        <f t="shared" si="2"/>
        <v>0.23819126628061546</v>
      </c>
    </row>
    <row r="11" spans="1:23" x14ac:dyDescent="0.3">
      <c r="A11">
        <f>A10+Parameters!$B$65</f>
        <v>7</v>
      </c>
      <c r="B11" s="19">
        <v>5.1922972332227153E-2</v>
      </c>
      <c r="C11" s="45">
        <v>1.0018549772428682E-2</v>
      </c>
      <c r="D11" s="18">
        <v>0.29599070066467048</v>
      </c>
      <c r="E11" s="7">
        <f>MAX((1-Parameters!$B$4)^Parameters!B$65*E10+B10*Parameters!B$65-Parameters!$B$5*B10^2/E10*Parameters!B$65,0.0001)</f>
        <v>0.7835997376961219</v>
      </c>
      <c r="F11" s="9">
        <f>MAX((1-Parameters!$B$4)^Parameters!B$65*F10+C10*Parameters!B$65-Parameters!$B$5*C10^2/F10*Parameters!B$65,0.0001)</f>
        <v>0.15116179491182125</v>
      </c>
      <c r="G11" s="7">
        <f>MAX((1-Parameters!$B$4)^Parameters!B$65*G10+D10*Parameters!B$65-Parameters!$B$5*D10^2/G10*Parameters!B$65,0.0001)</f>
        <v>4.363156482242724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7">
        <f>'6states'!$O$4</f>
        <v>0.98104277196026479</v>
      </c>
      <c r="L11" s="9">
        <f t="shared" si="7"/>
        <v>0.5</v>
      </c>
      <c r="M11" s="23">
        <f t="shared" si="3"/>
        <v>2</v>
      </c>
      <c r="N11" s="7">
        <f>(Parameters!$B$19*(E11+Parameters!$B$20)^L11+Parameters!$B$18*F11^L11)^(1/L11)</f>
        <v>0.54509285188278433</v>
      </c>
      <c r="O11" s="7">
        <f>(Parameters!$B$10*G11^Parameters!$B$9 + Parameters!$B$11*N11^Parameters!$B$9) ^ (Parameters!$B$7/Parameters!$B$9) * K11</f>
        <v>1.5027484650400786</v>
      </c>
      <c r="P11" s="7">
        <f t="shared" si="1"/>
        <v>1.1448162422707522</v>
      </c>
      <c r="Q11" s="7">
        <f>EXP(-Parameters!$B$55*A11)</f>
        <v>0.89969451594850369</v>
      </c>
      <c r="R11" s="7">
        <f>IF(P11&gt;0,P11^(1-Parameters!$B$52)/(1-Parameters!$B$52)*Q11,-10+P11*1000)</f>
        <v>-2.4517122954370092</v>
      </c>
      <c r="S11" s="7"/>
      <c r="T11" s="9">
        <f t="shared" si="4"/>
        <v>5.1922968290484019E-2</v>
      </c>
      <c r="U11" s="9">
        <f t="shared" si="5"/>
        <v>1.0018554695269537E-2</v>
      </c>
      <c r="V11" s="7">
        <f t="shared" si="6"/>
        <v>0.29599069390941629</v>
      </c>
      <c r="W11" s="13">
        <f t="shared" si="2"/>
        <v>0.23818505298541776</v>
      </c>
    </row>
    <row r="12" spans="1:23" x14ac:dyDescent="0.3">
      <c r="A12">
        <f>A11+Parameters!$B$65</f>
        <v>8</v>
      </c>
      <c r="B12" s="19">
        <v>5.1923030590332944E-2</v>
      </c>
      <c r="C12" s="45">
        <v>1.0018570595700976E-2</v>
      </c>
      <c r="D12" s="18">
        <v>0.29599088571770693</v>
      </c>
      <c r="E12" s="7">
        <f>MAX((1-Parameters!$B$4)^Parameters!B$65*E11+B11*Parameters!B$65-Parameters!$B$5*B11^2/E11*Parameters!B$65,0.0001)</f>
        <v>0.78279376080205054</v>
      </c>
      <c r="F12" s="9">
        <f>MAX((1-Parameters!$B$4)^Parameters!B$65*F11+C11*Parameters!B$65-Parameters!$B$5*C11^2/F11*Parameters!B$65,0.0001)</f>
        <v>0.15100826839476028</v>
      </c>
      <c r="G12" s="7">
        <f>MAX((1-Parameters!$B$4)^Parameters!B$65*G11+D11*Parameters!B$65-Parameters!$B$5*D11^2/G11*Parameters!B$65,0.0001)</f>
        <v>4.3646250268859834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7">
        <f>'6states'!$O$4</f>
        <v>0.98104277196026479</v>
      </c>
      <c r="L12" s="9">
        <f t="shared" si="7"/>
        <v>0.5</v>
      </c>
      <c r="M12" s="23">
        <f t="shared" si="3"/>
        <v>2</v>
      </c>
      <c r="N12" s="7">
        <f>(Parameters!$B$19*(E12+Parameters!$B$20)^L12+Parameters!$B$18*F12^L12)^(1/L12)</f>
        <v>0.54453925350614185</v>
      </c>
      <c r="O12" s="7">
        <f>(Parameters!$B$10*G12^Parameters!$B$9 + Parameters!$B$11*N12^Parameters!$B$9) ^ (Parameters!$B$7/Parameters!$B$9) * K12</f>
        <v>1.5027858857125371</v>
      </c>
      <c r="P12" s="7">
        <f t="shared" si="1"/>
        <v>1.1448533988087963</v>
      </c>
      <c r="Q12" s="7">
        <f>EXP(-Parameters!$B$55*A12)</f>
        <v>0.88621118410665478</v>
      </c>
      <c r="R12" s="7">
        <f>IF(P12&gt;0,P12^(1-Parameters!$B$52)/(1-Parameters!$B$52)*Q12,-10+P12*1000)</f>
        <v>-2.4149421129076551</v>
      </c>
      <c r="S12" s="7"/>
      <c r="T12" s="9">
        <f t="shared" si="4"/>
        <v>5.1923037563555631E-2</v>
      </c>
      <c r="U12" s="9">
        <f t="shared" si="5"/>
        <v>1.001856890811194E-2</v>
      </c>
      <c r="V12" s="7">
        <f t="shared" si="6"/>
        <v>0.29599084510869716</v>
      </c>
      <c r="W12" s="13">
        <f t="shared" si="2"/>
        <v>0.23817929773410751</v>
      </c>
    </row>
    <row r="13" spans="1:23" x14ac:dyDescent="0.3">
      <c r="A13">
        <f>A12+Parameters!$B$65</f>
        <v>9</v>
      </c>
      <c r="B13" s="19">
        <v>5.1923109768106809E-2</v>
      </c>
      <c r="C13" s="45">
        <v>1.0018586356206166E-2</v>
      </c>
      <c r="D13" s="18">
        <v>0.29599094894371408</v>
      </c>
      <c r="E13" s="7">
        <f>MAX((1-Parameters!$B$4)^Parameters!B$65*E12+B12*Parameters!B$65-Parameters!$B$5*B12^2/E12*Parameters!B$65,0.0001)</f>
        <v>0.78203498796420456</v>
      </c>
      <c r="F13" s="9">
        <f>MAX((1-Parameters!$B$4)^Parameters!B$65*F12+C12*Parameters!B$65-Parameters!$B$5*C12^2/F12*Parameters!B$65,0.0001)</f>
        <v>0.15086374168348143</v>
      </c>
      <c r="G13" s="7">
        <f>MAX((1-Parameters!$B$4)^Parameters!B$65*G12+D12*Parameters!B$65-Parameters!$B$5*D12^2/G12*Parameters!B$65,0.0001)</f>
        <v>4.3660081161172277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7">
        <f>'6states'!$O$4</f>
        <v>0.98104277196026479</v>
      </c>
      <c r="L13" s="9">
        <f t="shared" si="7"/>
        <v>0.5</v>
      </c>
      <c r="M13" s="23">
        <f t="shared" si="3"/>
        <v>2</v>
      </c>
      <c r="N13" s="7">
        <f>(Parameters!$B$19*(E13+Parameters!$B$20)^L13+Parameters!$B$18*F13^L13)^(1/L13)</f>
        <v>0.5440180827023543</v>
      </c>
      <c r="O13" s="7">
        <f>(Parameters!$B$10*G13^Parameters!$B$9 + Parameters!$B$11*N13^Parameters!$B$9) ^ (Parameters!$B$7/Parameters!$B$9) * K13</f>
        <v>1.5028205845848139</v>
      </c>
      <c r="P13" s="7">
        <f t="shared" si="1"/>
        <v>1.144887939516787</v>
      </c>
      <c r="Q13" s="7">
        <f>EXP(-Parameters!$B$55*A13)</f>
        <v>0.87292992111632683</v>
      </c>
      <c r="R13" s="7">
        <f>IF(P13&gt;0,P13^(1-Parameters!$B$52)/(1-Parameters!$B$52)*Q13,-10+P13*1000)</f>
        <v>-2.3787253036859317</v>
      </c>
      <c r="S13" s="7"/>
      <c r="T13" s="9">
        <f t="shared" si="4"/>
        <v>5.1923116893603884E-2</v>
      </c>
      <c r="U13" s="9">
        <f t="shared" si="5"/>
        <v>1.0018594092327958E-2</v>
      </c>
      <c r="V13" s="7">
        <f t="shared" si="6"/>
        <v>0.29599094486307914</v>
      </c>
      <c r="W13" s="13">
        <f t="shared" si="2"/>
        <v>0.23817390361798482</v>
      </c>
    </row>
    <row r="14" spans="1:23" x14ac:dyDescent="0.3">
      <c r="A14">
        <f>A13+Parameters!$B$65</f>
        <v>10</v>
      </c>
      <c r="B14" s="19">
        <v>5.1923210322371904E-2</v>
      </c>
      <c r="C14" s="45">
        <v>1.0018625325076729E-2</v>
      </c>
      <c r="D14" s="18">
        <v>0.29599099992781658</v>
      </c>
      <c r="E14" s="7">
        <f>MAX((1-Parameters!$B$4)^Parameters!B$65*E13+B13*Parameters!B$65-Parameters!$B$5*B13^2/E13*Parameters!B$65,0.0001)</f>
        <v>0.78132066897209584</v>
      </c>
      <c r="F14" s="9">
        <f>MAX((1-Parameters!$B$4)^Parameters!B$65*F13+C13*Parameters!B$65-Parameters!$B$5*C13^2/F13*Parameters!B$65,0.0001)</f>
        <v>0.15072768261213315</v>
      </c>
      <c r="G14" s="7">
        <f>MAX((1-Parameters!$B$4)^Parameters!B$65*G13+D13*Parameters!B$65-Parameters!$B$5*D13^2/G13*Parameters!B$65,0.0001)</f>
        <v>4.367310622492516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7">
        <f>'6states'!$O$4</f>
        <v>0.98104277196026479</v>
      </c>
      <c r="L14" s="9">
        <f t="shared" si="7"/>
        <v>0.5</v>
      </c>
      <c r="M14" s="23">
        <f t="shared" si="3"/>
        <v>2</v>
      </c>
      <c r="N14" s="7">
        <f>(Parameters!$B$19*(E14+Parameters!$B$20)^L14+Parameters!$B$18*F14^L14)^(1/L14)</f>
        <v>0.54352744566031841</v>
      </c>
      <c r="O14" s="7">
        <f>(Parameters!$B$10*G14^Parameters!$B$9 + Parameters!$B$11*N14^Parameters!$B$9) ^ (Parameters!$B$7/Parameters!$B$9) * K14</f>
        <v>1.5028527740865725</v>
      </c>
      <c r="P14" s="7">
        <f t="shared" si="1"/>
        <v>1.1449199385113074</v>
      </c>
      <c r="Q14" s="7">
        <f>EXP(-Parameters!$B$55*A14)</f>
        <v>0.85984769865920552</v>
      </c>
      <c r="R14" s="7">
        <f>IF(P14&gt;0,P14^(1-Parameters!$B$52)/(1-Parameters!$B$52)*Q14,-10+P14*1000)</f>
        <v>-2.3430534580775944</v>
      </c>
      <c r="S14" s="7"/>
      <c r="T14" s="9">
        <f t="shared" si="4"/>
        <v>5.1923228314208147E-2</v>
      </c>
      <c r="U14" s="9">
        <f t="shared" si="5"/>
        <v>1.0018613676421304E-2</v>
      </c>
      <c r="V14" s="7">
        <f t="shared" si="6"/>
        <v>0.29599096752138288</v>
      </c>
      <c r="W14" s="13">
        <f t="shared" si="2"/>
        <v>0.23816892895101802</v>
      </c>
    </row>
    <row r="15" spans="1:23" x14ac:dyDescent="0.3">
      <c r="A15">
        <f>A14+Parameters!$B$65</f>
        <v>11</v>
      </c>
      <c r="B15" s="19">
        <v>5.1923364852145715E-2</v>
      </c>
      <c r="C15" s="45">
        <v>1.0018629347981015E-2</v>
      </c>
      <c r="D15" s="18">
        <v>0.29599095369261796</v>
      </c>
      <c r="E15" s="7">
        <f>MAX((1-Parameters!$B$4)^Parameters!B$65*E14+B14*Parameters!B$65-Parameters!$B$5*B14^2/E14*Parameters!B$65,0.0001)</f>
        <v>0.7806482160381284</v>
      </c>
      <c r="F15" s="9">
        <f>MAX((1-Parameters!$B$4)^Parameters!B$65*F14+C14*Parameters!B$65-Parameters!$B$5*C14^2/F14*Parameters!B$65,0.0001)</f>
        <v>0.15059961487642964</v>
      </c>
      <c r="G15" s="7">
        <f>MAX((1-Parameters!$B$4)^Parameters!B$65*G14+D14*Parameters!B$65-Parameters!$B$5*D14^2/G14*Parameters!B$65,0.0001)</f>
        <v>4.3685372299310261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7">
        <f>'6states'!$O$4</f>
        <v>0.98104277196026479</v>
      </c>
      <c r="L15" s="9">
        <f t="shared" si="7"/>
        <v>0.5</v>
      </c>
      <c r="M15" s="23">
        <f t="shared" si="3"/>
        <v>2</v>
      </c>
      <c r="N15" s="7">
        <f>(Parameters!$B$19*(E15+Parameters!$B$20)^L15+Parameters!$B$18*F15^L15)^(1/L15)</f>
        <v>0.54306557451108151</v>
      </c>
      <c r="O15" s="7">
        <f>(Parameters!$B$10*G15^Parameters!$B$9 + Parameters!$B$11*N15^Parameters!$B$9) ^ (Parameters!$B$7/Parameters!$B$9) * K15</f>
        <v>1.5028826579014938</v>
      </c>
      <c r="P15" s="7">
        <f t="shared" si="1"/>
        <v>1.1449497100087491</v>
      </c>
      <c r="Q15" s="7">
        <f>EXP(-Parameters!$B$55*A15)</f>
        <v>0.84696153380107075</v>
      </c>
      <c r="R15" s="7">
        <f>IF(P15&gt;0,P15^(1-Parameters!$B$52)/(1-Parameters!$B$52)*Q15,-10+P15*1000)</f>
        <v>-2.3079181268247253</v>
      </c>
      <c r="S15" s="7"/>
      <c r="T15" s="9">
        <f t="shared" si="4"/>
        <v>5.1923364179741159E-2</v>
      </c>
      <c r="U15" s="9">
        <f t="shared" si="5"/>
        <v>1.0018638017698625E-2</v>
      </c>
      <c r="V15" s="7">
        <f t="shared" si="6"/>
        <v>0.29599097212338649</v>
      </c>
      <c r="W15" s="13">
        <f t="shared" si="2"/>
        <v>0.2381642678561039</v>
      </c>
    </row>
    <row r="16" spans="1:23" x14ac:dyDescent="0.3">
      <c r="A16">
        <f>A15+Parameters!$B$65</f>
        <v>12</v>
      </c>
      <c r="B16" s="19">
        <v>5.1923517364705844E-2</v>
      </c>
      <c r="C16" s="45">
        <v>1.0018659380038134E-2</v>
      </c>
      <c r="D16" s="18">
        <v>0.29599096274972492</v>
      </c>
      <c r="E16" s="7">
        <f>MAX((1-Parameters!$B$4)^Parameters!B$65*E15+B15*Parameters!B$65-Parameters!$B$5*B15^2/E15*Parameters!B$65,0.0001)</f>
        <v>0.78001522201470841</v>
      </c>
      <c r="F16" s="9">
        <f>MAX((1-Parameters!$B$4)^Parameters!B$65*F15+C15*Parameters!B$65-Parameters!$B$5*C15^2/F15*Parameters!B$65,0.0001)</f>
        <v>0.1504790397986652</v>
      </c>
      <c r="G16" s="7">
        <f>MAX((1-Parameters!$B$4)^Parameters!B$65*G15+D15*Parameters!B$65-Parameters!$B$5*D15^2/G15*Parameters!B$65,0.0001)</f>
        <v>4.3696922764381263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7">
        <f>'6states'!$O$4</f>
        <v>0.98104277196026479</v>
      </c>
      <c r="L16" s="9">
        <f t="shared" si="7"/>
        <v>0.5</v>
      </c>
      <c r="M16" s="23">
        <f t="shared" si="3"/>
        <v>2</v>
      </c>
      <c r="N16" s="7">
        <f>(Parameters!$B$19*(E16+Parameters!$B$20)^L16+Parameters!$B$18*F16^L16)^(1/L16)</f>
        <v>0.54263079269971592</v>
      </c>
      <c r="O16" s="7">
        <f>(Parameters!$B$10*G16^Parameters!$B$9 + Parameters!$B$11*N16^Parameters!$B$9) ^ (Parameters!$B$7/Parameters!$B$9) * K16</f>
        <v>1.5029104138209191</v>
      </c>
      <c r="P16" s="7">
        <f t="shared" si="1"/>
        <v>1.1449772743264499</v>
      </c>
      <c r="Q16" s="7">
        <f>EXP(-Parameters!$B$55*A16)</f>
        <v>0.83426848831164502</v>
      </c>
      <c r="R16" s="7">
        <f>IF(P16&gt;0,P16^(1-Parameters!$B$52)/(1-Parameters!$B$52)*Q16,-10+P16*1000)</f>
        <v>-2.2733112028607358</v>
      </c>
      <c r="S16" s="7"/>
      <c r="T16" s="9">
        <f t="shared" si="4"/>
        <v>5.1923518010124792E-2</v>
      </c>
      <c r="U16" s="9">
        <f t="shared" si="5"/>
        <v>1.0018656618360643E-2</v>
      </c>
      <c r="V16" s="7">
        <f t="shared" si="6"/>
        <v>0.29599099394883854</v>
      </c>
      <c r="W16" s="13">
        <f t="shared" si="2"/>
        <v>0.23815999689860345</v>
      </c>
    </row>
    <row r="17" spans="1:23" x14ac:dyDescent="0.3">
      <c r="A17">
        <f>A16+Parameters!$B$65</f>
        <v>13</v>
      </c>
      <c r="B17" s="19">
        <v>5.1923671813522823E-2</v>
      </c>
      <c r="C17" s="45">
        <v>1.0018681127062778E-2</v>
      </c>
      <c r="D17" s="18">
        <v>0.29599106540417269</v>
      </c>
      <c r="E17" s="7">
        <f>MAX((1-Parameters!$B$4)^Parameters!B$65*E16+B16*Parameters!B$65-Parameters!$B$5*B16^2/E16*Parameters!B$65,0.0001)</f>
        <v>0.77941937288646623</v>
      </c>
      <c r="F17" s="9">
        <f>MAX((1-Parameters!$B$4)^Parameters!B$65*F16+C16*Parameters!B$65-Parameters!$B$5*C16^2/F16*Parameters!B$65,0.0001)</f>
        <v>0.1503655408857531</v>
      </c>
      <c r="G17" s="7">
        <f>MAX((1-Parameters!$B$4)^Parameters!B$65*G16+D16*Parameters!B$65-Parameters!$B$5*D16^2/G16*Parameters!B$65,0.0001)</f>
        <v>4.3707799794922026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7">
        <f>'6states'!$O$4</f>
        <v>0.98104277196026479</v>
      </c>
      <c r="L17" s="9">
        <f t="shared" si="7"/>
        <v>0.5</v>
      </c>
      <c r="M17" s="23">
        <f t="shared" si="3"/>
        <v>2</v>
      </c>
      <c r="N17" s="7">
        <f>(Parameters!$B$19*(E17+Parameters!$B$20)^L17+Parameters!$B$18*F17^L17)^(1/L17)</f>
        <v>0.54222152482270658</v>
      </c>
      <c r="O17" s="7">
        <f>(Parameters!$B$10*G17^Parameters!$B$9 + Parameters!$B$11*N17^Parameters!$B$9) ^ (Parameters!$B$7/Parameters!$B$9) * K17</f>
        <v>1.5029362154150838</v>
      </c>
      <c r="P17" s="7">
        <f t="shared" si="1"/>
        <v>1.1450027970703256</v>
      </c>
      <c r="Q17" s="7">
        <f>EXP(-Parameters!$B$55*A17)</f>
        <v>0.82176566799463491</v>
      </c>
      <c r="R17" s="7">
        <f>IF(P17&gt;0,P17^(1-Parameters!$B$52)/(1-Parameters!$B$52)*Q17,-10+P17*1000)</f>
        <v>-2.2392246029617664</v>
      </c>
      <c r="S17" s="7"/>
      <c r="T17" s="9">
        <f t="shared" si="4"/>
        <v>5.1923451809196358E-2</v>
      </c>
      <c r="U17" s="9">
        <f t="shared" si="5"/>
        <v>1.0018634582096009E-2</v>
      </c>
      <c r="V17" s="7">
        <f t="shared" si="6"/>
        <v>0.29599144578102971</v>
      </c>
      <c r="W17" s="13">
        <f t="shared" si="2"/>
        <v>0.23815609383389802</v>
      </c>
    </row>
    <row r="18" spans="1:23" x14ac:dyDescent="0.3">
      <c r="A18">
        <f>A17+Parameters!$B$65</f>
        <v>14</v>
      </c>
      <c r="B18" s="19">
        <v>5.1923166249360414E-2</v>
      </c>
      <c r="C18" s="45">
        <v>1.0018563239187114E-2</v>
      </c>
      <c r="D18" s="18">
        <v>0.29599230918919134</v>
      </c>
      <c r="E18" s="7">
        <f>MAX((1-Parameters!$B$4)^Parameters!B$65*E17+B17*Parameters!B$65-Parameters!$B$5*B17^2/E17*Parameters!B$65,0.0001)</f>
        <v>0.77885849418957953</v>
      </c>
      <c r="F18" s="9">
        <f>MAX((1-Parameters!$B$4)^Parameters!B$65*F17+C17*Parameters!B$65-Parameters!$B$5*C17^2/F17*Parameters!B$65,0.0001)</f>
        <v>0.15025869641846787</v>
      </c>
      <c r="G18" s="7">
        <f>MAX((1-Parameters!$B$4)^Parameters!B$65*G17+D17*Parameters!B$65-Parameters!$B$5*D17^2/G17*Parameters!B$65,0.0001)</f>
        <v>4.3718043442798988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7">
        <f>'6states'!$O$4</f>
        <v>0.98104277196026479</v>
      </c>
      <c r="L18" s="9">
        <f t="shared" si="7"/>
        <v>0.5</v>
      </c>
      <c r="M18" s="23">
        <f t="shared" si="3"/>
        <v>2</v>
      </c>
      <c r="N18" s="7">
        <f>(Parameters!$B$19*(E18+Parameters!$B$20)^L18+Parameters!$B$18*F18^L18)^(1/L18)</f>
        <v>0.54183627297738335</v>
      </c>
      <c r="O18" s="7">
        <f>(Parameters!$B$10*G18^Parameters!$B$9 + Parameters!$B$11*N18^Parameters!$B$9) ^ (Parameters!$B$7/Parameters!$B$9) * K18</f>
        <v>1.50296022174278</v>
      </c>
      <c r="P18" s="7">
        <f t="shared" si="1"/>
        <v>1.145026183065041</v>
      </c>
      <c r="Q18" s="7">
        <f>EXP(-Parameters!$B$55*A18)</f>
        <v>0.80945022202781236</v>
      </c>
      <c r="R18" s="7">
        <f>IF(P18&gt;0,P18^(1-Parameters!$B$52)/(1-Parameters!$B$52)*Q18,-10+P18*1000)</f>
        <v>-2.2056505470942249</v>
      </c>
      <c r="S18" s="7"/>
      <c r="T18" s="9">
        <f t="shared" si="4"/>
        <v>5.1923334770747877E-2</v>
      </c>
      <c r="U18" s="9">
        <f t="shared" si="5"/>
        <v>1.0018602535145671E-2</v>
      </c>
      <c r="V18" s="7">
        <f t="shared" si="6"/>
        <v>0.29599189459418512</v>
      </c>
      <c r="W18" s="13">
        <f t="shared" si="2"/>
        <v>0.23815270257964055</v>
      </c>
    </row>
    <row r="19" spans="1:23" x14ac:dyDescent="0.3">
      <c r="A19">
        <f>A18+Parameters!$B$65</f>
        <v>15</v>
      </c>
      <c r="B19" s="46">
        <f>B18</f>
        <v>5.1923166249360414E-2</v>
      </c>
      <c r="C19" s="46">
        <f t="shared" ref="C19:D19" si="8">C18</f>
        <v>1.0018563239187114E-2</v>
      </c>
      <c r="D19" s="46">
        <f t="shared" si="8"/>
        <v>0.29599230918919134</v>
      </c>
      <c r="E19" s="7">
        <f>MAX((1-Parameters!$B$4)^Parameters!B$65*E18+B18*Parameters!B$65-Parameters!$B$5*B18^2/E18*Parameters!B$65,0.0001)</f>
        <v>0.77832996562798606</v>
      </c>
      <c r="F19" s="9">
        <f>MAX((1-Parameters!$B$4)^Parameters!B$65*F18+C18*Parameters!B$65-Parameters!$B$5*C18^2/F18*Parameters!B$65,0.0001)</f>
        <v>0.15015799563802823</v>
      </c>
      <c r="G19" s="7">
        <f>MAX((1-Parameters!$B$4)^Parameters!B$65*G18+D18*Parameters!B$65-Parameters!$B$5*D18^2/G18*Parameters!B$65,0.0001)</f>
        <v>4.372770048580394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7">
        <f>'6states'!$O$4</f>
        <v>0.98104277196026479</v>
      </c>
      <c r="L19" s="9">
        <f t="shared" si="7"/>
        <v>0.5</v>
      </c>
      <c r="M19" s="23">
        <f t="shared" si="3"/>
        <v>2</v>
      </c>
      <c r="N19" s="7">
        <f>(Parameters!$B$19*(E19+Parameters!$B$20)^L19+Parameters!$B$18*F19^L19)^(1/L19)</f>
        <v>0.54147323065961039</v>
      </c>
      <c r="O19" s="7">
        <f>(Parameters!$B$10*G19^Parameters!$B$9 + Parameters!$B$11*N19^Parameters!$B$9) ^ (Parameters!$B$7/Parameters!$B$9) * K19</f>
        <v>1.5029825901622811</v>
      </c>
      <c r="P19" s="7">
        <f t="shared" si="1"/>
        <v>1.1450485514845421</v>
      </c>
      <c r="Q19" s="7">
        <f>EXP(-Parameters!$B$55*A19)</f>
        <v>0.79731934231298707</v>
      </c>
      <c r="R19" s="7">
        <f>IF(P19&gt;0,P19^(1-Parameters!$B$52)/(1-Parameters!$B$52)*Q19,-10+P19*1000)</f>
        <v>-2.172580563526096</v>
      </c>
      <c r="S19" s="7"/>
      <c r="T19" s="9"/>
      <c r="U19" s="9"/>
      <c r="V19" s="7"/>
      <c r="W19" s="13">
        <f t="shared" si="2"/>
        <v>0.23814915822750268</v>
      </c>
    </row>
    <row r="20" spans="1:23" x14ac:dyDescent="0.3">
      <c r="A20">
        <f>A19+Parameters!$B$65</f>
        <v>16</v>
      </c>
      <c r="B20" s="19">
        <v>5.1923367561679458E-2</v>
      </c>
      <c r="C20" s="45">
        <v>1.0018606122652445E-2</v>
      </c>
      <c r="D20" s="18">
        <v>0.29599242145708876</v>
      </c>
      <c r="E20" s="7">
        <f>MAX((1-Parameters!$B$4)^Parameters!B$65*E19+B19*Parameters!B$65-Parameters!$B$5*B19^2/E19*Parameters!B$65,0.0001)</f>
        <v>0.77783233096837612</v>
      </c>
      <c r="F20" s="9">
        <f>MAX((1-Parameters!$B$4)^Parameters!B$65*F19+C19*Parameters!B$65-Parameters!$B$5*C19^2/F19*Parameters!B$65,0.0001)</f>
        <v>0.15006318095975271</v>
      </c>
      <c r="G20" s="7">
        <f>MAX((1-Parameters!$B$4)^Parameters!B$65*G19+D19*Parameters!B$65-Parameters!$B$5*D19^2/G19*Parameters!B$65,0.0001)</f>
        <v>4.3736794358383797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7">
        <f>'6states'!$O$4</f>
        <v>0.98104277196026479</v>
      </c>
      <c r="L20" s="9">
        <f t="shared" si="7"/>
        <v>0.5</v>
      </c>
      <c r="M20" s="23">
        <f t="shared" si="3"/>
        <v>2</v>
      </c>
      <c r="N20" s="7">
        <f>(Parameters!$B$19*(E20+Parameters!$B$20)^L20+Parameters!$B$18*F20^L20)^(1/L20)</f>
        <v>0.54113140905908774</v>
      </c>
      <c r="O20" s="7">
        <f>(Parameters!$B$10*G20^Parameters!$B$9 + Parameters!$B$11*N20^Parameters!$B$9) ^ (Parameters!$B$7/Parameters!$B$9) * K20</f>
        <v>1.5030034068486184</v>
      </c>
      <c r="P20" s="7">
        <f t="shared" si="1"/>
        <v>1.1450690117071978</v>
      </c>
      <c r="Q20" s="7">
        <f>EXP(-Parameters!$B$55*A20)</f>
        <v>0.7853702628357192</v>
      </c>
      <c r="R20" s="7">
        <f>IF(P20&gt;0,P20^(1-Parameters!$B$52)/(1-Parameters!$B$52)*Q20,-10+P20*1000)</f>
        <v>-2.1400076566485944</v>
      </c>
      <c r="S20" s="7"/>
      <c r="T20" s="9"/>
      <c r="U20" s="9"/>
      <c r="V20" s="7"/>
      <c r="W20" s="13">
        <f t="shared" si="2"/>
        <v>0.23814609701511583</v>
      </c>
    </row>
    <row r="21" spans="1:23" x14ac:dyDescent="0.3">
      <c r="A21">
        <f>A20+Parameters!$B$65</f>
        <v>17</v>
      </c>
      <c r="B21" s="46">
        <f>B20</f>
        <v>5.1923367561679458E-2</v>
      </c>
      <c r="C21" s="46">
        <f t="shared" ref="C21:D21" si="9">C20</f>
        <v>1.0018606122652445E-2</v>
      </c>
      <c r="D21" s="46">
        <f t="shared" si="9"/>
        <v>0.29599242145708876</v>
      </c>
      <c r="E21" s="7">
        <f>MAX((1-Parameters!$B$4)^Parameters!B$65*E20+B20*Parameters!B$65-Parameters!$B$5*B20^2/E20*Parameters!B$65,0.0001)</f>
        <v>0.777363955895777</v>
      </c>
      <c r="F21" s="9">
        <f>MAX((1-Parameters!$B$4)^Parameters!B$65*F20+C20*Parameters!B$65-Parameters!$B$5*C20^2/F20*Parameters!B$65,0.0001)</f>
        <v>0.14997394494060404</v>
      </c>
      <c r="G21" s="7">
        <f>MAX((1-Parameters!$B$4)^Parameters!B$65*G20+D20*Parameters!B$65-Parameters!$B$5*D20^2/G20*Parameters!B$65,0.0001)</f>
        <v>4.3745358855840877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7">
        <f>'6states'!$O$4</f>
        <v>0.98104277196026479</v>
      </c>
      <c r="L21" s="9">
        <f t="shared" si="7"/>
        <v>0.5</v>
      </c>
      <c r="M21" s="23">
        <f t="shared" si="3"/>
        <v>2</v>
      </c>
      <c r="N21" s="7">
        <f>(Parameters!$B$19*(E21+Parameters!$B$20)^L21+Parameters!$B$18*F21^L21)^(1/L21)</f>
        <v>0.54080968785245942</v>
      </c>
      <c r="O21" s="7">
        <f>(Parameters!$B$10*G21^Parameters!$B$9 + Parameters!$B$11*N21^Parameters!$B$9) ^ (Parameters!$B$7/Parameters!$B$9) * K21</f>
        <v>1.5030228174438103</v>
      </c>
      <c r="P21" s="7">
        <f t="shared" si="1"/>
        <v>1.1450884223023896</v>
      </c>
      <c r="Q21" s="7">
        <f>EXP(-Parameters!$B$55*A21)</f>
        <v>0.7736002590346287</v>
      </c>
      <c r="R21" s="7">
        <f>IF(P21&gt;0,P21^(1-Parameters!$B$52)/(1-Parameters!$B$52)*Q21,-10+P21*1000)</f>
        <v>-2.1079237829691064</v>
      </c>
      <c r="S21" s="7"/>
      <c r="T21" s="9"/>
      <c r="U21" s="9"/>
      <c r="V21" s="7"/>
      <c r="W21" s="13">
        <f t="shared" si="2"/>
        <v>0.23814302150792321</v>
      </c>
    </row>
    <row r="22" spans="1:23" x14ac:dyDescent="0.3">
      <c r="A22">
        <f>A21+Parameters!$B$65</f>
        <v>18</v>
      </c>
      <c r="B22" s="19">
        <v>5.1923434333508496E-2</v>
      </c>
      <c r="C22" s="45">
        <v>1.0018768133109802E-2</v>
      </c>
      <c r="D22" s="18">
        <v>0.2959927970315957</v>
      </c>
      <c r="E22" s="7">
        <f>MAX((1-Parameters!$B$4)^Parameters!B$65*E21+B21*Parameters!B$65-Parameters!$B$5*B21^2/E21*Parameters!B$65,0.0001)</f>
        <v>0.7769229532373586</v>
      </c>
      <c r="F22" s="9">
        <f>MAX((1-Parameters!$B$4)^Parameters!B$65*F21+C21*Parameters!B$65-Parameters!$B$5*C21^2/F21*Parameters!B$65,0.0001)</f>
        <v>0.14988992388377687</v>
      </c>
      <c r="G22" s="7">
        <f>MAX((1-Parameters!$B$4)^Parameters!B$65*G21+D21*Parameters!B$65-Parameters!$B$5*D21^2/G21*Parameters!B$65,0.0001)</f>
        <v>4.3753423864289935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7">
        <f>'6states'!$O$4</f>
        <v>0.98104277196026479</v>
      </c>
      <c r="L22" s="9">
        <f t="shared" si="7"/>
        <v>0.5</v>
      </c>
      <c r="M22" s="23">
        <f t="shared" si="3"/>
        <v>2</v>
      </c>
      <c r="N22" s="7">
        <f>(Parameters!$B$19*(E22+Parameters!$B$20)^L22+Parameters!$B$18*F22^L22)^(1/L22)</f>
        <v>0.54050676837026568</v>
      </c>
      <c r="O22" s="7">
        <f>(Parameters!$B$10*G22^Parameters!$B$9 + Parameters!$B$11*N22^Parameters!$B$9) ^ (Parameters!$B$7/Parameters!$B$9) * K22</f>
        <v>1.5030409006643337</v>
      </c>
      <c r="P22" s="7">
        <f t="shared" si="1"/>
        <v>1.1451059011661198</v>
      </c>
      <c r="Q22" s="7">
        <f>EXP(-Parameters!$B$55*A22)</f>
        <v>0.76200664718015654</v>
      </c>
      <c r="R22" s="7">
        <f>IF(P22&gt;0,P22^(1-Parameters!$B$52)/(1-Parameters!$B$52)*Q22,-10+P22*1000)</f>
        <v>-2.0763221500328792</v>
      </c>
      <c r="S22" s="7"/>
      <c r="T22" s="9"/>
      <c r="U22" s="9"/>
      <c r="V22" s="7"/>
      <c r="W22" s="13">
        <f t="shared" si="2"/>
        <v>0.23814055847715734</v>
      </c>
    </row>
    <row r="23" spans="1:23" x14ac:dyDescent="0.3">
      <c r="A23">
        <f>A22+Parameters!$B$65</f>
        <v>19</v>
      </c>
      <c r="B23" s="46">
        <f>B22</f>
        <v>5.1923434333508496E-2</v>
      </c>
      <c r="C23" s="46">
        <f t="shared" ref="C23:D23" si="10">C22</f>
        <v>1.0018768133109802E-2</v>
      </c>
      <c r="D23" s="46">
        <f t="shared" si="10"/>
        <v>0.2959927970315957</v>
      </c>
      <c r="E23" s="7">
        <f>MAX((1-Parameters!$B$4)^Parameters!B$65*E22+B22*Parameters!B$65-Parameters!$B$5*B22^2/E22*Parameters!B$65,0.0001)</f>
        <v>0.7765077788608975</v>
      </c>
      <c r="F23" s="9">
        <f>MAX((1-Parameters!$B$4)^Parameters!B$65*F22+C22*Parameters!B$65-Parameters!$B$5*C22^2/F22*Parameters!B$65,0.0001)</f>
        <v>0.14981095294598598</v>
      </c>
      <c r="G23" s="7">
        <f>MAX((1-Parameters!$B$4)^Parameters!B$65*G22+D22*Parameters!B$65-Parameters!$B$5*D22^2/G22*Parameters!B$65,0.0001)</f>
        <v>4.3761021747923472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7">
        <f>'6states'!$O$4</f>
        <v>0.98104277196026479</v>
      </c>
      <c r="L23" s="9">
        <f t="shared" si="7"/>
        <v>0.5</v>
      </c>
      <c r="M23" s="23">
        <f t="shared" si="3"/>
        <v>2</v>
      </c>
      <c r="N23" s="7">
        <f>(Parameters!$B$19*(E23+Parameters!$B$20)^L23+Parameters!$B$18*F23^L23)^(1/L23)</f>
        <v>0.54022166459616461</v>
      </c>
      <c r="O23" s="7">
        <f>(Parameters!$B$10*G23^Parameters!$B$9 + Parameters!$B$11*N23^Parameters!$B$9) ^ (Parameters!$B$7/Parameters!$B$9) * K23</f>
        <v>1.5030578011240492</v>
      </c>
      <c r="P23" s="7">
        <f t="shared" si="1"/>
        <v>1.1451228016258352</v>
      </c>
      <c r="Q23" s="7">
        <f>EXP(-Parameters!$B$55*A23)</f>
        <v>0.75058678376263543</v>
      </c>
      <c r="R23" s="7">
        <f>IF(P23&gt;0,P23^(1-Parameters!$B$52)/(1-Parameters!$B$52)*Q23,-10+P23*1000)</f>
        <v>-2.0451946451022511</v>
      </c>
      <c r="S23" s="7"/>
      <c r="T23" s="9"/>
      <c r="U23" s="9"/>
      <c r="V23" s="7"/>
      <c r="W23" s="13">
        <f t="shared" si="2"/>
        <v>0.23813788081239146</v>
      </c>
    </row>
    <row r="24" spans="1:23" x14ac:dyDescent="0.3">
      <c r="A24">
        <f>A23+Parameters!$B$65</f>
        <v>20</v>
      </c>
      <c r="B24" s="19">
        <v>5.192351339681784E-2</v>
      </c>
      <c r="C24" s="45">
        <v>1.0018652250690263E-2</v>
      </c>
      <c r="D24" s="18">
        <v>0.29599355613290212</v>
      </c>
      <c r="E24" s="7">
        <f>MAX((1-Parameters!$B$4)^Parameters!B$65*E23+B23*Parameters!B$65-Parameters!$B$5*B23^2/E23*Parameters!B$65,0.0001)</f>
        <v>0.77611686356960519</v>
      </c>
      <c r="F24" s="9">
        <f>MAX((1-Parameters!$B$4)^Parameters!B$65*F23+C23*Parameters!B$65-Parameters!$B$5*C23^2/F23*Parameters!B$65,0.0001)</f>
        <v>0.14973659627592639</v>
      </c>
      <c r="G24" s="7">
        <f>MAX((1-Parameters!$B$4)^Parameters!B$65*G23+D23*Parameters!B$65-Parameters!$B$5*D23^2/G23*Parameters!B$65,0.0001)</f>
        <v>4.3768176490732493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7">
        <f>'6states'!$O$4</f>
        <v>0.98104277196026479</v>
      </c>
      <c r="L24" s="9">
        <f t="shared" si="7"/>
        <v>0.5</v>
      </c>
      <c r="M24" s="23">
        <f t="shared" si="3"/>
        <v>2</v>
      </c>
      <c r="N24" s="7">
        <f>(Parameters!$B$19*(E24+Parameters!$B$20)^L24+Parameters!$B$18*F24^L24)^(1/L24)</f>
        <v>0.53995321969069277</v>
      </c>
      <c r="O24" s="7">
        <f>(Parameters!$B$10*G24^Parameters!$B$9 + Parameters!$B$11*N24^Parameters!$B$9) ^ (Parameters!$B$7/Parameters!$B$9) * K24</f>
        <v>1.5030735616475273</v>
      </c>
      <c r="P24" s="7">
        <f t="shared" si="1"/>
        <v>1.145137839867117</v>
      </c>
      <c r="Q24" s="7">
        <f>EXP(-Parameters!$B$55*A24)</f>
        <v>0.7393380648895318</v>
      </c>
      <c r="R24" s="7">
        <f>IF(P24&gt;0,P24^(1-Parameters!$B$52)/(1-Parameters!$B$52)*Q24,-10+P24*1000)</f>
        <v>-2.0145349397426506</v>
      </c>
      <c r="S24" s="7"/>
      <c r="T24" s="9"/>
      <c r="U24" s="9"/>
      <c r="V24" s="7"/>
      <c r="W24" s="13">
        <f t="shared" si="2"/>
        <v>0.23813586434723455</v>
      </c>
    </row>
    <row r="25" spans="1:23" x14ac:dyDescent="0.3">
      <c r="A25">
        <f>A24+Parameters!$B$65</f>
        <v>21</v>
      </c>
      <c r="B25" s="46">
        <f>B24</f>
        <v>5.192351339681784E-2</v>
      </c>
      <c r="C25" s="46">
        <f t="shared" ref="C25:D28" si="11">C24</f>
        <v>1.0018652250690263E-2</v>
      </c>
      <c r="D25" s="46">
        <f t="shared" si="11"/>
        <v>0.29599355613290212</v>
      </c>
      <c r="E25" s="7">
        <f>MAX((1-Parameters!$B$4)^Parameters!B$65*E24+B24*Parameters!B$65-Parameters!$B$5*B24^2/E24*Parameters!B$65,0.0001)</f>
        <v>0.77574885654899994</v>
      </c>
      <c r="F25" s="9">
        <f>MAX((1-Parameters!$B$4)^Parameters!B$65*F24+C24*Parameters!B$65-Parameters!$B$5*C24^2/F24*Parameters!B$65,0.0001)</f>
        <v>0.14966648354653819</v>
      </c>
      <c r="G25" s="7">
        <f>MAX((1-Parameters!$B$4)^Parameters!B$65*G24+D24*Parameters!B$65-Parameters!$B$5*D24^2/G24*Parameters!B$65,0.0001)</f>
        <v>4.3774920491826821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7">
        <f>'6states'!$O$4</f>
        <v>0.98104277196026479</v>
      </c>
      <c r="L25" s="9">
        <f t="shared" si="7"/>
        <v>0.5</v>
      </c>
      <c r="M25" s="23">
        <f t="shared" si="3"/>
        <v>2</v>
      </c>
      <c r="N25" s="7">
        <f>(Parameters!$B$19*(E25+Parameters!$B$20)^L25+Parameters!$B$18*F25^L25)^(1/L25)</f>
        <v>0.53970044061814748</v>
      </c>
      <c r="O25" s="7">
        <f>(Parameters!$B$10*G25^Parameters!$B$9 + Parameters!$B$11*N25^Parameters!$B$9) ^ (Parameters!$B$7/Parameters!$B$9) * K25</f>
        <v>1.5030883173024756</v>
      </c>
      <c r="P25" s="7">
        <f t="shared" si="1"/>
        <v>1.1451525955220654</v>
      </c>
      <c r="Q25" s="7">
        <f>EXP(-Parameters!$B$55*A25)</f>
        <v>0.72825792569172154</v>
      </c>
      <c r="R25" s="7">
        <f>IF(P25&gt;0,P25^(1-Parameters!$B$52)/(1-Parameters!$B$52)*Q25,-10+P25*1000)</f>
        <v>-1.9843350284148717</v>
      </c>
      <c r="S25" s="7"/>
      <c r="T25" s="9"/>
      <c r="U25" s="9"/>
      <c r="V25" s="7"/>
      <c r="W25" s="13">
        <f t="shared" si="2"/>
        <v>0.23813352659328843</v>
      </c>
    </row>
    <row r="26" spans="1:23" x14ac:dyDescent="0.3">
      <c r="A26">
        <f>A25+Parameters!$B$65</f>
        <v>22</v>
      </c>
      <c r="B26" s="46">
        <f t="shared" ref="B26:B28" si="12">B25</f>
        <v>5.192351339681784E-2</v>
      </c>
      <c r="C26" s="46">
        <f t="shared" si="11"/>
        <v>1.0018652250690263E-2</v>
      </c>
      <c r="D26" s="46">
        <f t="shared" si="11"/>
        <v>0.29599355613290212</v>
      </c>
      <c r="E26" s="7">
        <f>MAX((1-Parameters!$B$4)^Parameters!B$65*E25+B25*Parameters!B$65-Parameters!$B$5*B25^2/E25*Parameters!B$65,0.0001)</f>
        <v>0.77540234925053031</v>
      </c>
      <c r="F26" s="9">
        <f>MAX((1-Parameters!$B$4)^Parameters!B$65*F25+C25*Parameters!B$65-Parameters!$B$5*C25^2/F25*Parameters!B$65,0.0001)</f>
        <v>0.14960046688373754</v>
      </c>
      <c r="G26" s="7">
        <f>MAX((1-Parameters!$B$4)^Parameters!B$65*G25+D25*Parameters!B$65-Parameters!$B$5*D25^2/G25*Parameters!B$65,0.0001)</f>
        <v>4.3781271134113053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7">
        <f>'6states'!$O$4</f>
        <v>0.98104277196026479</v>
      </c>
      <c r="L26" s="9">
        <f t="shared" si="7"/>
        <v>0.5</v>
      </c>
      <c r="M26" s="23">
        <f t="shared" si="3"/>
        <v>2</v>
      </c>
      <c r="N26" s="7">
        <f>(Parameters!$B$19*(E26+Parameters!$B$20)^L26+Parameters!$B$18*F26^L26)^(1/L26)</f>
        <v>0.53946242937958955</v>
      </c>
      <c r="O26" s="7">
        <f>(Parameters!$B$10*G26^Parameters!$B$9 + Parameters!$B$11*N26^Parameters!$B$9) ^ (Parameters!$B$7/Parameters!$B$9) * K26</f>
        <v>1.5031020904688155</v>
      </c>
      <c r="P26" s="7">
        <f t="shared" si="1"/>
        <v>1.1451663686884053</v>
      </c>
      <c r="Q26" s="7">
        <f>EXP(-Parameters!$B$55*A26)</f>
        <v>0.71734383973866223</v>
      </c>
      <c r="R26" s="7">
        <f>IF(P26&gt;0,P26^(1-Parameters!$B$52)/(1-Parameters!$B$52)*Q26,-10+P26*1000)</f>
        <v>-1.9545884312661717</v>
      </c>
      <c r="S26" s="7"/>
      <c r="T26" s="9"/>
      <c r="U26" s="9"/>
      <c r="V26" s="7"/>
      <c r="W26" s="13">
        <f t="shared" si="2"/>
        <v>0.2381313445374629</v>
      </c>
    </row>
    <row r="27" spans="1:23" x14ac:dyDescent="0.3">
      <c r="A27">
        <f>A26+Parameters!$B$65</f>
        <v>23</v>
      </c>
      <c r="B27" s="46">
        <f t="shared" si="12"/>
        <v>5.192351339681784E-2</v>
      </c>
      <c r="C27" s="46">
        <f t="shared" si="11"/>
        <v>1.0018652250690263E-2</v>
      </c>
      <c r="D27" s="46">
        <f t="shared" si="11"/>
        <v>0.29599355613290212</v>
      </c>
      <c r="E27" s="7">
        <f>MAX((1-Parameters!$B$4)^Parameters!B$65*E26+B26*Parameters!B$65-Parameters!$B$5*B26^2/E26*Parameters!B$65,0.0001)</f>
        <v>0.7750760841866936</v>
      </c>
      <c r="F27" s="9">
        <f>MAX((1-Parameters!$B$4)^Parameters!B$65*F26+C26*Parameters!B$65-Parameters!$B$5*C26^2/F26*Parameters!B$65,0.0001)</f>
        <v>0.14953830672153254</v>
      </c>
      <c r="G27" s="7">
        <f>MAX((1-Parameters!$B$4)^Parameters!B$65*G26+D26*Parameters!B$65-Parameters!$B$5*D26^2/G26*Parameters!B$65,0.0001)</f>
        <v>4.3787251352429681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7">
        <f>'6states'!$O$4</f>
        <v>0.98104277196026479</v>
      </c>
      <c r="L27" s="9">
        <f t="shared" si="7"/>
        <v>0.5</v>
      </c>
      <c r="M27" s="23">
        <f t="shared" si="3"/>
        <v>2</v>
      </c>
      <c r="N27" s="7">
        <f>(Parameters!$B$19*(E27+Parameters!$B$20)^L27+Parameters!$B$18*F27^L27)^(1/L27)</f>
        <v>0.53923832222990298</v>
      </c>
      <c r="O27" s="7">
        <f>(Parameters!$B$10*G27^Parameters!$B$9 + Parameters!$B$11*N27^Parameters!$B$9) ^ (Parameters!$B$7/Parameters!$B$9) * K27</f>
        <v>1.5031149520355256</v>
      </c>
      <c r="P27" s="7">
        <f t="shared" si="1"/>
        <v>1.1451792302551154</v>
      </c>
      <c r="Q27" s="7">
        <f>EXP(-Parameters!$B$55*A27)</f>
        <v>0.70659331846233153</v>
      </c>
      <c r="R27" s="7">
        <f>IF(P27&gt;0,P27^(1-Parameters!$B$52)/(1-Parameters!$B$52)*Q27,-10+P27*1000)</f>
        <v>-1.9252882933259363</v>
      </c>
      <c r="S27" s="7"/>
      <c r="T27" s="9"/>
      <c r="U27" s="9"/>
      <c r="V27" s="7"/>
      <c r="W27" s="13">
        <f t="shared" si="2"/>
        <v>0.23812930694069134</v>
      </c>
    </row>
    <row r="28" spans="1:23" x14ac:dyDescent="0.3">
      <c r="A28">
        <f>A27+Parameters!$B$65</f>
        <v>24</v>
      </c>
      <c r="B28" s="46">
        <f t="shared" si="12"/>
        <v>5.192351339681784E-2</v>
      </c>
      <c r="C28" s="46">
        <f t="shared" si="11"/>
        <v>1.0018652250690263E-2</v>
      </c>
      <c r="D28" s="46">
        <f t="shared" si="11"/>
        <v>0.29599355613290212</v>
      </c>
      <c r="E28" s="7">
        <f>MAX((1-Parameters!$B$4)^Parameters!B$65*E27+B27*Parameters!B$65-Parameters!$B$5*B27^2/E27*Parameters!B$65,0.0001)</f>
        <v>0.77476887757897606</v>
      </c>
      <c r="F28" s="9">
        <f>MAX((1-Parameters!$B$4)^Parameters!B$65*F27+C27*Parameters!B$65-Parameters!$B$5*C27^2/F27*Parameters!B$65,0.0001)</f>
        <v>0.14947977753557104</v>
      </c>
      <c r="G28" s="7">
        <f>MAX((1-Parameters!$B$4)^Parameters!B$65*G27+D27*Parameters!B$65-Parameters!$B$5*D27^2/G27*Parameters!B$65,0.0001)</f>
        <v>4.3792882745383537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7">
        <f>'6states'!$O$4</f>
        <v>0.98104277196026479</v>
      </c>
      <c r="L28" s="9">
        <f t="shared" si="7"/>
        <v>0.5</v>
      </c>
      <c r="M28" s="23">
        <f t="shared" si="3"/>
        <v>2</v>
      </c>
      <c r="N28" s="7">
        <f>(Parameters!$B$19*(E28+Parameters!$B$20)^L28+Parameters!$B$18*F28^L28)^(1/L28)</f>
        <v>0.53902730605287708</v>
      </c>
      <c r="O28" s="7">
        <f>(Parameters!$B$10*G28^Parameters!$B$9 + Parameters!$B$11*N28^Parameters!$B$9) ^ (Parameters!$B$7/Parameters!$B$9) * K28</f>
        <v>1.503126967252262</v>
      </c>
      <c r="P28" s="7">
        <f t="shared" si="1"/>
        <v>1.1451912454718518</v>
      </c>
      <c r="Q28" s="7">
        <f>EXP(-Parameters!$B$55*A28)</f>
        <v>0.69600391058979738</v>
      </c>
      <c r="R28" s="7">
        <f>IF(P28&gt;0,P28^(1-Parameters!$B$52)/(1-Parameters!$B$52)*Q28,-10+P28*1000)</f>
        <v>-1.8964278679311983</v>
      </c>
      <c r="S28" s="7"/>
      <c r="T28" s="9"/>
      <c r="U28" s="9"/>
      <c r="V28" s="7"/>
      <c r="W28" s="13">
        <f t="shared" si="2"/>
        <v>0.2381274034586193</v>
      </c>
    </row>
    <row r="29" spans="1:23" x14ac:dyDescent="0.3">
      <c r="A29">
        <f>A28+Parameters!$B$65</f>
        <v>25</v>
      </c>
      <c r="B29" s="19">
        <v>5.1923637967104946E-2</v>
      </c>
      <c r="C29" s="45">
        <v>1.0018690688175931E-2</v>
      </c>
      <c r="D29" s="18">
        <v>0.29599393902119808</v>
      </c>
      <c r="E29" s="7">
        <f>MAX((1-Parameters!$B$4)^Parameters!B$65*E28+B28*Parameters!B$65-Parameters!$B$5*B28^2/E28*Parameters!B$65,0.0001)</f>
        <v>0.77447961501942675</v>
      </c>
      <c r="F29" s="9">
        <f>MAX((1-Parameters!$B$4)^Parameters!B$65*F28+C28*Parameters!B$65-Parameters!$B$5*C28^2/F28*Parameters!B$65,0.0001)</f>
        <v>0.14942466701675222</v>
      </c>
      <c r="G29" s="7">
        <f>MAX((1-Parameters!$B$4)^Parameters!B$65*G28+D28*Parameters!B$65-Parameters!$B$5*D28^2/G28*Parameters!B$65,0.0001)</f>
        <v>4.3798185653089119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7">
        <f>'6states'!$O$4</f>
        <v>0.98104277196026479</v>
      </c>
      <c r="L29" s="9">
        <f t="shared" si="7"/>
        <v>0.5</v>
      </c>
      <c r="M29" s="23">
        <f t="shared" si="3"/>
        <v>2</v>
      </c>
      <c r="N29" s="7">
        <f>(Parameters!$B$19*(E29+Parameters!$B$20)^L29+Parameters!$B$18*F29^L29)^(1/L29)</f>
        <v>0.53882861538129401</v>
      </c>
      <c r="O29" s="7">
        <f>(Parameters!$B$10*G29^Parameters!$B$9 + Parameters!$B$11*N29^Parameters!$B$9) ^ (Parameters!$B$7/Parameters!$B$9) * K29</f>
        <v>1.5031381962232315</v>
      </c>
      <c r="P29" s="7">
        <f t="shared" si="1"/>
        <v>1.1452019285467527</v>
      </c>
      <c r="Q29" s="7">
        <f>EXP(-Parameters!$B$55*A29)</f>
        <v>0.68557320158429325</v>
      </c>
      <c r="R29" s="7">
        <f>IF(P29&gt;0,P29^(1-Parameters!$B$52)/(1-Parameters!$B$52)*Q29,-10+P29*1000)</f>
        <v>-1.8680008262142114</v>
      </c>
      <c r="S29" s="7"/>
      <c r="T29" s="9"/>
      <c r="U29" s="9"/>
      <c r="V29" s="7"/>
      <c r="W29" s="13">
        <f t="shared" si="2"/>
        <v>0.23812598773407906</v>
      </c>
    </row>
    <row r="30" spans="1:23" x14ac:dyDescent="0.3">
      <c r="A30">
        <f>A29+Parameters!$B$65</f>
        <v>26</v>
      </c>
      <c r="B30" s="46">
        <f>B29</f>
        <v>5.1923637967104946E-2</v>
      </c>
      <c r="C30" s="46">
        <f t="shared" ref="C30:D33" si="13">C29</f>
        <v>1.0018690688175931E-2</v>
      </c>
      <c r="D30" s="46">
        <f t="shared" si="13"/>
        <v>0.29599393902119808</v>
      </c>
      <c r="E30" s="7">
        <f>MAX((1-Parameters!$B$4)^Parameters!B$65*E29+B29*Parameters!B$65-Parameters!$B$5*B29^2/E29*Parameters!B$65,0.0001)</f>
        <v>0.77420735525667705</v>
      </c>
      <c r="F30" s="9">
        <f>MAX((1-Parameters!$B$4)^Parameters!B$65*F29+C29*Parameters!B$65-Parameters!$B$5*C29^2/F29*Parameters!B$65,0.0001)</f>
        <v>0.14937280857699486</v>
      </c>
      <c r="G30" s="7">
        <f>MAX((1-Parameters!$B$4)^Parameters!B$65*G29+D29*Parameters!B$65-Parameters!$B$5*D29^2/G29*Parameters!B$65,0.0001)</f>
        <v>4.3803182541759247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7">
        <f>'6states'!$O$4</f>
        <v>0.98104277196026479</v>
      </c>
      <c r="L30" s="9">
        <f t="shared" si="7"/>
        <v>0.5</v>
      </c>
      <c r="M30" s="23">
        <f t="shared" si="3"/>
        <v>2</v>
      </c>
      <c r="N30" s="7">
        <f>(Parameters!$B$19*(E30+Parameters!$B$20)^L30+Parameters!$B$18*F30^L30)^(1/L30)</f>
        <v>0.5386416110323089</v>
      </c>
      <c r="O30" s="7">
        <f>(Parameters!$B$10*G30^Parameters!$B$9 + Parameters!$B$11*N30^Parameters!$B$9) ^ (Parameters!$B$7/Parameters!$B$9) * K30</f>
        <v>1.503148735154157</v>
      </c>
      <c r="P30" s="7">
        <f t="shared" si="1"/>
        <v>1.1452124674776782</v>
      </c>
      <c r="Q30" s="7">
        <f>EXP(-Parameters!$B$55*A30)</f>
        <v>0.67529881309466844</v>
      </c>
      <c r="R30" s="7">
        <f>IF(P30&gt;0,P30^(1-Parameters!$B$52)/(1-Parameters!$B$52)*Q30,-10+P30*1000)</f>
        <v>-1.8399999807905332</v>
      </c>
      <c r="S30" s="7"/>
      <c r="T30" s="9"/>
      <c r="U30" s="9"/>
      <c r="V30" s="7"/>
      <c r="W30" s="13">
        <f t="shared" si="2"/>
        <v>0.23812431817651791</v>
      </c>
    </row>
    <row r="31" spans="1:23" x14ac:dyDescent="0.3">
      <c r="A31">
        <f>A30+Parameters!$B$65</f>
        <v>27</v>
      </c>
      <c r="B31" s="46">
        <f t="shared" ref="B31:B33" si="14">B30</f>
        <v>5.1923637967104946E-2</v>
      </c>
      <c r="C31" s="46">
        <f t="shared" si="13"/>
        <v>1.0018690688175931E-2</v>
      </c>
      <c r="D31" s="46">
        <f t="shared" si="13"/>
        <v>0.29599393902119808</v>
      </c>
      <c r="E31" s="7">
        <f>MAX((1-Parameters!$B$4)^Parameters!B$65*E30+B30*Parameters!B$65-Parameters!$B$5*B30^2/E30*Parameters!B$65,0.0001)</f>
        <v>0.77395099644983623</v>
      </c>
      <c r="F31" s="9">
        <f>MAX((1-Parameters!$B$4)^Parameters!B$65*F30+C30*Parameters!B$65-Parameters!$B$5*C30^2/F30*Parameters!B$65,0.0001)</f>
        <v>0.14932397882289908</v>
      </c>
      <c r="G31" s="7">
        <f>MAX((1-Parameters!$B$4)^Parameters!B$65*G30+D30*Parameters!B$65-Parameters!$B$5*D30^2/G30*Parameters!B$65,0.0001)</f>
        <v>4.3807887945495416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7">
        <f>'6states'!$O$4</f>
        <v>0.98104277196026479</v>
      </c>
      <c r="L31" s="9">
        <f t="shared" si="7"/>
        <v>0.5</v>
      </c>
      <c r="M31" s="23">
        <f t="shared" si="3"/>
        <v>2</v>
      </c>
      <c r="N31" s="7">
        <f>(Parameters!$B$19*(E31+Parameters!$B$20)^L31+Parameters!$B$18*F31^L31)^(1/L31)</f>
        <v>0.53846552839420259</v>
      </c>
      <c r="O31" s="7">
        <f>(Parameters!$B$10*G31^Parameters!$B$9 + Parameters!$B$11*N31^Parameters!$B$9) ^ (Parameters!$B$7/Parameters!$B$9) * K31</f>
        <v>1.5031585919988153</v>
      </c>
      <c r="P31" s="7">
        <f t="shared" si="1"/>
        <v>1.1452223243223365</v>
      </c>
      <c r="Q31" s="7">
        <f>EXP(-Parameters!$B$55*A31)</f>
        <v>0.66517840241309079</v>
      </c>
      <c r="R31" s="7">
        <f>IF(P31&gt;0,P31^(1-Parameters!$B$52)/(1-Parameters!$B$52)*Q31,-10+P31*1000)</f>
        <v>-1.8124192386063038</v>
      </c>
      <c r="S31" s="7"/>
      <c r="T31" s="9"/>
      <c r="U31" s="9"/>
      <c r="V31" s="7"/>
      <c r="W31" s="13">
        <f t="shared" si="2"/>
        <v>0.23812275669496427</v>
      </c>
    </row>
    <row r="32" spans="1:23" x14ac:dyDescent="0.3">
      <c r="A32">
        <f>A31+Parameters!$B$65</f>
        <v>28</v>
      </c>
      <c r="B32" s="46">
        <f t="shared" si="14"/>
        <v>5.1923637967104946E-2</v>
      </c>
      <c r="C32" s="46">
        <f t="shared" si="13"/>
        <v>1.0018690688175931E-2</v>
      </c>
      <c r="D32" s="46">
        <f t="shared" si="13"/>
        <v>0.29599393902119808</v>
      </c>
      <c r="E32" s="7">
        <f>MAX((1-Parameters!$B$4)^Parameters!B$65*E31+B31*Parameters!B$65-Parameters!$B$5*B31^2/E31*Parameters!B$65,0.0001)</f>
        <v>0.77370960913820708</v>
      </c>
      <c r="F32" s="9">
        <f>MAX((1-Parameters!$B$4)^Parameters!B$65*F31+C31*Parameters!B$65-Parameters!$B$5*C31^2/F31*Parameters!B$65,0.0001)</f>
        <v>0.14927800072223127</v>
      </c>
      <c r="G32" s="7">
        <f>MAX((1-Parameters!$B$4)^Parameters!B$65*G31+D31*Parameters!B$65-Parameters!$B$5*D31^2/G31*Parameters!B$65,0.0001)</f>
        <v>4.3812318862812445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7">
        <f>'6states'!$O$4</f>
        <v>0.98104277196026479</v>
      </c>
      <c r="L32" s="9">
        <f t="shared" si="7"/>
        <v>0.5</v>
      </c>
      <c r="M32" s="23">
        <f t="shared" si="3"/>
        <v>2</v>
      </c>
      <c r="N32" s="7">
        <f>(Parameters!$B$19*(E32+Parameters!$B$20)^L32+Parameters!$B$18*F32^L32)^(1/L32)</f>
        <v>0.53829972906102153</v>
      </c>
      <c r="O32" s="7">
        <f>(Parameters!$B$10*G32^Parameters!$B$9 + Parameters!$B$11*N32^Parameters!$B$9) ^ (Parameters!$B$7/Parameters!$B$9) * K32</f>
        <v>1.5031678140801215</v>
      </c>
      <c r="P32" s="7">
        <f t="shared" si="1"/>
        <v>1.1452315464036427</v>
      </c>
      <c r="Q32" s="7">
        <f>EXP(-Parameters!$B$55*A32)</f>
        <v>0.65520966194087471</v>
      </c>
      <c r="R32" s="7">
        <f>IF(P32&gt;0,P32^(1-Parameters!$B$52)/(1-Parameters!$B$52)*Q32,-10+P32*1000)</f>
        <v>-1.7852522652664948</v>
      </c>
      <c r="S32" s="7"/>
      <c r="T32" s="9"/>
      <c r="U32" s="9"/>
      <c r="V32" s="7"/>
      <c r="W32" s="13">
        <f t="shared" si="2"/>
        <v>0.23812129578860203</v>
      </c>
    </row>
    <row r="33" spans="1:23" x14ac:dyDescent="0.3">
      <c r="A33">
        <f>A32+Parameters!$B$65</f>
        <v>29</v>
      </c>
      <c r="B33" s="46">
        <f t="shared" si="14"/>
        <v>5.1923637967104946E-2</v>
      </c>
      <c r="C33" s="46">
        <f t="shared" si="13"/>
        <v>1.0018690688175931E-2</v>
      </c>
      <c r="D33" s="46">
        <f t="shared" si="13"/>
        <v>0.29599393902119808</v>
      </c>
      <c r="E33" s="7">
        <f>MAX((1-Parameters!$B$4)^Parameters!B$65*E32+B32*Parameters!B$65-Parameters!$B$5*B32^2/E32*Parameters!B$65,0.0001)</f>
        <v>0.77348231827952019</v>
      </c>
      <c r="F33" s="9">
        <f>MAX((1-Parameters!$B$4)^Parameters!B$65*F32+C32*Parameters!B$65-Parameters!$B$5*C32^2/F32*Parameters!B$65,0.0001)</f>
        <v>0.14923470760726962</v>
      </c>
      <c r="G33" s="7">
        <f>MAX((1-Parameters!$B$4)^Parameters!B$65*G32+D32*Parameters!B$65-Parameters!$B$5*D32^2/G32*Parameters!B$65,0.0001)</f>
        <v>4.3816491301463962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7">
        <f>'6states'!$O$4</f>
        <v>0.98104277196026479</v>
      </c>
      <c r="L33" s="9">
        <f t="shared" si="7"/>
        <v>0.5</v>
      </c>
      <c r="M33" s="23">
        <f t="shared" si="3"/>
        <v>2</v>
      </c>
      <c r="N33" s="7">
        <f>(Parameters!$B$19*(E33+Parameters!$B$20)^L33+Parameters!$B$18*F33^L33)^(1/L33)</f>
        <v>0.53814361200419925</v>
      </c>
      <c r="O33" s="7">
        <f>(Parameters!$B$10*G33^Parameters!$B$9 + Parameters!$B$11*N33^Parameters!$B$9) ^ (Parameters!$B$7/Parameters!$B$9) * K33</f>
        <v>1.5031764451210274</v>
      </c>
      <c r="P33" s="7">
        <f t="shared" si="1"/>
        <v>1.1452401774445486</v>
      </c>
      <c r="Q33" s="7">
        <f>EXP(-Parameters!$B$55*A33)</f>
        <v>0.64539031866231678</v>
      </c>
      <c r="R33" s="7">
        <f>IF(P33&gt;0,P33^(1-Parameters!$B$52)/(1-Parameters!$B$52)*Q33,-10+P33*1000)</f>
        <v>-1.7584928246794871</v>
      </c>
      <c r="S33" s="7"/>
      <c r="T33" s="9"/>
      <c r="U33" s="9"/>
      <c r="V33" s="7"/>
      <c r="W33" s="13">
        <f t="shared" si="2"/>
        <v>0.23811992852752553</v>
      </c>
    </row>
    <row r="34" spans="1:23" x14ac:dyDescent="0.3">
      <c r="A34">
        <f>A33+Parameters!$B$65</f>
        <v>30</v>
      </c>
      <c r="B34" s="19">
        <v>5.1923682538251872E-2</v>
      </c>
      <c r="C34" s="45">
        <v>1.001871672679267E-2</v>
      </c>
      <c r="D34" s="18">
        <v>0.29599440575353192</v>
      </c>
      <c r="E34" s="7">
        <f>MAX((1-Parameters!$B$4)^Parameters!B$65*E33+B33*Parameters!B$65-Parameters!$B$5*B33^2/E33*Parameters!B$65,0.0001)</f>
        <v>0.77326830005390379</v>
      </c>
      <c r="F34" s="9">
        <f>MAX((1-Parameters!$B$4)^Parameters!B$65*F33+C33*Parameters!B$65-Parameters!$B$5*C33^2/F33*Parameters!B$65,0.0001)</f>
        <v>0.14919394256613858</v>
      </c>
      <c r="G34" s="7">
        <f>MAX((1-Parameters!$B$4)^Parameters!B$65*G33+D33*Parameters!B$65-Parameters!$B$5*D33^2/G33*Parameters!B$65,0.0001)</f>
        <v>4.3820420336127608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7">
        <f>'6states'!$O$4</f>
        <v>0.98104277196026479</v>
      </c>
      <c r="L34" s="9">
        <f t="shared" si="7"/>
        <v>0.5</v>
      </c>
      <c r="M34" s="23">
        <f t="shared" si="3"/>
        <v>2</v>
      </c>
      <c r="N34" s="7">
        <f>(Parameters!$B$19*(E34+Parameters!$B$20)^L34+Parameters!$B$18*F34^L34)^(1/L34)</f>
        <v>0.53799661137738497</v>
      </c>
      <c r="O34" s="7">
        <f>(Parameters!$B$10*G34^Parameters!$B$9 + Parameters!$B$11*N34^Parameters!$B$9) ^ (Parameters!$B$7/Parameters!$B$9) * K34</f>
        <v>1.5031845255473566</v>
      </c>
      <c r="P34" s="7">
        <f t="shared" si="1"/>
        <v>1.1452477205287801</v>
      </c>
      <c r="Q34" s="7">
        <f>EXP(-Parameters!$B$55*A34)</f>
        <v>0.63571813362641427</v>
      </c>
      <c r="R34" s="7">
        <f>IF(P34&gt;0,P34^(1-Parameters!$B$52)/(1-Parameters!$B$52)*Q34,-10+P34*1000)</f>
        <v>-1.7321350617137929</v>
      </c>
      <c r="S34" s="7"/>
      <c r="T34" s="9"/>
      <c r="U34" s="9"/>
      <c r="V34" s="7"/>
      <c r="W34" s="13">
        <f t="shared" si="2"/>
        <v>0.23811900597382776</v>
      </c>
    </row>
    <row r="35" spans="1:23" x14ac:dyDescent="0.3">
      <c r="A35">
        <f>A34+Parameters!$B$65</f>
        <v>31</v>
      </c>
      <c r="B35" s="46">
        <f>B34</f>
        <v>5.1923682538251872E-2</v>
      </c>
      <c r="C35" s="46">
        <f t="shared" ref="C35:D43" si="15">C34</f>
        <v>1.001871672679267E-2</v>
      </c>
      <c r="D35" s="46">
        <f t="shared" si="15"/>
        <v>0.29599440575353192</v>
      </c>
      <c r="E35" s="7">
        <f>MAX((1-Parameters!$B$4)^Parameters!B$65*E34+B34*Parameters!B$65-Parameters!$B$5*B34^2/E34*Parameters!B$65,0.0001)</f>
        <v>0.7730668174420563</v>
      </c>
      <c r="F35" s="9">
        <f>MAX((1-Parameters!$B$4)^Parameters!B$65*F34+C34*Parameters!B$65-Parameters!$B$5*C34^2/F34*Parameters!B$65,0.0001)</f>
        <v>0.14915558041161076</v>
      </c>
      <c r="G35" s="7">
        <f>MAX((1-Parameters!$B$4)^Parameters!B$65*G34+D34*Parameters!B$65-Parameters!$B$5*D34^2/G34*Parameters!B$65,0.0001)</f>
        <v>4.3824124199533783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7">
        <f>'6states'!$O$4</f>
        <v>0.98104277196026479</v>
      </c>
      <c r="L35" s="9">
        <f t="shared" si="7"/>
        <v>0.5</v>
      </c>
      <c r="M35" s="23">
        <f t="shared" si="3"/>
        <v>2</v>
      </c>
      <c r="N35" s="7">
        <f>(Parameters!$B$19*(E35+Parameters!$B$20)^L35+Parameters!$B$18*F35^L35)^(1/L35)</f>
        <v>0.53785822971894515</v>
      </c>
      <c r="O35" s="7">
        <f>(Parameters!$B$10*G35^Parameters!$B$9 + Parameters!$B$11*N35^Parameters!$B$9) ^ (Parameters!$B$7/Parameters!$B$9) * K35</f>
        <v>1.5031921319314878</v>
      </c>
      <c r="P35" s="7">
        <f t="shared" si="1"/>
        <v>1.1452553269129113</v>
      </c>
      <c r="Q35" s="7">
        <f>EXP(-Parameters!$B$55*A35)</f>
        <v>0.62619090143635336</v>
      </c>
      <c r="R35" s="7">
        <f>IF(P35&gt;0,P35^(1-Parameters!$B$52)/(1-Parameters!$B$52)*Q35,-10+P35*1000)</f>
        <v>-1.7061723379906317</v>
      </c>
      <c r="S35" s="7"/>
      <c r="T35" s="9"/>
      <c r="U35" s="9"/>
      <c r="V35" s="7"/>
      <c r="W35" s="13">
        <f t="shared" si="2"/>
        <v>0.23811780105491559</v>
      </c>
    </row>
    <row r="36" spans="1:23" x14ac:dyDescent="0.3">
      <c r="A36">
        <f>A35+Parameters!$B$65</f>
        <v>32</v>
      </c>
      <c r="B36" s="46">
        <f t="shared" ref="B36:B43" si="16">B35</f>
        <v>5.1923682538251872E-2</v>
      </c>
      <c r="C36" s="46">
        <f t="shared" si="15"/>
        <v>1.001871672679267E-2</v>
      </c>
      <c r="D36" s="46">
        <f t="shared" si="15"/>
        <v>0.29599440575353192</v>
      </c>
      <c r="E36" s="7">
        <f>MAX((1-Parameters!$B$4)^Parameters!B$65*E35+B35*Parameters!B$65-Parameters!$B$5*B35^2/E35*Parameters!B$65,0.0001)</f>
        <v>0.77287709938486848</v>
      </c>
      <c r="F36" s="9">
        <f>MAX((1-Parameters!$B$4)^Parameters!B$65*F35+C35*Parameters!B$65-Parameters!$B$5*C35^2/F35*Parameters!B$65,0.0001)</f>
        <v>0.14911945820059444</v>
      </c>
      <c r="G36" s="7">
        <f>MAX((1-Parameters!$B$4)^Parameters!B$65*G35+D35*Parameters!B$65-Parameters!$B$5*D35^2/G35*Parameters!B$65,0.0001)</f>
        <v>4.3827611987810222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7">
        <f>'6states'!$O$4</f>
        <v>0.98104277196026479</v>
      </c>
      <c r="L36" s="9">
        <f t="shared" si="7"/>
        <v>0.5</v>
      </c>
      <c r="M36" s="23">
        <f t="shared" si="3"/>
        <v>2</v>
      </c>
      <c r="N36" s="7">
        <f>(Parameters!$B$19*(E36+Parameters!$B$20)^L36+Parameters!$B$18*F36^L36)^(1/L36)</f>
        <v>0.53772792814376813</v>
      </c>
      <c r="O36" s="7">
        <f>(Parameters!$B$10*G36^Parameters!$B$9 + Parameters!$B$11*N36^Parameters!$B$9) ^ (Parameters!$B$7/Parameters!$B$9) * K36</f>
        <v>1.503199257444388</v>
      </c>
      <c r="P36" s="7">
        <f t="shared" si="1"/>
        <v>1.1452624524258115</v>
      </c>
      <c r="Q36" s="7">
        <f>EXP(-Parameters!$B$55*A36)</f>
        <v>0.61680644974664667</v>
      </c>
      <c r="R36" s="7">
        <f>IF(P36&gt;0,P36^(1-Parameters!$B$52)/(1-Parameters!$B$52)*Q36,-10+P36*1000)</f>
        <v>-1.6805990128079171</v>
      </c>
      <c r="S36" s="7"/>
      <c r="T36" s="9"/>
      <c r="U36" s="9"/>
      <c r="V36" s="7"/>
      <c r="W36" s="13">
        <f t="shared" ref="W36:W64" si="17">(B36+C36+D36)/O36</f>
        <v>0.23811667232134631</v>
      </c>
    </row>
    <row r="37" spans="1:23" x14ac:dyDescent="0.3">
      <c r="A37">
        <f>A36+Parameters!$B$65</f>
        <v>33</v>
      </c>
      <c r="B37" s="46">
        <f t="shared" si="16"/>
        <v>5.1923682538251872E-2</v>
      </c>
      <c r="C37" s="46">
        <f t="shared" si="15"/>
        <v>1.001871672679267E-2</v>
      </c>
      <c r="D37" s="46">
        <f t="shared" si="15"/>
        <v>0.29599440575353192</v>
      </c>
      <c r="E37" s="7">
        <f>MAX((1-Parameters!$B$4)^Parameters!B$65*E36+B36*Parameters!B$65-Parameters!$B$5*B36^2/E36*Parameters!B$65,0.0001)</f>
        <v>0.77269845851777907</v>
      </c>
      <c r="F37" s="9">
        <f>MAX((1-Parameters!$B$4)^Parameters!B$65*F36+C36*Parameters!B$65-Parameters!$B$5*C36^2/F36*Parameters!B$65,0.0001)</f>
        <v>0.14908544506272897</v>
      </c>
      <c r="G37" s="7">
        <f>MAX((1-Parameters!$B$4)^Parameters!B$65*G36+D36*Parameters!B$65-Parameters!$B$5*D36^2/G36*Parameters!B$65,0.0001)</f>
        <v>4.383089630368703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7">
        <f>'6states'!$O$4</f>
        <v>0.98104277196026479</v>
      </c>
      <c r="L37" s="9">
        <f t="shared" si="7"/>
        <v>0.5</v>
      </c>
      <c r="M37" s="23">
        <f t="shared" si="3"/>
        <v>2</v>
      </c>
      <c r="N37" s="7">
        <f>(Parameters!$B$19*(E37+Parameters!$B$20)^L37+Parameters!$B$18*F37^L37)^(1/L37)</f>
        <v>0.53760523456022902</v>
      </c>
      <c r="O37" s="7">
        <f>(Parameters!$B$10*G37^Parameters!$B$9 + Parameters!$B$11*N37^Parameters!$B$9) ^ (Parameters!$B$7/Parameters!$B$9) * K37</f>
        <v>1.5032059343071096</v>
      </c>
      <c r="P37" s="7">
        <f t="shared" si="1"/>
        <v>1.1452691292885331</v>
      </c>
      <c r="Q37" s="7">
        <f>EXP(-Parameters!$B$55*A37)</f>
        <v>0.60756263876780681</v>
      </c>
      <c r="R37" s="7">
        <f>IF(P37&gt;0,P37^(1-Parameters!$B$52)/(1-Parameters!$B$52)*Q37,-10+P37*1000)</f>
        <v>-1.6554092258171595</v>
      </c>
      <c r="S37" s="7"/>
      <c r="T37" s="9"/>
      <c r="U37" s="9"/>
      <c r="V37" s="7"/>
      <c r="W37" s="13">
        <f t="shared" si="17"/>
        <v>0.2381156146669714</v>
      </c>
    </row>
    <row r="38" spans="1:23" x14ac:dyDescent="0.3">
      <c r="A38">
        <f>A37+Parameters!$B$65</f>
        <v>34</v>
      </c>
      <c r="B38" s="46">
        <f t="shared" si="16"/>
        <v>5.1923682538251872E-2</v>
      </c>
      <c r="C38" s="46">
        <f t="shared" si="15"/>
        <v>1.001871672679267E-2</v>
      </c>
      <c r="D38" s="46">
        <f t="shared" si="15"/>
        <v>0.29599440575353192</v>
      </c>
      <c r="E38" s="7">
        <f>MAX((1-Parameters!$B$4)^Parameters!B$65*E37+B37*Parameters!B$65-Parameters!$B$5*B37^2/E37*Parameters!B$65,0.0001)</f>
        <v>0.77253024768549461</v>
      </c>
      <c r="F38" s="9">
        <f>MAX((1-Parameters!$B$4)^Parameters!B$65*F37+C37*Parameters!B$65-Parameters!$B$5*C37^2/F37*Parameters!B$65,0.0001)</f>
        <v>0.14905341778302214</v>
      </c>
      <c r="G38" s="7">
        <f>MAX((1-Parameters!$B$4)^Parameters!B$65*G37+D37*Parameters!B$65-Parameters!$B$5*D37^2/G37*Parameters!B$65,0.0001)</f>
        <v>4.3833989015127797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7">
        <f>'6states'!$O$4</f>
        <v>0.98104277196026479</v>
      </c>
      <c r="L38" s="9">
        <f t="shared" si="7"/>
        <v>0.5</v>
      </c>
      <c r="M38" s="23">
        <f t="shared" si="3"/>
        <v>2</v>
      </c>
      <c r="N38" s="7">
        <f>(Parameters!$B$19*(E38+Parameters!$B$20)^L38+Parameters!$B$18*F38^L38)^(1/L38)</f>
        <v>0.53748970449284761</v>
      </c>
      <c r="O38" s="7">
        <f>(Parameters!$B$10*G38^Parameters!$B$9 + Parameters!$B$11*N38^Parameters!$B$9) ^ (Parameters!$B$7/Parameters!$B$9) * K38</f>
        <v>1.5032121923946329</v>
      </c>
      <c r="P38" s="7">
        <f t="shared" si="1"/>
        <v>1.1452753873760564</v>
      </c>
      <c r="Q38" s="7">
        <f>EXP(-Parameters!$B$55*A38)</f>
        <v>0.59845736077844469</v>
      </c>
      <c r="R38" s="7">
        <f>IF(P38&gt;0,P38^(1-Parameters!$B$52)/(1-Parameters!$B$52)*Q38,-10+P38*1000)</f>
        <v>-1.63059720657927</v>
      </c>
      <c r="S38" s="7"/>
      <c r="T38" s="9"/>
      <c r="U38" s="9"/>
      <c r="V38" s="7"/>
      <c r="W38" s="13">
        <f t="shared" si="17"/>
        <v>0.23811462335758424</v>
      </c>
    </row>
    <row r="39" spans="1:23" x14ac:dyDescent="0.3">
      <c r="A39">
        <f>A38+Parameters!$B$65</f>
        <v>35</v>
      </c>
      <c r="B39" s="46">
        <f t="shared" si="16"/>
        <v>5.1923682538251872E-2</v>
      </c>
      <c r="C39" s="46">
        <f t="shared" si="15"/>
        <v>1.001871672679267E-2</v>
      </c>
      <c r="D39" s="46">
        <f t="shared" si="15"/>
        <v>0.29599440575353192</v>
      </c>
      <c r="E39" s="7">
        <f>MAX((1-Parameters!$B$4)^Parameters!B$65*E38+B38*Parameters!B$65-Parameters!$B$5*B38^2/E38*Parameters!B$65,0.0001)</f>
        <v>0.77237185758435634</v>
      </c>
      <c r="F39" s="9">
        <f>MAX((1-Parameters!$B$4)^Parameters!B$65*F38+C38*Parameters!B$65-Parameters!$B$5*C38^2/F38*Parameters!B$65,0.0001)</f>
        <v>0.14902326035301269</v>
      </c>
      <c r="G39" s="7">
        <f>MAX((1-Parameters!$B$4)^Parameters!B$65*G38+D38*Parameters!B$65-Parameters!$B$5*D38^2/G38*Parameters!B$65,0.0001)</f>
        <v>4.3836901298134379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7">
        <f>'6states'!$O$4</f>
        <v>0.98104277196026479</v>
      </c>
      <c r="L39" s="9">
        <f t="shared" si="7"/>
        <v>0.5</v>
      </c>
      <c r="M39" s="23">
        <f t="shared" si="3"/>
        <v>2</v>
      </c>
      <c r="N39" s="7">
        <f>(Parameters!$B$19*(E39+Parameters!$B$20)^L39+Parameters!$B$18*F39^L39)^(1/L39)</f>
        <v>0.53738091946305722</v>
      </c>
      <c r="O39" s="7">
        <f>(Parameters!$B$10*G39^Parameters!$B$9 + Parameters!$B$11*N39^Parameters!$B$9) ^ (Parameters!$B$7/Parameters!$B$9) * K39</f>
        <v>1.5032180594246334</v>
      </c>
      <c r="P39" s="7">
        <f t="shared" si="1"/>
        <v>1.1452812544060569</v>
      </c>
      <c r="Q39" s="7">
        <f>EXP(-Parameters!$B$55*A39)</f>
        <v>0.58948853964467807</v>
      </c>
      <c r="R39" s="7">
        <f>IF(P39&gt;0,P39^(1-Parameters!$B$52)/(1-Parameters!$B$52)*Q39,-10+P39*1000)</f>
        <v>-1.6061572730287135</v>
      </c>
      <c r="S39" s="7"/>
      <c r="T39" s="9"/>
      <c r="U39" s="9"/>
      <c r="V39" s="7"/>
      <c r="W39" s="13">
        <f t="shared" si="17"/>
        <v>0.2381136940009749</v>
      </c>
    </row>
    <row r="40" spans="1:23" x14ac:dyDescent="0.3">
      <c r="A40">
        <f>A39+Parameters!$B$65</f>
        <v>36</v>
      </c>
      <c r="B40" s="46">
        <f t="shared" si="16"/>
        <v>5.1923682538251872E-2</v>
      </c>
      <c r="C40" s="46">
        <f t="shared" si="15"/>
        <v>1.001871672679267E-2</v>
      </c>
      <c r="D40" s="46">
        <f t="shared" si="15"/>
        <v>0.29599440575353192</v>
      </c>
      <c r="E40" s="7">
        <f>MAX((1-Parameters!$B$4)^Parameters!B$65*E39+B39*Parameters!B$65-Parameters!$B$5*B39^2/E39*Parameters!B$65,0.0001)</f>
        <v>0.77222271454355718</v>
      </c>
      <c r="F40" s="9">
        <f>MAX((1-Parameters!$B$4)^Parameters!B$65*F39+C39*Parameters!B$65-Parameters!$B$5*C39^2/F39*Parameters!B$65,0.0001)</f>
        <v>0.14899486354836358</v>
      </c>
      <c r="G40" s="7">
        <f>MAX((1-Parameters!$B$4)^Parameters!B$65*G39+D39*Parameters!B$65-Parameters!$B$5*D39^2/G39*Parameters!B$65,0.0001)</f>
        <v>4.3839643677061924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7">
        <f>'6states'!$O$4</f>
        <v>0.98104277196026479</v>
      </c>
      <c r="L40" s="9">
        <f t="shared" si="7"/>
        <v>0.5</v>
      </c>
      <c r="M40" s="23">
        <f t="shared" si="3"/>
        <v>2</v>
      </c>
      <c r="N40" s="7">
        <f>(Parameters!$B$19*(E40+Parameters!$B$20)^L40+Parameters!$B$18*F40^L40)^(1/L40)</f>
        <v>0.53727848546533497</v>
      </c>
      <c r="O40" s="7">
        <f>(Parameters!$B$10*G40^Parameters!$B$9 + Parameters!$B$11*N40^Parameters!$B$9) ^ (Parameters!$B$7/Parameters!$B$9) * K40</f>
        <v>1.5032235611295122</v>
      </c>
      <c r="P40" s="7">
        <f t="shared" si="1"/>
        <v>1.1452867561109357</v>
      </c>
      <c r="Q40" s="7">
        <f>EXP(-Parameters!$B$55*A40)</f>
        <v>0.58065413034674362</v>
      </c>
      <c r="R40" s="7">
        <f>IF(P40&gt;0,P40^(1-Parameters!$B$52)/(1-Parameters!$B$52)*Q40,-10+P40*1000)</f>
        <v>-1.5820838299789863</v>
      </c>
      <c r="S40" s="7"/>
      <c r="T40" s="9"/>
      <c r="U40" s="9"/>
      <c r="V40" s="7"/>
      <c r="W40" s="13">
        <f t="shared" si="17"/>
        <v>0.23811282251964247</v>
      </c>
    </row>
    <row r="41" spans="1:23" x14ac:dyDescent="0.3">
      <c r="A41">
        <f>A40+Parameters!$B$65</f>
        <v>37</v>
      </c>
      <c r="B41" s="46">
        <f t="shared" si="16"/>
        <v>5.1923682538251872E-2</v>
      </c>
      <c r="C41" s="46">
        <f t="shared" si="15"/>
        <v>1.001871672679267E-2</v>
      </c>
      <c r="D41" s="46">
        <f t="shared" si="15"/>
        <v>0.29599440575353192</v>
      </c>
      <c r="E41" s="7">
        <f>MAX((1-Parameters!$B$4)^Parameters!B$65*E40+B40*Parameters!B$65-Parameters!$B$5*B40^2/E40*Parameters!B$65,0.0001)</f>
        <v>0.77208227843696442</v>
      </c>
      <c r="F41" s="9">
        <f>MAX((1-Parameters!$B$4)^Parameters!B$65*F40+C40*Parameters!B$65-Parameters!$B$5*C40^2/F40*Parameters!B$65,0.0001)</f>
        <v>0.14896812453131703</v>
      </c>
      <c r="G41" s="7">
        <f>MAX((1-Parameters!$B$4)^Parameters!B$65*G40+D40*Parameters!B$65-Parameters!$B$5*D40^2/G40*Parameters!B$65,0.0001)</f>
        <v>4.3842226062588434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7">
        <f>'6states'!$O$4</f>
        <v>0.98104277196026479</v>
      </c>
      <c r="L41" s="9">
        <f t="shared" si="7"/>
        <v>0.5</v>
      </c>
      <c r="M41" s="23">
        <f t="shared" si="3"/>
        <v>2</v>
      </c>
      <c r="N41" s="7">
        <f>(Parameters!$B$19*(E41+Parameters!$B$20)^L41+Parameters!$B$18*F41^L41)^(1/L41)</f>
        <v>0.53718203153303112</v>
      </c>
      <c r="O41" s="7">
        <f>(Parameters!$B$10*G41^Parameters!$B$9 + Parameters!$B$11*N41^Parameters!$B$9) ^ (Parameters!$B$7/Parameters!$B$9) * K41</f>
        <v>1.5032287214132831</v>
      </c>
      <c r="P41" s="7">
        <f t="shared" si="1"/>
        <v>1.1452919163947066</v>
      </c>
      <c r="Q41" s="7">
        <f>EXP(-Parameters!$B$55*A41)</f>
        <v>0.571952118512703</v>
      </c>
      <c r="R41" s="7">
        <f>IF(P41&gt;0,P41^(1-Parameters!$B$52)/(1-Parameters!$B$52)*Q41,-10+P41*1000)</f>
        <v>-1.5583713676668938</v>
      </c>
      <c r="S41" s="7"/>
      <c r="T41" s="9"/>
      <c r="U41" s="9"/>
      <c r="V41" s="7"/>
      <c r="W41" s="13">
        <f t="shared" si="17"/>
        <v>0.2381120051259111</v>
      </c>
    </row>
    <row r="42" spans="1:23" x14ac:dyDescent="0.3">
      <c r="A42">
        <f>A41+Parameters!$B$65</f>
        <v>38</v>
      </c>
      <c r="B42" s="46">
        <f t="shared" si="16"/>
        <v>5.1923682538251872E-2</v>
      </c>
      <c r="C42" s="46">
        <f t="shared" si="15"/>
        <v>1.001871672679267E-2</v>
      </c>
      <c r="D42" s="46">
        <f t="shared" si="15"/>
        <v>0.29599440575353192</v>
      </c>
      <c r="E42" s="7">
        <f>MAX((1-Parameters!$B$4)^Parameters!B$65*E41+B41*Parameters!B$65-Parameters!$B$5*B41^2/E41*Parameters!B$65,0.0001)</f>
        <v>0.77195004071779905</v>
      </c>
      <c r="F42" s="9">
        <f>MAX((1-Parameters!$B$4)^Parameters!B$65*F41+C41*Parameters!B$65-Parameters!$B$5*C41^2/F41*Parameters!B$65,0.0001)</f>
        <v>0.14894294647653616</v>
      </c>
      <c r="G42" s="7">
        <f>MAX((1-Parameters!$B$4)^Parameters!B$65*G41+D41*Parameters!B$65-Parameters!$B$5*D41^2/G41*Parameters!B$65,0.0001)</f>
        <v>4.3844657787474945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7">
        <f>'6states'!$O$4</f>
        <v>0.98104277196026479</v>
      </c>
      <c r="L42" s="9">
        <f t="shared" si="7"/>
        <v>0.5</v>
      </c>
      <c r="M42" s="23">
        <f t="shared" si="3"/>
        <v>2</v>
      </c>
      <c r="N42" s="7">
        <f>(Parameters!$B$19*(E42+Parameters!$B$20)^L42+Parameters!$B$18*F42^L42)^(1/L42)</f>
        <v>0.53709120838857471</v>
      </c>
      <c r="O42" s="7">
        <f>(Parameters!$B$10*G42^Parameters!$B$9 + Parameters!$B$11*N42^Parameters!$B$9) ^ (Parameters!$B$7/Parameters!$B$9) * K42</f>
        <v>1.5032335624947595</v>
      </c>
      <c r="P42" s="7">
        <f t="shared" si="1"/>
        <v>1.145296757476183</v>
      </c>
      <c r="Q42" s="7">
        <f>EXP(-Parameters!$B$55*A42)</f>
        <v>0.56338051995913718</v>
      </c>
      <c r="R42" s="7">
        <f>IF(P42&gt;0,P42^(1-Parameters!$B$52)/(1-Parameters!$B$52)*Q42,-10+P42*1000)</f>
        <v>-1.5350144603333631</v>
      </c>
      <c r="S42" s="7"/>
      <c r="T42" s="9"/>
      <c r="U42" s="9"/>
      <c r="V42" s="7"/>
      <c r="W42" s="13">
        <f t="shared" si="17"/>
        <v>0.2381112382992209</v>
      </c>
    </row>
    <row r="43" spans="1:23" x14ac:dyDescent="0.3">
      <c r="A43">
        <f>A42+Parameters!$B$65</f>
        <v>39</v>
      </c>
      <c r="B43" s="46">
        <f t="shared" si="16"/>
        <v>5.1923682538251872E-2</v>
      </c>
      <c r="C43" s="46">
        <f t="shared" si="15"/>
        <v>1.001871672679267E-2</v>
      </c>
      <c r="D43" s="46">
        <f t="shared" si="15"/>
        <v>0.29599440575353192</v>
      </c>
      <c r="E43" s="7">
        <f>MAX((1-Parameters!$B$4)^Parameters!B$65*E42+B42*Parameters!B$65-Parameters!$B$5*B42^2/E42*Parameters!B$65,0.0001)</f>
        <v>0.77182552256888992</v>
      </c>
      <c r="F43" s="9">
        <f>MAX((1-Parameters!$B$4)^Parameters!B$65*F42+C42*Parameters!B$65-Parameters!$B$5*C42^2/F42*Parameters!B$65,0.0001)</f>
        <v>0.1489192382189479</v>
      </c>
      <c r="G43" s="7">
        <f>MAX((1-Parameters!$B$4)^Parameters!B$65*G42+D42*Parameters!B$65-Parameters!$B$5*D42^2/G42*Parameters!B$65,0.0001)</f>
        <v>4.3846947640244567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7">
        <f>'6states'!$O$4</f>
        <v>0.98104277196026479</v>
      </c>
      <c r="L43" s="9">
        <f t="shared" si="7"/>
        <v>0.5</v>
      </c>
      <c r="M43" s="23">
        <f t="shared" si="3"/>
        <v>2</v>
      </c>
      <c r="N43" s="7">
        <f>(Parameters!$B$19*(E43+Parameters!$B$20)^L43+Parameters!$B$18*F43^L43)^(1/L43)</f>
        <v>0.53700568717305674</v>
      </c>
      <c r="O43" s="7">
        <f>(Parameters!$B$10*G43^Parameters!$B$9 + Parameters!$B$11*N43^Parameters!$B$9) ^ (Parameters!$B$7/Parameters!$B$9) * K43</f>
        <v>1.503238105038339</v>
      </c>
      <c r="P43" s="7">
        <f t="shared" si="1"/>
        <v>1.1453013000197625</v>
      </c>
      <c r="Q43" s="7">
        <f>EXP(-Parameters!$B$55*A43)</f>
        <v>0.5549373802387243</v>
      </c>
      <c r="R43" s="7">
        <f>IF(P43&gt;0,P43^(1-Parameters!$B$52)/(1-Parameters!$B$52)*Q43,-10+P43*1000)</f>
        <v>-1.5120077648387278</v>
      </c>
      <c r="S43" s="7"/>
      <c r="T43" s="9"/>
      <c r="U43" s="9"/>
      <c r="V43" s="7"/>
      <c r="W43" s="13">
        <f t="shared" si="17"/>
        <v>0.23811051876538716</v>
      </c>
    </row>
    <row r="44" spans="1:23" x14ac:dyDescent="0.3">
      <c r="A44">
        <f>A43+Parameters!$B$65</f>
        <v>40</v>
      </c>
      <c r="B44" s="19">
        <v>5.1923809653700789E-2</v>
      </c>
      <c r="C44" s="45">
        <v>1.0018706835576659E-2</v>
      </c>
      <c r="D44" s="18">
        <v>0.29599475031932415</v>
      </c>
      <c r="E44" s="7">
        <f>MAX((1-Parameters!$B$4)^Parameters!B$65*E43+B43*Parameters!B$65-Parameters!$B$5*B43^2/E43*Parameters!B$65,0.0001)</f>
        <v>0.77170827316165824</v>
      </c>
      <c r="F44" s="9">
        <f>MAX((1-Parameters!$B$4)^Parameters!B$65*F43+C43*Parameters!B$65-Parameters!$B$5*C43^2/F43*Parameters!B$65,0.0001)</f>
        <v>0.14889691392228382</v>
      </c>
      <c r="G44" s="7">
        <f>MAX((1-Parameters!$B$4)^Parameters!B$65*G43+D43*Parameters!B$65-Parameters!$B$5*D43^2/G43*Parameters!B$65,0.0001)</f>
        <v>4.3849103896901198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7">
        <f>'6states'!$O$4</f>
        <v>0.98104277196026479</v>
      </c>
      <c r="L44" s="9">
        <f t="shared" si="7"/>
        <v>0.5</v>
      </c>
      <c r="M44" s="23">
        <f t="shared" si="3"/>
        <v>2</v>
      </c>
      <c r="N44" s="7">
        <f>(Parameters!$B$19*(E44+Parameters!$B$20)^L44+Parameters!$B$18*F44^L44)^(1/L44)</f>
        <v>0.53692515825048759</v>
      </c>
      <c r="O44" s="7">
        <f>(Parameters!$B$10*G44^Parameters!$B$9 + Parameters!$B$11*N44^Parameters!$B$9) ^ (Parameters!$B$7/Parameters!$B$9) * K44</f>
        <v>1.5032423682735558</v>
      </c>
      <c r="P44" s="7">
        <f t="shared" si="1"/>
        <v>1.1453051014649545</v>
      </c>
      <c r="Q44" s="7">
        <f>EXP(-Parameters!$B$55*A44)</f>
        <v>0.54662077419459754</v>
      </c>
      <c r="R44" s="7">
        <f>IF(P44&gt;0,P44^(1-Parameters!$B$52)/(1-Parameters!$B$52)*Q44,-10+P44*1000)</f>
        <v>-1.4893462294884772</v>
      </c>
      <c r="S44" s="7"/>
      <c r="T44" s="9"/>
      <c r="U44" s="9"/>
      <c r="V44" s="7"/>
      <c r="W44" s="13">
        <f t="shared" si="17"/>
        <v>0.23811015067363056</v>
      </c>
    </row>
    <row r="45" spans="1:23" x14ac:dyDescent="0.3">
      <c r="A45">
        <f>A44+Parameters!$B$65</f>
        <v>41</v>
      </c>
      <c r="B45" s="46">
        <f>B44</f>
        <v>5.1923809653700789E-2</v>
      </c>
      <c r="C45" s="46">
        <f t="shared" ref="C45:D53" si="18">C44</f>
        <v>1.0018706835576659E-2</v>
      </c>
      <c r="D45" s="46">
        <f t="shared" si="18"/>
        <v>0.29599475031932415</v>
      </c>
      <c r="E45" s="7">
        <f>MAX((1-Parameters!$B$4)^Parameters!B$65*E44+B44*Parameters!B$65-Parameters!$B$5*B44^2/E44*Parameters!B$65,0.0001)</f>
        <v>0.77159797802713326</v>
      </c>
      <c r="F45" s="9">
        <f>MAX((1-Parameters!$B$4)^Parameters!B$65*F44+C44*Parameters!B$65-Parameters!$B$5*C44^2/F44*Parameters!B$65,0.0001)</f>
        <v>0.14887588420696421</v>
      </c>
      <c r="G45" s="7">
        <f>MAX((1-Parameters!$B$4)^Parameters!B$65*G44+D44*Parameters!B$65-Parameters!$B$5*D44^2/G44*Parameters!B$65,0.0001)</f>
        <v>4.3851137331275183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7">
        <f>'6states'!$O$4</f>
        <v>0.98104277196026479</v>
      </c>
      <c r="L45" s="9">
        <f t="shared" si="7"/>
        <v>0.5</v>
      </c>
      <c r="M45" s="23">
        <f t="shared" si="3"/>
        <v>2</v>
      </c>
      <c r="N45" s="7">
        <f>(Parameters!$B$19*(E45+Parameters!$B$20)^L45+Parameters!$B$18*F45^L45)^(1/L45)</f>
        <v>0.53684938861502807</v>
      </c>
      <c r="O45" s="7">
        <f>(Parameters!$B$10*G45^Parameters!$B$9 + Parameters!$B$11*N45^Parameters!$B$9) ^ (Parameters!$B$7/Parameters!$B$9) * K45</f>
        <v>1.5032464044532705</v>
      </c>
      <c r="P45" s="7">
        <f t="shared" si="1"/>
        <v>1.1453091376446691</v>
      </c>
      <c r="Q45" s="7">
        <f>EXP(-Parameters!$B$55*A45)</f>
        <v>0.53842880552138184</v>
      </c>
      <c r="R45" s="7">
        <f>IF(P45&gt;0,P45^(1-Parameters!$B$52)/(1-Parameters!$B$52)*Q45,-10+P45*1000)</f>
        <v>-1.4670242334507848</v>
      </c>
      <c r="S45" s="7"/>
      <c r="T45" s="9"/>
      <c r="U45" s="9"/>
      <c r="V45" s="7"/>
      <c r="W45" s="13">
        <f t="shared" si="17"/>
        <v>0.23810951135371788</v>
      </c>
    </row>
    <row r="46" spans="1:23" x14ac:dyDescent="0.3">
      <c r="A46">
        <f>A45+Parameters!$B$65</f>
        <v>42</v>
      </c>
      <c r="B46" s="46">
        <f t="shared" ref="B46:B53" si="19">B45</f>
        <v>5.1923809653700789E-2</v>
      </c>
      <c r="C46" s="46">
        <f t="shared" si="18"/>
        <v>1.0018706835576659E-2</v>
      </c>
      <c r="D46" s="46">
        <f t="shared" si="18"/>
        <v>0.29599475031932415</v>
      </c>
      <c r="E46" s="7">
        <f>MAX((1-Parameters!$B$4)^Parameters!B$65*E45+B45*Parameters!B$65-Parameters!$B$5*B45^2/E45*Parameters!B$65,0.0001)</f>
        <v>0.77149412106038995</v>
      </c>
      <c r="F46" s="9">
        <f>MAX((1-Parameters!$B$4)^Parameters!B$65*F45+C45*Parameters!B$65-Parameters!$B$5*C45^2/F45*Parameters!B$65,0.0001)</f>
        <v>0.14885608203668119</v>
      </c>
      <c r="G46" s="7">
        <f>MAX((1-Parameters!$B$4)^Parameters!B$65*G45+D45*Parameters!B$65-Parameters!$B$5*D45^2/G45*Parameters!B$65,0.0001)</f>
        <v>4.385305212786534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7">
        <f>'6states'!$O$4</f>
        <v>0.98104277196026479</v>
      </c>
      <c r="L46" s="9">
        <f t="shared" si="7"/>
        <v>0.5</v>
      </c>
      <c r="M46" s="23">
        <f t="shared" si="3"/>
        <v>2</v>
      </c>
      <c r="N46" s="7">
        <f>(Parameters!$B$19*(E46+Parameters!$B$20)^L46+Parameters!$B$18*F46^L46)^(1/L46)</f>
        <v>0.53677804181550826</v>
      </c>
      <c r="O46" s="7">
        <f>(Parameters!$B$10*G46^Parameters!$B$9 + Parameters!$B$11*N46^Parameters!$B$9) ^ (Parameters!$B$7/Parameters!$B$9) * K46</f>
        <v>1.5032501939076595</v>
      </c>
      <c r="P46" s="7">
        <f t="shared" si="1"/>
        <v>1.1453129270990581</v>
      </c>
      <c r="Q46" s="7">
        <f>EXP(-Parameters!$B$55*A46)</f>
        <v>0.53035960633280899</v>
      </c>
      <c r="R46" s="7">
        <f>IF(P46&gt;0,P46^(1-Parameters!$B$52)/(1-Parameters!$B$52)*Q46,-10+P46*1000)</f>
        <v>-1.4450369035735338</v>
      </c>
      <c r="S46" s="7"/>
      <c r="T46" s="9"/>
      <c r="U46" s="9"/>
      <c r="V46" s="7"/>
      <c r="W46" s="13">
        <f t="shared" si="17"/>
        <v>0.23810891111755195</v>
      </c>
    </row>
    <row r="47" spans="1:23" x14ac:dyDescent="0.3">
      <c r="A47">
        <f>A46+Parameters!$B$65</f>
        <v>43</v>
      </c>
      <c r="B47" s="46">
        <f t="shared" si="19"/>
        <v>5.1923809653700789E-2</v>
      </c>
      <c r="C47" s="46">
        <f t="shared" si="18"/>
        <v>1.0018706835576659E-2</v>
      </c>
      <c r="D47" s="46">
        <f t="shared" si="18"/>
        <v>0.29599475031932415</v>
      </c>
      <c r="E47" s="7">
        <f>MAX((1-Parameters!$B$4)^Parameters!B$65*E46+B46*Parameters!B$65-Parameters!$B$5*B46^2/E46*Parameters!B$65,0.0001)</f>
        <v>0.77139632632098887</v>
      </c>
      <c r="F47" s="9">
        <f>MAX((1-Parameters!$B$4)^Parameters!B$65*F46+C46*Parameters!B$65-Parameters!$B$5*C46^2/F46*Parameters!B$65,0.0001)</f>
        <v>0.14883743573266814</v>
      </c>
      <c r="G47" s="7">
        <f>MAX((1-Parameters!$B$4)^Parameters!B$65*G46+D46*Parameters!B$65-Parameters!$B$5*D46^2/G46*Parameters!B$65,0.0001)</f>
        <v>4.3854855207635852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7">
        <f>'6states'!$O$4</f>
        <v>0.98104277196026479</v>
      </c>
      <c r="L47" s="9">
        <f t="shared" si="7"/>
        <v>0.5</v>
      </c>
      <c r="M47" s="23">
        <f t="shared" si="3"/>
        <v>2</v>
      </c>
      <c r="N47" s="7">
        <f>(Parameters!$B$19*(E47+Parameters!$B$20)^L47+Parameters!$B$18*F47^L47)^(1/L47)</f>
        <v>0.53671085959201725</v>
      </c>
      <c r="O47" s="7">
        <f>(Parameters!$B$10*G47^Parameters!$B$9 + Parameters!$B$11*N47^Parameters!$B$9) ^ (Parameters!$B$7/Parameters!$B$9) * K47</f>
        <v>1.5032537522979454</v>
      </c>
      <c r="P47" s="7">
        <f t="shared" si="1"/>
        <v>1.1453164854893441</v>
      </c>
      <c r="Q47" s="7">
        <f>EXP(-Parameters!$B$55*A47)</f>
        <v>0.52241133673581286</v>
      </c>
      <c r="R47" s="7">
        <f>IF(P47&gt;0,P47^(1-Parameters!$B$52)/(1-Parameters!$B$52)*Q47,-10+P47*1000)</f>
        <v>-1.4233792138740384</v>
      </c>
      <c r="S47" s="7"/>
      <c r="T47" s="9"/>
      <c r="U47" s="9"/>
      <c r="V47" s="7"/>
      <c r="W47" s="13">
        <f t="shared" si="17"/>
        <v>0.2381083474838773</v>
      </c>
    </row>
    <row r="48" spans="1:23" x14ac:dyDescent="0.3">
      <c r="A48">
        <f>A47+Parameters!$B$65</f>
        <v>44</v>
      </c>
      <c r="B48" s="46">
        <f t="shared" si="19"/>
        <v>5.1923809653700789E-2</v>
      </c>
      <c r="C48" s="46">
        <f t="shared" si="18"/>
        <v>1.0018706835576659E-2</v>
      </c>
      <c r="D48" s="46">
        <f t="shared" si="18"/>
        <v>0.29599475031932415</v>
      </c>
      <c r="E48" s="7">
        <f>MAX((1-Parameters!$B$4)^Parameters!B$65*E47+B47*Parameters!B$65-Parameters!$B$5*B47^2/E47*Parameters!B$65,0.0001)</f>
        <v>0.77130423983532093</v>
      </c>
      <c r="F48" s="9">
        <f>MAX((1-Parameters!$B$4)^Parameters!B$65*F47+C47*Parameters!B$65-Parameters!$B$5*C47^2/F47*Parameters!B$65,0.0001)</f>
        <v>0.14881987780440076</v>
      </c>
      <c r="G48" s="7">
        <f>MAX((1-Parameters!$B$4)^Parameters!B$65*G47+D47*Parameters!B$65-Parameters!$B$5*D47^2/G47*Parameters!B$65,0.0001)</f>
        <v>4.3856553087892172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7">
        <f>'6states'!$O$4</f>
        <v>0.98104277196026479</v>
      </c>
      <c r="L48" s="9">
        <f t="shared" si="7"/>
        <v>0.5</v>
      </c>
      <c r="M48" s="23">
        <f t="shared" si="3"/>
        <v>2</v>
      </c>
      <c r="N48" s="7">
        <f>(Parameters!$B$19*(E48+Parameters!$B$20)^L48+Parameters!$B$18*F48^L48)^(1/L48)</f>
        <v>0.53664759877516421</v>
      </c>
      <c r="O48" s="7">
        <f>(Parameters!$B$10*G48^Parameters!$B$9 + Parameters!$B$11*N48^Parameters!$B$9) ^ (Parameters!$B$7/Parameters!$B$9) * K48</f>
        <v>1.5032570942291525</v>
      </c>
      <c r="P48" s="7">
        <f t="shared" si="1"/>
        <v>1.1453198274205512</v>
      </c>
      <c r="Q48" s="7">
        <f>EXP(-Parameters!$B$55*A48)</f>
        <v>0.51458218441100756</v>
      </c>
      <c r="R48" s="7">
        <f>IF(P48&gt;0,P48^(1-Parameters!$B$52)/(1-Parameters!$B$52)*Q48,-10+P48*1000)</f>
        <v>-1.4020462145304138</v>
      </c>
      <c r="S48" s="7"/>
      <c r="T48" s="9"/>
      <c r="U48" s="9"/>
      <c r="V48" s="7"/>
      <c r="W48" s="13">
        <f t="shared" si="17"/>
        <v>0.23810781813881704</v>
      </c>
    </row>
    <row r="49" spans="1:23" x14ac:dyDescent="0.3">
      <c r="A49">
        <f>A48+Parameters!$B$65</f>
        <v>45</v>
      </c>
      <c r="B49" s="46">
        <f t="shared" si="19"/>
        <v>5.1923809653700789E-2</v>
      </c>
      <c r="C49" s="46">
        <f t="shared" si="18"/>
        <v>1.0018706835576659E-2</v>
      </c>
      <c r="D49" s="46">
        <f t="shared" si="18"/>
        <v>0.29599475031932415</v>
      </c>
      <c r="E49" s="7">
        <f>MAX((1-Parameters!$B$4)^Parameters!B$65*E48+B48*Parameters!B$65-Parameters!$B$5*B48^2/E48*Parameters!B$65,0.0001)</f>
        <v>0.7712175283113859</v>
      </c>
      <c r="F49" s="9">
        <f>MAX((1-Parameters!$B$4)^Parameters!B$65*F48+C48*Parameters!B$65-Parameters!$B$5*C48^2/F48*Parameters!B$65,0.0001)</f>
        <v>0.14880334470456166</v>
      </c>
      <c r="G49" s="7">
        <f>MAX((1-Parameters!$B$4)^Parameters!B$65*G48+D48*Parameters!B$65-Parameters!$B$5*D48^2/G48*Parameters!B$65,0.0001)</f>
        <v>4.3858151905813942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7">
        <f>'6states'!$O$4</f>
        <v>0.98104277196026479</v>
      </c>
      <c r="L49" s="9">
        <f t="shared" si="7"/>
        <v>0.5</v>
      </c>
      <c r="M49" s="23">
        <f t="shared" si="3"/>
        <v>2</v>
      </c>
      <c r="N49" s="7">
        <f>(Parameters!$B$19*(E49+Parameters!$B$20)^L49+Parameters!$B$18*F49^L49)^(1/L49)</f>
        <v>0.53658803040317637</v>
      </c>
      <c r="O49" s="7">
        <f>(Parameters!$B$10*G49^Parameters!$B$9 + Parameters!$B$11*N49^Parameters!$B$9) ^ (Parameters!$B$7/Parameters!$B$9) * K49</f>
        <v>1.5032602333277136</v>
      </c>
      <c r="P49" s="7">
        <f t="shared" si="1"/>
        <v>1.1453229665191123</v>
      </c>
      <c r="Q49" s="7">
        <f>EXP(-Parameters!$B$55*A49)</f>
        <v>0.50687036419945219</v>
      </c>
      <c r="R49" s="7">
        <f>IF(P49&gt;0,P49^(1-Parameters!$B$52)/(1-Parameters!$B$52)*Q49,-10+P49*1000)</f>
        <v>-1.3810330306695302</v>
      </c>
      <c r="S49" s="7"/>
      <c r="T49" s="9"/>
      <c r="U49" s="9"/>
      <c r="V49" s="7"/>
      <c r="W49" s="13">
        <f t="shared" si="17"/>
        <v>0.23810732092356932</v>
      </c>
    </row>
    <row r="50" spans="1:23" x14ac:dyDescent="0.3">
      <c r="A50">
        <f>A49+Parameters!$B$65</f>
        <v>46</v>
      </c>
      <c r="B50" s="46">
        <f t="shared" si="19"/>
        <v>5.1923809653700789E-2</v>
      </c>
      <c r="C50" s="46">
        <f t="shared" si="18"/>
        <v>1.0018706835576659E-2</v>
      </c>
      <c r="D50" s="46">
        <f t="shared" si="18"/>
        <v>0.29599475031932415</v>
      </c>
      <c r="E50" s="7">
        <f>MAX((1-Parameters!$B$4)^Parameters!B$65*E49+B49*Parameters!B$65-Parameters!$B$5*B49^2/E49*Parameters!B$65,0.0001)</f>
        <v>0.77113587792895266</v>
      </c>
      <c r="F50" s="9">
        <f>MAX((1-Parameters!$B$4)^Parameters!B$65*F49+C49*Parameters!B$65-Parameters!$B$5*C49^2/F49*Parameters!B$65,0.0001)</f>
        <v>0.14878777659837619</v>
      </c>
      <c r="G50" s="7">
        <f>MAX((1-Parameters!$B$4)^Parameters!B$65*G49+D49*Parameters!B$65-Parameters!$B$5*D49^2/G49*Parameters!B$65,0.0001)</f>
        <v>4.3859657440617097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7">
        <f>'6states'!$O$4</f>
        <v>0.98104277196026479</v>
      </c>
      <c r="L50" s="9">
        <f t="shared" si="7"/>
        <v>0.5</v>
      </c>
      <c r="M50" s="23">
        <f t="shared" si="3"/>
        <v>2</v>
      </c>
      <c r="N50" s="7">
        <f>(Parameters!$B$19*(E50+Parameters!$B$20)^L50+Parameters!$B$18*F50^L50)^(1/L50)</f>
        <v>0.53653193889078099</v>
      </c>
      <c r="O50" s="7">
        <f>(Parameters!$B$10*G50^Parameters!$B$9 + Parameters!$B$11*N50^Parameters!$B$9) ^ (Parameters!$B$7/Parameters!$B$9) * K50</f>
        <v>1.5032631823127605</v>
      </c>
      <c r="P50" s="7">
        <f t="shared" si="1"/>
        <v>1.1453259155041591</v>
      </c>
      <c r="Q50" s="7">
        <f>EXP(-Parameters!$B$55*A50)</f>
        <v>0.49927411769560981</v>
      </c>
      <c r="R50" s="7">
        <f>IF(P50&gt;0,P50^(1-Parameters!$B$52)/(1-Parameters!$B$52)*Q50,-10+P50*1000)</f>
        <v>-1.3603348611794903</v>
      </c>
      <c r="S50" s="7"/>
      <c r="T50" s="9"/>
      <c r="U50" s="9"/>
      <c r="V50" s="7"/>
      <c r="W50" s="13">
        <f t="shared" si="17"/>
        <v>0.23810685382310601</v>
      </c>
    </row>
    <row r="51" spans="1:23" x14ac:dyDescent="0.3">
      <c r="A51">
        <f>A50+Parameters!$B$65</f>
        <v>47</v>
      </c>
      <c r="B51" s="46">
        <f t="shared" si="19"/>
        <v>5.1923809653700789E-2</v>
      </c>
      <c r="C51" s="46">
        <f t="shared" si="18"/>
        <v>1.0018706835576659E-2</v>
      </c>
      <c r="D51" s="46">
        <f t="shared" si="18"/>
        <v>0.29599475031932415</v>
      </c>
      <c r="E51" s="7">
        <f>MAX((1-Parameters!$B$4)^Parameters!B$65*E50+B50*Parameters!B$65-Parameters!$B$5*B50^2/E50*Parameters!B$65,0.0001)</f>
        <v>0.77105899320065974</v>
      </c>
      <c r="F51" s="9">
        <f>MAX((1-Parameters!$B$4)^Parameters!B$65*F50+C50*Parameters!B$65-Parameters!$B$5*C50^2/F50*Parameters!B$65,0.0001)</f>
        <v>0.14877311714647265</v>
      </c>
      <c r="G51" s="7">
        <f>MAX((1-Parameters!$B$4)^Parameters!B$65*G50+D50*Parameters!B$65-Parameters!$B$5*D50^2/G50*Parameters!B$65,0.0001)</f>
        <v>4.3861075134424876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7">
        <f>'6states'!$O$4</f>
        <v>0.98104277196026479</v>
      </c>
      <c r="L51" s="9">
        <f t="shared" si="7"/>
        <v>0.5</v>
      </c>
      <c r="M51" s="23">
        <f t="shared" si="3"/>
        <v>2</v>
      </c>
      <c r="N51" s="7">
        <f>(Parameters!$B$19*(E51+Parameters!$B$20)^L51+Parameters!$B$18*F51^L51)^(1/L51)</f>
        <v>0.53647912124682029</v>
      </c>
      <c r="O51" s="7">
        <f>(Parameters!$B$10*G51^Parameters!$B$9 + Parameters!$B$11*N51^Parameters!$B$9) ^ (Parameters!$B$7/Parameters!$B$9) * K51</f>
        <v>1.5032659530616732</v>
      </c>
      <c r="P51" s="7">
        <f t="shared" si="1"/>
        <v>1.1453286862530718</v>
      </c>
      <c r="Q51" s="7">
        <f>EXP(-Parameters!$B$55*A51)</f>
        <v>0.49179171284640477</v>
      </c>
      <c r="R51" s="7">
        <f>IF(P51&gt;0,P51^(1-Parameters!$B$52)/(1-Parameters!$B$52)*Q51,-10+P51*1000)</f>
        <v>-1.3399469775456443</v>
      </c>
      <c r="S51" s="7"/>
      <c r="T51" s="9"/>
      <c r="U51" s="9"/>
      <c r="V51" s="7"/>
      <c r="W51" s="13">
        <f t="shared" si="17"/>
        <v>0.23810641495578183</v>
      </c>
    </row>
    <row r="52" spans="1:23" x14ac:dyDescent="0.3">
      <c r="A52">
        <f>A51+Parameters!$B$65</f>
        <v>48</v>
      </c>
      <c r="B52" s="46">
        <f t="shared" si="19"/>
        <v>5.1923809653700789E-2</v>
      </c>
      <c r="C52" s="46">
        <f t="shared" si="18"/>
        <v>1.0018706835576659E-2</v>
      </c>
      <c r="D52" s="46">
        <f t="shared" si="18"/>
        <v>0.29599475031932415</v>
      </c>
      <c r="E52" s="7">
        <f>MAX((1-Parameters!$B$4)^Parameters!B$65*E51+B51*Parameters!B$65-Parameters!$B$5*B51^2/E51*Parameters!B$65,0.0001)</f>
        <v>0.77098659589987617</v>
      </c>
      <c r="F52" s="9">
        <f>MAX((1-Parameters!$B$4)^Parameters!B$65*F51+C51*Parameters!B$65-Parameters!$B$5*C51^2/F51*Parameters!B$65,0.0001)</f>
        <v>0.14875931330047024</v>
      </c>
      <c r="G52" s="7">
        <f>MAX((1-Parameters!$B$4)^Parameters!B$65*G51+D51*Parameters!B$65-Parameters!$B$5*D51^2/G51*Parameters!B$65,0.0001)</f>
        <v>4.3862410111922916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7">
        <f>'6states'!$O$4</f>
        <v>0.98104277196026479</v>
      </c>
      <c r="L52" s="9">
        <f t="shared" si="7"/>
        <v>0.5</v>
      </c>
      <c r="M52" s="23">
        <f t="shared" si="3"/>
        <v>2</v>
      </c>
      <c r="N52" s="7">
        <f>(Parameters!$B$19*(E52+Parameters!$B$20)^L52+Parameters!$B$18*F52^L52)^(1/L52)</f>
        <v>0.53642938633772852</v>
      </c>
      <c r="O52" s="7">
        <f>(Parameters!$B$10*G52^Parameters!$B$9 + Parameters!$B$11*N52^Parameters!$B$9) ^ (Parameters!$B$7/Parameters!$B$9) * K52</f>
        <v>1.5032685566703883</v>
      </c>
      <c r="P52" s="7">
        <f t="shared" si="1"/>
        <v>1.1453312898617869</v>
      </c>
      <c r="Q52" s="7">
        <f>EXP(-Parameters!$B$55*A52)</f>
        <v>0.48442144355629069</v>
      </c>
      <c r="R52" s="7">
        <f>IF(P52&gt;0,P52^(1-Parameters!$B$52)/(1-Parameters!$B$52)*Q52,-10+P52*1000)</f>
        <v>-1.3198647227092466</v>
      </c>
      <c r="S52" s="7"/>
      <c r="T52" s="9"/>
      <c r="U52" s="9"/>
      <c r="V52" s="7"/>
      <c r="W52" s="13">
        <f t="shared" si="17"/>
        <v>0.23810600256377487</v>
      </c>
    </row>
    <row r="53" spans="1:23" x14ac:dyDescent="0.3">
      <c r="A53">
        <f>A52+Parameters!$B$65</f>
        <v>49</v>
      </c>
      <c r="B53" s="46">
        <f t="shared" si="19"/>
        <v>5.1923809653700789E-2</v>
      </c>
      <c r="C53" s="46">
        <f t="shared" si="18"/>
        <v>1.0018706835576659E-2</v>
      </c>
      <c r="D53" s="46">
        <f t="shared" si="18"/>
        <v>0.29599475031932415</v>
      </c>
      <c r="E53" s="7">
        <f>MAX((1-Parameters!$B$4)^Parameters!B$65*E52+B52*Parameters!B$65-Parameters!$B$5*B52^2/E52*Parameters!B$65,0.0001)</f>
        <v>0.77091842405139499</v>
      </c>
      <c r="F53" s="9">
        <f>MAX((1-Parameters!$B$4)^Parameters!B$65*F52+C52*Parameters!B$65-Parameters!$B$5*C52^2/F52*Parameters!B$65,0.0001)</f>
        <v>0.14874631511054595</v>
      </c>
      <c r="G53" s="7">
        <f>MAX((1-Parameters!$B$4)^Parameters!B$65*G52+D52*Parameters!B$65-Parameters!$B$5*D52^2/G52*Parameters!B$65,0.0001)</f>
        <v>4.3863667198869019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7">
        <f>'6states'!$O$4</f>
        <v>0.98104277196026479</v>
      </c>
      <c r="L53" s="9">
        <f t="shared" si="7"/>
        <v>0.5</v>
      </c>
      <c r="M53" s="23">
        <f t="shared" si="3"/>
        <v>2</v>
      </c>
      <c r="N53" s="7">
        <f>(Parameters!$B$19*(E53+Parameters!$B$20)^L53+Parameters!$B$18*F53^L53)^(1/L53)</f>
        <v>0.5363825541941708</v>
      </c>
      <c r="O53" s="7">
        <f>(Parameters!$B$10*G53^Parameters!$B$9 + Parameters!$B$11*N53^Parameters!$B$9) ^ (Parameters!$B$7/Parameters!$B$9) * K53</f>
        <v>1.5032710035089369</v>
      </c>
      <c r="P53" s="7">
        <f t="shared" si="1"/>
        <v>1.1453337367003356</v>
      </c>
      <c r="Q53" s="7">
        <f>EXP(-Parameters!$B$55*A53)</f>
        <v>0.47716162929823552</v>
      </c>
      <c r="R53" s="7">
        <f>IF(P53&gt;0,P53^(1-Parameters!$B$52)/(1-Parameters!$B$52)*Q53,-10+P53*1000)</f>
        <v>-1.3000835099479109</v>
      </c>
      <c r="S53" s="7"/>
      <c r="T53" s="9"/>
      <c r="U53" s="9"/>
      <c r="V53" s="7"/>
      <c r="W53" s="13">
        <f t="shared" si="17"/>
        <v>0.23810561500428334</v>
      </c>
    </row>
    <row r="54" spans="1:23" s="4" customFormat="1" x14ac:dyDescent="0.3">
      <c r="A54">
        <f>A53+Parameters!$B$65</f>
        <v>50</v>
      </c>
      <c r="B54" s="19">
        <v>5.1923789394424727E-2</v>
      </c>
      <c r="C54" s="45">
        <v>1.0018743654138964E-2</v>
      </c>
      <c r="D54" s="18">
        <v>0.29599491710876957</v>
      </c>
      <c r="E54" s="7">
        <f>MAX((1-Parameters!$B$4)^Parameters!B$65*E53+B53*Parameters!B$65-Parameters!$B$5*B53^2/E53*Parameters!B$65,0.0001)</f>
        <v>0.77085423098126105</v>
      </c>
      <c r="F54" s="9">
        <f>MAX((1-Parameters!$B$4)^Parameters!B$65*F53+C53*Parameters!B$65-Parameters!$B$5*C53^2/F53*Parameters!B$65,0.0001)</f>
        <v>0.14873407554427528</v>
      </c>
      <c r="G54" s="7">
        <f>MAX((1-Parameters!$B$4)^Parameters!B$65*G53+D53*Parameters!B$65-Parameters!$B$5*D53^2/G53*Parameters!B$65,0.0001)</f>
        <v>4.38648509395244</v>
      </c>
      <c r="H54" s="7"/>
      <c r="I54" s="7">
        <f>I53*(1+Parameters!$B$51)^Parameters!B$65</f>
        <v>9.4313035794915017</v>
      </c>
      <c r="J54" s="7">
        <f>J53*(1+Parameters!$B$53)^Parameters!B$65</f>
        <v>24.365837091750542</v>
      </c>
      <c r="K54" s="7">
        <f>'6states'!$O$4</f>
        <v>0.98104277196026479</v>
      </c>
      <c r="L54" s="9">
        <f t="shared" si="7"/>
        <v>0.5</v>
      </c>
      <c r="M54" s="23">
        <f t="shared" si="3"/>
        <v>2</v>
      </c>
      <c r="N54" s="7">
        <f>(Parameters!$B$19*(E54+Parameters!$B$20)^L54+Parameters!$B$18*F54^L54)^(1/L54)</f>
        <v>0.53633845535830815</v>
      </c>
      <c r="O54" s="7">
        <f>(Parameters!$B$10*G54^Parameters!$B$9 + Parameters!$B$11*N54^Parameters!$B$9) ^ (Parameters!$B$7/Parameters!$B$9) * K54</f>
        <v>1.5032733032726298</v>
      </c>
      <c r="P54" s="7">
        <f t="shared" si="1"/>
        <v>1.1453358531152964</v>
      </c>
      <c r="Q54" s="16">
        <f>EXP(-Parameters!$B$55*A54)</f>
        <v>0.4700106147305379</v>
      </c>
      <c r="R54" s="7">
        <f>IF(P54&gt;0,P54^(1-Parameters!$B$52)/(1-Parameters!$B$52)*Q54,-10+P54*1000)</f>
        <v>-1.2805988935278017</v>
      </c>
      <c r="S54" s="7"/>
      <c r="T54" s="9"/>
      <c r="U54" s="9"/>
      <c r="V54" s="7"/>
      <c r="W54" s="13">
        <f t="shared" si="17"/>
        <v>0.23810537270774551</v>
      </c>
    </row>
    <row r="55" spans="1:23" x14ac:dyDescent="0.3">
      <c r="A55">
        <f>A54+Parameters!$B$65</f>
        <v>51</v>
      </c>
      <c r="B55" s="46">
        <f>B54</f>
        <v>5.1923789394424727E-2</v>
      </c>
      <c r="C55" s="46">
        <f t="shared" ref="C55:D63" si="20">C54</f>
        <v>1.0018743654138964E-2</v>
      </c>
      <c r="D55" s="46">
        <f t="shared" si="20"/>
        <v>0.29599491710876957</v>
      </c>
      <c r="E55" s="7">
        <f>MAX((1-Parameters!$B$4)^Parameters!B$65*E54+B54*Parameters!B$65-Parameters!$B$5*B54^2/E54*Parameters!B$65,0.0001)</f>
        <v>0.77079376689225865</v>
      </c>
      <c r="F55" s="9">
        <f>MAX((1-Parameters!$B$4)^Parameters!B$65*F54+C54*Parameters!B$65-Parameters!$B$5*C54^2/F54*Parameters!B$65,0.0001)</f>
        <v>0.14872258217445064</v>
      </c>
      <c r="G55" s="7">
        <f>MAX((1-Parameters!$B$4)^Parameters!B$65*G54+D54*Parameters!B$65-Parameters!$B$5*D54^2/G54*Parameters!B$65,0.0001)</f>
        <v>4.3865967055868396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7">
        <f>'6states'!$O$4</f>
        <v>0.98104277196026479</v>
      </c>
      <c r="L55" s="9">
        <f t="shared" si="7"/>
        <v>0.5</v>
      </c>
      <c r="M55" s="23">
        <f t="shared" si="3"/>
        <v>2</v>
      </c>
      <c r="N55" s="7">
        <f>(Parameters!$B$19*(E55+Parameters!$B$20)^L55+Parameters!$B$18*F55^L55)^(1/L55)</f>
        <v>0.53629693853624205</v>
      </c>
      <c r="O55" s="7">
        <f>(Parameters!$B$10*G55^Parameters!$B$9 + Parameters!$B$11*N55^Parameters!$B$9) ^ (Parameters!$B$7/Parameters!$B$9) * K55</f>
        <v>1.5032754782821642</v>
      </c>
      <c r="P55" s="7">
        <f t="shared" si="1"/>
        <v>1.1453380281248311</v>
      </c>
      <c r="Q55" s="7">
        <f>EXP(-Parameters!$B$55*A55)</f>
        <v>0.46296676931938507</v>
      </c>
      <c r="R55" s="7">
        <f>IF(P55&gt;0,P55^(1-Parameters!$B$52)/(1-Parameters!$B$52)*Q55,-10+P55*1000)</f>
        <v>-1.2614062744385595</v>
      </c>
      <c r="S55" s="7"/>
      <c r="T55" s="9"/>
      <c r="U55" s="9"/>
      <c r="V55" s="7"/>
      <c r="W55" s="13">
        <f t="shared" si="17"/>
        <v>0.23810502820571422</v>
      </c>
    </row>
    <row r="56" spans="1:23" x14ac:dyDescent="0.3">
      <c r="A56">
        <f>A55+Parameters!$B$65</f>
        <v>52</v>
      </c>
      <c r="B56" s="46">
        <f t="shared" ref="B56:B63" si="21">B55</f>
        <v>5.1923789394424727E-2</v>
      </c>
      <c r="C56" s="46">
        <f t="shared" si="20"/>
        <v>1.0018743654138964E-2</v>
      </c>
      <c r="D56" s="46">
        <f t="shared" si="20"/>
        <v>0.29599491710876957</v>
      </c>
      <c r="E56" s="7">
        <f>MAX((1-Parameters!$B$4)^Parameters!B$65*E55+B55*Parameters!B$65-Parameters!$B$5*B55^2/E55*Parameters!B$65,0.0001)</f>
        <v>0.77073683163507067</v>
      </c>
      <c r="F56" s="9">
        <f>MAX((1-Parameters!$B$4)^Parameters!B$65*F55+C55*Parameters!B$65-Parameters!$B$5*C55^2/F55*Parameters!B$65,0.0001)</f>
        <v>0.14871175958372101</v>
      </c>
      <c r="G56" s="7">
        <f>MAX((1-Parameters!$B$4)^Parameters!B$65*G55+D55*Parameters!B$65-Parameters!$B$5*D55^2/G55*Parameters!B$65,0.0001)</f>
        <v>4.3867018050482054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7">
        <f>'6states'!$O$4</f>
        <v>0.98104277196026479</v>
      </c>
      <c r="L56" s="9">
        <f t="shared" si="7"/>
        <v>0.5</v>
      </c>
      <c r="M56" s="23">
        <f t="shared" si="3"/>
        <v>2</v>
      </c>
      <c r="N56" s="7">
        <f>(Parameters!$B$19*(E56+Parameters!$B$20)^L56+Parameters!$B$18*F56^L56)^(1/L56)</f>
        <v>0.53625784473607851</v>
      </c>
      <c r="O56" s="7">
        <f>(Parameters!$B$10*G56^Parameters!$B$9 + Parameters!$B$11*N56^Parameters!$B$9) ^ (Parameters!$B$7/Parameters!$B$9) * K56</f>
        <v>1.5032775229939663</v>
      </c>
      <c r="P56" s="7">
        <f t="shared" si="1"/>
        <v>1.1453400728366332</v>
      </c>
      <c r="Q56" s="7">
        <f>EXP(-Parameters!$B$55*A56)</f>
        <v>0.45602848696706794</v>
      </c>
      <c r="R56" s="7">
        <f>IF(P56&gt;0,P56^(1-Parameters!$B$52)/(1-Parameters!$B$52)*Q56,-10+P56*1000)</f>
        <v>-1.2425013488545231</v>
      </c>
      <c r="S56" s="7"/>
      <c r="T56" s="9"/>
      <c r="U56" s="9"/>
      <c r="V56" s="7"/>
      <c r="W56" s="13">
        <f t="shared" si="17"/>
        <v>0.2381047043425859</v>
      </c>
    </row>
    <row r="57" spans="1:23" x14ac:dyDescent="0.3">
      <c r="A57">
        <f>A56+Parameters!$B$65</f>
        <v>53</v>
      </c>
      <c r="B57" s="46">
        <f t="shared" si="21"/>
        <v>5.1923789394424727E-2</v>
      </c>
      <c r="C57" s="46">
        <f t="shared" si="20"/>
        <v>1.0018743654138964E-2</v>
      </c>
      <c r="D57" s="46">
        <f t="shared" si="20"/>
        <v>0.29599491710876957</v>
      </c>
      <c r="E57" s="7">
        <f>MAX((1-Parameters!$B$4)^Parameters!B$65*E56+B56*Parameters!B$65-Parameters!$B$5*B56^2/E56*Parameters!B$65,0.0001)</f>
        <v>0.77068321921910765</v>
      </c>
      <c r="F57" s="9">
        <f>MAX((1-Parameters!$B$4)^Parameters!B$65*F56+C56*Parameters!B$65-Parameters!$B$5*C56^2/F56*Parameters!B$65,0.0001)</f>
        <v>0.14870156861652956</v>
      </c>
      <c r="G57" s="7">
        <f>MAX((1-Parameters!$B$4)^Parameters!B$65*G56+D56*Parameters!B$65-Parameters!$B$5*D56^2/G56*Parameters!B$65,0.0001)</f>
        <v>4.3868007722768461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7">
        <f>'6states'!$O$4</f>
        <v>0.98104277196026479</v>
      </c>
      <c r="L57" s="9">
        <f t="shared" si="7"/>
        <v>0.5</v>
      </c>
      <c r="M57" s="23">
        <f t="shared" si="3"/>
        <v>2</v>
      </c>
      <c r="N57" s="7">
        <f>(Parameters!$B$19*(E57+Parameters!$B$20)^L57+Parameters!$B$18*F57^L57)^(1/L57)</f>
        <v>0.53622103251745734</v>
      </c>
      <c r="O57" s="7">
        <f>(Parameters!$B$10*G57^Parameters!$B$9 + Parameters!$B$11*N57^Parameters!$B$9) ^ (Parameters!$B$7/Parameters!$B$9) * K57</f>
        <v>1.5032794453935274</v>
      </c>
      <c r="P57" s="7">
        <f t="shared" si="1"/>
        <v>1.1453419952361941</v>
      </c>
      <c r="Q57" s="7">
        <f>EXP(-Parameters!$B$55*A57)</f>
        <v>0.44919418564576791</v>
      </c>
      <c r="R57" s="7">
        <f>IF(P57&gt;0,P57^(1-Parameters!$B$52)/(1-Parameters!$B$52)*Q57,-10+P57*1000)</f>
        <v>-1.2238798005796481</v>
      </c>
      <c r="S57" s="7"/>
      <c r="T57" s="9"/>
      <c r="U57" s="9"/>
      <c r="V57" s="7"/>
      <c r="W57" s="13">
        <f t="shared" si="17"/>
        <v>0.23810439985337034</v>
      </c>
    </row>
    <row r="58" spans="1:23" x14ac:dyDescent="0.3">
      <c r="A58">
        <f>A57+Parameters!$B$65</f>
        <v>54</v>
      </c>
      <c r="B58" s="46">
        <f t="shared" si="21"/>
        <v>5.1923789394424727E-2</v>
      </c>
      <c r="C58" s="46">
        <f t="shared" si="20"/>
        <v>1.0018743654138964E-2</v>
      </c>
      <c r="D58" s="46">
        <f t="shared" si="20"/>
        <v>0.29599491710876957</v>
      </c>
      <c r="E58" s="7">
        <f>MAX((1-Parameters!$B$4)^Parameters!B$65*E57+B57*Parameters!B$65-Parameters!$B$5*B57^2/E57*Parameters!B$65,0.0001)</f>
        <v>0.77063273568264168</v>
      </c>
      <c r="F58" s="9">
        <f>MAX((1-Parameters!$B$4)^Parameters!B$65*F57+C57*Parameters!B$65-Parameters!$B$5*C57^2/F57*Parameters!B$65,0.0001)</f>
        <v>0.1486919724037902</v>
      </c>
      <c r="G58" s="7">
        <f>MAX((1-Parameters!$B$4)^Parameters!B$65*G57+D57*Parameters!B$65-Parameters!$B$5*D57^2/G57*Parameters!B$65,0.0001)</f>
        <v>4.3868939650488601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7">
        <f>'6states'!$O$4</f>
        <v>0.98104277196026479</v>
      </c>
      <c r="L58" s="9">
        <f t="shared" si="7"/>
        <v>0.5</v>
      </c>
      <c r="M58" s="23">
        <f t="shared" si="3"/>
        <v>2</v>
      </c>
      <c r="N58" s="7">
        <f>(Parameters!$B$19*(E58+Parameters!$B$20)^L58+Parameters!$B$18*F58^L58)^(1/L58)</f>
        <v>0.53618636869944103</v>
      </c>
      <c r="O58" s="7">
        <f>(Parameters!$B$10*G58^Parameters!$B$9 + Parameters!$B$11*N58^Parameters!$B$9) ^ (Parameters!$B$7/Parameters!$B$9) * K58</f>
        <v>1.5032812529571935</v>
      </c>
      <c r="P58" s="7">
        <f t="shared" si="1"/>
        <v>1.1453438027998604</v>
      </c>
      <c r="Q58" s="7">
        <f>EXP(-Parameters!$B$55*A58)</f>
        <v>0.4424623070368317</v>
      </c>
      <c r="R58" s="7">
        <f>IF(P58&gt;0,P58^(1-Parameters!$B$52)/(1-Parameters!$B$52)*Q58,-10+P58*1000)</f>
        <v>-1.2055373784609116</v>
      </c>
      <c r="S58" s="7"/>
      <c r="T58" s="9"/>
      <c r="U58" s="9"/>
      <c r="V58" s="7"/>
      <c r="W58" s="13">
        <f t="shared" si="17"/>
        <v>0.23810411355374339</v>
      </c>
    </row>
    <row r="59" spans="1:23" x14ac:dyDescent="0.3">
      <c r="A59">
        <f>A58+Parameters!$B$65</f>
        <v>55</v>
      </c>
      <c r="B59" s="46">
        <f t="shared" si="21"/>
        <v>5.1923789394424727E-2</v>
      </c>
      <c r="C59" s="46">
        <f t="shared" si="20"/>
        <v>1.0018743654138964E-2</v>
      </c>
      <c r="D59" s="46">
        <f t="shared" si="20"/>
        <v>0.29599491710876957</v>
      </c>
      <c r="E59" s="7">
        <f>MAX((1-Parameters!$B$4)^Parameters!B$65*E58+B58*Parameters!B$65-Parameters!$B$5*B58^2/E58*Parameters!B$65,0.0001)</f>
        <v>0.77058519838987605</v>
      </c>
      <c r="F59" s="9">
        <f>MAX((1-Parameters!$B$4)^Parameters!B$65*F58+C58*Parameters!B$65-Parameters!$B$5*C58^2/F58*Parameters!B$65,0.0001)</f>
        <v>0.14868293622927603</v>
      </c>
      <c r="G59" s="7">
        <f>MAX((1-Parameters!$B$4)^Parameters!B$65*G58+D58*Parameters!B$65-Parameters!$B$5*D58^2/G58*Parameters!B$65,0.0001)</f>
        <v>4.3869817202688006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7">
        <f>'6states'!$O$4</f>
        <v>0.98104277196026479</v>
      </c>
      <c r="L59" s="9">
        <f t="shared" si="7"/>
        <v>0.5</v>
      </c>
      <c r="M59" s="23">
        <f t="shared" si="3"/>
        <v>2</v>
      </c>
      <c r="N59" s="7">
        <f>(Parameters!$B$19*(E59+Parameters!$B$20)^L59+Parameters!$B$18*F59^L59)^(1/L59)</f>
        <v>0.53615372787786109</v>
      </c>
      <c r="O59" s="7">
        <f>(Parameters!$B$10*G59^Parameters!$B$9 + Parameters!$B$11*N59^Parameters!$B$9) ^ (Parameters!$B$7/Parameters!$B$9) * K59</f>
        <v>1.5032829526867413</v>
      </c>
      <c r="P59" s="7">
        <f t="shared" si="1"/>
        <v>1.1453455025294081</v>
      </c>
      <c r="Q59" s="7">
        <f>EXP(-Parameters!$B$55*A59)</f>
        <v>0.43583131617545234</v>
      </c>
      <c r="R59" s="7">
        <f>IF(P59&gt;0,P59^(1-Parameters!$B$52)/(1-Parameters!$B$52)*Q59,-10+P59*1000)</f>
        <v>-1.1874698953850091</v>
      </c>
      <c r="S59" s="7"/>
      <c r="T59" s="9"/>
      <c r="U59" s="9"/>
      <c r="V59" s="7"/>
      <c r="W59" s="13">
        <f t="shared" si="17"/>
        <v>0.23810384433456777</v>
      </c>
    </row>
    <row r="60" spans="1:23" x14ac:dyDescent="0.3">
      <c r="A60">
        <f>A59+Parameters!$B$65</f>
        <v>56</v>
      </c>
      <c r="B60" s="46">
        <f t="shared" si="21"/>
        <v>5.1923789394424727E-2</v>
      </c>
      <c r="C60" s="46">
        <f t="shared" si="20"/>
        <v>1.0018743654138964E-2</v>
      </c>
      <c r="D60" s="46">
        <f t="shared" si="20"/>
        <v>0.29599491710876957</v>
      </c>
      <c r="E60" s="7">
        <f>MAX((1-Parameters!$B$4)^Parameters!B$65*E59+B59*Parameters!B$65-Parameters!$B$5*B59^2/E59*Parameters!B$65,0.0001)</f>
        <v>0.77054043536914774</v>
      </c>
      <c r="F60" s="9">
        <f>MAX((1-Parameters!$B$4)^Parameters!B$65*F59+C59*Parameters!B$65-Parameters!$B$5*C59^2/F59*Parameters!B$65,0.0001)</f>
        <v>0.14867442740382597</v>
      </c>
      <c r="G60" s="7">
        <f>MAX((1-Parameters!$B$4)^Parameters!B$65*G59+D59*Parameters!B$65-Parameters!$B$5*D59^2/G59*Parameters!B$65,0.0001)</f>
        <v>4.3870643551869888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7">
        <f>'6states'!$O$4</f>
        <v>0.98104277196026479</v>
      </c>
      <c r="L60" s="9">
        <f t="shared" si="7"/>
        <v>0.5</v>
      </c>
      <c r="M60" s="23">
        <f t="shared" si="3"/>
        <v>2</v>
      </c>
      <c r="N60" s="7">
        <f>(Parameters!$B$19*(E60+Parameters!$B$20)^L60+Parameters!$B$18*F60^L60)^(1/L60)</f>
        <v>0.53612299197090729</v>
      </c>
      <c r="O60" s="7">
        <f>(Parameters!$B$10*G60^Parameters!$B$9 + Parameters!$B$11*N60^Parameters!$B$9) ^ (Parameters!$B$7/Parameters!$B$9) * K60</f>
        <v>1.5032845511413897</v>
      </c>
      <c r="P60" s="7">
        <f t="shared" si="1"/>
        <v>1.1453471009840563</v>
      </c>
      <c r="Q60" s="7">
        <f>EXP(-Parameters!$B$55*A60)</f>
        <v>0.42929970110067539</v>
      </c>
      <c r="R60" s="7">
        <f>IF(P60&gt;0,P60^(1-Parameters!$B$52)/(1-Parameters!$B$52)*Q60,-10+P60*1000)</f>
        <v>-1.169673227292479</v>
      </c>
      <c r="S60" s="7"/>
      <c r="T60" s="9"/>
      <c r="U60" s="9"/>
      <c r="V60" s="7"/>
      <c r="W60" s="13">
        <f t="shared" si="17"/>
        <v>0.23810359115682009</v>
      </c>
    </row>
    <row r="61" spans="1:23" x14ac:dyDescent="0.3">
      <c r="A61">
        <f>A60+Parameters!$B$65</f>
        <v>57</v>
      </c>
      <c r="B61" s="46">
        <f t="shared" si="21"/>
        <v>5.1923789394424727E-2</v>
      </c>
      <c r="C61" s="46">
        <f t="shared" si="20"/>
        <v>1.0018743654138964E-2</v>
      </c>
      <c r="D61" s="46">
        <f t="shared" si="20"/>
        <v>0.29599491710876957</v>
      </c>
      <c r="E61" s="7">
        <f>MAX((1-Parameters!$B$4)^Parameters!B$65*E60+B60*Parameters!B$65-Parameters!$B$5*B60^2/E60*Parameters!B$65,0.0001)</f>
        <v>0.77049828468985171</v>
      </c>
      <c r="F61" s="9">
        <f>MAX((1-Parameters!$B$4)^Parameters!B$65*F60+C60*Parameters!B$65-Parameters!$B$5*C60^2/F60*Parameters!B$65,0.0001)</f>
        <v>0.14866641514691106</v>
      </c>
      <c r="G61" s="7">
        <f>MAX((1-Parameters!$B$4)^Parameters!B$65*G60+D60*Parameters!B$65-Parameters!$B$5*D60^2/G60*Parameters!B$65,0.0001)</f>
        <v>4.3871421685458571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7">
        <f>'6states'!$O$4</f>
        <v>0.98104277196026479</v>
      </c>
      <c r="L61" s="9">
        <f t="shared" si="7"/>
        <v>0.5</v>
      </c>
      <c r="M61" s="23">
        <f t="shared" si="3"/>
        <v>2</v>
      </c>
      <c r="N61" s="7">
        <f>(Parameters!$B$19*(E61+Parameters!$B$20)^L61+Parameters!$B$18*F61^L61)^(1/L61)</f>
        <v>0.53609404979130348</v>
      </c>
      <c r="O61" s="7">
        <f>(Parameters!$B$10*G61^Parameters!$B$9 + Parameters!$B$11*N61^Parameters!$B$9) ^ (Parameters!$B$7/Parameters!$B$9) * K61</f>
        <v>1.5032860544674587</v>
      </c>
      <c r="P61" s="7">
        <f t="shared" si="1"/>
        <v>1.1453486043101253</v>
      </c>
      <c r="Q61" s="7">
        <f>EXP(-Parameters!$B$55*A61)</f>
        <v>0.42286597251064995</v>
      </c>
      <c r="R61" s="7">
        <f>IF(P61&gt;0,P61^(1-Parameters!$B$52)/(1-Parameters!$B$52)*Q61,-10+P61*1000)</f>
        <v>-1.1521433122087787</v>
      </c>
      <c r="S61" s="7"/>
      <c r="T61" s="9"/>
      <c r="U61" s="9"/>
      <c r="V61" s="7"/>
      <c r="W61" s="13">
        <f t="shared" si="17"/>
        <v>0.23810335304689109</v>
      </c>
    </row>
    <row r="62" spans="1:23" x14ac:dyDescent="0.3">
      <c r="A62">
        <f>A61+Parameters!$B$65</f>
        <v>58</v>
      </c>
      <c r="B62" s="46">
        <f t="shared" si="21"/>
        <v>5.1923789394424727E-2</v>
      </c>
      <c r="C62" s="46">
        <f t="shared" si="20"/>
        <v>1.0018743654138964E-2</v>
      </c>
      <c r="D62" s="46">
        <f t="shared" si="20"/>
        <v>0.29599491710876957</v>
      </c>
      <c r="E62" s="7">
        <f>MAX((1-Parameters!$B$4)^Parameters!B$65*E61+B61*Parameters!B$65-Parameters!$B$5*B61^2/E61*Parameters!B$65,0.0001)</f>
        <v>0.7704585938758135</v>
      </c>
      <c r="F62" s="9">
        <f>MAX((1-Parameters!$B$4)^Parameters!B$65*F61+C61*Parameters!B$65-Parameters!$B$5*C61^2/F61*Parameters!B$65,0.0001)</f>
        <v>0.14865887047512896</v>
      </c>
      <c r="G62" s="7">
        <f>MAX((1-Parameters!$B$4)^Parameters!B$65*G61+D61*Parameters!B$65-Parameters!$B$5*D61^2/G61*Parameters!B$65,0.0001)</f>
        <v>4.3872154416594586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7">
        <f>'6states'!$O$4</f>
        <v>0.98104277196026479</v>
      </c>
      <c r="L62" s="9">
        <f t="shared" si="7"/>
        <v>0.5</v>
      </c>
      <c r="M62" s="23">
        <f t="shared" si="3"/>
        <v>2</v>
      </c>
      <c r="N62" s="7">
        <f>(Parameters!$B$19*(E62+Parameters!$B$20)^L62+Parameters!$B$18*F62^L62)^(1/L62)</f>
        <v>0.53606679664350965</v>
      </c>
      <c r="O62" s="7">
        <f>(Parameters!$B$10*G62^Parameters!$B$9 + Parameters!$B$11*N62^Parameters!$B$9) ^ (Parameters!$B$7/Parameters!$B$9) * K62</f>
        <v>1.5032874684258641</v>
      </c>
      <c r="P62" s="7">
        <f t="shared" si="1"/>
        <v>1.1453500182685308</v>
      </c>
      <c r="Q62" s="7">
        <f>EXP(-Parameters!$B$55*A62)</f>
        <v>0.41652866342304673</v>
      </c>
      <c r="R62" s="7">
        <f>IF(P62&gt;0,P62^(1-Parameters!$B$52)/(1-Parameters!$B$52)*Q62,-10+P62*1000)</f>
        <v>-1.134876149291872</v>
      </c>
      <c r="S62" s="7"/>
      <c r="T62" s="9"/>
      <c r="U62" s="9"/>
      <c r="V62" s="7"/>
      <c r="W62" s="13">
        <f t="shared" si="17"/>
        <v>0.23810312909222872</v>
      </c>
    </row>
    <row r="63" spans="1:23" s="4" customFormat="1" x14ac:dyDescent="0.3">
      <c r="A63">
        <f>A62+Parameters!$B$65</f>
        <v>59</v>
      </c>
      <c r="B63" s="46">
        <f t="shared" si="21"/>
        <v>5.1923789394424727E-2</v>
      </c>
      <c r="C63" s="46">
        <f t="shared" si="20"/>
        <v>1.0018743654138964E-2</v>
      </c>
      <c r="D63" s="46">
        <f t="shared" si="20"/>
        <v>0.29599491710876957</v>
      </c>
      <c r="E63" s="7">
        <f>MAX((1-Parameters!$B$4)^Parameters!B$65*E62+B62*Parameters!B$65-Parameters!$B$5*B62^2/E62*Parameters!B$65,0.0001)</f>
        <v>0.77042121935297436</v>
      </c>
      <c r="F63" s="9">
        <f>MAX((1-Parameters!$B$4)^Parameters!B$65*F62+C62*Parameters!B$65-Parameters!$B$5*C62^2/F62*Parameters!B$65,0.0001)</f>
        <v>0.14865176609721995</v>
      </c>
      <c r="G63" s="7">
        <f>MAX((1-Parameters!$B$4)^Parameters!B$65*G62+D62*Parameters!B$65-Parameters!$B$5*D62^2/G62*Parameters!B$65,0.0001)</f>
        <v>4.3872844394300357</v>
      </c>
      <c r="H63" s="16"/>
      <c r="I63" s="7">
        <f>I62*(1+Parameters!$B$51)^Parameters!B$65</f>
        <v>9.6803354303667835</v>
      </c>
      <c r="J63" s="7">
        <f>J62*(1+Parameters!$B$53)^Parameters!B$65</f>
        <v>29.119430836612942</v>
      </c>
      <c r="K63" s="7">
        <f>'6states'!$O$4</f>
        <v>0.98104277196026479</v>
      </c>
      <c r="L63" s="9">
        <f t="shared" si="7"/>
        <v>0.5</v>
      </c>
      <c r="M63" s="23">
        <f t="shared" si="3"/>
        <v>2</v>
      </c>
      <c r="N63" s="7">
        <f>(Parameters!$B$19*(E63+Parameters!$B$20)^L63+Parameters!$B$18*F63^L63)^(1/L63)</f>
        <v>0.53604113394448705</v>
      </c>
      <c r="O63" s="7">
        <f>(Parameters!$B$10*G63^Parameters!$B$9 + Parameters!$B$11*N63^Parameters!$B$9) ^ (Parameters!$B$7/Parameters!$B$9) * K63</f>
        <v>1.5032887984176271</v>
      </c>
      <c r="P63" s="7">
        <f t="shared" si="1"/>
        <v>1.1453513482602937</v>
      </c>
      <c r="Q63" s="16">
        <f>EXP(-Parameters!$B$55*A63)</f>
        <v>0.41028632884056476</v>
      </c>
      <c r="R63" s="16">
        <f>IF(P63&gt;0,P63^(1-Parameters!$B$52)/(1-Parameters!$B$52)*Q63,-10+P63*1000)</f>
        <v>-1.1178677978958946</v>
      </c>
      <c r="S63" s="7"/>
      <c r="T63" s="9"/>
      <c r="U63" s="9"/>
      <c r="V63" s="7"/>
      <c r="W63" s="13">
        <f t="shared" si="17"/>
        <v>0.2381029184372962</v>
      </c>
    </row>
    <row r="64" spans="1:23" s="3" customFormat="1" x14ac:dyDescent="0.3">
      <c r="A64" s="3">
        <f>A63+Parameters!$B$65</f>
        <v>60</v>
      </c>
      <c r="B64" s="47">
        <v>5.19238877102325E-2</v>
      </c>
      <c r="C64" s="47">
        <v>1.0018735403930583E-2</v>
      </c>
      <c r="D64" s="48">
        <v>0.29599527422425154</v>
      </c>
      <c r="E64" s="7">
        <f>MAX((1-Parameters!$B$4)^Parameters!B$65*E63+B63*Parameters!B$65-Parameters!$B$5*B63^2/E63*Parameters!B$65,0.0001)</f>
        <v>0.77038602592937677</v>
      </c>
      <c r="F64" s="9">
        <f>MAX((1-Parameters!$B$4)^Parameters!B$65*F63+C63*Parameters!B$65-Parameters!$B$5*C63^2/F63*Parameters!B$65,0.0001)</f>
        <v>0.14864507631522253</v>
      </c>
      <c r="G64" s="7">
        <f>MAX((1-Parameters!$B$4)^Parameters!B$65*G63+D63*Parameters!B$65-Parameters!$B$5*D63^2/G63*Parameters!B$65,0.0001)</f>
        <v>4.3873494113053155</v>
      </c>
      <c r="H64" s="17"/>
      <c r="I64" s="17">
        <f>I63*(1+Parameters!$B$51)^Parameters!B$65</f>
        <v>9.7084084031148468</v>
      </c>
      <c r="J64" s="17">
        <f>J63*(1+Parameters!$B$53)^Parameters!B$65</f>
        <v>29.701819453345202</v>
      </c>
      <c r="K64" s="7">
        <f>'6states'!$O$4</f>
        <v>0.98104277196026479</v>
      </c>
      <c r="L64" s="9">
        <f t="shared" si="7"/>
        <v>0.5</v>
      </c>
      <c r="M64" s="24">
        <f t="shared" si="3"/>
        <v>2</v>
      </c>
      <c r="N64" s="17">
        <f>(Parameters!$B$19*(E64+Parameters!$B$20)^L64+Parameters!$B$18*F64^L64)^(1/L64)</f>
        <v>0.53601696886663586</v>
      </c>
      <c r="O64" s="17">
        <f>(Parameters!$B$10*G64^Parameters!$B$9 + Parameters!$B$11*N64^Parameters!$B$9) ^ (Parameters!$B$7/Parameters!$B$9) * K64</f>
        <v>1.5032900495075534</v>
      </c>
      <c r="P64" s="17">
        <f t="shared" si="1"/>
        <v>1.1453521521691388</v>
      </c>
      <c r="Q64" s="17">
        <f>EXP(-Parameters!$B$55*A64)</f>
        <v>0.40413754542145147</v>
      </c>
      <c r="R64" s="17">
        <f>IF(P64&gt;0,P64^(1-Parameters!$B$52)/(1-Parameters!$B$52)*Q64,-10+P64*1000)</f>
        <v>-1.1011145271187348</v>
      </c>
      <c r="S64" s="17"/>
      <c r="T64" s="22"/>
      <c r="U64" s="22"/>
      <c r="V64" s="17"/>
      <c r="W64" s="31">
        <f t="shared" si="17"/>
        <v>0.23810301774808371</v>
      </c>
    </row>
    <row r="65" spans="1:22" x14ac:dyDescent="0.3">
      <c r="A65">
        <f>A64+Parameters!$B$65</f>
        <v>61</v>
      </c>
      <c r="B65" s="46">
        <f>B64</f>
        <v>5.19238877102325E-2</v>
      </c>
      <c r="C65" s="46">
        <f t="shared" ref="C65:D73" si="22">C64</f>
        <v>1.0018735403930583E-2</v>
      </c>
      <c r="D65" s="46">
        <f t="shared" si="22"/>
        <v>0.29599527422425154</v>
      </c>
      <c r="E65" s="7">
        <f>MAX((1-Parameters!$B$4)^Parameters!B$65*E64+B64*Parameters!B$65-Parameters!$B$5*B64^2/E64*Parameters!B$65,0.0001)</f>
        <v>0.77035297136844094</v>
      </c>
      <c r="F65" s="9">
        <f>MAX((1-Parameters!$B$4)^Parameters!B$65*F64+C64*Parameters!B$65-Parameters!$B$5*C64^2/F64*Parameters!B$65,0.0001)</f>
        <v>0.14863876979333546</v>
      </c>
      <c r="G65" s="7">
        <f>MAX((1-Parameters!$B$4)^Parameters!B$65*G64+D64*Parameters!B$65-Parameters!$B$5*D64^2/G64*Parameters!B$65,0.0001)</f>
        <v>4.3874109011094609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7">
        <f>'6states'!$O$4</f>
        <v>0.98104277196026479</v>
      </c>
      <c r="L65" s="9">
        <f t="shared" si="7"/>
        <v>0.5</v>
      </c>
      <c r="M65" s="23">
        <f t="shared" si="3"/>
        <v>2</v>
      </c>
      <c r="N65" s="7">
        <f>(Parameters!$B$19*(E65+Parameters!$B$20)^L65+Parameters!$B$18*F65^L65)^(1/L65)</f>
        <v>0.53599425896138808</v>
      </c>
      <c r="O65" s="7">
        <f>(Parameters!$B$10*G65^Parameters!$B$9 + Parameters!$B$11*N65^Parameters!$B$9) ^ (Parameters!$B$7/Parameters!$B$9) * K65</f>
        <v>1.5032912594223777</v>
      </c>
      <c r="P65" s="7">
        <f t="shared" si="1"/>
        <v>1.1453533620839631</v>
      </c>
      <c r="Q65" s="7">
        <f>EXP(-Parameters!$B$55*A65)</f>
        <v>0.39808091115496053</v>
      </c>
      <c r="R65" s="7">
        <f>IF(P65&gt;0,P65^(1-Parameters!$B$52)/(1-Parameters!$B$52)*Q65,-10+P65*1000)</f>
        <v>-1.0846121998390033</v>
      </c>
      <c r="S65" s="7"/>
      <c r="T65" s="7"/>
      <c r="U65" s="7"/>
      <c r="V65" s="7"/>
    </row>
    <row r="66" spans="1:22" x14ac:dyDescent="0.3">
      <c r="A66">
        <f>A65+Parameters!$B$65</f>
        <v>62</v>
      </c>
      <c r="B66" s="46">
        <f t="shared" ref="B66:B73" si="23">B65</f>
        <v>5.19238877102325E-2</v>
      </c>
      <c r="C66" s="46">
        <f t="shared" si="22"/>
        <v>1.0018735403930583E-2</v>
      </c>
      <c r="D66" s="46">
        <f t="shared" si="22"/>
        <v>0.29599527422425154</v>
      </c>
      <c r="E66" s="7">
        <f>MAX((1-Parameters!$B$4)^Parameters!B$65*E65+B65*Parameters!B$65-Parameters!$B$5*B65^2/E65*Parameters!B$65,0.0001)</f>
        <v>0.77032184577476215</v>
      </c>
      <c r="F66" s="9">
        <f>MAX((1-Parameters!$B$4)^Parameters!B$65*F65+C65*Parameters!B$65-Parameters!$B$5*C65^2/F65*Parameters!B$65,0.0001)</f>
        <v>0.14863283130111668</v>
      </c>
      <c r="G66" s="7">
        <f>MAX((1-Parameters!$B$4)^Parameters!B$65*G65+D65*Parameters!B$65-Parameters!$B$5*D65^2/G65*Parameters!B$65,0.0001)</f>
        <v>4.3874688030786517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7">
        <f>'6states'!$O$4</f>
        <v>0.98104277196026479</v>
      </c>
      <c r="L66" s="9">
        <f t="shared" si="7"/>
        <v>0.5</v>
      </c>
      <c r="N66" s="7">
        <f>(Parameters!$B$19*(E66+Parameters!$B$20)^L66+Parameters!$B$18*F66^L66)^(1/L66)</f>
        <v>0.5359728743393587</v>
      </c>
      <c r="O66" s="7">
        <f>(Parameters!$B$10*G66^Parameters!$B$9 + Parameters!$B$11*N66^Parameters!$B$9) ^ (Parameters!$B$7/Parameters!$B$9) * K66</f>
        <v>1.5032923977189856</v>
      </c>
      <c r="P66" s="7">
        <f t="shared" si="1"/>
        <v>1.145354500380571</v>
      </c>
      <c r="Q66" s="7">
        <f>EXP(-Parameters!$B$55*A66)</f>
        <v>0.39211504504167288</v>
      </c>
      <c r="R66" s="7">
        <f>IF(P66&gt;0,P66^(1-Parameters!$B$52)/(1-Parameters!$B$52)*Q66,-10+P66*1000)</f>
        <v>-1.0683572151788219</v>
      </c>
      <c r="S66" s="7"/>
      <c r="T66" s="7"/>
      <c r="U66" s="7"/>
      <c r="V66" s="7"/>
    </row>
    <row r="67" spans="1:22" x14ac:dyDescent="0.3">
      <c r="A67">
        <f>A66+Parameters!$B$65</f>
        <v>63</v>
      </c>
      <c r="B67" s="46">
        <f t="shared" si="23"/>
        <v>5.19238877102325E-2</v>
      </c>
      <c r="C67" s="46">
        <f t="shared" si="22"/>
        <v>1.0018735403930583E-2</v>
      </c>
      <c r="D67" s="46">
        <f t="shared" si="22"/>
        <v>0.29599527422425154</v>
      </c>
      <c r="E67" s="7">
        <f>MAX((1-Parameters!$B$4)^Parameters!B$65*E66+B66*Parameters!B$65-Parameters!$B$5*B66^2/E66*Parameters!B$65,0.0001)</f>
        <v>0.77029253656768626</v>
      </c>
      <c r="F67" s="9">
        <f>MAX((1-Parameters!$B$4)^Parameters!B$65*F66+C66*Parameters!B$65-Parameters!$B$5*C66^2/F66*Parameters!B$65,0.0001)</f>
        <v>0.14862723935923797</v>
      </c>
      <c r="G67" s="7">
        <f>MAX((1-Parameters!$B$4)^Parameters!B$65*G66+D66*Parameters!B$65-Parameters!$B$5*D66^2/G66*Parameters!B$65,0.0001)</f>
        <v>4.3875233265503368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7">
        <f>'6states'!$O$4</f>
        <v>0.98104277196026479</v>
      </c>
      <c r="L67" s="9">
        <f t="shared" si="7"/>
        <v>0.5</v>
      </c>
      <c r="N67" s="7">
        <f>(Parameters!$B$19*(E67+Parameters!$B$20)^L67+Parameters!$B$18*F67^L67)^(1/L67)</f>
        <v>0.53595273765284079</v>
      </c>
      <c r="O67" s="7">
        <f>(Parameters!$B$10*G67^Parameters!$B$9 + Parameters!$B$11*N67^Parameters!$B$9) ^ (Parameters!$B$7/Parameters!$B$9) * K67</f>
        <v>1.5032934686916368</v>
      </c>
      <c r="P67" s="7">
        <f t="shared" si="1"/>
        <v>1.1453555713532222</v>
      </c>
      <c r="Q67" s="7">
        <f>EXP(-Parameters!$B$55*A67)</f>
        <v>0.38623858677860945</v>
      </c>
      <c r="R67" s="7">
        <f>IF(P67&gt;0,P67^(1-Parameters!$B$52)/(1-Parameters!$B$52)*Q67,-10+P67*1000)</f>
        <v>-1.0523458641496084</v>
      </c>
      <c r="S67" s="7"/>
      <c r="T67" s="7"/>
      <c r="U67" s="7"/>
      <c r="V67" s="7"/>
    </row>
    <row r="68" spans="1:22" x14ac:dyDescent="0.3">
      <c r="A68">
        <f>A67+Parameters!$B$65</f>
        <v>64</v>
      </c>
      <c r="B68" s="46">
        <f t="shared" si="23"/>
        <v>5.19238877102325E-2</v>
      </c>
      <c r="C68" s="46">
        <f t="shared" si="22"/>
        <v>1.0018735403930583E-2</v>
      </c>
      <c r="D68" s="46">
        <f t="shared" si="22"/>
        <v>0.29599527422425154</v>
      </c>
      <c r="E68" s="7">
        <f>MAX((1-Parameters!$B$4)^Parameters!B$65*E67+B67*Parameters!B$65-Parameters!$B$5*B67^2/E67*Parameters!B$65,0.0001)</f>
        <v>0.77026493773845695</v>
      </c>
      <c r="F68" s="9">
        <f>MAX((1-Parameters!$B$4)^Parameters!B$65*F67+C67*Parameters!B$65-Parameters!$B$5*C67^2/F67*Parameters!B$65,0.0001)</f>
        <v>0.14862197374222141</v>
      </c>
      <c r="G68" s="7">
        <f>MAX((1-Parameters!$B$4)^Parameters!B$65*G67+D67*Parameters!B$65-Parameters!$B$5*D67^2/G67*Parameters!B$65,0.0001)</f>
        <v>4.3875746686486794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7">
        <f>'6states'!$O$4</f>
        <v>0.98104277196026479</v>
      </c>
      <c r="L68" s="9">
        <f t="shared" si="7"/>
        <v>0.5</v>
      </c>
      <c r="N68" s="7">
        <f>(Parameters!$B$19*(E68+Parameters!$B$20)^L68+Parameters!$B$18*F68^L68)^(1/L68)</f>
        <v>0.53593377606929815</v>
      </c>
      <c r="O68" s="7">
        <f>(Parameters!$B$10*G68^Parameters!$B$9 + Parameters!$B$11*N68^Parameters!$B$9) ^ (Parameters!$B$7/Parameters!$B$9) * K68</f>
        <v>1.5032944763709803</v>
      </c>
      <c r="P68" s="7">
        <f t="shared" ref="P68:P131" si="24">O68-B68-C68-D68</f>
        <v>1.1453565790325657</v>
      </c>
      <c r="Q68" s="7">
        <f>EXP(-Parameters!$B$55*A68)</f>
        <v>0.38045019644906247</v>
      </c>
      <c r="R68" s="7">
        <f>IF(P68&gt;0,P68^(1-Parameters!$B$52)/(1-Parameters!$B$52)*Q68,-10+P68*1000)</f>
        <v>-1.0365744935104941</v>
      </c>
      <c r="S68" s="7"/>
      <c r="T68" s="7"/>
      <c r="U68" s="7"/>
      <c r="V68" s="7"/>
    </row>
    <row r="69" spans="1:22" x14ac:dyDescent="0.3">
      <c r="A69">
        <f>A68+Parameters!$B$65</f>
        <v>65</v>
      </c>
      <c r="B69" s="46">
        <f t="shared" si="23"/>
        <v>5.19238877102325E-2</v>
      </c>
      <c r="C69" s="46">
        <f t="shared" si="22"/>
        <v>1.0018735403930583E-2</v>
      </c>
      <c r="D69" s="46">
        <f t="shared" si="22"/>
        <v>0.29599527422425154</v>
      </c>
      <c r="E69" s="7">
        <f>MAX((1-Parameters!$B$4)^Parameters!B$65*E68+B68*Parameters!B$65-Parameters!$B$5*B68^2/E68*Parameters!B$65,0.0001)</f>
        <v>0.77023894946643046</v>
      </c>
      <c r="F69" s="9">
        <f>MAX((1-Parameters!$B$4)^Parameters!B$65*F68+C68*Parameters!B$65-Parameters!$B$5*C68^2/F68*Parameters!B$65,0.0001)</f>
        <v>0.14861701540521788</v>
      </c>
      <c r="G69" s="7">
        <f>MAX((1-Parameters!$B$4)^Parameters!B$65*G68+D68*Parameters!B$65-Parameters!$B$5*D68^2/G68*Parameters!B$65,0.0001)</f>
        <v>4.3876230149970192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7">
        <f>'6states'!$O$4</f>
        <v>0.98104277196026479</v>
      </c>
      <c r="L69" s="9">
        <f t="shared" si="7"/>
        <v>0.5</v>
      </c>
      <c r="N69" s="7">
        <f>(Parameters!$B$19*(E69+Parameters!$B$20)^L69+Parameters!$B$18*F69^L69)^(1/L69)</f>
        <v>0.53591592100768815</v>
      </c>
      <c r="O69" s="7">
        <f>(Parameters!$B$10*G69^Parameters!$B$9 + Parameters!$B$11*N69^Parameters!$B$9) ^ (Parameters!$B$7/Parameters!$B$9) * K69</f>
        <v>1.5032954245409109</v>
      </c>
      <c r="P69" s="7">
        <f t="shared" si="24"/>
        <v>1.1453575272024963</v>
      </c>
      <c r="Q69" s="7">
        <f>EXP(-Parameters!$B$55*A69)</f>
        <v>0.37474855421707526</v>
      </c>
      <c r="R69" s="7">
        <f>IF(P69&gt;0,P69^(1-Parameters!$B$52)/(1-Parameters!$B$52)*Q69,-10+P69*1000)</f>
        <v>-1.021039504920392</v>
      </c>
      <c r="S69" s="7"/>
      <c r="T69" s="7"/>
      <c r="U69" s="7"/>
      <c r="V69" s="7"/>
    </row>
    <row r="70" spans="1:22" x14ac:dyDescent="0.3">
      <c r="A70">
        <f>A69+Parameters!$B$65</f>
        <v>66</v>
      </c>
      <c r="B70" s="46">
        <f t="shared" si="23"/>
        <v>5.19238877102325E-2</v>
      </c>
      <c r="C70" s="46">
        <f t="shared" si="22"/>
        <v>1.0018735403930583E-2</v>
      </c>
      <c r="D70" s="46">
        <f t="shared" si="22"/>
        <v>0.29599527422425154</v>
      </c>
      <c r="E70" s="7">
        <f>MAX((1-Parameters!$B$4)^Parameters!B$65*E69+B69*Parameters!B$65-Parameters!$B$5*B69^2/E69*Parameters!B$65,0.0001)</f>
        <v>0.77021447775771912</v>
      </c>
      <c r="F70" s="9">
        <f>MAX((1-Parameters!$B$4)^Parameters!B$65*F69+C69*Parameters!B$65-Parameters!$B$5*C69^2/F69*Parameters!B$65,0.0001)</f>
        <v>0.14861234641506435</v>
      </c>
      <c r="G70" s="7">
        <f>MAX((1-Parameters!$B$4)^Parameters!B$65*G69+D69*Parameters!B$65-Parameters!$B$5*D69^2/G69*Parameters!B$65,0.0001)</f>
        <v>4.387668540388785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7">
        <f>'6states'!$O$4</f>
        <v>0.98104277196026479</v>
      </c>
      <c r="L70" s="9">
        <f t="shared" ref="L70:L133" si="25">L69</f>
        <v>0.5</v>
      </c>
      <c r="N70" s="7">
        <f>(Parameters!$B$19*(E70+Parameters!$B$20)^L70+Parameters!$B$18*F70^L70)^(1/L70)</f>
        <v>0.53589910789019657</v>
      </c>
      <c r="O70" s="7">
        <f>(Parameters!$B$10*G70^Parameters!$B$9 + Parameters!$B$11*N70^Parameters!$B$9) ^ (Parameters!$B$7/Parameters!$B$9) * K70</f>
        <v>1.503296316754273</v>
      </c>
      <c r="P70" s="7">
        <f t="shared" si="24"/>
        <v>1.1453584194158584</v>
      </c>
      <c r="Q70" s="7">
        <f>EXP(-Parameters!$B$55*A70)</f>
        <v>0.36913236002650052</v>
      </c>
      <c r="R70" s="7">
        <f>IF(P70&gt;0,P70^(1-Parameters!$B$52)/(1-Parameters!$B$52)*Q70,-10+P70*1000)</f>
        <v>-1.0057373541037642</v>
      </c>
      <c r="S70" s="7"/>
      <c r="T70" s="7"/>
      <c r="U70" s="7"/>
      <c r="V70" s="7"/>
    </row>
    <row r="71" spans="1:22" x14ac:dyDescent="0.3">
      <c r="A71">
        <f>A70+Parameters!$B$65</f>
        <v>67</v>
      </c>
      <c r="B71" s="46">
        <f t="shared" si="23"/>
        <v>5.19238877102325E-2</v>
      </c>
      <c r="C71" s="46">
        <f t="shared" si="22"/>
        <v>1.0018735403930583E-2</v>
      </c>
      <c r="D71" s="46">
        <f t="shared" si="22"/>
        <v>0.29599527422425154</v>
      </c>
      <c r="E71" s="7">
        <f>MAX((1-Parameters!$B$4)^Parameters!B$65*E70+B70*Parameters!B$65-Parameters!$B$5*B70^2/E70*Parameters!B$65,0.0001)</f>
        <v>0.77019143410495228</v>
      </c>
      <c r="F71" s="9">
        <f>MAX((1-Parameters!$B$4)^Parameters!B$65*F70+C70*Parameters!B$65-Parameters!$B$5*C70^2/F70*Parameters!B$65,0.0001)</f>
        <v>0.14860794988537035</v>
      </c>
      <c r="G71" s="7">
        <f>MAX((1-Parameters!$B$4)^Parameters!B$65*G70+D70*Parameters!B$65-Parameters!$B$5*D70^2/G70*Parameters!B$65,0.0001)</f>
        <v>4.3877114094192757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7">
        <f>'6states'!$O$4</f>
        <v>0.98104277196026479</v>
      </c>
      <c r="L71" s="9">
        <f t="shared" si="25"/>
        <v>0.5</v>
      </c>
      <c r="N71" s="7">
        <f>(Parameters!$B$19*(E71+Parameters!$B$20)^L71+Parameters!$B$18*F71^L71)^(1/L71)</f>
        <v>0.53588327590847751</v>
      </c>
      <c r="O71" s="7">
        <f>(Parameters!$B$10*G71^Parameters!$B$9 + Parameters!$B$11*N71^Parameters!$B$9) ^ (Parameters!$B$7/Parameters!$B$9) * K71</f>
        <v>1.5032971563475013</v>
      </c>
      <c r="P71" s="7">
        <f t="shared" si="24"/>
        <v>1.1453592590090866</v>
      </c>
      <c r="Q71" s="7">
        <f>EXP(-Parameters!$B$55*A71)</f>
        <v>0.3636003333045692</v>
      </c>
      <c r="R71" s="7">
        <f>IF(P71&gt;0,P71^(1-Parameters!$B$52)/(1-Parameters!$B$52)*Q71,-10+P71*1000)</f>
        <v>-0.99066455002979614</v>
      </c>
      <c r="S71" s="7"/>
      <c r="T71" s="7"/>
      <c r="U71" s="7"/>
      <c r="V71" s="7"/>
    </row>
    <row r="72" spans="1:22" x14ac:dyDescent="0.3">
      <c r="A72">
        <f>A71+Parameters!$B$65</f>
        <v>68</v>
      </c>
      <c r="B72" s="46">
        <f t="shared" si="23"/>
        <v>5.19238877102325E-2</v>
      </c>
      <c r="C72" s="46">
        <f t="shared" si="22"/>
        <v>1.0018735403930583E-2</v>
      </c>
      <c r="D72" s="46">
        <f t="shared" si="22"/>
        <v>0.29599527422425154</v>
      </c>
      <c r="E72" s="7">
        <f>MAX((1-Parameters!$B$4)^Parameters!B$65*E71+B71*Parameters!B$65-Parameters!$B$5*B71^2/E71*Parameters!B$65,0.0001)</f>
        <v>0.770169735166917</v>
      </c>
      <c r="F72" s="9">
        <f>MAX((1-Parameters!$B$4)^Parameters!B$65*F71+C71*Parameters!B$65-Parameters!$B$5*C71^2/F71*Parameters!B$65,0.0001)</f>
        <v>0.14860380991539707</v>
      </c>
      <c r="G72" s="7">
        <f>MAX((1-Parameters!$B$4)^Parameters!B$65*G71+D71*Parameters!B$65-Parameters!$B$5*D71^2/G71*Parameters!B$65,0.0001)</f>
        <v>4.3877517770805978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7">
        <f>'6states'!$O$4</f>
        <v>0.98104277196026479</v>
      </c>
      <c r="L72" s="9">
        <f t="shared" si="25"/>
        <v>0.5</v>
      </c>
      <c r="N72" s="7">
        <f>(Parameters!$B$19*(E72+Parameters!$B$20)^L72+Parameters!$B$18*F72^L72)^(1/L72)</f>
        <v>0.53586836780355451</v>
      </c>
      <c r="O72" s="7">
        <f>(Parameters!$B$10*G72^Parameters!$B$9 + Parameters!$B$11*N72^Parameters!$B$9) ^ (Parameters!$B$7/Parameters!$B$9) * K72</f>
        <v>1.5032979464542786</v>
      </c>
      <c r="P72" s="7">
        <f t="shared" si="24"/>
        <v>1.145360049115864</v>
      </c>
      <c r="Q72" s="7">
        <f>EXP(-Parameters!$B$55*A72)</f>
        <v>0.35815121266990152</v>
      </c>
      <c r="R72" s="7">
        <f>IF(P72&gt;0,P72^(1-Parameters!$B$52)/(1-Parameters!$B$52)*Q72,-10+P72*1000)</f>
        <v>-0.97581765410470234</v>
      </c>
      <c r="S72" s="7"/>
      <c r="T72" s="7"/>
      <c r="U72" s="7"/>
      <c r="V72" s="7"/>
    </row>
    <row r="73" spans="1:22" x14ac:dyDescent="0.3">
      <c r="A73">
        <f>A72+Parameters!$B$65</f>
        <v>69</v>
      </c>
      <c r="B73" s="46">
        <f t="shared" si="23"/>
        <v>5.19238877102325E-2</v>
      </c>
      <c r="C73" s="46">
        <f t="shared" si="22"/>
        <v>1.0018735403930583E-2</v>
      </c>
      <c r="D73" s="46">
        <f t="shared" si="22"/>
        <v>0.29599527422425154</v>
      </c>
      <c r="E73" s="7">
        <f>MAX((1-Parameters!$B$4)^Parameters!B$65*E72+B72*Parameters!B$65-Parameters!$B$5*B72^2/E72*Parameters!B$65,0.0001)</f>
        <v>0.77014930246691715</v>
      </c>
      <c r="F73" s="9">
        <f>MAX((1-Parameters!$B$4)^Parameters!B$65*F72+C72*Parameters!B$65-Parameters!$B$5*C72^2/F72*Parameters!B$65,0.0001)</f>
        <v>0.14859991153250762</v>
      </c>
      <c r="G73" s="7">
        <f>MAX((1-Parameters!$B$4)^Parameters!B$65*G72+D72*Parameters!B$65-Parameters!$B$5*D72^2/G72*Parameters!B$65,0.0001)</f>
        <v>4.3877897893218947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7">
        <f>'6states'!$O$4</f>
        <v>0.98104277196026479</v>
      </c>
      <c r="L73" s="9">
        <f t="shared" si="25"/>
        <v>0.5</v>
      </c>
      <c r="N73" s="7">
        <f>(Parameters!$B$19*(E73+Parameters!$B$20)^L73+Parameters!$B$18*F73^L73)^(1/L73)</f>
        <v>0.53585432965857993</v>
      </c>
      <c r="O73" s="7">
        <f>(Parameters!$B$10*G73^Parameters!$B$9 + Parameters!$B$11*N73^Parameters!$B$9) ^ (Parameters!$B$7/Parameters!$B$9) * K73</f>
        <v>1.5032986900182779</v>
      </c>
      <c r="P73" s="7">
        <f t="shared" si="24"/>
        <v>1.1453607926798632</v>
      </c>
      <c r="Q73" s="7">
        <f>EXP(-Parameters!$B$55*A73)</f>
        <v>0.35278375564489362</v>
      </c>
      <c r="R73" s="7">
        <f>IF(P73&gt;0,P73^(1-Parameters!$B$52)/(1-Parameters!$B$52)*Q73,-10+P73*1000)</f>
        <v>-0.96119327937689736</v>
      </c>
      <c r="S73" s="7"/>
      <c r="T73" s="7"/>
      <c r="U73" s="7"/>
      <c r="V73" s="7"/>
    </row>
    <row r="74" spans="1:22" x14ac:dyDescent="0.3">
      <c r="A74">
        <f>A73+Parameters!$B$65</f>
        <v>70</v>
      </c>
      <c r="B74" s="19">
        <v>5.1923951975726516E-2</v>
      </c>
      <c r="C74" s="19">
        <v>1.0018754504738657E-2</v>
      </c>
      <c r="D74" s="18">
        <v>0.29599585186736171</v>
      </c>
      <c r="E74" s="7">
        <f>MAX((1-Parameters!$B$4)^Parameters!B$65*E73+B73*Parameters!B$65-Parameters!$B$5*B73^2/E73*Parameters!B$65,0.0001)</f>
        <v>0.77013006210875568</v>
      </c>
      <c r="F74" s="9">
        <f>MAX((1-Parameters!$B$4)^Parameters!B$65*F73+C73*Parameters!B$65-Parameters!$B$5*C73^2/F73*Parameters!B$65,0.0001)</f>
        <v>0.14859624063797974</v>
      </c>
      <c r="G74" s="7">
        <f>MAX((1-Parameters!$B$4)^Parameters!B$65*G73+D73*Parameters!B$65-Parameters!$B$5*D73^2/G73*Parameters!B$65,0.0001)</f>
        <v>4.387825583576908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7">
        <f>'6states'!$O$4</f>
        <v>0.98104277196026479</v>
      </c>
      <c r="L74" s="9">
        <f t="shared" si="25"/>
        <v>0.5</v>
      </c>
      <c r="N74" s="7">
        <f>(Parameters!$B$19*(E74+Parameters!$B$20)^L74+Parameters!$B$18*F74^L74)^(1/L74)</f>
        <v>0.53584111070370399</v>
      </c>
      <c r="O74" s="7">
        <f>(Parameters!$B$10*G74^Parameters!$B$9 + Parameters!$B$11*N74^Parameters!$B$9) ^ (Parameters!$B$7/Parameters!$B$9) * K74</f>
        <v>1.5032993898050575</v>
      </c>
      <c r="P74" s="7">
        <f t="shared" si="24"/>
        <v>1.1453608314572308</v>
      </c>
      <c r="Q74" s="7">
        <f>EXP(-Parameters!$B$55*A74)</f>
        <v>0.34749673837241518</v>
      </c>
      <c r="R74" s="7">
        <f>IF(P74&gt;0,P74^(1-Parameters!$B$52)/(1-Parameters!$B$52)*Q74,-10+P74*1000)</f>
        <v>-0.94678828099801116</v>
      </c>
      <c r="S74" s="7"/>
      <c r="T74" s="7"/>
      <c r="U74" s="7"/>
      <c r="V74" s="7"/>
    </row>
    <row r="75" spans="1:22" x14ac:dyDescent="0.3">
      <c r="A75">
        <f>A74+Parameters!$B$65</f>
        <v>71</v>
      </c>
      <c r="B75" s="46">
        <f>B74</f>
        <v>5.1923951975726516E-2</v>
      </c>
      <c r="C75" s="46">
        <f t="shared" ref="C75:D83" si="26">C74</f>
        <v>1.0018754504738657E-2</v>
      </c>
      <c r="D75" s="46">
        <f t="shared" si="26"/>
        <v>0.29599585186736171</v>
      </c>
      <c r="E75" s="7">
        <f>MAX((1-Parameters!$B$4)^Parameters!B$65*E74+B74*Parameters!B$65-Parameters!$B$5*B74^2/E74*Parameters!B$65,0.0001)</f>
        <v>0.77011200010895031</v>
      </c>
      <c r="F75" s="9">
        <f>MAX((1-Parameters!$B$4)^Parameters!B$65*F74+C74*Parameters!B$65-Parameters!$B$5*C74^2/F74*Parameters!B$65,0.0001)</f>
        <v>0.14859280048113924</v>
      </c>
      <c r="G75" s="7">
        <f>MAX((1-Parameters!$B$4)^Parameters!B$65*G74+D74*Parameters!B$65-Parameters!$B$5*D74^2/G74*Parameters!B$65,0.0001)</f>
        <v>4.3878597889701485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7">
        <f>'6states'!$O$4</f>
        <v>0.98104277196026479</v>
      </c>
      <c r="L75" s="9">
        <f t="shared" si="25"/>
        <v>0.5</v>
      </c>
      <c r="N75" s="7">
        <f>(Parameters!$B$19*(E75+Parameters!$B$20)^L75+Parameters!$B$18*F75^L75)^(1/L75)</f>
        <v>0.53582870474570998</v>
      </c>
      <c r="O75" s="7">
        <f>(Parameters!$B$10*G75^Parameters!$B$9 + Parameters!$B$11*N75^Parameters!$B$9) ^ (Parameters!$B$7/Parameters!$B$9) * K75</f>
        <v>1.5033000964860315</v>
      </c>
      <c r="P75" s="7">
        <f t="shared" si="24"/>
        <v>1.1453615381382047</v>
      </c>
      <c r="Q75" s="7">
        <f>EXP(-Parameters!$B$55*A75)</f>
        <v>0.34228895533675241</v>
      </c>
      <c r="R75" s="7">
        <f>IF(P75&gt;0,P75^(1-Parameters!$B$52)/(1-Parameters!$B$52)*Q75,-10+P75*1000)</f>
        <v>-0.93259897391390778</v>
      </c>
      <c r="S75" s="7"/>
      <c r="T75" s="7"/>
      <c r="U75" s="7"/>
      <c r="V75" s="7"/>
    </row>
    <row r="76" spans="1:22" x14ac:dyDescent="0.3">
      <c r="A76">
        <f>A75+Parameters!$B$65</f>
        <v>72</v>
      </c>
      <c r="B76" s="46">
        <f t="shared" ref="B76:B83" si="27">B75</f>
        <v>5.1923951975726516E-2</v>
      </c>
      <c r="C76" s="46">
        <f t="shared" si="26"/>
        <v>1.0018754504738657E-2</v>
      </c>
      <c r="D76" s="46">
        <f t="shared" si="26"/>
        <v>0.29599585186736171</v>
      </c>
      <c r="E76" s="7">
        <f>MAX((1-Parameters!$B$4)^Parameters!B$65*E75+B75*Parameters!B$65-Parameters!$B$5*B75^2/E75*Parameters!B$65,0.0001)</f>
        <v>0.77009499210133514</v>
      </c>
      <c r="F76" s="9">
        <f>MAX((1-Parameters!$B$4)^Parameters!B$65*F75+C75*Parameters!B$65-Parameters!$B$5*C75^2/F75*Parameters!B$65,0.0001)</f>
        <v>0.14858956107148294</v>
      </c>
      <c r="G76" s="7">
        <f>MAX((1-Parameters!$B$4)^Parameters!B$65*G75+D75*Parameters!B$65-Parameters!$B$5*D75^2/G75*Parameters!B$65,0.0001)</f>
        <v>4.3878919984993923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7">
        <f>'6states'!$O$4</f>
        <v>0.98104277196026479</v>
      </c>
      <c r="L76" s="9">
        <f t="shared" si="25"/>
        <v>0.5</v>
      </c>
      <c r="N76" s="7">
        <f>(Parameters!$B$19*(E76+Parameters!$B$20)^L76+Parameters!$B$18*F76^L76)^(1/L76)</f>
        <v>0.53581702272644616</v>
      </c>
      <c r="O76" s="7">
        <f>(Parameters!$B$10*G76^Parameters!$B$9 + Parameters!$B$11*N76^Parameters!$B$9) ^ (Parameters!$B$7/Parameters!$B$9) * K76</f>
        <v>1.5033007616244094</v>
      </c>
      <c r="P76" s="7">
        <f t="shared" si="24"/>
        <v>1.1453622032765827</v>
      </c>
      <c r="Q76" s="7">
        <f>EXP(-Parameters!$B$55*A76)</f>
        <v>0.33715921908873309</v>
      </c>
      <c r="R76" s="7">
        <f>IF(P76&gt;0,P76^(1-Parameters!$B$52)/(1-Parameters!$B$52)*Q76,-10+P76*1000)</f>
        <v>-0.91862233050624753</v>
      </c>
      <c r="S76" s="7"/>
      <c r="T76" s="7"/>
      <c r="U76" s="7"/>
      <c r="V76" s="7"/>
    </row>
    <row r="77" spans="1:22" x14ac:dyDescent="0.3">
      <c r="A77">
        <f>A76+Parameters!$B$65</f>
        <v>73</v>
      </c>
      <c r="B77" s="46">
        <f t="shared" si="27"/>
        <v>5.1923951975726516E-2</v>
      </c>
      <c r="C77" s="46">
        <f t="shared" si="26"/>
        <v>1.0018754504738657E-2</v>
      </c>
      <c r="D77" s="46">
        <f t="shared" si="26"/>
        <v>0.29599585186736171</v>
      </c>
      <c r="E77" s="7">
        <f>MAX((1-Parameters!$B$4)^Parameters!B$65*E76+B76*Parameters!B$65-Parameters!$B$5*B76^2/E76*Parameters!B$65,0.0001)</f>
        <v>0.77007897657759738</v>
      </c>
      <c r="F77" s="9">
        <f>MAX((1-Parameters!$B$4)^Parameters!B$65*F76+C76*Parameters!B$65-Parameters!$B$5*C76^2/F76*Parameters!B$65,0.0001)</f>
        <v>0.14858651069393183</v>
      </c>
      <c r="G77" s="7">
        <f>MAX((1-Parameters!$B$4)^Parameters!B$65*G76+D76*Parameters!B$65-Parameters!$B$5*D76^2/G76*Parameters!B$65,0.0001)</f>
        <v>4.3879223286198767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7">
        <f>'6states'!$O$4</f>
        <v>0.98104277196026479</v>
      </c>
      <c r="L77" s="9">
        <f t="shared" si="25"/>
        <v>0.5</v>
      </c>
      <c r="N77" s="7">
        <f>(Parameters!$B$19*(E77+Parameters!$B$20)^L77+Parameters!$B$18*F77^L77)^(1/L77)</f>
        <v>0.5358060223986929</v>
      </c>
      <c r="O77" s="7">
        <f>(Parameters!$B$10*G77^Parameters!$B$9 + Parameters!$B$11*N77^Parameters!$B$9) ^ (Parameters!$B$7/Parameters!$B$9) * K77</f>
        <v>1.503301387679022</v>
      </c>
      <c r="P77" s="7">
        <f t="shared" si="24"/>
        <v>1.1453628293311953</v>
      </c>
      <c r="Q77" s="7">
        <f>EXP(-Parameters!$B$55*A77)</f>
        <v>0.33210635997497118</v>
      </c>
      <c r="R77" s="7">
        <f>IF(P77&gt;0,P77^(1-Parameters!$B$52)/(1-Parameters!$B$52)*Q77,-10+P77*1000)</f>
        <v>-0.90485516260198795</v>
      </c>
      <c r="S77" s="7"/>
      <c r="T77" s="7"/>
      <c r="U77" s="7"/>
      <c r="V77" s="7"/>
    </row>
    <row r="78" spans="1:22" x14ac:dyDescent="0.3">
      <c r="A78">
        <f>A77+Parameters!$B$65</f>
        <v>74</v>
      </c>
      <c r="B78" s="46">
        <f t="shared" si="27"/>
        <v>5.1923951975726516E-2</v>
      </c>
      <c r="C78" s="46">
        <f t="shared" si="26"/>
        <v>1.0018754504738657E-2</v>
      </c>
      <c r="D78" s="46">
        <f t="shared" si="26"/>
        <v>0.29599585186736171</v>
      </c>
      <c r="E78" s="7">
        <f>MAX((1-Parameters!$B$4)^Parameters!B$65*E77+B77*Parameters!B$65-Parameters!$B$5*B77^2/E77*Parameters!B$65,0.0001)</f>
        <v>0.77006389561929223</v>
      </c>
      <c r="F78" s="9">
        <f>MAX((1-Parameters!$B$4)^Parameters!B$65*F77+C77*Parameters!B$65-Parameters!$B$5*C77^2/F77*Parameters!B$65,0.0001)</f>
        <v>0.14858363831714305</v>
      </c>
      <c r="G78" s="7">
        <f>MAX((1-Parameters!$B$4)^Parameters!B$65*G77+D77*Parameters!B$65-Parameters!$B$5*D77^2/G77*Parameters!B$65,0.0001)</f>
        <v>4.3879508889921288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7">
        <f>'6states'!$O$4</f>
        <v>0.98104277196026479</v>
      </c>
      <c r="L78" s="9">
        <f t="shared" si="25"/>
        <v>0.5</v>
      </c>
      <c r="N78" s="7">
        <f>(Parameters!$B$19*(E78+Parameters!$B$20)^L78+Parameters!$B$18*F78^L78)^(1/L78)</f>
        <v>0.53579566398094469</v>
      </c>
      <c r="O78" s="7">
        <f>(Parameters!$B$10*G78^Parameters!$B$9 + Parameters!$B$11*N78^Parameters!$B$9) ^ (Parameters!$B$7/Parameters!$B$9) * K78</f>
        <v>1.5033019769612899</v>
      </c>
      <c r="P78" s="7">
        <f t="shared" si="24"/>
        <v>1.1453634186134631</v>
      </c>
      <c r="Q78" s="7">
        <f>EXP(-Parameters!$B$55*A78)</f>
        <v>0.32712922587116899</v>
      </c>
      <c r="R78" s="7">
        <f>IF(P78&gt;0,P78^(1-Parameters!$B$52)/(1-Parameters!$B$52)*Q78,-10+P78*1000)</f>
        <v>-0.89129432988711121</v>
      </c>
      <c r="S78" s="7"/>
      <c r="T78" s="7"/>
      <c r="U78" s="7"/>
      <c r="V78" s="7"/>
    </row>
    <row r="79" spans="1:22" x14ac:dyDescent="0.3">
      <c r="A79">
        <f>A78+Parameters!$B$65</f>
        <v>75</v>
      </c>
      <c r="B79" s="46">
        <f t="shared" si="27"/>
        <v>5.1923951975726516E-2</v>
      </c>
      <c r="C79" s="46">
        <f t="shared" si="26"/>
        <v>1.0018754504738657E-2</v>
      </c>
      <c r="D79" s="46">
        <f t="shared" si="26"/>
        <v>0.29599585186736171</v>
      </c>
      <c r="E79" s="7">
        <f>MAX((1-Parameters!$B$4)^Parameters!B$65*E78+B78*Parameters!B$65-Parameters!$B$5*B78^2/E78*Parameters!B$65,0.0001)</f>
        <v>0.77004969468827889</v>
      </c>
      <c r="F79" s="9">
        <f>MAX((1-Parameters!$B$4)^Parameters!B$65*F78+C78*Parameters!B$65-Parameters!$B$5*C78^2/F78*Parameters!B$65,0.0001)</f>
        <v>0.14858093355359617</v>
      </c>
      <c r="G79" s="7">
        <f>MAX((1-Parameters!$B$4)^Parameters!B$65*G78+D78*Parameters!B$65-Parameters!$B$5*D78^2/G78*Parameters!B$65,0.0001)</f>
        <v>4.3879777828783793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7">
        <f>'6states'!$O$4</f>
        <v>0.98104277196026479</v>
      </c>
      <c r="L79" s="9">
        <f t="shared" si="25"/>
        <v>0.5</v>
      </c>
      <c r="N79" s="7">
        <f>(Parameters!$B$19*(E79+Parameters!$B$20)^L79+Parameters!$B$18*F79^L79)^(1/L79)</f>
        <v>0.53578591001346942</v>
      </c>
      <c r="O79" s="7">
        <f>(Parameters!$B$10*G79^Parameters!$B$9 + Parameters!$B$11*N79^Parameters!$B$9) ^ (Parameters!$B$7/Parameters!$B$9) * K79</f>
        <v>1.5033025316442652</v>
      </c>
      <c r="P79" s="7">
        <f t="shared" si="24"/>
        <v>1.1453639732964385</v>
      </c>
      <c r="Q79" s="7">
        <f>EXP(-Parameters!$B$55*A79)</f>
        <v>0.32222668191941661</v>
      </c>
      <c r="R79" s="7">
        <f>IF(P79&gt;0,P79^(1-Parameters!$B$52)/(1-Parameters!$B$52)*Q79,-10+P79*1000)</f>
        <v>-0.87793673918346482</v>
      </c>
      <c r="S79" s="7"/>
      <c r="T79" s="7"/>
      <c r="U79" s="7"/>
      <c r="V79" s="7"/>
    </row>
    <row r="80" spans="1:22" x14ac:dyDescent="0.3">
      <c r="A80">
        <f>A79+Parameters!$B$65</f>
        <v>76</v>
      </c>
      <c r="B80" s="46">
        <f t="shared" si="27"/>
        <v>5.1923951975726516E-2</v>
      </c>
      <c r="C80" s="46">
        <f t="shared" si="26"/>
        <v>1.0018754504738657E-2</v>
      </c>
      <c r="D80" s="46">
        <f t="shared" si="26"/>
        <v>0.29599585186736171</v>
      </c>
      <c r="E80" s="7">
        <f>MAX((1-Parameters!$B$4)^Parameters!B$65*E79+B79*Parameters!B$65-Parameters!$B$5*B79^2/E79*Parameters!B$65,0.0001)</f>
        <v>0.77003632242939513</v>
      </c>
      <c r="F80" s="9">
        <f>MAX((1-Parameters!$B$4)^Parameters!B$65*F79+C79*Parameters!B$65-Parameters!$B$5*C79^2/F79*Parameters!B$65,0.0001)</f>
        <v>0.14857838662201012</v>
      </c>
      <c r="G80" s="7">
        <f>MAX((1-Parameters!$B$4)^Parameters!B$65*G79+D79*Parameters!B$65-Parameters!$B$5*D79^2/G79*Parameters!B$65,0.0001)</f>
        <v>4.3880031075158552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7">
        <f>'6states'!$O$4</f>
        <v>0.98104277196026479</v>
      </c>
      <c r="L80" s="9">
        <f t="shared" si="25"/>
        <v>0.5</v>
      </c>
      <c r="N80" s="7">
        <f>(Parameters!$B$19*(E80+Parameters!$B$20)^L80+Parameters!$B$18*F80^L80)^(1/L80)</f>
        <v>0.53577672522277531</v>
      </c>
      <c r="O80" s="7">
        <f>(Parameters!$B$10*G80^Parameters!$B$9 + Parameters!$B$11*N80^Parameters!$B$9) ^ (Parameters!$B$7/Parameters!$B$9) * K80</f>
        <v>1.5033030537711054</v>
      </c>
      <c r="P80" s="7">
        <f t="shared" si="24"/>
        <v>1.1453644954232787</v>
      </c>
      <c r="Q80" s="7">
        <f>EXP(-Parameters!$B$55*A80)</f>
        <v>0.31739761026942775</v>
      </c>
      <c r="R80" s="7">
        <f>IF(P80&gt;0,P80^(1-Parameters!$B$52)/(1-Parameters!$B$52)*Q80,-10+P80*1000)</f>
        <v>-0.86477934373688747</v>
      </c>
      <c r="S80" s="7"/>
      <c r="T80" s="7"/>
      <c r="U80" s="7"/>
      <c r="V80" s="7"/>
    </row>
    <row r="81" spans="1:22" x14ac:dyDescent="0.3">
      <c r="A81">
        <f>A80+Parameters!$B$65</f>
        <v>77</v>
      </c>
      <c r="B81" s="46">
        <f t="shared" si="27"/>
        <v>5.1923951975726516E-2</v>
      </c>
      <c r="C81" s="46">
        <f t="shared" si="26"/>
        <v>1.0018754504738657E-2</v>
      </c>
      <c r="D81" s="46">
        <f t="shared" si="26"/>
        <v>0.29599585186736171</v>
      </c>
      <c r="E81" s="7">
        <f>MAX((1-Parameters!$B$4)^Parameters!B$65*E80+B80*Parameters!B$65-Parameters!$B$5*B80^2/E80*Parameters!B$65,0.0001)</f>
        <v>0.77002373048465556</v>
      </c>
      <c r="F81" s="9">
        <f>MAX((1-Parameters!$B$4)^Parameters!B$65*F80+C80*Parameters!B$65-Parameters!$B$5*C80^2/F80*Parameters!B$65,0.0001)</f>
        <v>0.14857598831195504</v>
      </c>
      <c r="G81" s="7">
        <f>MAX((1-Parameters!$B$4)^Parameters!B$65*G80+D80*Parameters!B$65-Parameters!$B$5*D80^2/G80*Parameters!B$65,0.0001)</f>
        <v>4.3880269544682982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7">
        <f>'6states'!$O$4</f>
        <v>0.98104277196026479</v>
      </c>
      <c r="L81" s="9">
        <f t="shared" si="25"/>
        <v>0.5</v>
      </c>
      <c r="N81" s="7">
        <f>(Parameters!$B$19*(E81+Parameters!$B$20)^L81+Parameters!$B$18*F81^L81)^(1/L81)</f>
        <v>0.53576807639399204</v>
      </c>
      <c r="O81" s="7">
        <f>(Parameters!$B$10*G81^Parameters!$B$9 + Parameters!$B$11*N81^Parameters!$B$9) ^ (Parameters!$B$7/Parameters!$B$9) * K81</f>
        <v>1.5033035452630017</v>
      </c>
      <c r="P81" s="7">
        <f t="shared" si="24"/>
        <v>1.145364986915175</v>
      </c>
      <c r="Q81" s="7">
        <f>EXP(-Parameters!$B$55*A81)</f>
        <v>0.31264090982365395</v>
      </c>
      <c r="R81" s="7">
        <f>IF(P81&gt;0,P81^(1-Parameters!$B$52)/(1-Parameters!$B$52)*Q81,-10+P81*1000)</f>
        <v>-0.85181914251642277</v>
      </c>
      <c r="S81" s="7"/>
      <c r="T81" s="7"/>
      <c r="U81" s="7"/>
      <c r="V81" s="7"/>
    </row>
    <row r="82" spans="1:22" x14ac:dyDescent="0.3">
      <c r="A82">
        <f>A81+Parameters!$B$65</f>
        <v>78</v>
      </c>
      <c r="B82" s="46">
        <f t="shared" si="27"/>
        <v>5.1923951975726516E-2</v>
      </c>
      <c r="C82" s="46">
        <f t="shared" si="26"/>
        <v>1.0018754504738657E-2</v>
      </c>
      <c r="D82" s="46">
        <f t="shared" si="26"/>
        <v>0.29599585186736171</v>
      </c>
      <c r="E82" s="7">
        <f>MAX((1-Parameters!$B$4)^Parameters!B$65*E81+B81*Parameters!B$65-Parameters!$B$5*B81^2/E81*Parameters!B$65,0.0001)</f>
        <v>0.77001187331829968</v>
      </c>
      <c r="F82" s="9">
        <f>MAX((1-Parameters!$B$4)^Parameters!B$65*F81+C81*Parameters!B$65-Parameters!$B$5*C81^2/F81*Parameters!B$65,0.0001)</f>
        <v>0.14857372995053056</v>
      </c>
      <c r="G82" s="7">
        <f>MAX((1-Parameters!$B$4)^Parameters!B$65*G81+D81*Parameters!B$65-Parameters!$B$5*D81^2/G81*Parameters!B$65,0.0001)</f>
        <v>4.3880494099569729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7">
        <f>'6states'!$O$4</f>
        <v>0.98104277196026479</v>
      </c>
      <c r="L82" s="9">
        <f t="shared" si="25"/>
        <v>0.5</v>
      </c>
      <c r="N82" s="7">
        <f>(Parameters!$B$19*(E82+Parameters!$B$20)^L82+Parameters!$B$18*F82^L82)^(1/L82)</f>
        <v>0.53575993225070495</v>
      </c>
      <c r="O82" s="7">
        <f>(Parameters!$B$10*G82^Parameters!$B$9 + Parameters!$B$11*N82^Parameters!$B$9) ^ (Parameters!$B$7/Parameters!$B$9) * K82</f>
        <v>1.5033040079266049</v>
      </c>
      <c r="P82" s="7">
        <f t="shared" si="24"/>
        <v>1.1453654495787782</v>
      </c>
      <c r="Q82" s="7">
        <f>EXP(-Parameters!$B$55*A82)</f>
        <v>0.30795549598621846</v>
      </c>
      <c r="R82" s="7">
        <f>IF(P82&gt;0,P82^(1-Parameters!$B$52)/(1-Parameters!$B$52)*Q82,-10+P82*1000)</f>
        <v>-0.83905317952441671</v>
      </c>
      <c r="S82" s="7"/>
      <c r="T82" s="7"/>
      <c r="U82" s="7"/>
      <c r="V82" s="7"/>
    </row>
    <row r="83" spans="1:22" x14ac:dyDescent="0.3">
      <c r="A83">
        <f>A82+Parameters!$B$65</f>
        <v>79</v>
      </c>
      <c r="B83" s="46">
        <f t="shared" si="27"/>
        <v>5.1923951975726516E-2</v>
      </c>
      <c r="C83" s="46">
        <f t="shared" si="26"/>
        <v>1.0018754504738657E-2</v>
      </c>
      <c r="D83" s="46">
        <f t="shared" si="26"/>
        <v>0.29599585186736171</v>
      </c>
      <c r="E83" s="7">
        <f>MAX((1-Parameters!$B$4)^Parameters!B$65*E82+B82*Parameters!B$65-Parameters!$B$5*B82^2/E82*Parameters!B$65,0.0001)</f>
        <v>0.77000070805205567</v>
      </c>
      <c r="F83" s="9">
        <f>MAX((1-Parameters!$B$4)^Parameters!B$65*F82+C82*Parameters!B$65-Parameters!$B$5*C82^2/F82*Parameters!B$65,0.0001)</f>
        <v>0.14857160337098982</v>
      </c>
      <c r="G83" s="7">
        <f>MAX((1-Parameters!$B$4)^Parameters!B$65*G82+D82*Parameters!B$65-Parameters!$B$5*D82^2/G82*Parameters!B$65,0.0001)</f>
        <v>4.3880705551723667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7">
        <f>'6states'!$O$4</f>
        <v>0.98104277196026479</v>
      </c>
      <c r="L83" s="9">
        <f t="shared" si="25"/>
        <v>0.5</v>
      </c>
      <c r="N83" s="7">
        <f>(Parameters!$B$19*(E83+Parameters!$B$20)^L83+Parameters!$B$18*F83^L83)^(1/L83)</f>
        <v>0.53575226334180537</v>
      </c>
      <c r="O83" s="7">
        <f>(Parameters!$B$10*G83^Parameters!$B$9 + Parameters!$B$11*N83^Parameters!$B$9) ^ (Parameters!$B$7/Parameters!$B$9) * K83</f>
        <v>1.5033044434609879</v>
      </c>
      <c r="P83" s="7">
        <f t="shared" si="24"/>
        <v>1.1453658851131612</v>
      </c>
      <c r="Q83" s="7">
        <f>EXP(-Parameters!$B$55*A83)</f>
        <v>0.30334030041561322</v>
      </c>
      <c r="R83" s="7">
        <f>IF(P83&gt;0,P83^(1-Parameters!$B$52)/(1-Parameters!$B$52)*Q83,-10+P83*1000)</f>
        <v>-0.82647854311730695</v>
      </c>
      <c r="S83" s="7"/>
      <c r="T83" s="7"/>
      <c r="U83" s="7"/>
      <c r="V83" s="7"/>
    </row>
    <row r="84" spans="1:22" x14ac:dyDescent="0.3">
      <c r="A84">
        <f>A83+Parameters!$B$65</f>
        <v>80</v>
      </c>
      <c r="B84" s="19">
        <v>5.1924102637048011E-2</v>
      </c>
      <c r="C84" s="45">
        <v>1.001879062528673E-2</v>
      </c>
      <c r="D84" s="18">
        <v>0.29599658759299885</v>
      </c>
      <c r="E84" s="7">
        <f>MAX((1-Parameters!$B$4)^Parameters!B$65*E83+B83*Parameters!B$65-Parameters!$B$5*B83^2/E83*Parameters!B$65,0.0001)</f>
        <v>0.76999019431002347</v>
      </c>
      <c r="F84" s="9">
        <f>MAX((1-Parameters!$B$4)^Parameters!B$65*F83+C83*Parameters!B$65-Parameters!$B$5*C83^2/F83*Parameters!B$65,0.0001)</f>
        <v>0.14856960088319551</v>
      </c>
      <c r="G84" s="7">
        <f>MAX((1-Parameters!$B$4)^Parameters!B$65*G83+D83*Parameters!B$65-Parameters!$B$5*D83^2/G83*Parameters!B$65,0.0001)</f>
        <v>4.3880904665677081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7">
        <f>'6states'!$O$4</f>
        <v>0.98104277196026479</v>
      </c>
      <c r="L84" s="9">
        <f t="shared" si="25"/>
        <v>0.5</v>
      </c>
      <c r="N84" s="7">
        <f>(Parameters!$B$19*(E84+Parameters!$B$20)^L84+Parameters!$B$18*F84^L84)^(1/L84)</f>
        <v>0.53574504193494688</v>
      </c>
      <c r="O84" s="7">
        <f>(Parameters!$B$10*G84^Parameters!$B$9 + Parameters!$B$11*N84^Parameters!$B$9) ^ (Parameters!$B$7/Parameters!$B$9) * K84</f>
        <v>1.5033048534641638</v>
      </c>
      <c r="P84" s="7">
        <f t="shared" si="24"/>
        <v>1.1453653726088302</v>
      </c>
      <c r="Q84" s="7">
        <f>EXP(-Parameters!$B$55*A84)</f>
        <v>0.29879427078110121</v>
      </c>
      <c r="R84" s="7">
        <f>IF(P84&gt;0,P84^(1-Parameters!$B$52)/(1-Parameters!$B$52)*Q84,-10+P84*1000)</f>
        <v>-0.81409259482887575</v>
      </c>
      <c r="S84" s="7"/>
      <c r="T84" s="7"/>
      <c r="U84" s="7"/>
      <c r="V84" s="7"/>
    </row>
    <row r="85" spans="1:22" x14ac:dyDescent="0.3">
      <c r="A85">
        <f>A84+Parameters!$B$65</f>
        <v>81</v>
      </c>
      <c r="B85" s="46">
        <f>B84</f>
        <v>5.1924102637048011E-2</v>
      </c>
      <c r="C85" s="46">
        <f t="shared" ref="C85:D93" si="28">C84</f>
        <v>1.001879062528673E-2</v>
      </c>
      <c r="D85" s="46">
        <f t="shared" si="28"/>
        <v>0.29599658759299885</v>
      </c>
      <c r="E85" s="7">
        <f>MAX((1-Parameters!$B$4)^Parameters!B$65*E84+B84*Parameters!B$65-Parameters!$B$5*B84^2/E84*Parameters!B$65,0.0001)</f>
        <v>0.769980424414346</v>
      </c>
      <c r="F85" s="9">
        <f>MAX((1-Parameters!$B$4)^Parameters!B$65*F84+C84*Parameters!B$65-Parameters!$B$5*C84^2/F84*Parameters!B$65,0.0001)</f>
        <v>0.14856774649477969</v>
      </c>
      <c r="G85" s="7">
        <f>MAX((1-Parameters!$B$4)^Parameters!B$65*G84+D84*Parameters!B$65-Parameters!$B$5*D84^2/G84*Parameters!B$65,0.0001)</f>
        <v>4.388109852605063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7">
        <f>'6states'!$O$4</f>
        <v>0.98104277196026479</v>
      </c>
      <c r="L85" s="9">
        <f t="shared" si="25"/>
        <v>0.5</v>
      </c>
      <c r="N85" s="7">
        <f>(Parameters!$B$19*(E85+Parameters!$B$20)^L85+Parameters!$B$18*F85^L85)^(1/L85)</f>
        <v>0.53573833514815561</v>
      </c>
      <c r="O85" s="7">
        <f>(Parameters!$B$10*G85^Parameters!$B$9 + Parameters!$B$11*N85^Parameters!$B$9) ^ (Parameters!$B$7/Parameters!$B$9) * K85</f>
        <v>1.5033053074854028</v>
      </c>
      <c r="P85" s="7">
        <f t="shared" si="24"/>
        <v>1.1453658266300693</v>
      </c>
      <c r="Q85" s="7">
        <f>EXP(-Parameters!$B$55*A85)</f>
        <v>0.29431637052277015</v>
      </c>
      <c r="R85" s="7">
        <f>IF(P85&gt;0,P85^(1-Parameters!$B$52)/(1-Parameters!$B$52)*Q85,-10+P85*1000)</f>
        <v>-0.80189203063048586</v>
      </c>
      <c r="S85" s="7"/>
      <c r="T85" s="7"/>
      <c r="U85" s="7"/>
      <c r="V85" s="7"/>
    </row>
    <row r="86" spans="1:22" x14ac:dyDescent="0.3">
      <c r="A86">
        <f>A85+Parameters!$B$65</f>
        <v>82</v>
      </c>
      <c r="B86" s="46">
        <f t="shared" ref="B86:B93" si="29">B85</f>
        <v>5.1924102637048011E-2</v>
      </c>
      <c r="C86" s="46">
        <f t="shared" si="28"/>
        <v>1.001879062528673E-2</v>
      </c>
      <c r="D86" s="46">
        <f t="shared" si="28"/>
        <v>0.29599658759299885</v>
      </c>
      <c r="E86" s="7">
        <f>MAX((1-Parameters!$B$4)^Parameters!B$65*E85+B85*Parameters!B$65-Parameters!$B$5*B85^2/E85*Parameters!B$65,0.0001)</f>
        <v>0.76997122461646372</v>
      </c>
      <c r="F86" s="9">
        <f>MAX((1-Parameters!$B$4)^Parameters!B$65*F85+C85*Parameters!B$65-Parameters!$B$5*C85^2/F85*Parameters!B$65,0.0001)</f>
        <v>0.14856600031449788</v>
      </c>
      <c r="G86" s="7">
        <f>MAX((1-Parameters!$B$4)^Parameters!B$65*G85+D85*Parameters!B$65-Parameters!$B$5*D85^2/G85*Parameters!B$65,0.0001)</f>
        <v>4.3881281074689547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7">
        <f>'6states'!$O$4</f>
        <v>0.98104277196026479</v>
      </c>
      <c r="L86" s="9">
        <f t="shared" si="25"/>
        <v>0.5</v>
      </c>
      <c r="N86" s="7">
        <f>(Parameters!$B$19*(E86+Parameters!$B$20)^L86+Parameters!$B$18*F86^L86)^(1/L86)</f>
        <v>0.5357320197190778</v>
      </c>
      <c r="O86" s="7">
        <f>(Parameters!$B$10*G86^Parameters!$B$9 + Parameters!$B$11*N86^Parameters!$B$9) ^ (Parameters!$B$7/Parameters!$B$9) * K86</f>
        <v>1.5033057349220804</v>
      </c>
      <c r="P86" s="7">
        <f t="shared" si="24"/>
        <v>1.1453662540667469</v>
      </c>
      <c r="Q86" s="7">
        <f>EXP(-Parameters!$B$55*A86)</f>
        <v>0.28990557861518201</v>
      </c>
      <c r="R86" s="7">
        <f>IF(P86&gt;0,P86^(1-Parameters!$B$52)/(1-Parameters!$B$52)*Q86,-10+P86*1000)</f>
        <v>-0.78987431908487893</v>
      </c>
      <c r="S86" s="7"/>
      <c r="T86" s="7"/>
      <c r="U86" s="7"/>
      <c r="V86" s="7"/>
    </row>
    <row r="87" spans="1:22" x14ac:dyDescent="0.3">
      <c r="A87">
        <f>A86+Parameters!$B$65</f>
        <v>83</v>
      </c>
      <c r="B87" s="46">
        <f t="shared" si="29"/>
        <v>5.1924102637048011E-2</v>
      </c>
      <c r="C87" s="46">
        <f t="shared" si="28"/>
        <v>1.001879062528673E-2</v>
      </c>
      <c r="D87" s="46">
        <f t="shared" si="28"/>
        <v>0.29599658759299885</v>
      </c>
      <c r="E87" s="7">
        <f>MAX((1-Parameters!$B$4)^Parameters!B$65*E86+B86*Parameters!B$65-Parameters!$B$5*B86^2/E86*Parameters!B$65,0.0001)</f>
        <v>0.7699625616487169</v>
      </c>
      <c r="F87" s="9">
        <f>MAX((1-Parameters!$B$4)^Parameters!B$65*F86+C86*Parameters!B$65-Parameters!$B$5*C86^2/F86*Parameters!B$65,0.0001)</f>
        <v>0.14856435602794632</v>
      </c>
      <c r="G87" s="7">
        <f>MAX((1-Parameters!$B$4)^Parameters!B$65*G86+D86*Parameters!B$65-Parameters!$B$5*D86^2/G86*Parameters!B$65,0.0001)</f>
        <v>4.388145297162537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7">
        <f>'6states'!$O$4</f>
        <v>0.98104277196026479</v>
      </c>
      <c r="L87" s="9">
        <f t="shared" si="25"/>
        <v>0.5</v>
      </c>
      <c r="N87" s="7">
        <f>(Parameters!$B$19*(E87+Parameters!$B$20)^L87+Parameters!$B$18*F87^L87)^(1/L87)</f>
        <v>0.53572607281031082</v>
      </c>
      <c r="O87" s="7">
        <f>(Parameters!$B$10*G87^Parameters!$B$9 + Parameters!$B$11*N87^Parameters!$B$9) ^ (Parameters!$B$7/Parameters!$B$9) * K87</f>
        <v>1.5033061373358583</v>
      </c>
      <c r="P87" s="7">
        <f t="shared" si="24"/>
        <v>1.1453666564805247</v>
      </c>
      <c r="Q87" s="7">
        <f>EXP(-Parameters!$B$55*A87)</f>
        <v>0.28556088933456458</v>
      </c>
      <c r="R87" s="7">
        <f>IF(P87&gt;0,P87^(1-Parameters!$B$52)/(1-Parameters!$B$52)*Q87,-10+P87*1000)</f>
        <v>-0.77803671926996887</v>
      </c>
      <c r="S87" s="7"/>
      <c r="T87" s="7"/>
      <c r="U87" s="7"/>
      <c r="V87" s="7"/>
    </row>
    <row r="88" spans="1:22" x14ac:dyDescent="0.3">
      <c r="A88">
        <f>A87+Parameters!$B$65</f>
        <v>84</v>
      </c>
      <c r="B88" s="46">
        <f t="shared" si="29"/>
        <v>5.1924102637048011E-2</v>
      </c>
      <c r="C88" s="46">
        <f t="shared" si="28"/>
        <v>1.001879062528673E-2</v>
      </c>
      <c r="D88" s="46">
        <f t="shared" si="28"/>
        <v>0.29599658759299885</v>
      </c>
      <c r="E88" s="7">
        <f>MAX((1-Parameters!$B$4)^Parameters!B$65*E87+B87*Parameters!B$65-Parameters!$B$5*B87^2/E87*Parameters!B$65,0.0001)</f>
        <v>0.7699544041848736</v>
      </c>
      <c r="F88" s="9">
        <f>MAX((1-Parameters!$B$4)^Parameters!B$65*F87+C87*Parameters!B$65-Parameters!$B$5*C87^2/F87*Parameters!B$65,0.0001)</f>
        <v>0.14856280768921534</v>
      </c>
      <c r="G88" s="7">
        <f>MAX((1-Parameters!$B$4)^Parameters!B$65*G87+D87*Parameters!B$65-Parameters!$B$5*D87^2/G87*Parameters!B$65,0.0001)</f>
        <v>4.3881614838378082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7">
        <f>'6states'!$O$4</f>
        <v>0.98104277196026479</v>
      </c>
      <c r="L88" s="9">
        <f t="shared" si="25"/>
        <v>0.5</v>
      </c>
      <c r="N88" s="7">
        <f>(Parameters!$B$19*(E88+Parameters!$B$20)^L88+Parameters!$B$18*F88^L88)^(1/L88)</f>
        <v>0.53572047291719183</v>
      </c>
      <c r="O88" s="7">
        <f>(Parameters!$B$10*G88^Parameters!$B$9 + Parameters!$B$11*N88^Parameters!$B$9) ^ (Parameters!$B$7/Parameters!$B$9) * K88</f>
        <v>1.5033065161960932</v>
      </c>
      <c r="P88" s="7">
        <f t="shared" si="24"/>
        <v>1.1453670353407597</v>
      </c>
      <c r="Q88" s="7">
        <f>EXP(-Parameters!$B$55*A88)</f>
        <v>0.28128131202949208</v>
      </c>
      <c r="R88" s="7">
        <f>IF(P88&gt;0,P88^(1-Parameters!$B$52)/(1-Parameters!$B$52)*Q88,-10+P88*1000)</f>
        <v>-0.76637653138369177</v>
      </c>
      <c r="S88" s="7"/>
      <c r="T88" s="7"/>
      <c r="U88" s="7"/>
      <c r="V88" s="7"/>
    </row>
    <row r="89" spans="1:22" x14ac:dyDescent="0.3">
      <c r="A89">
        <f>A88+Parameters!$B$65</f>
        <v>85</v>
      </c>
      <c r="B89" s="46">
        <f t="shared" si="29"/>
        <v>5.1924102637048011E-2</v>
      </c>
      <c r="C89" s="46">
        <f t="shared" si="28"/>
        <v>1.001879062528673E-2</v>
      </c>
      <c r="D89" s="46">
        <f t="shared" si="28"/>
        <v>0.29599658759299885</v>
      </c>
      <c r="E89" s="7">
        <f>MAX((1-Parameters!$B$4)^Parameters!B$65*E88+B88*Parameters!B$65-Parameters!$B$5*B88^2/E88*Parameters!B$65,0.0001)</f>
        <v>0.76994672272681886</v>
      </c>
      <c r="F89" s="9">
        <f>MAX((1-Parameters!$B$4)^Parameters!B$65*F88+C88*Parameters!B$65-Parameters!$B$5*C88^2/F88*Parameters!B$65,0.0001)</f>
        <v>0.14856134969938237</v>
      </c>
      <c r="G89" s="7">
        <f>MAX((1-Parameters!$B$4)^Parameters!B$65*G88+D88*Parameters!B$65-Parameters!$B$5*D88^2/G88*Parameters!B$65,0.0001)</f>
        <v>4.3881767260203084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7">
        <f>'6states'!$O$4</f>
        <v>0.98104277196026479</v>
      </c>
      <c r="L89" s="9">
        <f t="shared" si="25"/>
        <v>0.5</v>
      </c>
      <c r="N89" s="7">
        <f>(Parameters!$B$19*(E89+Parameters!$B$20)^L89+Parameters!$B$18*F89^L89)^(1/L89)</f>
        <v>0.53571519979001381</v>
      </c>
      <c r="O89" s="7">
        <f>(Parameters!$B$10*G89^Parameters!$B$9 + Parameters!$B$11*N89^Parameters!$B$9) ^ (Parameters!$B$7/Parameters!$B$9) * K89</f>
        <v>1.5033068728853551</v>
      </c>
      <c r="P89" s="7">
        <f t="shared" si="24"/>
        <v>1.1453673920300216</v>
      </c>
      <c r="Q89" s="7">
        <f>EXP(-Parameters!$B$55*A89)</f>
        <v>0.27706587089500223</v>
      </c>
      <c r="R89" s="7">
        <f>IF(P89&gt;0,P89^(1-Parameters!$B$52)/(1-Parameters!$B$52)*Q89,-10+P89*1000)</f>
        <v>-0.75489109612459437</v>
      </c>
      <c r="S89" s="7"/>
      <c r="T89" s="7"/>
      <c r="U89" s="7"/>
      <c r="V89" s="7"/>
    </row>
    <row r="90" spans="1:22" x14ac:dyDescent="0.3">
      <c r="A90">
        <f>A89+Parameters!$B$65</f>
        <v>86</v>
      </c>
      <c r="B90" s="46">
        <f t="shared" si="29"/>
        <v>5.1924102637048011E-2</v>
      </c>
      <c r="C90" s="46">
        <f t="shared" si="28"/>
        <v>1.001879062528673E-2</v>
      </c>
      <c r="D90" s="46">
        <f t="shared" si="28"/>
        <v>0.29599658759299885</v>
      </c>
      <c r="E90" s="7">
        <f>MAX((1-Parameters!$B$4)^Parameters!B$65*E89+B89*Parameters!B$65-Parameters!$B$5*B89^2/E89*Parameters!B$65,0.0001)</f>
        <v>0.76993948949785929</v>
      </c>
      <c r="F90" s="9">
        <f>MAX((1-Parameters!$B$4)^Parameters!B$65*F89+C89*Parameters!B$65-Parameters!$B$5*C89^2/F89*Parameters!B$65,0.0001)</f>
        <v>0.14855997678626051</v>
      </c>
      <c r="G90" s="7">
        <f>MAX((1-Parameters!$B$4)^Parameters!B$65*G89+D89*Parameters!B$65-Parameters!$B$5*D89^2/G89*Parameters!B$65,0.0001)</f>
        <v>4.388191078820709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7">
        <f>'6states'!$O$4</f>
        <v>0.98104277196026479</v>
      </c>
      <c r="L90" s="9">
        <f t="shared" si="25"/>
        <v>0.5</v>
      </c>
      <c r="N90" s="7">
        <f>(Parameters!$B$19*(E90+Parameters!$B$20)^L90+Parameters!$B$18*F90^L90)^(1/L90)</f>
        <v>0.5357102343607818</v>
      </c>
      <c r="O90" s="7">
        <f>(Parameters!$B$10*G90^Parameters!$B$9 + Parameters!$B$11*N90^Parameters!$B$9) ^ (Parameters!$B$7/Parameters!$B$9) * K90</f>
        <v>1.5033072087046107</v>
      </c>
      <c r="P90" s="7">
        <f t="shared" si="24"/>
        <v>1.1453677278492771</v>
      </c>
      <c r="Q90" s="7">
        <f>EXP(-Parameters!$B$55*A90)</f>
        <v>0.27291360475009885</v>
      </c>
      <c r="R90" s="7">
        <f>IF(P90&gt;0,P90^(1-Parameters!$B$52)/(1-Parameters!$B$52)*Q90,-10+P90*1000)</f>
        <v>-0.74357779408194291</v>
      </c>
      <c r="S90" s="7"/>
      <c r="T90" s="7"/>
      <c r="U90" s="7"/>
      <c r="V90" s="7"/>
    </row>
    <row r="91" spans="1:22" x14ac:dyDescent="0.3">
      <c r="A91">
        <f>A90+Parameters!$B$65</f>
        <v>87</v>
      </c>
      <c r="B91" s="46">
        <f t="shared" si="29"/>
        <v>5.1924102637048011E-2</v>
      </c>
      <c r="C91" s="46">
        <f t="shared" si="28"/>
        <v>1.001879062528673E-2</v>
      </c>
      <c r="D91" s="46">
        <f t="shared" si="28"/>
        <v>0.29599658759299885</v>
      </c>
      <c r="E91" s="7">
        <f>MAX((1-Parameters!$B$4)^Parameters!B$65*E90+B90*Parameters!B$65-Parameters!$B$5*B90^2/E90*Parameters!B$65,0.0001)</f>
        <v>0.76993267834225509</v>
      </c>
      <c r="F91" s="9">
        <f>MAX((1-Parameters!$B$4)^Parameters!B$65*F90+C90*Parameters!B$65-Parameters!$B$5*C90^2/F90*Parameters!B$65,0.0001)</f>
        <v>0.1485586839853294</v>
      </c>
      <c r="G91" s="7">
        <f>MAX((1-Parameters!$B$4)^Parameters!B$65*G90+D90*Parameters!B$65-Parameters!$B$5*D90^2/G90*Parameters!B$65,0.0001)</f>
        <v>4.3882045941340593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7">
        <f>'6states'!$O$4</f>
        <v>0.98104277196026479</v>
      </c>
      <c r="L91" s="9">
        <f t="shared" si="25"/>
        <v>0.5</v>
      </c>
      <c r="N91" s="7">
        <f>(Parameters!$B$19*(E91+Parameters!$B$20)^L91+Parameters!$B$18*F91^L91)^(1/L91)</f>
        <v>0.53570555867424341</v>
      </c>
      <c r="O91" s="7">
        <f>(Parameters!$B$10*G91^Parameters!$B$9 + Parameters!$B$11*N91^Parameters!$B$9) ^ (Parameters!$B$7/Parameters!$B$9) * K91</f>
        <v>1.5033075248780916</v>
      </c>
      <c r="P91" s="7">
        <f t="shared" si="24"/>
        <v>1.145368044022758</v>
      </c>
      <c r="Q91" s="7">
        <f>EXP(-Parameters!$B$55*A91)</f>
        <v>0.26882356681858899</v>
      </c>
      <c r="R91" s="7">
        <f>IF(P91&gt;0,P91^(1-Parameters!$B$52)/(1-Parameters!$B$52)*Q91,-10+P91*1000)</f>
        <v>-0.73243404513518873</v>
      </c>
      <c r="S91" s="7"/>
      <c r="T91" s="7"/>
      <c r="U91" s="7"/>
      <c r="V91" s="7"/>
    </row>
    <row r="92" spans="1:22" x14ac:dyDescent="0.3">
      <c r="A92">
        <f>A91+Parameters!$B$65</f>
        <v>88</v>
      </c>
      <c r="B92" s="46">
        <f t="shared" si="29"/>
        <v>5.1924102637048011E-2</v>
      </c>
      <c r="C92" s="46">
        <f t="shared" si="28"/>
        <v>1.001879062528673E-2</v>
      </c>
      <c r="D92" s="46">
        <f t="shared" si="28"/>
        <v>0.29599658759299885</v>
      </c>
      <c r="E92" s="7">
        <f>MAX((1-Parameters!$B$4)^Parameters!B$65*E91+B91*Parameters!B$65-Parameters!$B$5*B91^2/E91*Parameters!B$65,0.0001)</f>
        <v>0.7699262646306182</v>
      </c>
      <c r="F92" s="9">
        <f>MAX((1-Parameters!$B$4)^Parameters!B$65*F91+C91*Parameters!B$65-Parameters!$B$5*C91^2/F91*Parameters!B$65,0.0001)</f>
        <v>0.14855746662177904</v>
      </c>
      <c r="G92" s="7">
        <f>MAX((1-Parameters!$B$4)^Parameters!B$65*G91+D91*Parameters!B$65-Parameters!$B$5*D91^2/G91*Parameters!B$65,0.0001)</f>
        <v>4.3882173208274047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7">
        <f>'6states'!$O$4</f>
        <v>0.98104277196026479</v>
      </c>
      <c r="L92" s="9">
        <f t="shared" si="25"/>
        <v>0.5</v>
      </c>
      <c r="N92" s="7">
        <f>(Parameters!$B$19*(E92+Parameters!$B$20)^L92+Parameters!$B$18*F92^L92)^(1/L92)</f>
        <v>0.53570115582294853</v>
      </c>
      <c r="O92" s="7">
        <f>(Parameters!$B$10*G92^Parameters!$B$9 + Parameters!$B$11*N92^Parameters!$B$9) ^ (Parameters!$B$7/Parameters!$B$9) * K92</f>
        <v>1.5033078225578624</v>
      </c>
      <c r="P92" s="7">
        <f t="shared" si="24"/>
        <v>1.1453683417025289</v>
      </c>
      <c r="Q92" s="7">
        <f>EXP(-Parameters!$B$55*A92)</f>
        <v>0.26479482451320413</v>
      </c>
      <c r="R92" s="7">
        <f>IF(P92&gt;0,P92^(1-Parameters!$B$52)/(1-Parameters!$B$52)*Q92,-10+P92*1000)</f>
        <v>-0.72145730786263329</v>
      </c>
      <c r="S92" s="7"/>
      <c r="T92" s="7"/>
      <c r="U92" s="7"/>
      <c r="V92" s="7"/>
    </row>
    <row r="93" spans="1:22" x14ac:dyDescent="0.3">
      <c r="A93">
        <f>A92+Parameters!$B$65</f>
        <v>89</v>
      </c>
      <c r="B93" s="46">
        <f t="shared" si="29"/>
        <v>5.1924102637048011E-2</v>
      </c>
      <c r="C93" s="46">
        <f t="shared" si="28"/>
        <v>1.001879062528673E-2</v>
      </c>
      <c r="D93" s="46">
        <f t="shared" si="28"/>
        <v>0.29599658759299885</v>
      </c>
      <c r="E93" s="7">
        <f>MAX((1-Parameters!$B$4)^Parameters!B$65*E92+B92*Parameters!B$65-Parameters!$B$5*B92^2/E92*Parameters!B$65,0.0001)</f>
        <v>0.76992022517083114</v>
      </c>
      <c r="F93" s="9">
        <f>MAX((1-Parameters!$B$4)^Parameters!B$65*F92+C92*Parameters!B$65-Parameters!$B$5*C92^2/F92*Parameters!B$65,0.0001)</f>
        <v>0.148556320293602</v>
      </c>
      <c r="G93" s="7">
        <f>MAX((1-Parameters!$B$4)^Parameters!B$65*G92+D92*Parameters!B$65-Parameters!$B$5*D92^2/G92*Parameters!B$65,0.0001)</f>
        <v>4.3882293049164627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7">
        <f>'6states'!$O$4</f>
        <v>0.98104277196026479</v>
      </c>
      <c r="L93" s="9">
        <f t="shared" si="25"/>
        <v>0.5</v>
      </c>
      <c r="N93" s="7">
        <f>(Parameters!$B$19*(E93+Parameters!$B$20)^L93+Parameters!$B$18*F93^L93)^(1/L93)</f>
        <v>0.53569700988609592</v>
      </c>
      <c r="O93" s="7">
        <f>(Parameters!$B$10*G93^Parameters!$B$9 + Parameters!$B$11*N93^Parameters!$B$9) ^ (Parameters!$B$7/Parameters!$B$9) * K93</f>
        <v>1.503308102828117</v>
      </c>
      <c r="P93" s="7">
        <f t="shared" si="24"/>
        <v>1.1453686219727834</v>
      </c>
      <c r="Q93" s="7">
        <f>EXP(-Parameters!$B$55*A93)</f>
        <v>0.26082645922295711</v>
      </c>
      <c r="R93" s="7">
        <f>IF(P93&gt;0,P93^(1-Parameters!$B$52)/(1-Parameters!$B$52)*Q93,-10+P93*1000)</f>
        <v>-0.71064507895914286</v>
      </c>
      <c r="S93" s="7"/>
      <c r="T93" s="7"/>
      <c r="U93" s="7"/>
      <c r="V93" s="7"/>
    </row>
    <row r="94" spans="1:22" x14ac:dyDescent="0.3">
      <c r="A94">
        <f>A93+Parameters!$B$65</f>
        <v>90</v>
      </c>
      <c r="B94" s="19">
        <v>5.191758263687303E-2</v>
      </c>
      <c r="C94" s="45">
        <v>1.0017548050425843E-2</v>
      </c>
      <c r="D94" s="18">
        <v>0.2959598429278244</v>
      </c>
      <c r="E94" s="7">
        <f>MAX((1-Parameters!$B$4)^Parameters!B$65*E93+B93*Parameters!B$65-Parameters!$B$5*B93^2/E93*Parameters!B$65,0.0001)</f>
        <v>0.7699145381241671</v>
      </c>
      <c r="F94" s="9">
        <f>MAX((1-Parameters!$B$4)^Parameters!B$65*F93+C93*Parameters!B$65-Parameters!$B$5*C93^2/F93*Parameters!B$65,0.0001)</f>
        <v>0.14855524085567229</v>
      </c>
      <c r="G94" s="7">
        <f>MAX((1-Parameters!$B$4)^Parameters!B$65*G93+D93*Parameters!B$65-Parameters!$B$5*D93^2/G93*Parameters!B$65,0.0001)</f>
        <v>4.3882405897319874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7">
        <f>'6states'!$O$4</f>
        <v>0.98104277196026479</v>
      </c>
      <c r="L94" s="9">
        <f t="shared" si="25"/>
        <v>0.5</v>
      </c>
      <c r="N94" s="7">
        <f>(Parameters!$B$19*(E94+Parameters!$B$20)^L94+Parameters!$B$18*F94^L94)^(1/L94)</f>
        <v>0.53569310587195296</v>
      </c>
      <c r="O94" s="7">
        <f>(Parameters!$B$10*G94^Parameters!$B$9 + Parameters!$B$11*N94^Parameters!$B$9) ^ (Parameters!$B$7/Parameters!$B$9) * K94</f>
        <v>1.5033083667092109</v>
      </c>
      <c r="P94" s="7">
        <f t="shared" si="24"/>
        <v>1.1454133930940875</v>
      </c>
      <c r="Q94" s="7">
        <f>EXP(-Parameters!$B$55*A94)</f>
        <v>0.25691756610368538</v>
      </c>
      <c r="R94" s="7">
        <f>IF(P94&gt;0,P94^(1-Parameters!$B$52)/(1-Parameters!$B$52)*Q94,-10+P94*1000)</f>
        <v>-0.69998537266581773</v>
      </c>
      <c r="S94" s="7"/>
      <c r="T94" s="7"/>
      <c r="U94" s="7"/>
      <c r="V94" s="7"/>
    </row>
    <row r="95" spans="1:22" x14ac:dyDescent="0.3">
      <c r="A95">
        <f>A94+Parameters!$B$65</f>
        <v>91</v>
      </c>
      <c r="B95" s="46">
        <f>B94</f>
        <v>5.191758263687303E-2</v>
      </c>
      <c r="C95" s="46">
        <f t="shared" ref="C95:D104" si="30">C94</f>
        <v>1.0017548050425843E-2</v>
      </c>
      <c r="D95" s="46">
        <f t="shared" si="30"/>
        <v>0.2959598429278244</v>
      </c>
      <c r="E95" s="7">
        <f>MAX((1-Parameters!$B$4)^Parameters!B$65*E94+B94*Parameters!B$65-Parameters!$B$5*B94^2/E94*Parameters!B$65,0.0001)</f>
        <v>0.76990354230659741</v>
      </c>
      <c r="F95" s="9">
        <f>MAX((1-Parameters!$B$4)^Parameters!B$65*F94+C94*Parameters!B$65-Parameters!$B$5*C94^2/F94*Parameters!B$65,0.0001)</f>
        <v>0.14855314942176381</v>
      </c>
      <c r="G95" s="7">
        <f>MAX((1-Parameters!$B$4)^Parameters!B$65*G94+D94*Parameters!B$65-Parameters!$B$5*D94^2/G94*Parameters!B$65,0.0001)</f>
        <v>4.3882194281223548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7">
        <f>'6states'!$O$4</f>
        <v>0.98104277196026479</v>
      </c>
      <c r="L95" s="9">
        <f t="shared" si="25"/>
        <v>0.5</v>
      </c>
      <c r="N95" s="7">
        <f>(Parameters!$B$19*(E95+Parameters!$B$20)^L95+Parameters!$B$18*F95^L95)^(1/L95)</f>
        <v>0.53568555500648518</v>
      </c>
      <c r="O95" s="7">
        <f>(Parameters!$B$10*G95^Parameters!$B$9 + Parameters!$B$11*N95^Parameters!$B$9) ^ (Parameters!$B$7/Parameters!$B$9) * K95</f>
        <v>1.5033053492039767</v>
      </c>
      <c r="P95" s="7">
        <f t="shared" si="24"/>
        <v>1.1454103755888534</v>
      </c>
      <c r="Q95" s="7">
        <f>EXP(-Parameters!$B$55*A95)</f>
        <v>0.2530672538717339</v>
      </c>
      <c r="R95" s="7">
        <f>IF(P95&gt;0,P95^(1-Parameters!$B$52)/(1-Parameters!$B$52)*Q95,-10+P95*1000)</f>
        <v>-0.68949563096252031</v>
      </c>
      <c r="S95" s="7"/>
      <c r="T95" s="7"/>
      <c r="U95" s="7"/>
      <c r="V95" s="7"/>
    </row>
    <row r="96" spans="1:22" x14ac:dyDescent="0.3">
      <c r="A96">
        <f>A95+Parameters!$B$65</f>
        <v>92</v>
      </c>
      <c r="B96" s="46">
        <f t="shared" ref="B96:D111" si="31">B95</f>
        <v>5.191758263687303E-2</v>
      </c>
      <c r="C96" s="46">
        <f t="shared" si="30"/>
        <v>1.0017548050425843E-2</v>
      </c>
      <c r="D96" s="46">
        <f t="shared" si="30"/>
        <v>0.2959598429278244</v>
      </c>
      <c r="E96" s="7">
        <f>MAX((1-Parameters!$B$4)^Parameters!B$65*E95+B95*Parameters!B$65-Parameters!$B$5*B95^2/E95*Parameters!B$65,0.0001)</f>
        <v>0.7698931881250769</v>
      </c>
      <c r="F96" s="9">
        <f>MAX((1-Parameters!$B$4)^Parameters!B$65*F95+C95*Parameters!B$65-Parameters!$B$5*C95^2/F95*Parameters!B$65,0.0001)</f>
        <v>0.14855118002868348</v>
      </c>
      <c r="G96" s="7">
        <f>MAX((1-Parameters!$B$4)^Parameters!B$65*G95+D95*Parameters!B$65-Parameters!$B$5*D95^2/G95*Parameters!B$65,0.0001)</f>
        <v>4.388199501320261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7">
        <f>'6states'!$O$4</f>
        <v>0.98104277196026479</v>
      </c>
      <c r="L96" s="9">
        <f t="shared" si="25"/>
        <v>0.5</v>
      </c>
      <c r="N96" s="7">
        <f>(Parameters!$B$19*(E96+Parameters!$B$20)^L96+Parameters!$B$18*F96^L96)^(1/L96)</f>
        <v>0.53567844475464577</v>
      </c>
      <c r="O96" s="7">
        <f>(Parameters!$B$10*G96^Parameters!$B$9 + Parameters!$B$11*N96^Parameters!$B$9) ^ (Parameters!$B$7/Parameters!$B$9) * K96</f>
        <v>1.5033025077344968</v>
      </c>
      <c r="P96" s="7">
        <f t="shared" si="24"/>
        <v>1.1454075341193737</v>
      </c>
      <c r="Q96" s="7">
        <f>EXP(-Parameters!$B$55*A96)</f>
        <v>0.24927464460072962</v>
      </c>
      <c r="R96" s="7">
        <f>IF(P96&gt;0,P96^(1-Parameters!$B$52)/(1-Parameters!$B$52)*Q96,-10+P96*1000)</f>
        <v>-0.67916304841429298</v>
      </c>
      <c r="S96" s="7"/>
      <c r="T96" s="7"/>
      <c r="U96" s="7"/>
      <c r="V96" s="7"/>
    </row>
    <row r="97" spans="1:22" x14ac:dyDescent="0.3">
      <c r="A97">
        <f>A96+Parameters!$B$65</f>
        <v>93</v>
      </c>
      <c r="B97" s="46">
        <f t="shared" si="31"/>
        <v>5.191758263687303E-2</v>
      </c>
      <c r="C97" s="46">
        <f t="shared" si="30"/>
        <v>1.0017548050425843E-2</v>
      </c>
      <c r="D97" s="46">
        <f t="shared" si="30"/>
        <v>0.2959598429278244</v>
      </c>
      <c r="E97" s="7">
        <f>MAX((1-Parameters!$B$4)^Parameters!B$65*E96+B96*Parameters!B$65-Parameters!$B$5*B96^2/E96*Parameters!B$65,0.0001)</f>
        <v>0.76988343813708027</v>
      </c>
      <c r="F97" s="9">
        <f>MAX((1-Parameters!$B$4)^Parameters!B$65*F96+C96*Parameters!B$65-Parameters!$B$5*C96^2/F96*Parameters!B$65,0.0001)</f>
        <v>0.14854932555477388</v>
      </c>
      <c r="G97" s="7">
        <f>MAX((1-Parameters!$B$4)^Parameters!B$65*G96+D96*Parameters!B$65-Parameters!$B$5*D96^2/G96*Parameters!B$65,0.0001)</f>
        <v>4.3881807372722266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7">
        <f>'6states'!$O$4</f>
        <v>0.98104277196026479</v>
      </c>
      <c r="L97" s="9">
        <f t="shared" si="25"/>
        <v>0.5</v>
      </c>
      <c r="N97" s="7">
        <f>(Parameters!$B$19*(E97+Parameters!$B$20)^L97+Parameters!$B$18*F97^L97)^(1/L97)</f>
        <v>0.53567174940453122</v>
      </c>
      <c r="O97" s="7">
        <f>(Parameters!$B$10*G97^Parameters!$B$9 + Parameters!$B$11*N97^Parameters!$B$9) ^ (Parameters!$B$7/Parameters!$B$9) * K97</f>
        <v>1.5032998320332209</v>
      </c>
      <c r="P97" s="7">
        <f t="shared" si="24"/>
        <v>1.1454048584180976</v>
      </c>
      <c r="Q97" s="7">
        <f>EXP(-Parameters!$B$55*A97)</f>
        <v>0.24553887352140147</v>
      </c>
      <c r="R97" s="7">
        <f>IF(P97&gt;0,P97^(1-Parameters!$B$52)/(1-Parameters!$B$52)*Q97,-10+P97*1000)</f>
        <v>-0.66898527308124578</v>
      </c>
      <c r="S97" s="7"/>
      <c r="T97" s="7"/>
      <c r="U97" s="7"/>
      <c r="V97" s="7"/>
    </row>
    <row r="98" spans="1:22" x14ac:dyDescent="0.3">
      <c r="A98">
        <f>A97+Parameters!$B$65</f>
        <v>94</v>
      </c>
      <c r="B98" s="46">
        <f t="shared" si="31"/>
        <v>5.191758263687303E-2</v>
      </c>
      <c r="C98" s="46">
        <f t="shared" si="30"/>
        <v>1.0017548050425843E-2</v>
      </c>
      <c r="D98" s="46">
        <f t="shared" si="30"/>
        <v>0.2959598429278244</v>
      </c>
      <c r="E98" s="7">
        <f>MAX((1-Parameters!$B$4)^Parameters!B$65*E97+B97*Parameters!B$65-Parameters!$B$5*B97^2/E97*Parameters!B$65,0.0001)</f>
        <v>0.7698742570851802</v>
      </c>
      <c r="F98" s="9">
        <f>MAX((1-Parameters!$B$4)^Parameters!B$65*F97+C97*Parameters!B$65-Parameters!$B$5*C97^2/F97*Parameters!B$65,0.0001)</f>
        <v>0.14854757929398762</v>
      </c>
      <c r="G98" s="7">
        <f>MAX((1-Parameters!$B$4)^Parameters!B$65*G97+D97*Parameters!B$65-Parameters!$B$5*D97^2/G97*Parameters!B$65,0.0001)</f>
        <v>4.388163068129332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7">
        <f>'6states'!$O$4</f>
        <v>0.98104277196026479</v>
      </c>
      <c r="L98" s="9">
        <f t="shared" si="25"/>
        <v>0.5</v>
      </c>
      <c r="N98" s="7">
        <f>(Parameters!$B$19*(E98+Parameters!$B$20)^L98+Parameters!$B$18*F98^L98)^(1/L98)</f>
        <v>0.53566544474475186</v>
      </c>
      <c r="O98" s="7">
        <f>(Parameters!$B$10*G98^Parameters!$B$9 + Parameters!$B$11*N98^Parameters!$B$9) ^ (Parameters!$B$7/Parameters!$B$9) * K98</f>
        <v>1.5032973124312365</v>
      </c>
      <c r="P98" s="7">
        <f t="shared" si="24"/>
        <v>1.1454023388161132</v>
      </c>
      <c r="Q98" s="7">
        <f>EXP(-Parameters!$B$55*A98)</f>
        <v>0.24185908882440066</v>
      </c>
      <c r="R98" s="7">
        <f>IF(P98&gt;0,P98^(1-Parameters!$B$52)/(1-Parameters!$B$52)*Q98,-10+P98*1000)</f>
        <v>-0.65895998802939515</v>
      </c>
      <c r="S98" s="7"/>
      <c r="T98" s="7"/>
      <c r="U98" s="7"/>
      <c r="V98" s="7"/>
    </row>
    <row r="99" spans="1:22" x14ac:dyDescent="0.3">
      <c r="A99">
        <f>A98+Parameters!$B$65</f>
        <v>95</v>
      </c>
      <c r="B99" s="46">
        <f t="shared" si="31"/>
        <v>5.191758263687303E-2</v>
      </c>
      <c r="C99" s="46">
        <f t="shared" si="30"/>
        <v>1.0017548050425843E-2</v>
      </c>
      <c r="D99" s="46">
        <f t="shared" si="30"/>
        <v>0.2959598429278244</v>
      </c>
      <c r="E99" s="7">
        <f>MAX((1-Parameters!$B$4)^Parameters!B$65*E98+B98*Parameters!B$65-Parameters!$B$5*B98^2/E98*Parameters!B$65,0.0001)</f>
        <v>0.76986561176951107</v>
      </c>
      <c r="F99" s="9">
        <f>MAX((1-Parameters!$B$4)^Parameters!B$65*F98+C98*Parameters!B$65-Parameters!$B$5*C98^2/F98*Parameters!B$65,0.0001)</f>
        <v>0.14854593493162979</v>
      </c>
      <c r="G99" s="7">
        <f>MAX((1-Parameters!$B$4)^Parameters!B$65*G98+D98*Parameters!B$65-Parameters!$B$5*D98^2/G98*Parameters!B$65,0.0001)</f>
        <v>4.3881464300018562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7">
        <f>'6states'!$O$4</f>
        <v>0.98104277196026479</v>
      </c>
      <c r="L99" s="9">
        <f t="shared" si="25"/>
        <v>0.5</v>
      </c>
      <c r="N99" s="7">
        <f>(Parameters!$B$19*(E99+Parameters!$B$20)^L99+Parameters!$B$18*F99^L99)^(1/L99)</f>
        <v>0.53565950797685058</v>
      </c>
      <c r="O99" s="7">
        <f>(Parameters!$B$10*G99^Parameters!$B$9 + Parameters!$B$11*N99^Parameters!$B$9) ^ (Parameters!$B$7/Parameters!$B$9) * K99</f>
        <v>1.5032949398233919</v>
      </c>
      <c r="P99" s="7">
        <f t="shared" si="24"/>
        <v>1.1453999662082688</v>
      </c>
      <c r="Q99" s="7">
        <f>EXP(-Parameters!$B$55*A99)</f>
        <v>0.23823445146607616</v>
      </c>
      <c r="R99" s="7">
        <f>IF(P99&gt;0,P99^(1-Parameters!$B$52)/(1-Parameters!$B$52)*Q99,-10+P99*1000)</f>
        <v>-0.64908491082353281</v>
      </c>
      <c r="S99" s="7"/>
      <c r="T99" s="7"/>
      <c r="U99" s="7"/>
      <c r="V99" s="7"/>
    </row>
    <row r="100" spans="1:22" x14ac:dyDescent="0.3">
      <c r="A100">
        <f>A99+Parameters!$B$65</f>
        <v>96</v>
      </c>
      <c r="B100" s="46">
        <f t="shared" si="31"/>
        <v>5.191758263687303E-2</v>
      </c>
      <c r="C100" s="46">
        <f t="shared" si="30"/>
        <v>1.0017548050425843E-2</v>
      </c>
      <c r="D100" s="46">
        <f t="shared" si="30"/>
        <v>0.2959598429278244</v>
      </c>
      <c r="E100" s="7">
        <f>MAX((1-Parameters!$B$4)^Parameters!B$65*E99+B99*Parameters!B$65-Parameters!$B$5*B99^2/E99*Parameters!B$65,0.0001)</f>
        <v>0.76985747092767831</v>
      </c>
      <c r="F100" s="9">
        <f>MAX((1-Parameters!$B$4)^Parameters!B$65*F99+C99*Parameters!B$65-Parameters!$B$5*C99^2/F99*Parameters!B$65,0.0001)</f>
        <v>0.14854438652151647</v>
      </c>
      <c r="G100" s="7">
        <f>MAX((1-Parameters!$B$4)^Parameters!B$65*G99+D99*Parameters!B$65-Parameters!$B$5*D99^2/G99*Parameters!B$65,0.0001)</f>
        <v>4.3881307627282373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7">
        <f>'6states'!$O$4</f>
        <v>0.98104277196026479</v>
      </c>
      <c r="L100" s="9">
        <f t="shared" si="25"/>
        <v>0.5</v>
      </c>
      <c r="N100" s="7">
        <f>(Parameters!$B$19*(E100+Parameters!$B$20)^L100+Parameters!$B$18*F100^L100)^(1/L100)</f>
        <v>0.53565391763283887</v>
      </c>
      <c r="O100" s="7">
        <f>(Parameters!$B$10*G100^Parameters!$B$9 + Parameters!$B$11*N100^Parameters!$B$9) ^ (Parameters!$B$7/Parameters!$B$9) * K100</f>
        <v>1.5032927056354495</v>
      </c>
      <c r="P100" s="7">
        <f t="shared" si="24"/>
        <v>1.1453977320203261</v>
      </c>
      <c r="Q100" s="7">
        <f>EXP(-Parameters!$B$55*A100)</f>
        <v>0.23466413497716049</v>
      </c>
      <c r="R100" s="7">
        <f>IF(P100&gt;0,P100^(1-Parameters!$B$52)/(1-Parameters!$B$52)*Q100,-10+P100*1000)</f>
        <v>-0.63935779302642903</v>
      </c>
      <c r="S100" s="7"/>
      <c r="T100" s="7"/>
      <c r="U100" s="7"/>
      <c r="V100" s="7"/>
    </row>
    <row r="101" spans="1:22" x14ac:dyDescent="0.3">
      <c r="A101">
        <f>A100+Parameters!$B$65</f>
        <v>97</v>
      </c>
      <c r="B101" s="46">
        <f t="shared" si="31"/>
        <v>5.191758263687303E-2</v>
      </c>
      <c r="C101" s="46">
        <f t="shared" si="30"/>
        <v>1.0017548050425843E-2</v>
      </c>
      <c r="D101" s="46">
        <f t="shared" si="30"/>
        <v>0.2959598429278244</v>
      </c>
      <c r="E101" s="7">
        <f>MAX((1-Parameters!$B$4)^Parameters!B$65*E100+B100*Parameters!B$65-Parameters!$B$5*B100^2/E100*Parameters!B$65,0.0001)</f>
        <v>0.76984980512167867</v>
      </c>
      <c r="F101" s="9">
        <f>MAX((1-Parameters!$B$4)^Parameters!B$65*F100+C100*Parameters!B$65-Parameters!$B$5*C100^2/F100*Parameters!B$65,0.0001)</f>
        <v>0.14854292846446687</v>
      </c>
      <c r="G101" s="7">
        <f>MAX((1-Parameters!$B$4)^Parameters!B$65*G100+D100*Parameters!B$65-Parameters!$B$5*D100^2/G100*Parameters!B$65,0.0001)</f>
        <v>4.3881160096575114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7">
        <f>'6states'!$O$4</f>
        <v>0.98104277196026479</v>
      </c>
      <c r="L101" s="9">
        <f t="shared" si="25"/>
        <v>0.5</v>
      </c>
      <c r="N101" s="7">
        <f>(Parameters!$B$19*(E101+Parameters!$B$20)^L101+Parameters!$B$18*F101^L101)^(1/L101)</f>
        <v>0.53564865349754298</v>
      </c>
      <c r="O101" s="7">
        <f>(Parameters!$B$10*G101^Parameters!$B$9 + Parameters!$B$11*N101^Parameters!$B$9) ^ (Parameters!$B$7/Parameters!$B$9) * K101</f>
        <v>1.5032906017931471</v>
      </c>
      <c r="P101" s="7">
        <f t="shared" si="24"/>
        <v>1.145395628178024</v>
      </c>
      <c r="Q101" s="7">
        <f>EXP(-Parameters!$B$55*A101)</f>
        <v>0.23114732527432291</v>
      </c>
      <c r="R101" s="7">
        <f>IF(P101&gt;0,P101^(1-Parameters!$B$52)/(1-Parameters!$B$52)*Q101,-10+P101*1000)</f>
        <v>-0.62977641970436971</v>
      </c>
      <c r="S101" s="7"/>
      <c r="T101" s="7"/>
      <c r="U101" s="7"/>
      <c r="V101" s="7"/>
    </row>
    <row r="102" spans="1:22" x14ac:dyDescent="0.3">
      <c r="A102">
        <f>A101+Parameters!$B$65</f>
        <v>98</v>
      </c>
      <c r="B102" s="46">
        <f t="shared" si="31"/>
        <v>5.191758263687303E-2</v>
      </c>
      <c r="C102" s="46">
        <f t="shared" si="30"/>
        <v>1.0017548050425843E-2</v>
      </c>
      <c r="D102" s="46">
        <f t="shared" si="30"/>
        <v>0.2959598429278244</v>
      </c>
      <c r="E102" s="7">
        <f>MAX((1-Parameters!$B$4)^Parameters!B$65*E101+B101*Parameters!B$65-Parameters!$B$5*B101^2/E101*Parameters!B$65,0.0001)</f>
        <v>0.76984258663142191</v>
      </c>
      <c r="F102" s="9">
        <f>MAX((1-Parameters!$B$4)^Parameters!B$65*F101+C101*Parameters!B$65-Parameters!$B$5*C101^2/F101*Parameters!B$65,0.0001)</f>
        <v>0.14854155548805101</v>
      </c>
      <c r="G102" s="7">
        <f>MAX((1-Parameters!$B$4)^Parameters!B$65*G101+D101*Parameters!B$65-Parameters!$B$5*D101^2/G101*Parameters!B$65,0.0001)</f>
        <v>4.388102117444455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7">
        <f>'6states'!$O$4</f>
        <v>0.98104277196026479</v>
      </c>
      <c r="L102" s="9">
        <f t="shared" si="25"/>
        <v>0.5</v>
      </c>
      <c r="N102" s="7">
        <f>(Parameters!$B$19*(E102+Parameters!$B$20)^L102+Parameters!$B$18*F102^L102)^(1/L102)</f>
        <v>0.53564369653548527</v>
      </c>
      <c r="O102" s="7">
        <f>(Parameters!$B$10*G102^Parameters!$B$9 + Parameters!$B$11*N102^Parameters!$B$9) ^ (Parameters!$B$7/Parameters!$B$9) * K102</f>
        <v>1.503288620693066</v>
      </c>
      <c r="P102" s="7">
        <f t="shared" si="24"/>
        <v>1.1453936470779427</v>
      </c>
      <c r="Q102" s="7">
        <f>EXP(-Parameters!$B$55*A102)</f>
        <v>0.22768322047454675</v>
      </c>
      <c r="R102" s="7">
        <f>IF(P102&gt;0,P102^(1-Parameters!$B$52)/(1-Parameters!$B$52)*Q102,-10+P102*1000)</f>
        <v>-0.62033860893901227</v>
      </c>
      <c r="S102" s="7"/>
      <c r="T102" s="7"/>
      <c r="U102" s="7"/>
      <c r="V102" s="7"/>
    </row>
    <row r="103" spans="1:22" x14ac:dyDescent="0.3">
      <c r="A103">
        <f>A102+Parameters!$B$65</f>
        <v>99</v>
      </c>
      <c r="B103" s="46">
        <f t="shared" si="31"/>
        <v>5.191758263687303E-2</v>
      </c>
      <c r="C103" s="46">
        <f t="shared" si="30"/>
        <v>1.0017548050425843E-2</v>
      </c>
      <c r="D103" s="46">
        <f t="shared" si="30"/>
        <v>0.2959598429278244</v>
      </c>
      <c r="E103" s="7">
        <f>MAX((1-Parameters!$B$4)^Parameters!B$65*E102+B102*Parameters!B$65-Parameters!$B$5*B102^2/E102*Parameters!B$65,0.0001)</f>
        <v>0.76983578935446828</v>
      </c>
      <c r="F103" s="9">
        <f>MAX((1-Parameters!$B$4)^Parameters!B$65*F102+C102*Parameters!B$65-Parameters!$B$5*C102^2/F102*Parameters!B$65,0.0001)</f>
        <v>0.14854026262751954</v>
      </c>
      <c r="G103" s="7">
        <f>MAX((1-Parameters!$B$4)^Parameters!B$65*G102+D102*Parameters!B$65-Parameters!$B$5*D102^2/G102*Parameters!B$65,0.0001)</f>
        <v>4.3880890358566775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7">
        <f>'6states'!$O$4</f>
        <v>0.98104277196026479</v>
      </c>
      <c r="L103" s="9">
        <f t="shared" si="25"/>
        <v>0.5</v>
      </c>
      <c r="N103" s="7">
        <f>(Parameters!$B$19*(E103+Parameters!$B$20)^L103+Parameters!$B$18*F103^L103)^(1/L103)</f>
        <v>0.53563902882203385</v>
      </c>
      <c r="O103" s="7">
        <f>(Parameters!$B$10*G103^Parameters!$B$9 + Parameters!$B$11*N103^Parameters!$B$9) ^ (Parameters!$B$7/Parameters!$B$9) * K103</f>
        <v>1.5032867551751865</v>
      </c>
      <c r="P103" s="7">
        <f t="shared" si="24"/>
        <v>1.1453917815600634</v>
      </c>
      <c r="Q103" s="7">
        <f>EXP(-Parameters!$B$55*A103)</f>
        <v>0.22427103071228871</v>
      </c>
      <c r="R103" s="7">
        <f>IF(P103&gt;0,P103^(1-Parameters!$B$52)/(1-Parameters!$B$52)*Q103,-10+P103*1000)</f>
        <v>-0.61104221134555137</v>
      </c>
      <c r="S103" s="7"/>
      <c r="T103" s="7"/>
      <c r="U103" s="7"/>
      <c r="V103" s="7"/>
    </row>
    <row r="104" spans="1:22" x14ac:dyDescent="0.3">
      <c r="A104">
        <f>A103+Parameters!$B$65</f>
        <v>100</v>
      </c>
      <c r="B104" s="9">
        <f t="shared" si="31"/>
        <v>5.191758263687303E-2</v>
      </c>
      <c r="C104" s="9">
        <f t="shared" si="30"/>
        <v>1.0017548050425843E-2</v>
      </c>
      <c r="D104" s="7">
        <f t="shared" si="30"/>
        <v>0.2959598429278244</v>
      </c>
      <c r="E104" s="7">
        <f>MAX((1-Parameters!$B$4)^Parameters!B$65*E103+B103*Parameters!B$65-Parameters!$B$5*B103^2/E103*Parameters!B$65,0.0001)</f>
        <v>0.76982938871161877</v>
      </c>
      <c r="F104" s="9">
        <f>MAX((1-Parameters!$B$4)^Parameters!B$65*F103+C103*Parameters!B$65-Parameters!$B$5*C103^2/F103*Parameters!B$65,0.0001)</f>
        <v>0.14853904520784691</v>
      </c>
      <c r="G104" s="7">
        <f>MAX((1-Parameters!$B$4)^Parameters!B$65*G103+D103*Parameters!B$65-Parameters!$B$5*D103^2/G103*Parameters!B$65,0.0001)</f>
        <v>4.3880767175929725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7">
        <f>'6states'!$O$4</f>
        <v>0.98104277196026479</v>
      </c>
      <c r="L104" s="9">
        <f t="shared" si="25"/>
        <v>0.5</v>
      </c>
      <c r="N104" s="7">
        <f>(Parameters!$B$19*(E104+Parameters!$B$20)^L104+Parameters!$B$18*F104^L104)^(1/L104)</f>
        <v>0.53563463347857088</v>
      </c>
      <c r="O104" s="7">
        <f>(Parameters!$B$10*G104^Parameters!$B$9 + Parameters!$B$11*N104^Parameters!$B$9) ^ (Parameters!$B$7/Parameters!$B$9) * K104</f>
        <v>1.5032849984970476</v>
      </c>
      <c r="P104" s="7">
        <f t="shared" si="24"/>
        <v>1.1453900248819244</v>
      </c>
      <c r="Q104" s="7">
        <f>EXP(-Parameters!$B$55*A104)</f>
        <v>0.22090997795937814</v>
      </c>
      <c r="R104" s="7">
        <f>IF(P104&gt;0,P104^(1-Parameters!$B$52)/(1-Parameters!$B$52)*Q104,-10+P104*1000)</f>
        <v>-0.60188510959716512</v>
      </c>
      <c r="S104" s="7"/>
      <c r="T104" s="7"/>
      <c r="U104" s="7"/>
      <c r="V104" s="7"/>
    </row>
    <row r="105" spans="1:22" x14ac:dyDescent="0.3">
      <c r="A105">
        <f>A104+Parameters!$B$65</f>
        <v>101</v>
      </c>
      <c r="B105" s="9">
        <f t="shared" si="31"/>
        <v>5.191758263687303E-2</v>
      </c>
      <c r="C105" s="9">
        <f>C104</f>
        <v>1.0017548050425843E-2</v>
      </c>
      <c r="D105" s="7">
        <f>D104</f>
        <v>0.2959598429278244</v>
      </c>
      <c r="E105" s="7">
        <f>MAX((1-Parameters!$B$4)^Parameters!B$65*E104+B104*Parameters!B$65-Parameters!$B$5*B104^2/E104*Parameters!B$65,0.0001)</f>
        <v>0.7698233615580159</v>
      </c>
      <c r="F105" s="9">
        <f>MAX((1-Parameters!$B$4)^Parameters!B$65*F104+C104*Parameters!B$65-Parameters!$B$5*C104^2/F104*Parameters!B$65,0.0001)</f>
        <v>0.14853789882682267</v>
      </c>
      <c r="G105" s="7">
        <f>MAX((1-Parameters!$B$4)^Parameters!B$65*G104+D104*Parameters!B$65-Parameters!$B$5*D104^2/G104*Parameters!B$65,0.0001)</f>
        <v>4.3880651181122738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7">
        <f>'6states'!$O$4</f>
        <v>0.98104277196026479</v>
      </c>
      <c r="L105" s="9">
        <f t="shared" si="25"/>
        <v>0.5</v>
      </c>
      <c r="N105" s="7">
        <f>(Parameters!$B$19*(E105+Parameters!$B$20)^L105+Parameters!$B$18*F105^L105)^(1/L105)</f>
        <v>0.53563049461144585</v>
      </c>
      <c r="O105" s="7">
        <f>(Parameters!$B$10*G105^Parameters!$B$9 + Parameters!$B$11*N105^Parameters!$B$9) ^ (Parameters!$B$7/Parameters!$B$9) * K105</f>
        <v>1.5032833443094078</v>
      </c>
      <c r="P105" s="7">
        <f t="shared" si="24"/>
        <v>1.1453883706942847</v>
      </c>
      <c r="Q105" s="7">
        <f>EXP(-Parameters!$B$55*A105)</f>
        <v>0.21759929584761534</v>
      </c>
      <c r="R105" s="7">
        <f>IF(P105&gt;0,P105^(1-Parameters!$B$52)/(1-Parameters!$B$52)*Q105,-10+P105*1000)</f>
        <v>-0.59286521795572034</v>
      </c>
      <c r="S105" s="7"/>
      <c r="T105" s="7"/>
      <c r="U105" s="7"/>
      <c r="V105" s="7"/>
    </row>
    <row r="106" spans="1:22" x14ac:dyDescent="0.3">
      <c r="A106">
        <f>A105+Parameters!$B$65</f>
        <v>102</v>
      </c>
      <c r="B106" s="9">
        <f t="shared" si="31"/>
        <v>5.191758263687303E-2</v>
      </c>
      <c r="C106" s="9">
        <f t="shared" si="31"/>
        <v>1.0017548050425843E-2</v>
      </c>
      <c r="D106" s="7">
        <f t="shared" si="31"/>
        <v>0.2959598429278244</v>
      </c>
      <c r="E106" s="7">
        <f>MAX((1-Parameters!$B$4)^Parameters!B$65*E105+B105*Parameters!B$65-Parameters!$B$5*B105^2/E105*Parameters!B$65,0.0001)</f>
        <v>0.76981768609943479</v>
      </c>
      <c r="F106" s="9">
        <f>MAX((1-Parameters!$B$4)^Parameters!B$65*F105+C105*Parameters!B$65-Parameters!$B$5*C105^2/F105*Parameters!B$65,0.0001)</f>
        <v>0.14853681933912974</v>
      </c>
      <c r="G106" s="7">
        <f>MAX((1-Parameters!$B$4)^Parameters!B$65*G105+D105*Parameters!B$65-Parameters!$B$5*D105^2/G105*Parameters!B$65,0.0001)</f>
        <v>4.388054195472586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7">
        <f>'6states'!$O$4</f>
        <v>0.98104277196026479</v>
      </c>
      <c r="L106" s="9">
        <f t="shared" si="25"/>
        <v>0.5</v>
      </c>
      <c r="N106" s="7">
        <f>(Parameters!$B$19*(E106+Parameters!$B$20)^L106+Parameters!$B$18*F106^L106)^(1/L106)</f>
        <v>0.53562659725449158</v>
      </c>
      <c r="O106" s="7">
        <f>(Parameters!$B$10*G106^Parameters!$B$9 + Parameters!$B$11*N106^Parameters!$B$9) ^ (Parameters!$B$7/Parameters!$B$9) * K106</f>
        <v>1.5032817866333235</v>
      </c>
      <c r="P106" s="7">
        <f t="shared" si="24"/>
        <v>1.1453868130182001</v>
      </c>
      <c r="Q106" s="7">
        <f>EXP(-Parameters!$B$55*A106)</f>
        <v>0.2143382294940287</v>
      </c>
      <c r="R106" s="7">
        <f>IF(P106&gt;0,P106^(1-Parameters!$B$52)/(1-Parameters!$B$52)*Q106,-10+P106*1000)</f>
        <v>-0.58398048180870443</v>
      </c>
      <c r="S106" s="7"/>
      <c r="T106" s="7"/>
      <c r="U106" s="7"/>
      <c r="V106" s="7"/>
    </row>
    <row r="107" spans="1:22" x14ac:dyDescent="0.3">
      <c r="A107">
        <f>A106+Parameters!$B$65</f>
        <v>103</v>
      </c>
      <c r="B107" s="9">
        <f t="shared" si="31"/>
        <v>5.191758263687303E-2</v>
      </c>
      <c r="C107" s="9">
        <f t="shared" si="31"/>
        <v>1.0017548050425843E-2</v>
      </c>
      <c r="D107" s="7">
        <f t="shared" si="31"/>
        <v>0.2959598429278244</v>
      </c>
      <c r="E107" s="7">
        <f>MAX((1-Parameters!$B$4)^Parameters!B$65*E106+B106*Parameters!B$65-Parameters!$B$5*B106^2/E106*Parameters!B$65,0.0001)</f>
        <v>0.76981234181345959</v>
      </c>
      <c r="F107" s="9">
        <f>MAX((1-Parameters!$B$4)^Parameters!B$65*F106+C106*Parameters!B$65-Parameters!$B$5*C106^2/F106*Parameters!B$65,0.0001)</f>
        <v>0.14853580284135204</v>
      </c>
      <c r="G107" s="7">
        <f>MAX((1-Parameters!$B$4)^Parameters!B$65*G106+D106*Parameters!B$65-Parameters!$B$5*D106^2/G106*Parameters!B$65,0.0001)</f>
        <v>4.3880439101793209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7">
        <f>'6states'!$O$4</f>
        <v>0.98104277196026479</v>
      </c>
      <c r="L107" s="9">
        <f t="shared" si="25"/>
        <v>0.5</v>
      </c>
      <c r="N107" s="7">
        <f>(Parameters!$B$19*(E107+Parameters!$B$20)^L107+Parameters!$B$18*F107^L107)^(1/L107)</f>
        <v>0.5356229273148968</v>
      </c>
      <c r="O107" s="7">
        <f>(Parameters!$B$10*G107^Parameters!$B$9 + Parameters!$B$11*N107^Parameters!$B$9) ^ (Parameters!$B$7/Parameters!$B$9) * K107</f>
        <v>1.5032803198385645</v>
      </c>
      <c r="P107" s="7">
        <f t="shared" si="24"/>
        <v>1.1453853462234411</v>
      </c>
      <c r="Q107" s="7">
        <f>EXP(-Parameters!$B$55*A107)</f>
        <v>0.21112603532875074</v>
      </c>
      <c r="R107" s="7">
        <f>IF(P107&gt;0,P107^(1-Parameters!$B$52)/(1-Parameters!$B$52)*Q107,-10+P107*1000)</f>
        <v>-0.57522887721234928</v>
      </c>
      <c r="S107" s="7"/>
      <c r="T107" s="7"/>
      <c r="U107" s="7"/>
      <c r="V107" s="7"/>
    </row>
    <row r="108" spans="1:22" x14ac:dyDescent="0.3">
      <c r="A108">
        <f>A107+Parameters!$B$65</f>
        <v>104</v>
      </c>
      <c r="B108" s="9">
        <f t="shared" si="31"/>
        <v>5.191758263687303E-2</v>
      </c>
      <c r="C108" s="9">
        <f t="shared" si="31"/>
        <v>1.0017548050425843E-2</v>
      </c>
      <c r="D108" s="7">
        <f t="shared" si="31"/>
        <v>0.2959598429278244</v>
      </c>
      <c r="E108" s="7">
        <f>MAX((1-Parameters!$B$4)^Parameters!B$65*E107+B107*Parameters!B$65-Parameters!$B$5*B107^2/E107*Parameters!B$65,0.0001)</f>
        <v>0.76980730937526065</v>
      </c>
      <c r="F108" s="9">
        <f>MAX((1-Parameters!$B$4)^Parameters!B$65*F107+C107*Parameters!B$65-Parameters!$B$5*C107^2/F107*Parameters!B$65,0.0001)</f>
        <v>0.14853484565785721</v>
      </c>
      <c r="G108" s="7">
        <f>MAX((1-Parameters!$B$4)^Parameters!B$65*G107+D107*Parameters!B$65-Parameters!$B$5*D107^2/G107*Parameters!B$65,0.0001)</f>
        <v>4.3880342250424826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7">
        <f>'6states'!$O$4</f>
        <v>0.98104277196026479</v>
      </c>
      <c r="L108" s="9">
        <f t="shared" si="25"/>
        <v>0.5</v>
      </c>
      <c r="N108" s="7">
        <f>(Parameters!$B$19*(E108+Parameters!$B$20)^L108+Parameters!$B$18*F108^L108)^(1/L108)</f>
        <v>0.53561947152223555</v>
      </c>
      <c r="O108" s="7">
        <f>(Parameters!$B$10*G108^Parameters!$B$9 + Parameters!$B$11*N108^Parameters!$B$9) ^ (Parameters!$B$7/Parameters!$B$9) * K108</f>
        <v>1.5032789386232814</v>
      </c>
      <c r="P108" s="7">
        <f t="shared" si="24"/>
        <v>1.1453839650081581</v>
      </c>
      <c r="Q108" s="7">
        <f>EXP(-Parameters!$B$55*A108)</f>
        <v>0.20796198092547327</v>
      </c>
      <c r="R108" s="7">
        <f>IF(P108&gt;0,P108^(1-Parameters!$B$52)/(1-Parameters!$B$52)*Q108,-10+P108*1000)</f>
        <v>-0.56660841044090759</v>
      </c>
      <c r="S108" s="7"/>
      <c r="T108" s="7"/>
      <c r="U108" s="7"/>
      <c r="V108" s="7"/>
    </row>
    <row r="109" spans="1:22" x14ac:dyDescent="0.3">
      <c r="A109">
        <f>A108+Parameters!$B$65</f>
        <v>105</v>
      </c>
      <c r="B109" s="9">
        <f t="shared" si="31"/>
        <v>5.191758263687303E-2</v>
      </c>
      <c r="C109" s="9">
        <f t="shared" si="31"/>
        <v>1.0017548050425843E-2</v>
      </c>
      <c r="D109" s="7">
        <f t="shared" si="31"/>
        <v>0.2959598429278244</v>
      </c>
      <c r="E109" s="7">
        <f>MAX((1-Parameters!$B$4)^Parameters!B$65*E108+B108*Parameters!B$65-Parameters!$B$5*B108^2/E108*Parameters!B$65,0.0001)</f>
        <v>0.76980257058770463</v>
      </c>
      <c r="F109" s="9">
        <f>MAX((1-Parameters!$B$4)^Parameters!B$65*F108+C108*Parameters!B$65-Parameters!$B$5*C108^2/F108*Parameters!B$65,0.0001)</f>
        <v>0.1485339443275035</v>
      </c>
      <c r="G109" s="7">
        <f>MAX((1-Parameters!$B$4)^Parameters!B$65*G108+D108*Parameters!B$65-Parameters!$B$5*D108^2/G108*Parameters!B$65,0.0001)</f>
        <v>4.3880251050421846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7">
        <f>'6states'!$O$4</f>
        <v>0.98104277196026479</v>
      </c>
      <c r="L109" s="9">
        <f t="shared" si="25"/>
        <v>0.5</v>
      </c>
      <c r="N109" s="7">
        <f>(Parameters!$B$19*(E109+Parameters!$B$20)^L109+Parameters!$B$18*F109^L109)^(1/L109)</f>
        <v>0.53561621738047549</v>
      </c>
      <c r="O109" s="7">
        <f>(Parameters!$B$10*G109^Parameters!$B$9 + Parameters!$B$11*N109^Parameters!$B$9) ^ (Parameters!$B$7/Parameters!$B$9) * K109</f>
        <v>1.5032776379948656</v>
      </c>
      <c r="P109" s="7">
        <f t="shared" si="24"/>
        <v>1.1453826643797425</v>
      </c>
      <c r="Q109" s="7">
        <f>EXP(-Parameters!$B$55*A109)</f>
        <v>0.2048453448344438</v>
      </c>
      <c r="R109" s="7">
        <f>IF(P109&gt;0,P109^(1-Parameters!$B$52)/(1-Parameters!$B$52)*Q109,-10+P109*1000)</f>
        <v>-0.55811711754203963</v>
      </c>
      <c r="S109" s="7"/>
      <c r="T109" s="7"/>
      <c r="U109" s="7"/>
      <c r="V109" s="7"/>
    </row>
    <row r="110" spans="1:22" x14ac:dyDescent="0.3">
      <c r="A110">
        <f>A109+Parameters!$B$65</f>
        <v>106</v>
      </c>
      <c r="B110" s="9">
        <f t="shared" si="31"/>
        <v>5.191758263687303E-2</v>
      </c>
      <c r="C110" s="9">
        <f t="shared" si="31"/>
        <v>1.0017548050425843E-2</v>
      </c>
      <c r="D110" s="7">
        <f t="shared" si="31"/>
        <v>0.2959598429278244</v>
      </c>
      <c r="E110" s="7">
        <f>MAX((1-Parameters!$B$4)^Parameters!B$65*E109+B109*Parameters!B$65-Parameters!$B$5*B109^2/E109*Parameters!B$65,0.0001)</f>
        <v>0.76979810831554352</v>
      </c>
      <c r="F110" s="9">
        <f>MAX((1-Parameters!$B$4)^Parameters!B$65*F109+C109*Parameters!B$65-Parameters!$B$5*C109^2/F109*Parameters!B$65,0.0001)</f>
        <v>0.14853309559112218</v>
      </c>
      <c r="G110" s="7">
        <f>MAX((1-Parameters!$B$4)^Parameters!B$65*G109+D109*Parameters!B$65-Parameters!$B$5*D109^2/G109*Parameters!B$65,0.0001)</f>
        <v>4.3880165172020176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7">
        <f>'6states'!$O$4</f>
        <v>0.98104277196026479</v>
      </c>
      <c r="L110" s="9">
        <f t="shared" si="25"/>
        <v>0.5</v>
      </c>
      <c r="N110" s="7">
        <f>(Parameters!$B$19*(E110+Parameters!$B$20)^L110+Parameters!$B$18*F110^L110)^(1/L110)</f>
        <v>0.53561315312278368</v>
      </c>
      <c r="O110" s="7">
        <f>(Parameters!$B$10*G110^Parameters!$B$9 + Parameters!$B$11*N110^Parameters!$B$9) ^ (Parameters!$B$7/Parameters!$B$9) * K110</f>
        <v>1.5032764132519136</v>
      </c>
      <c r="P110" s="7">
        <f t="shared" si="24"/>
        <v>1.1453814396367905</v>
      </c>
      <c r="Q110" s="7">
        <f>EXP(-Parameters!$B$55*A110)</f>
        <v>0.20177541641796462</v>
      </c>
      <c r="R110" s="7">
        <f>IF(P110&gt;0,P110^(1-Parameters!$B$52)/(1-Parameters!$B$52)*Q110,-10+P110*1000)</f>
        <v>-0.54975306389826761</v>
      </c>
      <c r="S110" s="7"/>
      <c r="T110" s="7"/>
      <c r="U110" s="7"/>
      <c r="V110" s="7"/>
    </row>
    <row r="111" spans="1:22" x14ac:dyDescent="0.3">
      <c r="A111">
        <f>A110+Parameters!$B$65</f>
        <v>107</v>
      </c>
      <c r="B111" s="9">
        <f t="shared" si="31"/>
        <v>5.191758263687303E-2</v>
      </c>
      <c r="C111" s="9">
        <f t="shared" si="31"/>
        <v>1.0017548050425843E-2</v>
      </c>
      <c r="D111" s="7">
        <f t="shared" si="31"/>
        <v>0.2959598429278244</v>
      </c>
      <c r="E111" s="7">
        <f>MAX((1-Parameters!$B$4)^Parameters!B$65*E110+B110*Parameters!B$65-Parameters!$B$5*B110^2/E110*Parameters!B$65,0.0001)</f>
        <v>0.7697939064234447</v>
      </c>
      <c r="F111" s="9">
        <f>MAX((1-Parameters!$B$4)^Parameters!B$65*F110+C110*Parameters!B$65-Parameters!$B$5*C110^2/F110*Parameters!B$65,0.0001)</f>
        <v>0.14853229637973095</v>
      </c>
      <c r="G111" s="7">
        <f>MAX((1-Parameters!$B$4)^Parameters!B$65*G110+D110*Parameters!B$65-Parameters!$B$5*D110^2/G110*Parameters!B$65,0.0001)</f>
        <v>4.3880084304698084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7">
        <f>'6states'!$O$4</f>
        <v>0.98104277196026479</v>
      </c>
      <c r="L111" s="9">
        <f t="shared" si="25"/>
        <v>0.5</v>
      </c>
      <c r="N111" s="7">
        <f>(Parameters!$B$19*(E111+Parameters!$B$20)^L111+Parameters!$B$18*F111^L111)^(1/L111)</f>
        <v>0.53561026766897335</v>
      </c>
      <c r="O111" s="7">
        <f>(Parameters!$B$10*G111^Parameters!$B$9 + Parameters!$B$11*N111^Parameters!$B$9) ^ (Parameters!$B$7/Parameters!$B$9) * K111</f>
        <v>1.5032752599672536</v>
      </c>
      <c r="P111" s="7">
        <f t="shared" si="24"/>
        <v>1.1453802863521303</v>
      </c>
      <c r="Q111" s="7">
        <f>EXP(-Parameters!$B$55*A111)</f>
        <v>0.19875149568835732</v>
      </c>
      <c r="R111" s="7">
        <f>IF(P111&gt;0,P111^(1-Parameters!$B$52)/(1-Parameters!$B$52)*Q111,-10+P111*1000)</f>
        <v>-0.54151434379444663</v>
      </c>
      <c r="S111" s="7"/>
      <c r="T111" s="7"/>
      <c r="U111" s="7"/>
      <c r="V111" s="7"/>
    </row>
    <row r="112" spans="1:22" x14ac:dyDescent="0.3">
      <c r="A112">
        <f>A111+Parameters!$B$65</f>
        <v>108</v>
      </c>
      <c r="B112" s="9">
        <f t="shared" ref="B112:D127" si="32">B111</f>
        <v>5.191758263687303E-2</v>
      </c>
      <c r="C112" s="9">
        <f t="shared" si="32"/>
        <v>1.0017548050425843E-2</v>
      </c>
      <c r="D112" s="7">
        <f t="shared" si="32"/>
        <v>0.2959598429278244</v>
      </c>
      <c r="E112" s="7">
        <f>MAX((1-Parameters!$B$4)^Parameters!B$65*E111+B111*Parameters!B$65-Parameters!$B$5*B111^2/E111*Parameters!B$65,0.0001)</f>
        <v>0.76978994971763826</v>
      </c>
      <c r="F112" s="9">
        <f>MAX((1-Parameters!$B$4)^Parameters!B$65*F111+C111*Parameters!B$65-Parameters!$B$5*C111^2/F111*Parameters!B$65,0.0001)</f>
        <v>0.148531543803435</v>
      </c>
      <c r="G112" s="7">
        <f>MAX((1-Parameters!$B$4)^Parameters!B$65*G111+D111*Parameters!B$65-Parameters!$B$5*D111^2/G111*Parameters!B$65,0.0001)</f>
        <v>4.3880008156053298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7">
        <f>'6states'!$O$4</f>
        <v>0.98104277196026479</v>
      </c>
      <c r="L112" s="9">
        <f t="shared" si="25"/>
        <v>0.5</v>
      </c>
      <c r="N112" s="7">
        <f>(Parameters!$B$19*(E112+Parameters!$B$20)^L112+Parameters!$B$18*F112^L112)^(1/L112)</f>
        <v>0.53560755058543108</v>
      </c>
      <c r="O112" s="7">
        <f>(Parameters!$B$10*G112^Parameters!$B$9 + Parameters!$B$11*N112^Parameters!$B$9) ^ (Parameters!$B$7/Parameters!$B$9) * K112</f>
        <v>1.5032741739719506</v>
      </c>
      <c r="P112" s="7">
        <f t="shared" si="24"/>
        <v>1.1453792003568273</v>
      </c>
      <c r="Q112" s="7">
        <f>EXP(-Parameters!$B$55*A112)</f>
        <v>0.19577289314835553</v>
      </c>
      <c r="R112" s="7">
        <f>IF(P112&gt;0,P112^(1-Parameters!$B$52)/(1-Parameters!$B$52)*Q112,-10+P112*1000)</f>
        <v>-0.53339907999120484</v>
      </c>
      <c r="S112" s="7"/>
      <c r="T112" s="7"/>
      <c r="U112" s="7"/>
      <c r="V112" s="7"/>
    </row>
    <row r="113" spans="1:22" x14ac:dyDescent="0.3">
      <c r="A113">
        <f>A112+Parameters!$B$65</f>
        <v>109</v>
      </c>
      <c r="B113" s="9">
        <f t="shared" si="32"/>
        <v>5.191758263687303E-2</v>
      </c>
      <c r="C113" s="9">
        <f t="shared" si="32"/>
        <v>1.0017548050425843E-2</v>
      </c>
      <c r="D113" s="7">
        <f t="shared" si="32"/>
        <v>0.2959598429278244</v>
      </c>
      <c r="E113" s="7">
        <f>MAX((1-Parameters!$B$4)^Parameters!B$65*E112+B112*Parameters!B$65-Parameters!$B$5*B112^2/E112*Parameters!B$65,0.0001)</f>
        <v>0.76978622389096951</v>
      </c>
      <c r="F113" s="9">
        <f>MAX((1-Parameters!$B$4)^Parameters!B$65*F112+C112*Parameters!B$65-Parameters!$B$5*C112^2/F112*Parameters!B$65,0.0001)</f>
        <v>0.1485308351409759</v>
      </c>
      <c r="G113" s="7">
        <f>MAX((1-Parameters!$B$4)^Parameters!B$65*G112+D112*Parameters!B$65-Parameters!$B$5*D112^2/G112*Parameters!B$65,0.0001)</f>
        <v>4.3879936450745731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7">
        <f>'6states'!$O$4</f>
        <v>0.98104277196026479</v>
      </c>
      <c r="L113" s="9">
        <f t="shared" si="25"/>
        <v>0.5</v>
      </c>
      <c r="N113" s="7">
        <f>(Parameters!$B$19*(E113+Parameters!$B$20)^L113+Parameters!$B$18*F113^L113)^(1/L113)</f>
        <v>0.5356049920473851</v>
      </c>
      <c r="O113" s="7">
        <f>(Parameters!$B$10*G113^Parameters!$B$9 + Parameters!$B$11*N113^Parameters!$B$9) ^ (Parameters!$B$7/Parameters!$B$9) * K113</f>
        <v>1.5032731513402515</v>
      </c>
      <c r="P113" s="7">
        <f t="shared" si="24"/>
        <v>1.1453781777251284</v>
      </c>
      <c r="Q113" s="7">
        <f>EXP(-Parameters!$B$55*A113)</f>
        <v>0.19283892963388949</v>
      </c>
      <c r="R113" s="7">
        <f>IF(P113&gt;0,P113^(1-Parameters!$B$52)/(1-Parameters!$B$52)*Q113,-10+P113*1000)</f>
        <v>-0.52540542330429774</v>
      </c>
      <c r="S113" s="7"/>
      <c r="T113" s="7"/>
      <c r="U113" s="7"/>
      <c r="V113" s="7"/>
    </row>
    <row r="114" spans="1:22" x14ac:dyDescent="0.3">
      <c r="A114">
        <f>A113+Parameters!$B$65</f>
        <v>110</v>
      </c>
      <c r="B114" s="9">
        <f t="shared" si="32"/>
        <v>5.191758263687303E-2</v>
      </c>
      <c r="C114" s="9">
        <f t="shared" si="32"/>
        <v>1.0017548050425843E-2</v>
      </c>
      <c r="D114" s="7">
        <f t="shared" si="32"/>
        <v>0.2959598429278244</v>
      </c>
      <c r="E114" s="7">
        <f>MAX((1-Parameters!$B$4)^Parameters!B$65*E113+B113*Parameters!B$65-Parameters!$B$5*B113^2/E113*Parameters!B$65,0.0001)</f>
        <v>0.7697827154711594</v>
      </c>
      <c r="F114" s="9">
        <f>MAX((1-Parameters!$B$4)^Parameters!B$65*F113+C113*Parameters!B$65-Parameters!$B$5*C113^2/F113*Parameters!B$65,0.0001)</f>
        <v>0.14853016782989067</v>
      </c>
      <c r="G114" s="7">
        <f>MAX((1-Parameters!$B$4)^Parameters!B$65*G113+D113*Parameters!B$65-Parameters!$B$5*D113^2/G113*Parameters!B$65,0.0001)</f>
        <v>4.3879868929501837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7">
        <f>'6states'!$O$4</f>
        <v>0.98104277196026479</v>
      </c>
      <c r="L114" s="9">
        <f t="shared" si="25"/>
        <v>0.5</v>
      </c>
      <c r="N114" s="7">
        <f>(Parameters!$B$19*(E114+Parameters!$B$20)^L114+Parameters!$B$18*F114^L114)^(1/L114)</f>
        <v>0.5356025828033758</v>
      </c>
      <c r="O114" s="7">
        <f>(Parameters!$B$10*G114^Parameters!$B$9 + Parameters!$B$11*N114^Parameters!$B$9) ^ (Parameters!$B$7/Parameters!$B$9) * K114</f>
        <v>1.503272188375403</v>
      </c>
      <c r="P114" s="7">
        <f t="shared" si="24"/>
        <v>1.1453772147602796</v>
      </c>
      <c r="Q114" s="7">
        <f>EXP(-Parameters!$B$55*A114)</f>
        <v>0.18994893615922709</v>
      </c>
      <c r="R114" s="7">
        <f>IF(P114&gt;0,P114^(1-Parameters!$B$52)/(1-Parameters!$B$52)*Q114,-10+P114*1000)</f>
        <v>-0.51753155218982683</v>
      </c>
      <c r="S114" s="7"/>
      <c r="T114" s="7"/>
      <c r="U114" s="7"/>
      <c r="V114" s="7"/>
    </row>
    <row r="115" spans="1:22" x14ac:dyDescent="0.3">
      <c r="A115">
        <f>A114+Parameters!$B$65</f>
        <v>111</v>
      </c>
      <c r="B115" s="9">
        <f t="shared" si="32"/>
        <v>5.191758263687303E-2</v>
      </c>
      <c r="C115" s="9">
        <f t="shared" si="32"/>
        <v>1.0017548050425843E-2</v>
      </c>
      <c r="D115" s="7">
        <f t="shared" si="32"/>
        <v>0.2959598429278244</v>
      </c>
      <c r="E115" s="7">
        <f>MAX((1-Parameters!$B$4)^Parameters!B$65*E114+B114*Parameters!B$65-Parameters!$B$5*B114^2/E114*Parameters!B$65,0.0001)</f>
        <v>0.76977941177208342</v>
      </c>
      <c r="F115" s="9">
        <f>MAX((1-Parameters!$B$4)^Parameters!B$65*F114+C114*Parameters!B$65-Parameters!$B$5*C114^2/F114*Parameters!B$65,0.0001)</f>
        <v>0.14852953945724484</v>
      </c>
      <c r="G115" s="7">
        <f>MAX((1-Parameters!$B$4)^Parameters!B$65*G114+D114*Parameters!B$65-Parameters!$B$5*D114^2/G114*Parameters!B$65,0.0001)</f>
        <v>4.3879805348177072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7">
        <f>'6states'!$O$4</f>
        <v>0.98104277196026479</v>
      </c>
      <c r="L115" s="9">
        <f t="shared" si="25"/>
        <v>0.5</v>
      </c>
      <c r="N115" s="7">
        <f>(Parameters!$B$19*(E115+Parameters!$B$20)^L115+Parameters!$B$18*F115^L115)^(1/L115)</f>
        <v>0.53560031414179854</v>
      </c>
      <c r="O115" s="7">
        <f>(Parameters!$B$10*G115^Parameters!$B$9 + Parameters!$B$11*N115^Parameters!$B$9) ^ (Parameters!$B$7/Parameters!$B$9) * K115</f>
        <v>1.5032712815962959</v>
      </c>
      <c r="P115" s="7">
        <f t="shared" si="24"/>
        <v>1.1453763079811727</v>
      </c>
      <c r="Q115" s="7">
        <f>EXP(-Parameters!$B$55*A115)</f>
        <v>0.18710225376443562</v>
      </c>
      <c r="R115" s="7">
        <f>IF(P115&gt;0,P115^(1-Parameters!$B$52)/(1-Parameters!$B$52)*Q115,-10+P115*1000)</f>
        <v>-0.50977567233526178</v>
      </c>
      <c r="S115" s="7"/>
      <c r="T115" s="7"/>
      <c r="U115" s="7"/>
      <c r="V115" s="7"/>
    </row>
    <row r="116" spans="1:22" x14ac:dyDescent="0.3">
      <c r="A116">
        <f>A115+Parameters!$B$65</f>
        <v>112</v>
      </c>
      <c r="B116" s="9">
        <f t="shared" si="32"/>
        <v>5.191758263687303E-2</v>
      </c>
      <c r="C116" s="9">
        <f t="shared" si="32"/>
        <v>1.0017548050425843E-2</v>
      </c>
      <c r="D116" s="7">
        <f t="shared" si="32"/>
        <v>0.2959598429278244</v>
      </c>
      <c r="E116" s="7">
        <f>MAX((1-Parameters!$B$4)^Parameters!B$65*E115+B115*Parameters!B$65-Parameters!$B$5*B115^2/E115*Parameters!B$65,0.0001)</f>
        <v>0.76977630084789483</v>
      </c>
      <c r="F116" s="9">
        <f>MAX((1-Parameters!$B$4)^Parameters!B$65*F115+C115*Parameters!B$65-Parameters!$B$5*C115^2/F115*Parameters!B$65,0.0001)</f>
        <v>0.14852894775090672</v>
      </c>
      <c r="G116" s="7">
        <f>MAX((1-Parameters!$B$4)^Parameters!B$65*G115+D115*Parameters!B$65-Parameters!$B$5*D115^2/G115*Parameters!B$65,0.0001)</f>
        <v>4.3879745476873122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7">
        <f>'6states'!$O$4</f>
        <v>0.98104277196026479</v>
      </c>
      <c r="L116" s="9">
        <f t="shared" si="25"/>
        <v>0.5</v>
      </c>
      <c r="N116" s="7">
        <f>(Parameters!$B$19*(E116+Parameters!$B$20)^L116+Parameters!$B$18*F116^L116)^(1/L116)</f>
        <v>0.53559817785939934</v>
      </c>
      <c r="O116" s="7">
        <f>(Parameters!$B$10*G116^Parameters!$B$9 + Parameters!$B$11*N116^Parameters!$B$9) ^ (Parameters!$B$7/Parameters!$B$9) * K116</f>
        <v>1.5032704277248923</v>
      </c>
      <c r="P116" s="7">
        <f t="shared" si="24"/>
        <v>1.1453754541097689</v>
      </c>
      <c r="Q116" s="7">
        <f>EXP(-Parameters!$B$55*A116)</f>
        <v>0.18429823336512921</v>
      </c>
      <c r="R116" s="7">
        <f>IF(P116&gt;0,P116^(1-Parameters!$B$52)/(1-Parameters!$B$52)*Q116,-10+P116*1000)</f>
        <v>-0.50213601625621207</v>
      </c>
      <c r="S116" s="7"/>
      <c r="T116" s="7"/>
      <c r="U116" s="7"/>
      <c r="V116" s="7"/>
    </row>
    <row r="117" spans="1:22" x14ac:dyDescent="0.3">
      <c r="A117">
        <f>A116+Parameters!$B$65</f>
        <v>113</v>
      </c>
      <c r="B117" s="9">
        <f t="shared" si="32"/>
        <v>5.191758263687303E-2</v>
      </c>
      <c r="C117" s="9">
        <f t="shared" si="32"/>
        <v>1.0017548050425843E-2</v>
      </c>
      <c r="D117" s="7">
        <f t="shared" si="32"/>
        <v>0.2959598429278244</v>
      </c>
      <c r="E117" s="7">
        <f>MAX((1-Parameters!$B$4)^Parameters!B$65*E116+B116*Parameters!B$65-Parameters!$B$5*B116^2/E116*Parameters!B$65,0.0001)</f>
        <v>0.76977337144982472</v>
      </c>
      <c r="F117" s="9">
        <f>MAX((1-Parameters!$B$4)^Parameters!B$65*F116+C116*Parameters!B$65-Parameters!$B$5*C116^2/F116*Parameters!B$65,0.0001)</f>
        <v>0.14852839057133049</v>
      </c>
      <c r="G117" s="7">
        <f>MAX((1-Parameters!$B$4)^Parameters!B$65*G116+D116*Parameters!B$65-Parameters!$B$5*D116^2/G116*Parameters!B$65,0.0001)</f>
        <v>4.3879689099106551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7">
        <f>'6states'!$O$4</f>
        <v>0.98104277196026479</v>
      </c>
      <c r="L117" s="9">
        <f t="shared" si="25"/>
        <v>0.5</v>
      </c>
      <c r="N117" s="7">
        <f>(Parameters!$B$19*(E117+Parameters!$B$20)^L117+Parameters!$B$18*F117^L117)^(1/L117)</f>
        <v>0.53559616623161055</v>
      </c>
      <c r="O117" s="7">
        <f>(Parameters!$B$10*G117^Parameters!$B$9 + Parameters!$B$11*N117^Parameters!$B$9) ^ (Parameters!$B$7/Parameters!$B$9) * K117</f>
        <v>1.5032696236743797</v>
      </c>
      <c r="P117" s="7">
        <f t="shared" si="24"/>
        <v>1.1453746500592565</v>
      </c>
      <c r="Q117" s="7">
        <f>EXP(-Parameters!$B$55*A117)</f>
        <v>0.18153623560446847</v>
      </c>
      <c r="R117" s="7">
        <f>IF(P117&gt;0,P117^(1-Parameters!$B$52)/(1-Parameters!$B$52)*Q117,-10+P117*1000)</f>
        <v>-0.49461084289888863</v>
      </c>
      <c r="S117" s="7"/>
      <c r="T117" s="7"/>
      <c r="U117" s="7"/>
      <c r="V117" s="7"/>
    </row>
    <row r="118" spans="1:22" x14ac:dyDescent="0.3">
      <c r="A118">
        <f>A117+Parameters!$B$65</f>
        <v>114</v>
      </c>
      <c r="B118" s="9">
        <f t="shared" si="32"/>
        <v>5.191758263687303E-2</v>
      </c>
      <c r="C118" s="9">
        <f t="shared" si="32"/>
        <v>1.0017548050425843E-2</v>
      </c>
      <c r="D118" s="7">
        <f t="shared" si="32"/>
        <v>0.2959598429278244</v>
      </c>
      <c r="E118" s="7">
        <f>MAX((1-Parameters!$B$4)^Parameters!B$65*E117+B117*Parameters!B$65-Parameters!$B$5*B117^2/E117*Parameters!B$65,0.0001)</f>
        <v>0.7697706129855042</v>
      </c>
      <c r="F118" s="9">
        <f>MAX((1-Parameters!$B$4)^Parameters!B$65*F117+C117*Parameters!B$65-Parameters!$B$5*C117^2/F117*Parameters!B$65,0.0001)</f>
        <v>0.14852786590381939</v>
      </c>
      <c r="G118" s="7">
        <f>MAX((1-Parameters!$B$4)^Parameters!B$65*G117+D117*Parameters!B$65-Parameters!$B$5*D117^2/G117*Parameters!B$65,0.0001)</f>
        <v>4.3879636011026051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7">
        <f>'6states'!$O$4</f>
        <v>0.98104277196026479</v>
      </c>
      <c r="L118" s="9">
        <f t="shared" si="25"/>
        <v>0.5</v>
      </c>
      <c r="N118" s="7">
        <f>(Parameters!$B$19*(E118+Parameters!$B$20)^L118+Parameters!$B$18*F118^L118)^(1/L118)</f>
        <v>0.5355942719846164</v>
      </c>
      <c r="O118" s="7">
        <f>(Parameters!$B$10*G118^Parameters!$B$9 + Parameters!$B$11*N118^Parameters!$B$9) ^ (Parameters!$B$7/Parameters!$B$9) * K118</f>
        <v>1.5032688665380203</v>
      </c>
      <c r="P118" s="7">
        <f t="shared" si="24"/>
        <v>1.1453738929228972</v>
      </c>
      <c r="Q118" s="7">
        <f>EXP(-Parameters!$B$55*A118)</f>
        <v>0.17881563070737777</v>
      </c>
      <c r="R118" s="7">
        <f>IF(P118&gt;0,P118^(1-Parameters!$B$52)/(1-Parameters!$B$52)*Q118,-10+P118*1000)</f>
        <v>-0.48719843724819517</v>
      </c>
      <c r="S118" s="7"/>
      <c r="T118" s="7"/>
      <c r="U118" s="7"/>
      <c r="V118" s="7"/>
    </row>
    <row r="119" spans="1:22" x14ac:dyDescent="0.3">
      <c r="A119">
        <f>A118+Parameters!$B$65</f>
        <v>115</v>
      </c>
      <c r="B119" s="9">
        <f t="shared" si="32"/>
        <v>5.191758263687303E-2</v>
      </c>
      <c r="C119" s="9">
        <f t="shared" si="32"/>
        <v>1.0017548050425843E-2</v>
      </c>
      <c r="D119" s="7">
        <f t="shared" si="32"/>
        <v>0.2959598429278244</v>
      </c>
      <c r="E119" s="7">
        <f>MAX((1-Parameters!$B$4)^Parameters!B$65*E118+B118*Parameters!B$65-Parameters!$B$5*B118^2/E118*Parameters!B$65,0.0001)</f>
        <v>0.76976801548065954</v>
      </c>
      <c r="F119" s="9">
        <f>MAX((1-Parameters!$B$4)^Parameters!B$65*F118+C118*Parameters!B$65-Parameters!$B$5*C118^2/F118*Parameters!B$65,0.0001)</f>
        <v>0.14852737185123985</v>
      </c>
      <c r="G119" s="7">
        <f>MAX((1-Parameters!$B$4)^Parameters!B$65*G118+D118*Parameters!B$65-Parameters!$B$5*D118^2/G118*Parameters!B$65,0.0001)</f>
        <v>4.3879586020675303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7">
        <f>'6states'!$O$4</f>
        <v>0.98104277196026479</v>
      </c>
      <c r="L119" s="9">
        <f t="shared" si="25"/>
        <v>0.5</v>
      </c>
      <c r="N119" s="7">
        <f>(Parameters!$B$19*(E119+Parameters!$B$20)^L119+Parameters!$B$18*F119^L119)^(1/L119)</f>
        <v>0.53559248826904893</v>
      </c>
      <c r="O119" s="7">
        <f>(Parameters!$B$10*G119^Parameters!$B$9 + Parameters!$B$11*N119^Parameters!$B$9) ^ (Parameters!$B$7/Parameters!$B$9) * K119</f>
        <v>1.5032681535786472</v>
      </c>
      <c r="P119" s="7">
        <f t="shared" si="24"/>
        <v>1.1453731799635238</v>
      </c>
      <c r="Q119" s="7">
        <f>EXP(-Parameters!$B$55*A119)</f>
        <v>0.17613579833694784</v>
      </c>
      <c r="R119" s="7">
        <f>IF(P119&gt;0,P119^(1-Parameters!$B$52)/(1-Parameters!$B$52)*Q119,-10+P119*1000)</f>
        <v>-0.47989710994138962</v>
      </c>
      <c r="S119" s="7"/>
      <c r="T119" s="7"/>
      <c r="U119" s="7"/>
      <c r="V119" s="7"/>
    </row>
    <row r="120" spans="1:22" x14ac:dyDescent="0.3">
      <c r="A120">
        <f>A119+Parameters!$B$65</f>
        <v>116</v>
      </c>
      <c r="B120" s="9">
        <f t="shared" si="32"/>
        <v>5.191758263687303E-2</v>
      </c>
      <c r="C120" s="9">
        <f t="shared" si="32"/>
        <v>1.0017548050425843E-2</v>
      </c>
      <c r="D120" s="7">
        <f t="shared" si="32"/>
        <v>0.2959598429278244</v>
      </c>
      <c r="E120" s="7">
        <f>MAX((1-Parameters!$B$4)^Parameters!B$65*E119+B119*Parameters!B$65-Parameters!$B$5*B119^2/E119*Parameters!B$65,0.0001)</f>
        <v>0.7697655695430432</v>
      </c>
      <c r="F120" s="9">
        <f>MAX((1-Parameters!$B$4)^Parameters!B$65*F119+C119*Parameters!B$65-Parameters!$B$5*C119^2/F119*Parameters!B$65,0.0001)</f>
        <v>0.1485269066271612</v>
      </c>
      <c r="G120" s="7">
        <f>MAX((1-Parameters!$B$4)^Parameters!B$65*G119+D119*Parameters!B$65-Parameters!$B$5*D119^2/G119*Parameters!B$65,0.0001)</f>
        <v>4.3879538947298888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7">
        <f>'6states'!$O$4</f>
        <v>0.98104277196026479</v>
      </c>
      <c r="L120" s="9">
        <f t="shared" si="25"/>
        <v>0.5</v>
      </c>
      <c r="N120" s="7">
        <f>(Parameters!$B$19*(E120+Parameters!$B$20)^L120+Parameters!$B$18*F120^L120)^(1/L120)</f>
        <v>0.53559080863521968</v>
      </c>
      <c r="O120" s="7">
        <f>(Parameters!$B$10*G120^Parameters!$B$9 + Parameters!$B$11*N120^Parameters!$B$9) ^ (Parameters!$B$7/Parameters!$B$9) * K120</f>
        <v>1.5032674822187744</v>
      </c>
      <c r="P120" s="7">
        <f t="shared" si="24"/>
        <v>1.1453725086036513</v>
      </c>
      <c r="Q120" s="7">
        <f>EXP(-Parameters!$B$55*A120)</f>
        <v>0.17349612745298973</v>
      </c>
      <c r="R120" s="7">
        <f>IF(P120&gt;0,P120^(1-Parameters!$B$52)/(1-Parameters!$B$52)*Q120,-10+P120*1000)</f>
        <v>-0.47270519688725343</v>
      </c>
      <c r="S120" s="7"/>
      <c r="T120" s="7"/>
      <c r="U120" s="7"/>
      <c r="V120" s="7"/>
    </row>
    <row r="121" spans="1:22" x14ac:dyDescent="0.3">
      <c r="A121">
        <f>A120+Parameters!$B$65</f>
        <v>117</v>
      </c>
      <c r="B121" s="9">
        <f t="shared" si="32"/>
        <v>5.191758263687303E-2</v>
      </c>
      <c r="C121" s="9">
        <f t="shared" si="32"/>
        <v>1.0017548050425843E-2</v>
      </c>
      <c r="D121" s="7">
        <f t="shared" si="32"/>
        <v>0.2959598429278244</v>
      </c>
      <c r="E121" s="7">
        <f>MAX((1-Parameters!$B$4)^Parameters!B$65*E120+B120*Parameters!B$65-Parameters!$B$5*B120^2/E120*Parameters!B$65,0.0001)</f>
        <v>0.76976326632846981</v>
      </c>
      <c r="F121" s="9">
        <f>MAX((1-Parameters!$B$4)^Parameters!B$65*F120+C120*Parameters!B$65-Parameters!$B$5*C120^2/F120*Parameters!B$65,0.0001)</f>
        <v>0.14852646854939569</v>
      </c>
      <c r="G121" s="7">
        <f>MAX((1-Parameters!$B$4)^Parameters!B$65*G120+D120*Parameters!B$65-Parameters!$B$5*D120^2/G120*Parameters!B$65,0.0001)</f>
        <v>4.387949462068871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7">
        <f>'6states'!$O$4</f>
        <v>0.98104277196026479</v>
      </c>
      <c r="L121" s="9">
        <f t="shared" si="25"/>
        <v>0.5</v>
      </c>
      <c r="N121" s="7">
        <f>(Parameters!$B$19*(E121+Parameters!$B$20)^L121+Parameters!$B$18*F121^L121)^(1/L121)</f>
        <v>0.53558922700979628</v>
      </c>
      <c r="O121" s="7">
        <f>(Parameters!$B$10*G121^Parameters!$B$9 + Parameters!$B$11*N121^Parameters!$B$9) ^ (Parameters!$B$7/Parameters!$B$9) * K121</f>
        <v>1.5032668500312838</v>
      </c>
      <c r="P121" s="7">
        <f t="shared" si="24"/>
        <v>1.1453718764161605</v>
      </c>
      <c r="Q121" s="7">
        <f>EXP(-Parameters!$B$55*A121)</f>
        <v>0.17089601617270908</v>
      </c>
      <c r="R121" s="7">
        <f>IF(P121&gt;0,P121^(1-Parameters!$B$52)/(1-Parameters!$B$52)*Q121,-10+P121*1000)</f>
        <v>-0.46562105889070654</v>
      </c>
      <c r="S121" s="7"/>
      <c r="T121" s="7"/>
      <c r="U121" s="7"/>
      <c r="V121" s="7"/>
    </row>
    <row r="122" spans="1:22" x14ac:dyDescent="0.3">
      <c r="A122">
        <f>A121+Parameters!$B$65</f>
        <v>118</v>
      </c>
      <c r="B122" s="9">
        <f t="shared" si="32"/>
        <v>5.191758263687303E-2</v>
      </c>
      <c r="C122" s="9">
        <f t="shared" si="32"/>
        <v>1.0017548050425843E-2</v>
      </c>
      <c r="D122" s="7">
        <f t="shared" si="32"/>
        <v>0.2959598429278244</v>
      </c>
      <c r="E122" s="7">
        <f>MAX((1-Parameters!$B$4)^Parameters!B$65*E121+B121*Parameters!B$65-Parameters!$B$5*B121^2/E121*Parameters!B$65,0.0001)</f>
        <v>0.76976109750883459</v>
      </c>
      <c r="F122" s="9">
        <f>MAX((1-Parameters!$B$4)^Parameters!B$65*F121+C121*Parameters!B$65-Parameters!$B$5*C121^2/F121*Parameters!B$65,0.0001)</f>
        <v>0.1485260560339153</v>
      </c>
      <c r="G122" s="7">
        <f>MAX((1-Parameters!$B$4)^Parameters!B$65*G121+D121*Parameters!B$65-Parameters!$B$5*D121^2/G121*Parameters!B$65,0.0001)</f>
        <v>4.3879452880568497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7">
        <f>'6states'!$O$4</f>
        <v>0.98104277196026479</v>
      </c>
      <c r="L122" s="9">
        <f t="shared" si="25"/>
        <v>0.5</v>
      </c>
      <c r="N122" s="7">
        <f>(Parameters!$B$19*(E122+Parameters!$B$20)^L122+Parameters!$B$18*F122^L122)^(1/L122)</f>
        <v>0.53558773767384071</v>
      </c>
      <c r="O122" s="7">
        <f>(Parameters!$B$10*G122^Parameters!$B$9 + Parameters!$B$11*N122^Parameters!$B$9) ^ (Parameters!$B$7/Parameters!$B$9) * K122</f>
        <v>1.5032662547306543</v>
      </c>
      <c r="P122" s="7">
        <f t="shared" si="24"/>
        <v>1.1453712811155312</v>
      </c>
      <c r="Q122" s="7">
        <f>EXP(-Parameters!$B$55*A122)</f>
        <v>0.16833487163346803</v>
      </c>
      <c r="R122" s="7">
        <f>IF(P122&gt;0,P122^(1-Parameters!$B$52)/(1-Parameters!$B$52)*Q122,-10+P122*1000)</f>
        <v>-0.45864308128280545</v>
      </c>
      <c r="S122" s="7"/>
      <c r="T122" s="7"/>
      <c r="U122" s="7"/>
      <c r="V122" s="7"/>
    </row>
    <row r="123" spans="1:22" x14ac:dyDescent="0.3">
      <c r="A123">
        <f>A122+Parameters!$B$65</f>
        <v>119</v>
      </c>
      <c r="B123" s="9">
        <f t="shared" si="32"/>
        <v>5.191758263687303E-2</v>
      </c>
      <c r="C123" s="9">
        <f t="shared" si="32"/>
        <v>1.0017548050425843E-2</v>
      </c>
      <c r="D123" s="7">
        <f t="shared" si="32"/>
        <v>0.2959598429278244</v>
      </c>
      <c r="E123" s="7">
        <f>MAX((1-Parameters!$B$4)^Parameters!B$65*E122+B122*Parameters!B$65-Parameters!$B$5*B122^2/E122*Parameters!B$65,0.0001)</f>
        <v>0.76975905524199739</v>
      </c>
      <c r="F123" s="9">
        <f>MAX((1-Parameters!$B$4)^Parameters!B$65*F122+C122*Parameters!B$65-Parameters!$B$5*C122^2/F122*Parameters!B$65,0.0001)</f>
        <v>0.14852566758912389</v>
      </c>
      <c r="G123" s="7">
        <f>MAX((1-Parameters!$B$4)^Parameters!B$65*G122+D122*Parameters!B$65-Parameters!$B$5*D122^2/G122*Parameters!B$65,0.0001)</f>
        <v>4.3879413576014317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7">
        <f>'6states'!$O$4</f>
        <v>0.98104277196026479</v>
      </c>
      <c r="L123" s="9">
        <f t="shared" si="25"/>
        <v>0.5</v>
      </c>
      <c r="N123" s="7">
        <f>(Parameters!$B$19*(E123+Parameters!$B$20)^L123+Parameters!$B$18*F123^L123)^(1/L123)</f>
        <v>0.5355863352421284</v>
      </c>
      <c r="O123" s="7">
        <f>(Parameters!$B$10*G123^Parameters!$B$9 + Parameters!$B$11*N123^Parameters!$B$9) ^ (Parameters!$B$7/Parameters!$B$9) * K123</f>
        <v>1.5032656941647029</v>
      </c>
      <c r="P123" s="7">
        <f t="shared" si="24"/>
        <v>1.1453707205495798</v>
      </c>
      <c r="Q123" s="7">
        <f>EXP(-Parameters!$B$55*A123)</f>
        <v>0.16581210985760431</v>
      </c>
      <c r="R123" s="7">
        <f>IF(P123&gt;0,P123^(1-Parameters!$B$52)/(1-Parameters!$B$52)*Q123,-10+P123*1000)</f>
        <v>-0.45176967355606218</v>
      </c>
      <c r="S123" s="7"/>
      <c r="T123" s="7"/>
      <c r="U123" s="7"/>
      <c r="V123" s="7"/>
    </row>
    <row r="124" spans="1:22" x14ac:dyDescent="0.3">
      <c r="A124">
        <f>A123+Parameters!$B$65</f>
        <v>120</v>
      </c>
      <c r="B124" s="9">
        <f t="shared" si="32"/>
        <v>5.191758263687303E-2</v>
      </c>
      <c r="C124" s="9">
        <f t="shared" si="32"/>
        <v>1.0017548050425843E-2</v>
      </c>
      <c r="D124" s="7">
        <f t="shared" si="32"/>
        <v>0.2959598429278244</v>
      </c>
      <c r="E124" s="7">
        <f>MAX((1-Parameters!$B$4)^Parameters!B$65*E123+B123*Parameters!B$65-Parameters!$B$5*B123^2/E123*Parameters!B$65,0.0001)</f>
        <v>0.76975713214342478</v>
      </c>
      <c r="F124" s="9">
        <f>MAX((1-Parameters!$B$4)^Parameters!B$65*F123+C123*Parameters!B$65-Parameters!$B$5*C123^2/F123*Parameters!B$65,0.0001)</f>
        <v>0.14852530181046322</v>
      </c>
      <c r="G124" s="7">
        <f>MAX((1-Parameters!$B$4)^Parameters!B$65*G123+D123*Parameters!B$65-Parameters!$B$5*D123^2/G123*Parameters!B$65,0.0001)</f>
        <v>4.3879376564908812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7">
        <f>'6states'!$O$4</f>
        <v>0.98104277196026479</v>
      </c>
      <c r="L124" s="9">
        <f t="shared" si="25"/>
        <v>0.5</v>
      </c>
      <c r="N124" s="7">
        <f>(Parameters!$B$19*(E124+Parameters!$B$20)^L124+Parameters!$B$18*F124^L124)^(1/L124)</f>
        <v>0.53558501464367503</v>
      </c>
      <c r="O124" s="7">
        <f>(Parameters!$B$10*G124^Parameters!$B$9 + Parameters!$B$11*N124^Parameters!$B$9) ^ (Parameters!$B$7/Parameters!$B$9) * K124</f>
        <v>1.5032651663068057</v>
      </c>
      <c r="P124" s="7">
        <f t="shared" si="24"/>
        <v>1.1453701926916824</v>
      </c>
      <c r="Q124" s="7">
        <f>EXP(-Parameters!$B$55*A124)</f>
        <v>0.16332715561927577</v>
      </c>
      <c r="R124" s="7">
        <f>IF(P124&gt;0,P124^(1-Parameters!$B$52)/(1-Parameters!$B$52)*Q124,-10+P124*1000)</f>
        <v>-0.44499926900501918</v>
      </c>
      <c r="S124" s="7"/>
      <c r="T124" s="7"/>
      <c r="U124" s="7"/>
      <c r="V124" s="7"/>
    </row>
    <row r="125" spans="1:22" x14ac:dyDescent="0.3">
      <c r="A125">
        <f>A124+Parameters!$B$65</f>
        <v>121</v>
      </c>
      <c r="B125" s="9">
        <f t="shared" si="32"/>
        <v>5.191758263687303E-2</v>
      </c>
      <c r="C125" s="9">
        <f t="shared" si="32"/>
        <v>1.0017548050425843E-2</v>
      </c>
      <c r="D125" s="7">
        <f t="shared" si="32"/>
        <v>0.2959598429278244</v>
      </c>
      <c r="E125" s="7">
        <f>MAX((1-Parameters!$B$4)^Parameters!B$65*E124+B124*Parameters!B$65-Parameters!$B$5*B124^2/E124*Parameters!B$65,0.0001)</f>
        <v>0.7697553212594872</v>
      </c>
      <c r="F125" s="9">
        <f>MAX((1-Parameters!$B$4)^Parameters!B$65*F124+C124*Parameters!B$65-Parameters!$B$5*C124^2/F124*Parameters!B$65,0.0001)</f>
        <v>0.14852495737533411</v>
      </c>
      <c r="G125" s="7">
        <f>MAX((1-Parameters!$B$4)^Parameters!B$65*G124+D124*Parameters!B$65-Parameters!$B$5*D124^2/G124*Parameters!B$65,0.0001)</f>
        <v>4.3879341713427316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7">
        <f>'6states'!$O$4</f>
        <v>0.98104277196026479</v>
      </c>
      <c r="L125" s="9">
        <f t="shared" si="25"/>
        <v>0.5</v>
      </c>
      <c r="N125" s="7">
        <f>(Parameters!$B$19*(E125+Parameters!$B$20)^L125+Parameters!$B$18*F125^L125)^(1/L125)</f>
        <v>0.53558377110339928</v>
      </c>
      <c r="O125" s="7">
        <f>(Parameters!$B$10*G125^Parameters!$B$9 + Parameters!$B$11*N125^Parameters!$B$9) ^ (Parameters!$B$7/Parameters!$B$9) * K125</f>
        <v>1.5032646692485752</v>
      </c>
      <c r="P125" s="7">
        <f t="shared" si="24"/>
        <v>1.1453696956334518</v>
      </c>
      <c r="Q125" s="7">
        <f>EXP(-Parameters!$B$55*A125)</f>
        <v>0.16087944231330067</v>
      </c>
      <c r="R125" s="7">
        <f>IF(P125&gt;0,P125^(1-Parameters!$B$52)/(1-Parameters!$B$52)*Q125,-10+P125*1000)</f>
        <v>-0.43833032437201719</v>
      </c>
      <c r="S125" s="7"/>
      <c r="T125" s="7"/>
      <c r="U125" s="7"/>
      <c r="V125" s="7"/>
    </row>
    <row r="126" spans="1:22" x14ac:dyDescent="0.3">
      <c r="A126">
        <f>A125+Parameters!$B$65</f>
        <v>122</v>
      </c>
      <c r="B126" s="9">
        <f t="shared" si="32"/>
        <v>5.191758263687303E-2</v>
      </c>
      <c r="C126" s="9">
        <f t="shared" si="32"/>
        <v>1.0017548050425843E-2</v>
      </c>
      <c r="D126" s="7">
        <f t="shared" si="32"/>
        <v>0.2959598429278244</v>
      </c>
      <c r="E126" s="7">
        <f>MAX((1-Parameters!$B$4)^Parameters!B$65*E125+B125*Parameters!B$65-Parameters!$B$5*B125^2/E125*Parameters!B$65,0.0001)</f>
        <v>0.76975361604231363</v>
      </c>
      <c r="F126" s="9">
        <f>MAX((1-Parameters!$B$4)^Parameters!B$65*F125+C125*Parameters!B$65-Parameters!$B$5*C125^2/F125*Parameters!B$65,0.0001)</f>
        <v>0.14852463303831379</v>
      </c>
      <c r="G126" s="7">
        <f>MAX((1-Parameters!$B$4)^Parameters!B$65*G125+D125*Parameters!B$65-Parameters!$B$5*D125^2/G125*Parameters!B$65,0.0001)</f>
        <v>4.3879308895553999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7">
        <f>'6states'!$O$4</f>
        <v>0.98104277196026479</v>
      </c>
      <c r="L126" s="9">
        <f t="shared" si="25"/>
        <v>0.5</v>
      </c>
      <c r="N126" s="7">
        <f>(Parameters!$B$19*(E126+Parameters!$B$20)^L126+Parameters!$B$18*F126^L126)^(1/L126)</f>
        <v>0.53558260012485537</v>
      </c>
      <c r="O126" s="7">
        <f>(Parameters!$B$10*G126^Parameters!$B$9 + Parameters!$B$11*N126^Parameters!$B$9) ^ (Parameters!$B$7/Parameters!$B$9) * K126</f>
        <v>1.5032642011929631</v>
      </c>
      <c r="P126" s="7">
        <f t="shared" si="24"/>
        <v>1.1453692275778398</v>
      </c>
      <c r="Q126" s="7">
        <f>EXP(-Parameters!$B$55*A126)</f>
        <v>0.15846841182596355</v>
      </c>
      <c r="R126" s="7">
        <f>IF(P126&gt;0,P126^(1-Parameters!$B$52)/(1-Parameters!$B$52)*Q126,-10+P126*1000)</f>
        <v>-0.43176131949809271</v>
      </c>
      <c r="S126" s="7"/>
      <c r="T126" s="7"/>
      <c r="U126" s="7"/>
      <c r="V126" s="7"/>
    </row>
    <row r="127" spans="1:22" x14ac:dyDescent="0.3">
      <c r="A127">
        <f>A126+Parameters!$B$65</f>
        <v>123</v>
      </c>
      <c r="B127" s="9">
        <f t="shared" si="32"/>
        <v>5.191758263687303E-2</v>
      </c>
      <c r="C127" s="9">
        <f t="shared" si="32"/>
        <v>1.0017548050425843E-2</v>
      </c>
      <c r="D127" s="7">
        <f t="shared" si="32"/>
        <v>0.2959598429278244</v>
      </c>
      <c r="E127" s="7">
        <f>MAX((1-Parameters!$B$4)^Parameters!B$65*E126+B126*Parameters!B$65-Parameters!$B$5*B126^2/E126*Parameters!B$65,0.0001)</f>
        <v>0.76975201032611462</v>
      </c>
      <c r="F127" s="9">
        <f>MAX((1-Parameters!$B$4)^Parameters!B$65*F126+C126*Parameters!B$65-Parameters!$B$5*C126^2/F126*Parameters!B$65,0.0001)</f>
        <v>0.14852432762665232</v>
      </c>
      <c r="G127" s="7">
        <f>MAX((1-Parameters!$B$4)^Parameters!B$65*G126+D126*Parameters!B$65-Parameters!$B$5*D126^2/G126*Parameters!B$65,0.0001)</f>
        <v>4.3879277992626182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7">
        <f>'6states'!$O$4</f>
        <v>0.98104277196026479</v>
      </c>
      <c r="L127" s="9">
        <f t="shared" si="25"/>
        <v>0.5</v>
      </c>
      <c r="N127" s="7">
        <f>(Parameters!$B$19*(E127+Parameters!$B$20)^L127+Parameters!$B$18*F127^L127)^(1/L127)</f>
        <v>0.53558149747397488</v>
      </c>
      <c r="O127" s="7">
        <f>(Parameters!$B$10*G127^Parameters!$B$9 + Parameters!$B$11*N127^Parameters!$B$9) ^ (Parameters!$B$7/Parameters!$B$9) * K127</f>
        <v>1.5032637604477646</v>
      </c>
      <c r="P127" s="7">
        <f t="shared" si="24"/>
        <v>1.1453687868326412</v>
      </c>
      <c r="Q127" s="7">
        <f>EXP(-Parameters!$B$55*A127)</f>
        <v>0.15609351440775748</v>
      </c>
      <c r="R127" s="7">
        <f>IF(P127&gt;0,P127^(1-Parameters!$B$52)/(1-Parameters!$B$52)*Q127,-10+P127*1000)</f>
        <v>-0.42529075697894092</v>
      </c>
      <c r="S127" s="7"/>
      <c r="T127" s="7"/>
      <c r="U127" s="7"/>
      <c r="V127" s="7"/>
    </row>
    <row r="128" spans="1:22" x14ac:dyDescent="0.3">
      <c r="A128">
        <f>A127+Parameters!$B$65</f>
        <v>124</v>
      </c>
      <c r="B128" s="9">
        <f t="shared" ref="B128:D143" si="33">B127</f>
        <v>5.191758263687303E-2</v>
      </c>
      <c r="C128" s="9">
        <f t="shared" si="33"/>
        <v>1.0017548050425843E-2</v>
      </c>
      <c r="D128" s="7">
        <f t="shared" si="33"/>
        <v>0.2959598429278244</v>
      </c>
      <c r="E128" s="7">
        <f>MAX((1-Parameters!$B$4)^Parameters!B$65*E127+B127*Parameters!B$65-Parameters!$B$5*B127^2/E127*Parameters!B$65,0.0001)</f>
        <v>0.76975049830488629</v>
      </c>
      <c r="F128" s="9">
        <f>MAX((1-Parameters!$B$4)^Parameters!B$65*F127+C127*Parameters!B$65-Parameters!$B$5*C127^2/F127*Parameters!B$65,0.0001)</f>
        <v>0.14852404003603201</v>
      </c>
      <c r="G128" s="7">
        <f>MAX((1-Parameters!$B$4)^Parameters!B$65*G127+D127*Parameters!B$65-Parameters!$B$5*D127^2/G127*Parameters!B$65,0.0001)</f>
        <v>4.3879248892905265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7">
        <f>'6states'!$O$4</f>
        <v>0.98104277196026479</v>
      </c>
      <c r="L128" s="9">
        <f t="shared" si="25"/>
        <v>0.5</v>
      </c>
      <c r="N128" s="7">
        <f>(Parameters!$B$19*(E128+Parameters!$B$20)^L128+Parameters!$B$18*F128^L128)^(1/L128)</f>
        <v>0.53558045916375463</v>
      </c>
      <c r="O128" s="7">
        <f>(Parameters!$B$10*G128^Parameters!$B$9 + Parameters!$B$11*N128^Parameters!$B$9) ^ (Parameters!$B$7/Parameters!$B$9) * K128</f>
        <v>1.5032633454195035</v>
      </c>
      <c r="P128" s="7">
        <f t="shared" si="24"/>
        <v>1.1453683718043801</v>
      </c>
      <c r="Q128" s="7">
        <f>EXP(-Parameters!$B$55*A128)</f>
        <v>0.15375420854803312</v>
      </c>
      <c r="R128" s="7">
        <f>IF(P128&gt;0,P128^(1-Parameters!$B$52)/(1-Parameters!$B$52)*Q128,-10+P128*1000)</f>
        <v>-0.41891716182587907</v>
      </c>
      <c r="S128" s="7"/>
      <c r="T128" s="7"/>
      <c r="U128" s="7"/>
      <c r="V128" s="7"/>
    </row>
    <row r="129" spans="1:22" x14ac:dyDescent="0.3">
      <c r="A129">
        <f>A128+Parameters!$B$65</f>
        <v>125</v>
      </c>
      <c r="B129" s="9">
        <f t="shared" si="33"/>
        <v>5.191758263687303E-2</v>
      </c>
      <c r="C129" s="9">
        <f t="shared" si="33"/>
        <v>1.0017548050425843E-2</v>
      </c>
      <c r="D129" s="7">
        <f t="shared" si="33"/>
        <v>0.2959598429278244</v>
      </c>
      <c r="E129" s="7">
        <f>MAX((1-Parameters!$B$4)^Parameters!B$65*E128+B128*Parameters!B$65-Parameters!$B$5*B128^2/E128*Parameters!B$65,0.0001)</f>
        <v>0.76974907451141583</v>
      </c>
      <c r="F129" s="9">
        <f>MAX((1-Parameters!$B$4)^Parameters!B$65*F128+C128*Parameters!B$65-Parameters!$B$5*C128^2/F128*Parameters!B$65,0.0001)</f>
        <v>0.14852376922657409</v>
      </c>
      <c r="G129" s="7">
        <f>MAX((1-Parameters!$B$4)^Parameters!B$65*G128+D128*Parameters!B$65-Parameters!$B$5*D128^2/G128*Parameters!B$65,0.0001)</f>
        <v>4.3879221491172729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7">
        <f>'6states'!$O$4</f>
        <v>0.98104277196026479</v>
      </c>
      <c r="L129" s="9">
        <f t="shared" si="25"/>
        <v>0.5</v>
      </c>
      <c r="N129" s="7">
        <f>(Parameters!$B$19*(E129+Parameters!$B$20)^L129+Parameters!$B$18*F129^L129)^(1/L129)</f>
        <v>0.53557948143984102</v>
      </c>
      <c r="O129" s="7">
        <f>(Parameters!$B$10*G129^Parameters!$B$9 + Parameters!$B$11*N129^Parameters!$B$9) ^ (Parameters!$B$7/Parameters!$B$9) * K129</f>
        <v>1.5032629546076723</v>
      </c>
      <c r="P129" s="7">
        <f t="shared" si="24"/>
        <v>1.1453679809925492</v>
      </c>
      <c r="Q129" s="7">
        <f>EXP(-Parameters!$B$55*A129)</f>
        <v>0.15144996085152654</v>
      </c>
      <c r="R129" s="7">
        <f>IF(P129&gt;0,P129^(1-Parameters!$B$52)/(1-Parameters!$B$52)*Q129,-10+P129*1000)</f>
        <v>-0.41263908113174824</v>
      </c>
      <c r="S129" s="7"/>
      <c r="T129" s="7"/>
      <c r="U129" s="7"/>
      <c r="V129" s="7"/>
    </row>
    <row r="130" spans="1:22" x14ac:dyDescent="0.3">
      <c r="A130">
        <f>A129+Parameters!$B$65</f>
        <v>126</v>
      </c>
      <c r="B130" s="9">
        <f t="shared" si="33"/>
        <v>5.191758263687303E-2</v>
      </c>
      <c r="C130" s="9">
        <f t="shared" si="33"/>
        <v>1.0017548050425843E-2</v>
      </c>
      <c r="D130" s="7">
        <f t="shared" si="33"/>
        <v>0.2959598429278244</v>
      </c>
      <c r="E130" s="7">
        <f>MAX((1-Parameters!$B$4)^Parameters!B$65*E129+B129*Parameters!B$65-Parameters!$B$5*B129^2/E129*Parameters!B$65,0.0001)</f>
        <v>0.76974773379751182</v>
      </c>
      <c r="F130" s="9">
        <f>MAX((1-Parameters!$B$4)^Parameters!B$65*F129+C129*Parameters!B$65-Parameters!$B$5*C129^2/F129*Parameters!B$65,0.0001)</f>
        <v>0.14852351421907856</v>
      </c>
      <c r="G130" s="7">
        <f>MAX((1-Parameters!$B$4)^Parameters!B$65*G129+D129*Parameters!B$65-Parameters!$B$5*D129^2/G129*Parameters!B$65,0.0001)</f>
        <v>4.3879195688349633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7">
        <f>'6states'!$O$4</f>
        <v>0.98104277196026479</v>
      </c>
      <c r="L130" s="9">
        <f t="shared" si="25"/>
        <v>0.5</v>
      </c>
      <c r="N130" s="7">
        <f>(Parameters!$B$19*(E130+Parameters!$B$20)^L130+Parameters!$B$18*F130^L130)^(1/L130)</f>
        <v>0.53557856076695309</v>
      </c>
      <c r="O130" s="7">
        <f>(Parameters!$B$10*G130^Parameters!$B$9 + Parameters!$B$11*N130^Parameters!$B$9) ^ (Parameters!$B$7/Parameters!$B$9) * K130</f>
        <v>1.5032625865993086</v>
      </c>
      <c r="P130" s="7">
        <f t="shared" si="24"/>
        <v>1.1453676129841854</v>
      </c>
      <c r="Q130" s="7">
        <f>EXP(-Parameters!$B$55*A130)</f>
        <v>0.14918024591673743</v>
      </c>
      <c r="R130" s="7">
        <f>IF(P130&gt;0,P130^(1-Parameters!$B$52)/(1-Parameters!$B$52)*Q130,-10+P130*1000)</f>
        <v>-0.40645508374168954</v>
      </c>
      <c r="S130" s="7"/>
      <c r="T130" s="7"/>
      <c r="U130" s="7"/>
      <c r="V130" s="7"/>
    </row>
    <row r="131" spans="1:22" x14ac:dyDescent="0.3">
      <c r="A131">
        <f>A130+Parameters!$B$65</f>
        <v>127</v>
      </c>
      <c r="B131" s="9">
        <f t="shared" si="33"/>
        <v>5.191758263687303E-2</v>
      </c>
      <c r="C131" s="9">
        <f t="shared" si="33"/>
        <v>1.0017548050425843E-2</v>
      </c>
      <c r="D131" s="7">
        <f t="shared" si="33"/>
        <v>0.2959598429278244</v>
      </c>
      <c r="E131" s="7">
        <f>MAX((1-Parameters!$B$4)^Parameters!B$65*E130+B130*Parameters!B$65-Parameters!$B$5*B130^2/E130*Parameters!B$65,0.0001)</f>
        <v>0.76974647131538865</v>
      </c>
      <c r="F131" s="9">
        <f>MAX((1-Parameters!$B$4)^Parameters!B$65*F130+C130*Parameters!B$65-Parameters!$B$5*C130^2/F130*Parameters!B$65,0.0001)</f>
        <v>0.1485232740914833</v>
      </c>
      <c r="G131" s="7">
        <f>MAX((1-Parameters!$B$4)^Parameters!B$65*G130+D130*Parameters!B$65-Parameters!$B$5*D130^2/G130*Parameters!B$65,0.0001)</f>
        <v>4.3879171391138394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7">
        <f>'6states'!$O$4</f>
        <v>0.98104277196026479</v>
      </c>
      <c r="L131" s="9">
        <f t="shared" si="25"/>
        <v>0.5</v>
      </c>
      <c r="N131" s="7">
        <f>(Parameters!$B$19*(E131+Parameters!$B$20)^L131+Parameters!$B$18*F131^L131)^(1/L131)</f>
        <v>0.53557769381609999</v>
      </c>
      <c r="O131" s="7">
        <f>(Parameters!$B$10*G131^Parameters!$B$9 + Parameters!$B$11*N131^Parameters!$B$9) ^ (Parameters!$B$7/Parameters!$B$9) * K131</f>
        <v>1.503262240063888</v>
      </c>
      <c r="P131" s="7">
        <f t="shared" si="24"/>
        <v>1.1453672664487646</v>
      </c>
      <c r="Q131" s="7">
        <f>EXP(-Parameters!$B$55*A131)</f>
        <v>0.14694454621613023</v>
      </c>
      <c r="R131" s="7">
        <f>IF(P131&gt;0,P131^(1-Parameters!$B$52)/(1-Parameters!$B$52)*Q131,-10+P131*1000)</f>
        <v>-0.40036375992873052</v>
      </c>
      <c r="S131" s="7"/>
      <c r="T131" s="7"/>
      <c r="U131" s="7"/>
      <c r="V131" s="7"/>
    </row>
    <row r="132" spans="1:22" x14ac:dyDescent="0.3">
      <c r="A132">
        <f>A131+Parameters!$B$65</f>
        <v>128</v>
      </c>
      <c r="B132" s="9">
        <f t="shared" si="33"/>
        <v>5.191758263687303E-2</v>
      </c>
      <c r="C132" s="9">
        <f t="shared" si="33"/>
        <v>1.0017548050425843E-2</v>
      </c>
      <c r="D132" s="7">
        <f t="shared" si="33"/>
        <v>0.2959598429278244</v>
      </c>
      <c r="E132" s="7">
        <f>MAX((1-Parameters!$B$4)^Parameters!B$65*E131+B131*Parameters!B$65-Parameters!$B$5*B131^2/E131*Parameters!B$65,0.0001)</f>
        <v>0.76974528250013674</v>
      </c>
      <c r="F132" s="9">
        <f>MAX((1-Parameters!$B$4)^Parameters!B$65*F131+C131*Parameters!B$65-Parameters!$B$5*C131^2/F131*Parameters!B$65,0.0001)</f>
        <v>0.14852304797553009</v>
      </c>
      <c r="G132" s="7">
        <f>MAX((1-Parameters!$B$4)^Parameters!B$65*G131+D131*Parameters!B$65-Parameters!$B$5*D131^2/G131*Parameters!B$65,0.0001)</f>
        <v>4.3879148511685448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7">
        <f>'6states'!$O$4</f>
        <v>0.98104277196026479</v>
      </c>
      <c r="L132" s="9">
        <f t="shared" si="25"/>
        <v>0.5</v>
      </c>
      <c r="N132" s="7">
        <f>(Parameters!$B$19*(E132+Parameters!$B$20)^L132+Parameters!$B$18*F132^L132)^(1/L132)</f>
        <v>0.53557687745254234</v>
      </c>
      <c r="O132" s="7">
        <f>(Parameters!$B$10*G132^Parameters!$B$9 + Parameters!$B$11*N132^Parameters!$B$9) ^ (Parameters!$B$7/Parameters!$B$9) * K132</f>
        <v>1.503261913748515</v>
      </c>
      <c r="P132" s="7">
        <f t="shared" ref="P132:P195" si="34">O132-B132-C132-D132</f>
        <v>1.1453669401333917</v>
      </c>
      <c r="Q132" s="7">
        <f>EXP(-Parameters!$B$55*A132)</f>
        <v>0.14474235197813023</v>
      </c>
      <c r="R132" s="7">
        <f>IF(P132&gt;0,P132^(1-Parameters!$B$52)/(1-Parameters!$B$52)*Q132,-10+P132*1000)</f>
        <v>-0.39436372107411832</v>
      </c>
      <c r="S132" s="7"/>
      <c r="T132" s="7"/>
      <c r="U132" s="7"/>
      <c r="V132" s="7"/>
    </row>
    <row r="133" spans="1:22" x14ac:dyDescent="0.3">
      <c r="A133">
        <f>A132+Parameters!$B$65</f>
        <v>129</v>
      </c>
      <c r="B133" s="9">
        <f t="shared" si="33"/>
        <v>5.191758263687303E-2</v>
      </c>
      <c r="C133" s="9">
        <f t="shared" si="33"/>
        <v>1.0017548050425843E-2</v>
      </c>
      <c r="D133" s="7">
        <f t="shared" si="33"/>
        <v>0.2959598429278244</v>
      </c>
      <c r="E133" s="7">
        <f>MAX((1-Parameters!$B$4)^Parameters!B$65*E132+B132*Parameters!B$65-Parameters!$B$5*B132^2/E132*Parameters!B$65,0.0001)</f>
        <v>0.76974416305321636</v>
      </c>
      <c r="F133" s="9">
        <f>MAX((1-Parameters!$B$4)^Parameters!B$65*F132+C132*Parameters!B$65-Parameters!$B$5*C132^2/F132*Parameters!B$65,0.0001)</f>
        <v>0.14852283505362487</v>
      </c>
      <c r="G133" s="7">
        <f>MAX((1-Parameters!$B$4)^Parameters!B$65*G132+D132*Parameters!B$65-Parameters!$B$5*D132^2/G132*Parameters!B$65,0.0001)</f>
        <v>4.387912696726354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7">
        <f>'6states'!$O$4</f>
        <v>0.98104277196026479</v>
      </c>
      <c r="L133" s="9">
        <f t="shared" si="25"/>
        <v>0.5</v>
      </c>
      <c r="N133" s="7">
        <f>(Parameters!$B$19*(E133+Parameters!$B$20)^L133+Parameters!$B$18*F133^L133)^(1/L133)</f>
        <v>0.53557610872445804</v>
      </c>
      <c r="O133" s="7">
        <f>(Parameters!$B$10*G133^Parameters!$B$9 + Parameters!$B$11*N133^Parameters!$B$9) ^ (Parameters!$B$7/Parameters!$B$9) * K133</f>
        <v>1.5032616064733937</v>
      </c>
      <c r="P133" s="7">
        <f t="shared" si="34"/>
        <v>1.1453666328582703</v>
      </c>
      <c r="Q133" s="7">
        <f>EXP(-Parameters!$B$55*A133)</f>
        <v>0.14257316107088844</v>
      </c>
      <c r="R133" s="7">
        <f>IF(P133&gt;0,P133^(1-Parameters!$B$52)/(1-Parameters!$B$52)*Q133,-10+P133*1000)</f>
        <v>-0.38845359935233947</v>
      </c>
      <c r="S133" s="7"/>
      <c r="T133" s="7"/>
      <c r="U133" s="7"/>
      <c r="V133" s="7"/>
    </row>
    <row r="134" spans="1:22" x14ac:dyDescent="0.3">
      <c r="A134">
        <f>A133+Parameters!$B$65</f>
        <v>130</v>
      </c>
      <c r="B134" s="9">
        <f t="shared" si="33"/>
        <v>5.191758263687303E-2</v>
      </c>
      <c r="C134" s="9">
        <f t="shared" si="33"/>
        <v>1.0017548050425843E-2</v>
      </c>
      <c r="D134" s="7">
        <f t="shared" si="33"/>
        <v>0.2959598429278244</v>
      </c>
      <c r="E134" s="7">
        <f>MAX((1-Parameters!$B$4)^Parameters!B$65*E133+B133*Parameters!B$65-Parameters!$B$5*B133^2/E133*Parameters!B$65,0.0001)</f>
        <v>0.76974310892691411</v>
      </c>
      <c r="F134" s="9">
        <f>MAX((1-Parameters!$B$4)^Parameters!B$65*F133+C133*Parameters!B$65-Parameters!$B$5*C133^2/F133*Parameters!B$65,0.0001)</f>
        <v>0.14852263455588149</v>
      </c>
      <c r="G134" s="7">
        <f>MAX((1-Parameters!$B$4)^Parameters!B$65*G133+D133*Parameters!B$65-Parameters!$B$5*D133^2/G133*Parameters!B$65,0.0001)</f>
        <v>4.3879106679972644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7">
        <f>'6states'!$O$4</f>
        <v>0.98104277196026479</v>
      </c>
      <c r="L134" s="9">
        <f t="shared" ref="L134:L197" si="35">L133</f>
        <v>0.5</v>
      </c>
      <c r="N134" s="7">
        <f>(Parameters!$B$19*(E134+Parameters!$B$20)^L134+Parameters!$B$18*F134^L134)^(1/L134)</f>
        <v>0.53557538485226874</v>
      </c>
      <c r="O134" s="7">
        <f>(Parameters!$B$10*G134^Parameters!$B$9 + Parameters!$B$11*N134^Parameters!$B$9) ^ (Parameters!$B$7/Parameters!$B$9) * K134</f>
        <v>1.5032613171275648</v>
      </c>
      <c r="P134" s="7">
        <f t="shared" si="34"/>
        <v>1.1453663435124417</v>
      </c>
      <c r="Q134" s="7">
        <f>EXP(-Parameters!$B$55*A134)</f>
        <v>0.14043647888778818</v>
      </c>
      <c r="R134" s="7">
        <f>IF(P134&gt;0,P134^(1-Parameters!$B$52)/(1-Parameters!$B$52)*Q134,-10+P134*1000)</f>
        <v>-0.38263204742075879</v>
      </c>
      <c r="S134" s="7"/>
      <c r="T134" s="7"/>
      <c r="U134" s="7"/>
      <c r="V134" s="7"/>
    </row>
    <row r="135" spans="1:22" x14ac:dyDescent="0.3">
      <c r="A135">
        <f>A134+Parameters!$B$65</f>
        <v>131</v>
      </c>
      <c r="B135" s="9">
        <f t="shared" si="33"/>
        <v>5.191758263687303E-2</v>
      </c>
      <c r="C135" s="9">
        <f t="shared" si="33"/>
        <v>1.0017548050425843E-2</v>
      </c>
      <c r="D135" s="7">
        <f t="shared" si="33"/>
        <v>0.2959598429278244</v>
      </c>
      <c r="E135" s="7">
        <f>MAX((1-Parameters!$B$4)^Parameters!B$65*E134+B134*Parameters!B$65-Parameters!$B$5*B134^2/E134*Parameters!B$65,0.0001)</f>
        <v>0.76974211630970635</v>
      </c>
      <c r="F135" s="9">
        <f>MAX((1-Parameters!$B$4)^Parameters!B$65*F134+C134*Parameters!B$65-Parameters!$B$5*C134^2/F134*Parameters!B$65,0.0001)</f>
        <v>0.14852244575733772</v>
      </c>
      <c r="G135" s="7">
        <f>MAX((1-Parameters!$B$4)^Parameters!B$65*G134+D134*Parameters!B$65-Parameters!$B$5*D134^2/G134*Parameters!B$65,0.0001)</f>
        <v>4.3879087576458256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7">
        <f>'6states'!$O$4</f>
        <v>0.98104277196026479</v>
      </c>
      <c r="L135" s="9">
        <f t="shared" si="35"/>
        <v>0.5</v>
      </c>
      <c r="N135" s="7">
        <f>(Parameters!$B$19*(E135+Parameters!$B$20)^L135+Parameters!$B$18*F135^L135)^(1/L135)</f>
        <v>0.53557470321858736</v>
      </c>
      <c r="O135" s="7">
        <f>(Parameters!$B$10*G135^Parameters!$B$9 + Parameters!$B$11*N135^Parameters!$B$9) ^ (Parameters!$B$7/Parameters!$B$9) * K135</f>
        <v>1.5032610446648871</v>
      </c>
      <c r="P135" s="7">
        <f t="shared" si="34"/>
        <v>1.145366071049764</v>
      </c>
      <c r="Q135" s="7">
        <f>EXP(-Parameters!$B$55*A135)</f>
        <v>0.13833181823466795</v>
      </c>
      <c r="R135" s="7">
        <f>IF(P135&gt;0,P135^(1-Parameters!$B$52)/(1-Parameters!$B$52)*Q135,-10+P135*1000)</f>
        <v>-0.37689773811382199</v>
      </c>
      <c r="S135" s="7"/>
      <c r="T135" s="7"/>
      <c r="U135" s="7"/>
      <c r="V135" s="7"/>
    </row>
    <row r="136" spans="1:22" x14ac:dyDescent="0.3">
      <c r="A136">
        <f>A135+Parameters!$B$65</f>
        <v>132</v>
      </c>
      <c r="B136" s="9">
        <f t="shared" si="33"/>
        <v>5.191758263687303E-2</v>
      </c>
      <c r="C136" s="9">
        <f t="shared" si="33"/>
        <v>1.0017548050425843E-2</v>
      </c>
      <c r="D136" s="7">
        <f t="shared" si="33"/>
        <v>0.2959598429278244</v>
      </c>
      <c r="E136" s="7">
        <f>MAX((1-Parameters!$B$4)^Parameters!B$65*E135+B135*Parameters!B$65-Parameters!$B$5*B135^2/E135*Parameters!B$65,0.0001)</f>
        <v>0.76974118161247729</v>
      </c>
      <c r="F136" s="9">
        <f>MAX((1-Parameters!$B$4)^Parameters!B$65*F135+C135*Parameters!B$65-Parameters!$B$5*C135^2/F135*Parameters!B$65,0.0001)</f>
        <v>0.14852226797533388</v>
      </c>
      <c r="G136" s="7">
        <f>MAX((1-Parameters!$B$4)^Parameters!B$65*G135+D135*Parameters!B$65-Parameters!$B$5*D135^2/G135*Parameters!B$65,0.0001)</f>
        <v>4.387906958764618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7">
        <f>'6states'!$O$4</f>
        <v>0.98104277196026479</v>
      </c>
      <c r="L136" s="9">
        <f t="shared" si="35"/>
        <v>0.5</v>
      </c>
      <c r="N136" s="7">
        <f>(Parameters!$B$19*(E136+Parameters!$B$20)^L136+Parameters!$B$18*F136^L136)^(1/L136)</f>
        <v>0.53557406135875629</v>
      </c>
      <c r="O136" s="7">
        <f>(Parameters!$B$10*G136^Parameters!$B$9 + Parameters!$B$11*N136^Parameters!$B$9) ^ (Parameters!$B$7/Parameters!$B$9) * K136</f>
        <v>1.5032607881002582</v>
      </c>
      <c r="P136" s="7">
        <f t="shared" si="34"/>
        <v>1.1453658144851349</v>
      </c>
      <c r="Q136" s="7">
        <f>EXP(-Parameters!$B$55*A136)</f>
        <v>0.13625869921873399</v>
      </c>
      <c r="R136" s="7">
        <f>IF(P136&gt;0,P136^(1-Parameters!$B$52)/(1-Parameters!$B$52)*Q136,-10+P136*1000)</f>
        <v>-0.37124936414175275</v>
      </c>
      <c r="S136" s="7"/>
      <c r="T136" s="7"/>
      <c r="U136" s="7"/>
      <c r="V136" s="7"/>
    </row>
    <row r="137" spans="1:22" x14ac:dyDescent="0.3">
      <c r="A137">
        <f>A136+Parameters!$B$65</f>
        <v>133</v>
      </c>
      <c r="B137" s="9">
        <f t="shared" si="33"/>
        <v>5.191758263687303E-2</v>
      </c>
      <c r="C137" s="9">
        <f t="shared" si="33"/>
        <v>1.0017548050425843E-2</v>
      </c>
      <c r="D137" s="7">
        <f t="shared" si="33"/>
        <v>0.2959598429278244</v>
      </c>
      <c r="E137" s="7">
        <f>MAX((1-Parameters!$B$4)^Parameters!B$65*E136+B136*Parameters!B$65-Parameters!$B$5*B136^2/E136*Parameters!B$65,0.0001)</f>
        <v>0.76974030145554084</v>
      </c>
      <c r="F137" s="9">
        <f>MAX((1-Parameters!$B$4)^Parameters!B$65*F136+C136*Parameters!B$65-Parameters!$B$5*C136^2/F136*Parameters!B$65,0.0001)</f>
        <v>0.1485221005670444</v>
      </c>
      <c r="G137" s="7">
        <f>MAX((1-Parameters!$B$4)^Parameters!B$65*G136+D136*Parameters!B$65-Parameters!$B$5*D136^2/G136*Parameters!B$65,0.0001)</f>
        <v>4.387905264849274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7">
        <f>'6states'!$O$4</f>
        <v>0.98104277196026479</v>
      </c>
      <c r="L137" s="9">
        <f t="shared" si="35"/>
        <v>0.5</v>
      </c>
      <c r="N137" s="7">
        <f>(Parameters!$B$19*(E137+Parameters!$B$20)^L137+Parameters!$B$18*F137^L137)^(1/L137)</f>
        <v>0.53557345695193315</v>
      </c>
      <c r="O137" s="7">
        <f>(Parameters!$B$10*G137^Parameters!$B$9 + Parameters!$B$11*N137^Parameters!$B$9) ^ (Parameters!$B$7/Parameters!$B$9) * K137</f>
        <v>1.5032605465060527</v>
      </c>
      <c r="P137" s="7">
        <f t="shared" si="34"/>
        <v>1.1453655728909293</v>
      </c>
      <c r="Q137" s="7">
        <f>EXP(-Parameters!$B$55*A137)</f>
        <v>0.13421664913913783</v>
      </c>
      <c r="R137" s="7">
        <f>IF(P137&gt;0,P137^(1-Parameters!$B$52)/(1-Parameters!$B$52)*Q137,-10+P137*1000)</f>
        <v>-0.36568563779368929</v>
      </c>
      <c r="S137" s="7"/>
      <c r="T137" s="7"/>
      <c r="U137" s="7"/>
      <c r="V137" s="7"/>
    </row>
    <row r="138" spans="1:22" x14ac:dyDescent="0.3">
      <c r="A138">
        <f>A137+Parameters!$B$65</f>
        <v>134</v>
      </c>
      <c r="B138" s="9">
        <f t="shared" si="33"/>
        <v>5.191758263687303E-2</v>
      </c>
      <c r="C138" s="9">
        <f t="shared" si="33"/>
        <v>1.0017548050425843E-2</v>
      </c>
      <c r="D138" s="7">
        <f t="shared" si="33"/>
        <v>0.2959598429278244</v>
      </c>
      <c r="E138" s="7">
        <f>MAX((1-Parameters!$B$4)^Parameters!B$65*E137+B137*Parameters!B$65-Parameters!$B$5*B137^2/E137*Parameters!B$65,0.0001)</f>
        <v>0.76973947265642018</v>
      </c>
      <c r="F138" s="9">
        <f>MAX((1-Parameters!$B$4)^Parameters!B$65*F137+C137*Parameters!B$65-Parameters!$B$5*C137^2/F137*Parameters!B$65,0.0001)</f>
        <v>0.14852194292715348</v>
      </c>
      <c r="G138" s="7">
        <f>MAX((1-Parameters!$B$4)^Parameters!B$65*G137+D137*Parameters!B$65-Parameters!$B$5*D137^2/G137*Parameters!B$65,0.0001)</f>
        <v>4.387903669774964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7">
        <f>'6states'!$O$4</f>
        <v>0.98104277196026479</v>
      </c>
      <c r="L138" s="9">
        <f t="shared" si="35"/>
        <v>0.5</v>
      </c>
      <c r="N138" s="7">
        <f>(Parameters!$B$19*(E138+Parameters!$B$20)^L138+Parameters!$B$18*F138^L138)^(1/L138)</f>
        <v>0.53557288781270018</v>
      </c>
      <c r="O138" s="7">
        <f>(Parameters!$B$10*G138^Parameters!$B$9 + Parameters!$B$11*N138^Parameters!$B$9) ^ (Parameters!$B$7/Parameters!$B$9) * K138</f>
        <v>1.5032603190087679</v>
      </c>
      <c r="P138" s="7">
        <f t="shared" si="34"/>
        <v>1.1453653453936448</v>
      </c>
      <c r="Q138" s="7">
        <f>EXP(-Parameters!$B$55*A138)</f>
        <v>0.13220520237919381</v>
      </c>
      <c r="R138" s="7">
        <f>IF(P138&gt;0,P138^(1-Parameters!$B$52)/(1-Parameters!$B$52)*Q138,-10+P138*1000)</f>
        <v>-0.36020529064519574</v>
      </c>
      <c r="S138" s="7"/>
      <c r="T138" s="7"/>
      <c r="U138" s="7"/>
      <c r="V138" s="7"/>
    </row>
    <row r="139" spans="1:22" x14ac:dyDescent="0.3">
      <c r="A139">
        <f>A138+Parameters!$B$65</f>
        <v>135</v>
      </c>
      <c r="B139" s="9">
        <f t="shared" si="33"/>
        <v>5.191758263687303E-2</v>
      </c>
      <c r="C139" s="9">
        <f t="shared" si="33"/>
        <v>1.0017548050425843E-2</v>
      </c>
      <c r="D139" s="7">
        <f t="shared" si="33"/>
        <v>0.2959598429278244</v>
      </c>
      <c r="E139" s="7">
        <f>MAX((1-Parameters!$B$4)^Parameters!B$65*E138+B138*Parameters!B$65-Parameters!$B$5*B138^2/E138*Parameters!B$65,0.0001)</f>
        <v>0.7697386922183399</v>
      </c>
      <c r="F139" s="9">
        <f>MAX((1-Parameters!$B$4)^Parameters!B$65*F138+C138*Parameters!B$65-Parameters!$B$5*C138^2/F138*Parameters!B$65,0.0001)</f>
        <v>0.14852179448566616</v>
      </c>
      <c r="G139" s="7">
        <f>MAX((1-Parameters!$B$4)^Parameters!B$65*G138+D138*Parameters!B$65-Parameters!$B$5*D138^2/G138*Parameters!B$65,0.0001)</f>
        <v>4.3879021677742447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7">
        <f>'6states'!$O$4</f>
        <v>0.98104277196026479</v>
      </c>
      <c r="L139" s="9">
        <f t="shared" si="35"/>
        <v>0.5</v>
      </c>
      <c r="N139" s="7">
        <f>(Parameters!$B$19*(E139+Parameters!$B$20)^L139+Parameters!$B$18*F139^L139)^(1/L139)</f>
        <v>0.53557235188316121</v>
      </c>
      <c r="O139" s="7">
        <f>(Parameters!$B$10*G139^Parameters!$B$9 + Parameters!$B$11*N139^Parameters!$B$9) ^ (Parameters!$B$7/Parameters!$B$9) * K139</f>
        <v>1.5032601047858678</v>
      </c>
      <c r="P139" s="7">
        <f t="shared" si="34"/>
        <v>1.1453651311707445</v>
      </c>
      <c r="Q139" s="7">
        <f>EXP(-Parameters!$B$55*A139)</f>
        <v>0.13022390030021183</v>
      </c>
      <c r="R139" s="7">
        <f>IF(P139&gt;0,P139^(1-Parameters!$B$52)/(1-Parameters!$B$52)*Q139,-10+P139*1000)</f>
        <v>-0.3548070732700907</v>
      </c>
      <c r="S139" s="7"/>
      <c r="T139" s="7"/>
      <c r="U139" s="7"/>
      <c r="V139" s="7"/>
    </row>
    <row r="140" spans="1:22" x14ac:dyDescent="0.3">
      <c r="A140">
        <f>A139+Parameters!$B$65</f>
        <v>136</v>
      </c>
      <c r="B140" s="9">
        <f t="shared" si="33"/>
        <v>5.191758263687303E-2</v>
      </c>
      <c r="C140" s="9">
        <f t="shared" si="33"/>
        <v>1.0017548050425843E-2</v>
      </c>
      <c r="D140" s="7">
        <f t="shared" si="33"/>
        <v>0.2959598429278244</v>
      </c>
      <c r="E140" s="7">
        <f>MAX((1-Parameters!$B$4)^Parameters!B$65*E139+B139*Parameters!B$65-Parameters!$B$5*B139^2/E139*Parameters!B$65,0.0001)</f>
        <v>0.76973795731939021</v>
      </c>
      <c r="F140" s="9">
        <f>MAX((1-Parameters!$B$4)^Parameters!B$65*F139+C139*Parameters!B$65-Parameters!$B$5*C139^2/F139*Parameters!B$65,0.0001)</f>
        <v>0.14852165470584747</v>
      </c>
      <c r="G140" s="7">
        <f>MAX((1-Parameters!$B$4)^Parameters!B$65*G139+D139*Parameters!B$65-Parameters!$B$5*D139^2/G139*Parameters!B$65,0.0001)</f>
        <v>4.3879007534162087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7">
        <f>'6states'!$O$4</f>
        <v>0.98104277196026479</v>
      </c>
      <c r="L140" s="9">
        <f t="shared" si="35"/>
        <v>0.5</v>
      </c>
      <c r="N140" s="7">
        <f>(Parameters!$B$19*(E140+Parameters!$B$20)^L140+Parameters!$B$18*F140^L140)^(1/L140)</f>
        <v>0.535571847225501</v>
      </c>
      <c r="O140" s="7">
        <f>(Parameters!$B$10*G140^Parameters!$B$9 + Parameters!$B$11*N140^Parameters!$B$9) ^ (Parameters!$B$7/Parameters!$B$9) * K140</f>
        <v>1.5032599030628084</v>
      </c>
      <c r="P140" s="7">
        <f t="shared" si="34"/>
        <v>1.1453649294476853</v>
      </c>
      <c r="Q140" s="7">
        <f>EXP(-Parameters!$B$55*A140)</f>
        <v>0.12827229113692101</v>
      </c>
      <c r="R140" s="7">
        <f>IF(P140&gt;0,P140^(1-Parameters!$B$52)/(1-Parameters!$B$52)*Q140,-10+P140*1000)</f>
        <v>-0.34948975495652995</v>
      </c>
      <c r="S140" s="7"/>
      <c r="T140" s="7"/>
      <c r="U140" s="7"/>
      <c r="V140" s="7"/>
    </row>
    <row r="141" spans="1:22" x14ac:dyDescent="0.3">
      <c r="A141">
        <f>A140+Parameters!$B$65</f>
        <v>137</v>
      </c>
      <c r="B141" s="9">
        <f t="shared" si="33"/>
        <v>5.191758263687303E-2</v>
      </c>
      <c r="C141" s="9">
        <f t="shared" si="33"/>
        <v>1.0017548050425843E-2</v>
      </c>
      <c r="D141" s="7">
        <f t="shared" si="33"/>
        <v>0.2959598429278244</v>
      </c>
      <c r="E141" s="7">
        <f>MAX((1-Parameters!$B$4)^Parameters!B$65*E140+B140*Parameters!B$65-Parameters!$B$5*B140^2/E140*Parameters!B$65,0.0001)</f>
        <v>0.76973726530232311</v>
      </c>
      <c r="F141" s="9">
        <f>MAX((1-Parameters!$B$4)^Parameters!B$65*F140+C140*Parameters!B$65-Parameters!$B$5*C140^2/F140*Parameters!B$65,0.0001)</f>
        <v>0.14852152308228148</v>
      </c>
      <c r="G141" s="7">
        <f>MAX((1-Parameters!$B$4)^Parameters!B$65*G140+D140*Parameters!B$65-Parameters!$B$5*D140^2/G140*Parameters!B$65,0.0001)</f>
        <v>4.3878994215868472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7">
        <f>'6states'!$O$4</f>
        <v>0.98104277196026479</v>
      </c>
      <c r="L141" s="9">
        <f t="shared" si="35"/>
        <v>0.5</v>
      </c>
      <c r="N141" s="7">
        <f>(Parameters!$B$19*(E141+Parameters!$B$20)^L141+Parameters!$B$18*F141^L141)^(1/L141)</f>
        <v>0.53557137201497851</v>
      </c>
      <c r="O141" s="7">
        <f>(Parameters!$B$10*G141^Parameters!$B$9 + Parameters!$B$11*N141^Parameters!$B$9) ^ (Parameters!$B$7/Parameters!$B$9) * K141</f>
        <v>1.5032597131102385</v>
      </c>
      <c r="P141" s="7">
        <f t="shared" si="34"/>
        <v>1.1453647394951152</v>
      </c>
      <c r="Q141" s="7">
        <f>EXP(-Parameters!$B$55*A141)</f>
        <v>0.12634992989446087</v>
      </c>
      <c r="R141" s="7">
        <f>IF(P141&gt;0,P141^(1-Parameters!$B$52)/(1-Parameters!$B$52)*Q141,-10+P141*1000)</f>
        <v>-0.34425212342728756</v>
      </c>
      <c r="S141" s="7"/>
      <c r="T141" s="7"/>
      <c r="U141" s="7"/>
      <c r="V141" s="7"/>
    </row>
    <row r="142" spans="1:22" x14ac:dyDescent="0.3">
      <c r="A142">
        <f>A141+Parameters!$B$65</f>
        <v>138</v>
      </c>
      <c r="B142" s="9">
        <f t="shared" si="33"/>
        <v>5.191758263687303E-2</v>
      </c>
      <c r="C142" s="9">
        <f t="shared" si="33"/>
        <v>1.0017548050425843E-2</v>
      </c>
      <c r="D142" s="7">
        <f t="shared" si="33"/>
        <v>0.2959598429278244</v>
      </c>
      <c r="E142" s="7">
        <f>MAX((1-Parameters!$B$4)^Parameters!B$65*E141+B141*Parameters!B$65-Parameters!$B$5*B141^2/E141*Parameters!B$65,0.0001)</f>
        <v>0.76973661366494395</v>
      </c>
      <c r="F142" s="9">
        <f>MAX((1-Parameters!$B$4)^Parameters!B$65*F141+C141*Parameters!B$65-Parameters!$B$5*C141^2/F141*Parameters!B$65,0.0001)</f>
        <v>0.14852139913904391</v>
      </c>
      <c r="G142" s="7">
        <f>MAX((1-Parameters!$B$4)^Parameters!B$65*G141+D141*Parameters!B$65-Parameters!$B$5*D141^2/G141*Parameters!B$65,0.0001)</f>
        <v>4.3878981674705564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7">
        <f>'6states'!$O$4</f>
        <v>0.98104277196026479</v>
      </c>
      <c r="L142" s="9">
        <f t="shared" si="35"/>
        <v>0.5</v>
      </c>
      <c r="N142" s="7">
        <f>(Parameters!$B$19*(E142+Parameters!$B$20)^L142+Parameters!$B$18*F142^L142)^(1/L142)</f>
        <v>0.53557092453332766</v>
      </c>
      <c r="O142" s="7">
        <f>(Parameters!$B$10*G142^Parameters!$B$9 + Parameters!$B$11*N142^Parameters!$B$9) ^ (Parameters!$B$7/Parameters!$B$9) * K142</f>
        <v>1.5032595342413622</v>
      </c>
      <c r="P142" s="7">
        <f t="shared" si="34"/>
        <v>1.145364560626239</v>
      </c>
      <c r="Q142" s="7">
        <f>EXP(-Parameters!$B$55*A142)</f>
        <v>0.12445637824691602</v>
      </c>
      <c r="R142" s="7">
        <f>IF(P142&gt;0,P142^(1-Parameters!$B$52)/(1-Parameters!$B$52)*Q142,-10+P142*1000)</f>
        <v>-0.33909298456417447</v>
      </c>
      <c r="S142" s="7"/>
      <c r="T142" s="7"/>
      <c r="U142" s="7"/>
      <c r="V142" s="7"/>
    </row>
    <row r="143" spans="1:22" x14ac:dyDescent="0.3">
      <c r="A143">
        <f>A142+Parameters!$B$65</f>
        <v>139</v>
      </c>
      <c r="B143" s="9">
        <f t="shared" si="33"/>
        <v>5.191758263687303E-2</v>
      </c>
      <c r="C143" s="9">
        <f t="shared" si="33"/>
        <v>1.0017548050425843E-2</v>
      </c>
      <c r="D143" s="7">
        <f t="shared" si="33"/>
        <v>0.2959598429278244</v>
      </c>
      <c r="E143" s="7">
        <f>MAX((1-Parameters!$B$4)^Parameters!B$65*E142+B142*Parameters!B$65-Parameters!$B$5*B142^2/E142*Parameters!B$65,0.0001)</f>
        <v>0.76973600005106413</v>
      </c>
      <c r="F143" s="9">
        <f>MAX((1-Parameters!$B$4)^Parameters!B$65*F142+C142*Parameters!B$65-Parameters!$B$5*C142^2/F142*Parameters!B$65,0.0001)</f>
        <v>0.14852128242798121</v>
      </c>
      <c r="G143" s="7">
        <f>MAX((1-Parameters!$B$4)^Parameters!B$65*G142+D142*Parameters!B$65-Parameters!$B$5*D142^2/G142*Parameters!B$65,0.0001)</f>
        <v>4.3878969865327262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7">
        <f>'6states'!$O$4</f>
        <v>0.98104277196026479</v>
      </c>
      <c r="L143" s="9">
        <f t="shared" si="35"/>
        <v>0.5</v>
      </c>
      <c r="N143" s="7">
        <f>(Parameters!$B$19*(E143+Parameters!$B$20)^L143+Parameters!$B$18*F143^L143)^(1/L143)</f>
        <v>0.53557050316254551</v>
      </c>
      <c r="O143" s="7">
        <f>(Parameters!$B$10*G143^Parameters!$B$9 + Parameters!$B$11*N143^Parameters!$B$9) ^ (Parameters!$B$7/Parameters!$B$9) * K143</f>
        <v>1.5032593658094557</v>
      </c>
      <c r="P143" s="7">
        <f t="shared" si="34"/>
        <v>1.1453643921943324</v>
      </c>
      <c r="Q143" s="7">
        <f>EXP(-Parameters!$B$55*A143)</f>
        <v>0.12259120443737162</v>
      </c>
      <c r="R143" s="7">
        <f>IF(P143&gt;0,P143^(1-Parameters!$B$52)/(1-Parameters!$B$52)*Q143,-10+P143*1000)</f>
        <v>-0.33401116213653687</v>
      </c>
      <c r="S143" s="7"/>
      <c r="T143" s="7"/>
      <c r="U143" s="7"/>
      <c r="V143" s="7"/>
    </row>
    <row r="144" spans="1:22" x14ac:dyDescent="0.3">
      <c r="A144">
        <f>A143+Parameters!$B$65</f>
        <v>140</v>
      </c>
      <c r="B144" s="9">
        <f t="shared" ref="B144:D159" si="36">B143</f>
        <v>5.191758263687303E-2</v>
      </c>
      <c r="C144" s="9">
        <f t="shared" si="36"/>
        <v>1.0017548050425843E-2</v>
      </c>
      <c r="D144" s="7">
        <f t="shared" si="36"/>
        <v>0.2959598429278244</v>
      </c>
      <c r="E144" s="7">
        <f>MAX((1-Parameters!$B$4)^Parameters!B$65*E143+B143*Parameters!B$65-Parameters!$B$5*B143^2/E143*Parameters!B$65,0.0001)</f>
        <v>0.7697354222419811</v>
      </c>
      <c r="F144" s="9">
        <f>MAX((1-Parameters!$B$4)^Parameters!B$65*F143+C143*Parameters!B$65-Parameters!$B$5*C143^2/F143*Parameters!B$65,0.0001)</f>
        <v>0.14852117252708999</v>
      </c>
      <c r="G144" s="7">
        <f>MAX((1-Parameters!$B$4)^Parameters!B$65*G143+D143*Parameters!B$65-Parameters!$B$5*D143^2/G143*Parameters!B$65,0.0001)</f>
        <v>4.3878958745033456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7">
        <f>'6states'!$O$4</f>
        <v>0.98104277196026479</v>
      </c>
      <c r="L144" s="9">
        <f t="shared" si="35"/>
        <v>0.5</v>
      </c>
      <c r="N144" s="7">
        <f>(Parameters!$B$19*(E144+Parameters!$B$20)^L144+Parameters!$B$18*F144^L144)^(1/L144)</f>
        <v>0.53557010637904168</v>
      </c>
      <c r="O144" s="7">
        <f>(Parameters!$B$10*G144^Parameters!$B$9 + Parameters!$B$11*N144^Parameters!$B$9) ^ (Parameters!$B$7/Parameters!$B$9) * K144</f>
        <v>1.5032592072055315</v>
      </c>
      <c r="P144" s="7">
        <f t="shared" si="34"/>
        <v>1.1453642335904082</v>
      </c>
      <c r="Q144" s="7">
        <f>EXP(-Parameters!$B$55*A144)</f>
        <v>0.12075398317946676</v>
      </c>
      <c r="R144" s="7">
        <f>IF(P144&gt;0,P144^(1-Parameters!$B$52)/(1-Parameters!$B$52)*Q144,-10+P144*1000)</f>
        <v>-0.329005497533778</v>
      </c>
      <c r="S144" s="7"/>
      <c r="T144" s="7"/>
      <c r="U144" s="7"/>
      <c r="V144" s="7"/>
    </row>
    <row r="145" spans="1:22" x14ac:dyDescent="0.3">
      <c r="A145">
        <f>A144+Parameters!$B$65</f>
        <v>141</v>
      </c>
      <c r="B145" s="9">
        <f t="shared" si="36"/>
        <v>5.191758263687303E-2</v>
      </c>
      <c r="C145" s="9">
        <f t="shared" si="36"/>
        <v>1.0017548050425843E-2</v>
      </c>
      <c r="D145" s="7">
        <f t="shared" si="36"/>
        <v>0.2959598429278244</v>
      </c>
      <c r="E145" s="7">
        <f>MAX((1-Parameters!$B$4)^Parameters!B$65*E144+B144*Parameters!B$65-Parameters!$B$5*B144^2/E144*Parameters!B$65,0.0001)</f>
        <v>0.76973487814845609</v>
      </c>
      <c r="F145" s="9">
        <f>MAX((1-Parameters!$B$4)^Parameters!B$65*F144+C144*Parameters!B$65-Parameters!$B$5*C144^2/F144*Parameters!B$65,0.0001)</f>
        <v>0.14852106903899132</v>
      </c>
      <c r="G145" s="7">
        <f>MAX((1-Parameters!$B$4)^Parameters!B$65*G144+D144*Parameters!B$65-Parameters!$B$5*D144^2/G144*Parameters!B$65,0.0001)</f>
        <v>4.3878948273615617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7">
        <f>'6states'!$O$4</f>
        <v>0.98104277196026479</v>
      </c>
      <c r="L145" s="9">
        <f t="shared" si="35"/>
        <v>0.5</v>
      </c>
      <c r="N145" s="7">
        <f>(Parameters!$B$19*(E145+Parameters!$B$20)^L145+Parameters!$B$18*F145^L145)^(1/L145)</f>
        <v>0.53556973274812869</v>
      </c>
      <c r="O145" s="7">
        <f>(Parameters!$B$10*G145^Parameters!$B$9 + Parameters!$B$11*N145^Parameters!$B$9) ^ (Parameters!$B$7/Parameters!$B$9) * K145</f>
        <v>1.5032590578561342</v>
      </c>
      <c r="P145" s="7">
        <f t="shared" si="34"/>
        <v>1.1453640842410109</v>
      </c>
      <c r="Q145" s="7">
        <f>EXP(-Parameters!$B$55*A145)</f>
        <v>0.11894429556042277</v>
      </c>
      <c r="R145" s="7">
        <f>IF(P145&gt;0,P145^(1-Parameters!$B$52)/(1-Parameters!$B$52)*Q145,-10+P145*1000)</f>
        <v>-0.32407484950184423</v>
      </c>
      <c r="S145" s="7"/>
      <c r="T145" s="7"/>
      <c r="U145" s="7"/>
      <c r="V145" s="7"/>
    </row>
    <row r="146" spans="1:22" x14ac:dyDescent="0.3">
      <c r="A146">
        <f>A145+Parameters!$B$65</f>
        <v>142</v>
      </c>
      <c r="B146" s="9">
        <f t="shared" si="36"/>
        <v>5.191758263687303E-2</v>
      </c>
      <c r="C146" s="9">
        <f t="shared" si="36"/>
        <v>1.0017548050425843E-2</v>
      </c>
      <c r="D146" s="7">
        <f t="shared" si="36"/>
        <v>0.2959598429278244</v>
      </c>
      <c r="E146" s="7">
        <f>MAX((1-Parameters!$B$4)^Parameters!B$65*E145+B145*Parameters!B$65-Parameters!$B$5*B145^2/E145*Parameters!B$65,0.0001)</f>
        <v>0.76973436580315935</v>
      </c>
      <c r="F146" s="9">
        <f>MAX((1-Parameters!$B$4)^Parameters!B$65*F145+C145*Parameters!B$65-Parameters!$B$5*C145^2/F145*Parameters!B$65,0.0001)</f>
        <v>0.14852097158949362</v>
      </c>
      <c r="G146" s="7">
        <f>MAX((1-Parameters!$B$4)^Parameters!B$65*G145+D145*Parameters!B$65-Parameters!$B$5*D145^2/G145*Parameters!B$65,0.0001)</f>
        <v>4.3878938413211408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7">
        <f>'6states'!$O$4</f>
        <v>0.98104277196026479</v>
      </c>
      <c r="L146" s="9">
        <f t="shared" si="35"/>
        <v>0.5</v>
      </c>
      <c r="N146" s="7">
        <f>(Parameters!$B$19*(E146+Parameters!$B$20)^L146+Parameters!$B$18*F146^L146)^(1/L146)</f>
        <v>0.5355693809188341</v>
      </c>
      <c r="O146" s="7">
        <f>(Parameters!$B$10*G146^Parameters!$B$9 + Parameters!$B$11*N146^Parameters!$B$9) ^ (Parameters!$B$7/Parameters!$B$9) * K146</f>
        <v>1.5032589172212683</v>
      </c>
      <c r="P146" s="7">
        <f t="shared" si="34"/>
        <v>1.1453639436061449</v>
      </c>
      <c r="Q146" s="7">
        <f>EXP(-Parameters!$B$55*A146)</f>
        <v>0.11716172894552528</v>
      </c>
      <c r="R146" s="7">
        <f>IF(P146&gt;0,P146^(1-Parameters!$B$52)/(1-Parameters!$B$52)*Q146,-10+P146*1000)</f>
        <v>-0.31921809388362088</v>
      </c>
      <c r="S146" s="7"/>
      <c r="T146" s="7"/>
      <c r="U146" s="7"/>
      <c r="V146" s="7"/>
    </row>
    <row r="147" spans="1:22" x14ac:dyDescent="0.3">
      <c r="A147">
        <f>A146+Parameters!$B$65</f>
        <v>143</v>
      </c>
      <c r="B147" s="9">
        <f t="shared" si="36"/>
        <v>5.191758263687303E-2</v>
      </c>
      <c r="C147" s="9">
        <f t="shared" si="36"/>
        <v>1.0017548050425843E-2</v>
      </c>
      <c r="D147" s="7">
        <f t="shared" si="36"/>
        <v>0.2959598429278244</v>
      </c>
      <c r="E147" s="7">
        <f>MAX((1-Parameters!$B$4)^Parameters!B$65*E146+B146*Parameters!B$65-Parameters!$B$5*B146^2/E146*Parameters!B$65,0.0001)</f>
        <v>0.76973388335355686</v>
      </c>
      <c r="F147" s="9">
        <f>MAX((1-Parameters!$B$4)^Parameters!B$65*F146+C146*Parameters!B$65-Parameters!$B$5*C146^2/F146*Parameters!B$65,0.0001)</f>
        <v>0.14852087982623985</v>
      </c>
      <c r="G147" s="7">
        <f>MAX((1-Parameters!$B$4)^Parameters!B$65*G146+D146*Parameters!B$65-Parameters!$B$5*D146^2/G146*Parameters!B$65,0.0001)</f>
        <v>4.3878929128167794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7">
        <f>'6states'!$O$4</f>
        <v>0.98104277196026479</v>
      </c>
      <c r="L147" s="9">
        <f t="shared" si="35"/>
        <v>0.5</v>
      </c>
      <c r="N147" s="7">
        <f>(Parameters!$B$19*(E147+Parameters!$B$20)^L147+Parameters!$B$18*F147^L147)^(1/L147)</f>
        <v>0.53556904961901663</v>
      </c>
      <c r="O147" s="7">
        <f>(Parameters!$B$10*G147^Parameters!$B$9 + Parameters!$B$11*N147^Parameters!$B$9) ^ (Parameters!$B$7/Parameters!$B$9) * K147</f>
        <v>1.5032587847924466</v>
      </c>
      <c r="P147" s="7">
        <f t="shared" si="34"/>
        <v>1.1453638111773232</v>
      </c>
      <c r="Q147" s="7">
        <f>EXP(-Parameters!$B$55*A147)</f>
        <v>0.11540587688403768</v>
      </c>
      <c r="R147" s="7">
        <f>IF(P147&gt;0,P147^(1-Parameters!$B$52)/(1-Parameters!$B$52)*Q147,-10+P147*1000)</f>
        <v>-0.31443412336318272</v>
      </c>
      <c r="S147" s="7"/>
      <c r="T147" s="7"/>
      <c r="U147" s="7"/>
      <c r="V147" s="7"/>
    </row>
    <row r="148" spans="1:22" x14ac:dyDescent="0.3">
      <c r="A148">
        <f>A147+Parameters!$B$65</f>
        <v>144</v>
      </c>
      <c r="B148" s="9">
        <f t="shared" si="36"/>
        <v>5.191758263687303E-2</v>
      </c>
      <c r="C148" s="9">
        <f t="shared" si="36"/>
        <v>1.0017548050425843E-2</v>
      </c>
      <c r="D148" s="7">
        <f t="shared" si="36"/>
        <v>0.2959598429278244</v>
      </c>
      <c r="E148" s="7">
        <f>MAX((1-Parameters!$B$4)^Parameters!B$65*E147+B147*Parameters!B$65-Parameters!$B$5*B147^2/E147*Parameters!B$65,0.0001)</f>
        <v>0.76973342905521192</v>
      </c>
      <c r="F148" s="9">
        <f>MAX((1-Parameters!$B$4)^Parameters!B$65*F147+C147*Parameters!B$65-Parameters!$B$5*C147^2/F147*Parameters!B$65,0.0001)</f>
        <v>0.14852079341743327</v>
      </c>
      <c r="G148" s="7">
        <f>MAX((1-Parameters!$B$4)^Parameters!B$65*G147+D147*Parameters!B$65-Parameters!$B$5*D147^2/G147*Parameters!B$65,0.0001)</f>
        <v>4.387892038491211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7">
        <f>'6states'!$O$4</f>
        <v>0.98104277196026479</v>
      </c>
      <c r="L148" s="9">
        <f t="shared" si="35"/>
        <v>0.5</v>
      </c>
      <c r="N148" s="7">
        <f>(Parameters!$B$19*(E148+Parameters!$B$20)^L148+Parameters!$B$18*F148^L148)^(1/L148)</f>
        <v>0.53556873765076518</v>
      </c>
      <c r="O148" s="7">
        <f>(Parameters!$B$10*G148^Parameters!$B$9 + Parameters!$B$11*N148^Parameters!$B$9) ^ (Parameters!$B$7/Parameters!$B$9) * K148</f>
        <v>1.5032586600908504</v>
      </c>
      <c r="P148" s="7">
        <f t="shared" si="34"/>
        <v>1.1453636864757271</v>
      </c>
      <c r="Q148" s="7">
        <f>EXP(-Parameters!$B$55*A148)</f>
        <v>0.11367633901652432</v>
      </c>
      <c r="R148" s="7">
        <f>IF(P148&gt;0,P148^(1-Parameters!$B$52)/(1-Parameters!$B$52)*Q148,-10+P148*1000)</f>
        <v>-0.30972184721384077</v>
      </c>
      <c r="S148" s="7"/>
      <c r="T148" s="7"/>
      <c r="U148" s="7"/>
      <c r="V148" s="7"/>
    </row>
    <row r="149" spans="1:22" x14ac:dyDescent="0.3">
      <c r="A149">
        <f>A148+Parameters!$B$65</f>
        <v>145</v>
      </c>
      <c r="B149" s="9">
        <f t="shared" si="36"/>
        <v>5.191758263687303E-2</v>
      </c>
      <c r="C149" s="9">
        <f t="shared" si="36"/>
        <v>1.0017548050425843E-2</v>
      </c>
      <c r="D149" s="7">
        <f t="shared" si="36"/>
        <v>0.2959598429278244</v>
      </c>
      <c r="E149" s="7">
        <f>MAX((1-Parameters!$B$4)^Parameters!B$65*E148+B148*Parameters!B$65-Parameters!$B$5*B148^2/E148*Parameters!B$65,0.0001)</f>
        <v>0.76973300126547728</v>
      </c>
      <c r="F149" s="9">
        <f>MAX((1-Parameters!$B$4)^Parameters!B$65*F148+C148*Parameters!B$65-Parameters!$B$5*C148^2/F148*Parameters!B$65,0.0001)</f>
        <v>0.14852071205063785</v>
      </c>
      <c r="G149" s="7">
        <f>MAX((1-Parameters!$B$4)^Parameters!B$65*G148+D148*Parameters!B$65-Parameters!$B$5*D148^2/G148*Parameters!B$65,0.0001)</f>
        <v>4.3878912151830685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7">
        <f>'6states'!$O$4</f>
        <v>0.98104277196026479</v>
      </c>
      <c r="L149" s="9">
        <f t="shared" si="35"/>
        <v>0.5</v>
      </c>
      <c r="N149" s="7">
        <f>(Parameters!$B$19*(E149+Parameters!$B$20)^L149+Parameters!$B$18*F149^L149)^(1/L149)</f>
        <v>0.53556844388606861</v>
      </c>
      <c r="O149" s="7">
        <f>(Parameters!$B$10*G149^Parameters!$B$9 + Parameters!$B$11*N149^Parameters!$B$9) ^ (Parameters!$B$7/Parameters!$B$9) * K149</f>
        <v>1.5032585426656002</v>
      </c>
      <c r="P149" s="7">
        <f t="shared" si="34"/>
        <v>1.1453635690504771</v>
      </c>
      <c r="Q149" s="7">
        <f>EXP(-Parameters!$B$55*A149)</f>
        <v>0.11197272098356298</v>
      </c>
      <c r="R149" s="7">
        <f>IF(P149&gt;0,P149^(1-Parameters!$B$52)/(1-Parameters!$B$52)*Q149,-10+P149*1000)</f>
        <v>-0.305080191049935</v>
      </c>
      <c r="S149" s="7"/>
      <c r="T149" s="7"/>
      <c r="U149" s="7"/>
      <c r="V149" s="7"/>
    </row>
    <row r="150" spans="1:22" x14ac:dyDescent="0.3">
      <c r="A150">
        <f>A149+Parameters!$B$65</f>
        <v>146</v>
      </c>
      <c r="B150" s="9">
        <f t="shared" si="36"/>
        <v>5.191758263687303E-2</v>
      </c>
      <c r="C150" s="9">
        <f t="shared" si="36"/>
        <v>1.0017548050425843E-2</v>
      </c>
      <c r="D150" s="7">
        <f t="shared" si="36"/>
        <v>0.2959598429278244</v>
      </c>
      <c r="E150" s="7">
        <f>MAX((1-Parameters!$B$4)^Parameters!B$65*E149+B149*Parameters!B$65-Parameters!$B$5*B149^2/E149*Parameters!B$65,0.0001)</f>
        <v>0.7697325984375557</v>
      </c>
      <c r="F150" s="9">
        <f>MAX((1-Parameters!$B$4)^Parameters!B$65*F149+C149*Parameters!B$65-Parameters!$B$5*C149^2/F149*Parameters!B$65,0.0001)</f>
        <v>0.14852063543164851</v>
      </c>
      <c r="G150" s="7">
        <f>MAX((1-Parameters!$B$4)^Parameters!B$65*G149+D149*Parameters!B$65-Parameters!$B$5*D149^2/G149*Parameters!B$65,0.0001)</f>
        <v>4.387890439915453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7">
        <f>'6states'!$O$4</f>
        <v>0.98104277196026479</v>
      </c>
      <c r="L150" s="9">
        <f t="shared" si="35"/>
        <v>0.5</v>
      </c>
      <c r="N150" s="7">
        <f>(Parameters!$B$19*(E150+Parameters!$B$20)^L150+Parameters!$B$18*F150^L150)^(1/L150)</f>
        <v>0.53556816726273548</v>
      </c>
      <c r="O150" s="7">
        <f>(Parameters!$B$10*G150^Parameters!$B$9 + Parameters!$B$11*N150^Parameters!$B$9) ^ (Parameters!$B$7/Parameters!$B$9) * K150</f>
        <v>1.5032584320921243</v>
      </c>
      <c r="P150" s="7">
        <f t="shared" si="34"/>
        <v>1.1453634584770009</v>
      </c>
      <c r="Q150" s="7">
        <f>EXP(-Parameters!$B$55*A150)</f>
        <v>0.11029463433582516</v>
      </c>
      <c r="R150" s="7">
        <f>IF(P150&gt;0,P150^(1-Parameters!$B$52)/(1-Parameters!$B$52)*Q150,-10+P150*1000)</f>
        <v>-0.30050809658231653</v>
      </c>
      <c r="S150" s="7"/>
      <c r="T150" s="7"/>
      <c r="U150" s="7"/>
      <c r="V150" s="7"/>
    </row>
    <row r="151" spans="1:22" x14ac:dyDescent="0.3">
      <c r="A151">
        <f>A150+Parameters!$B$65</f>
        <v>147</v>
      </c>
      <c r="B151" s="9">
        <f t="shared" si="36"/>
        <v>5.191758263687303E-2</v>
      </c>
      <c r="C151" s="9">
        <f t="shared" si="36"/>
        <v>1.0017548050425843E-2</v>
      </c>
      <c r="D151" s="7">
        <f t="shared" si="36"/>
        <v>0.2959598429278244</v>
      </c>
      <c r="E151" s="7">
        <f>MAX((1-Parameters!$B$4)^Parameters!B$65*E150+B150*Parameters!B$65-Parameters!$B$5*B150^2/E150*Parameters!B$65,0.0001)</f>
        <v>0.76973221911490686</v>
      </c>
      <c r="F151" s="9">
        <f>MAX((1-Parameters!$B$4)^Parameters!B$65*F150+C150*Parameters!B$65-Parameters!$B$5*C150^2/F150*Parameters!B$65,0.0001)</f>
        <v>0.14852056328342722</v>
      </c>
      <c r="G151" s="7">
        <f>MAX((1-Parameters!$B$4)^Parameters!B$65*G150+D150*Parameters!B$65-Parameters!$B$5*D150^2/G150*Parameters!B$65,0.0001)</f>
        <v>4.3878897098851697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7">
        <f>'6states'!$O$4</f>
        <v>0.98104277196026479</v>
      </c>
      <c r="L151" s="9">
        <f t="shared" si="35"/>
        <v>0.5</v>
      </c>
      <c r="N151" s="7">
        <f>(Parameters!$B$19*(E151+Parameters!$B$20)^L151+Parameters!$B$18*F151^L151)^(1/L151)</f>
        <v>0.53556790678055499</v>
      </c>
      <c r="O151" s="7">
        <f>(Parameters!$B$10*G151^Parameters!$B$9 + Parameters!$B$11*N151^Parameters!$B$9) ^ (Parameters!$B$7/Parameters!$B$9) * K151</f>
        <v>1.5032583279706242</v>
      </c>
      <c r="P151" s="7">
        <f t="shared" si="34"/>
        <v>1.1453633543555011</v>
      </c>
      <c r="Q151" s="7">
        <f>EXP(-Parameters!$B$55*A151)</f>
        <v>0.1086416964455041</v>
      </c>
      <c r="R151" s="7">
        <f>IF(P151&gt;0,P151^(1-Parameters!$B$52)/(1-Parameters!$B$52)*Q151,-10+P151*1000)</f>
        <v>-0.29600452137746663</v>
      </c>
      <c r="S151" s="7"/>
      <c r="T151" s="7"/>
      <c r="U151" s="7"/>
      <c r="V151" s="7"/>
    </row>
    <row r="152" spans="1:22" x14ac:dyDescent="0.3">
      <c r="A152">
        <f>A151+Parameters!$B$65</f>
        <v>148</v>
      </c>
      <c r="B152" s="9">
        <f t="shared" si="36"/>
        <v>5.191758263687303E-2</v>
      </c>
      <c r="C152" s="9">
        <f t="shared" si="36"/>
        <v>1.0017548050425843E-2</v>
      </c>
      <c r="D152" s="7">
        <f t="shared" si="36"/>
        <v>0.2959598429278244</v>
      </c>
      <c r="E152" s="7">
        <f>MAX((1-Parameters!$B$4)^Parameters!B$65*E151+B151*Parameters!B$65-Parameters!$B$5*B151^2/E151*Parameters!B$65,0.0001)</f>
        <v>0.76973186192598109</v>
      </c>
      <c r="F152" s="9">
        <f>MAX((1-Parameters!$B$4)^Parameters!B$65*F151+C151*Parameters!B$65-Parameters!$B$5*C151^2/F151*Parameters!B$65,0.0001)</f>
        <v>0.14852049534510142</v>
      </c>
      <c r="G152" s="7">
        <f>MAX((1-Parameters!$B$4)^Parameters!B$65*G151+D151*Parameters!B$65-Parameters!$B$5*D151^2/G151*Parameters!B$65,0.0001)</f>
        <v>4.3878890224525913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7">
        <f>'6states'!$O$4</f>
        <v>0.98104277196026479</v>
      </c>
      <c r="L152" s="9">
        <f t="shared" si="35"/>
        <v>0.5</v>
      </c>
      <c r="N152" s="7">
        <f>(Parameters!$B$19*(E152+Parameters!$B$20)^L152+Parameters!$B$18*F152^L152)^(1/L152)</f>
        <v>0.53556766149767876</v>
      </c>
      <c r="O152" s="7">
        <f>(Parameters!$B$10*G152^Parameters!$B$9 + Parameters!$B$11*N152^Parameters!$B$9) ^ (Parameters!$B$7/Parameters!$B$9) * K152</f>
        <v>1.5032582299246289</v>
      </c>
      <c r="P152" s="7">
        <f t="shared" si="34"/>
        <v>1.1453632563095058</v>
      </c>
      <c r="Q152" s="7">
        <f>EXP(-Parameters!$B$55*A152)</f>
        <v>0.10701353041907032</v>
      </c>
      <c r="R152" s="7">
        <f>IF(P152&gt;0,P152^(1-Parameters!$B$52)/(1-Parameters!$B$52)*Q152,-10+P152*1000)</f>
        <v>-0.29156843862020154</v>
      </c>
      <c r="S152" s="7"/>
      <c r="T152" s="7"/>
      <c r="U152" s="7"/>
      <c r="V152" s="7"/>
    </row>
    <row r="153" spans="1:22" x14ac:dyDescent="0.3">
      <c r="A153">
        <f>A152+Parameters!$B$65</f>
        <v>149</v>
      </c>
      <c r="B153" s="9">
        <f t="shared" si="36"/>
        <v>5.191758263687303E-2</v>
      </c>
      <c r="C153" s="9">
        <f t="shared" si="36"/>
        <v>1.0017548050425843E-2</v>
      </c>
      <c r="D153" s="7">
        <f t="shared" si="36"/>
        <v>0.2959598429278244</v>
      </c>
      <c r="E153" s="7">
        <f>MAX((1-Parameters!$B$4)^Parameters!B$65*E152+B152*Parameters!B$65-Parameters!$B$5*B152^2/E152*Parameters!B$65,0.0001)</f>
        <v>0.7697315255792595</v>
      </c>
      <c r="F153" s="9">
        <f>MAX((1-Parameters!$B$4)^Parameters!B$65*F152+C152*Parameters!B$65-Parameters!$B$5*C152^2/F152*Parameters!B$65,0.0001)</f>
        <v>0.14852043137102072</v>
      </c>
      <c r="G153" s="7">
        <f>MAX((1-Parameters!$B$4)^Parameters!B$65*G152+D152*Parameters!B$65-Parameters!$B$5*D152^2/G152*Parameters!B$65,0.0001)</f>
        <v>4.3878883751321158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7">
        <f>'6states'!$O$4</f>
        <v>0.98104277196026479</v>
      </c>
      <c r="L153" s="9">
        <f t="shared" si="35"/>
        <v>0.5</v>
      </c>
      <c r="N153" s="7">
        <f>(Parameters!$B$19*(E153+Parameters!$B$20)^L153+Parameters!$B$18*F153^L153)^(1/L153)</f>
        <v>0.53556743052721656</v>
      </c>
      <c r="O153" s="7">
        <f>(Parameters!$B$10*G153^Parameters!$B$9 + Parameters!$B$11*N153^Parameters!$B$9) ^ (Parameters!$B$7/Parameters!$B$9) * K153</f>
        <v>1.5032581375996341</v>
      </c>
      <c r="P153" s="7">
        <f t="shared" si="34"/>
        <v>1.145363163984511</v>
      </c>
      <c r="Q153" s="7">
        <f>EXP(-Parameters!$B$55*A153)</f>
        <v>0.10540976501133419</v>
      </c>
      <c r="R153" s="7">
        <f>IF(P153&gt;0,P153^(1-Parameters!$B$52)/(1-Parameters!$B$52)*Q153,-10+P153*1000)</f>
        <v>-0.28719883687990794</v>
      </c>
      <c r="S153" s="7"/>
      <c r="T153" s="7"/>
      <c r="U153" s="7"/>
      <c r="V153" s="7"/>
    </row>
    <row r="154" spans="1:22" x14ac:dyDescent="0.3">
      <c r="A154">
        <f>A153+Parameters!$B$65</f>
        <v>150</v>
      </c>
      <c r="B154" s="9">
        <f t="shared" si="36"/>
        <v>5.191758263687303E-2</v>
      </c>
      <c r="C154" s="9">
        <f t="shared" si="36"/>
        <v>1.0017548050425843E-2</v>
      </c>
      <c r="D154" s="7">
        <f t="shared" si="36"/>
        <v>0.2959598429278244</v>
      </c>
      <c r="E154" s="7">
        <f>MAX((1-Parameters!$B$4)^Parameters!B$65*E153+B153*Parameters!B$65-Parameters!$B$5*B153^2/E153*Parameters!B$65,0.0001)</f>
        <v>0.76973120885858481</v>
      </c>
      <c r="F154" s="9">
        <f>MAX((1-Parameters!$B$4)^Parameters!B$65*F153+C153*Parameters!B$65-Parameters!$B$5*C153^2/F153*Parameters!B$65,0.0001)</f>
        <v>0.1485203711298686</v>
      </c>
      <c r="G154" s="7">
        <f>MAX((1-Parameters!$B$4)^Parameters!B$65*G153+D153*Parameters!B$65-Parameters!$B$5*D153^2/G153*Parameters!B$65,0.0001)</f>
        <v>4.3878877655831765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7">
        <f>'6states'!$O$4</f>
        <v>0.98104277196026479</v>
      </c>
      <c r="L154" s="9">
        <f t="shared" si="35"/>
        <v>0.5</v>
      </c>
      <c r="N154" s="7">
        <f>(Parameters!$B$19*(E154+Parameters!$B$20)^L154+Parameters!$B$18*F154^L154)^(1/L154)</f>
        <v>0.53556721303402888</v>
      </c>
      <c r="O154" s="7">
        <f>(Parameters!$B$10*G154^Parameters!$B$9 + Parameters!$B$11*N154^Parameters!$B$9) ^ (Parameters!$B$7/Parameters!$B$9) * K154</f>
        <v>1.5032580506618207</v>
      </c>
      <c r="P154" s="7">
        <f t="shared" si="34"/>
        <v>1.1453630770466976</v>
      </c>
      <c r="Q154" s="7">
        <f>EXP(-Parameters!$B$55*A154)</f>
        <v>0.10383003454079688</v>
      </c>
      <c r="R154" s="7">
        <f>IF(P154&gt;0,P154^(1-Parameters!$B$52)/(1-Parameters!$B$52)*Q154,-10+P154*1000)</f>
        <v>-0.28289471988026144</v>
      </c>
      <c r="S154" s="7"/>
      <c r="T154" s="7"/>
      <c r="U154" s="7"/>
      <c r="V154" s="7"/>
    </row>
    <row r="155" spans="1:22" x14ac:dyDescent="0.3">
      <c r="A155">
        <f>A154+Parameters!$B$65</f>
        <v>151</v>
      </c>
      <c r="B155" s="9">
        <f t="shared" si="36"/>
        <v>5.191758263687303E-2</v>
      </c>
      <c r="C155" s="9">
        <f t="shared" si="36"/>
        <v>1.0017548050425843E-2</v>
      </c>
      <c r="D155" s="7">
        <f t="shared" si="36"/>
        <v>0.2959598429278244</v>
      </c>
      <c r="E155" s="7">
        <f>MAX((1-Parameters!$B$4)^Parameters!B$65*E154+B154*Parameters!B$65-Parameters!$B$5*B154^2/E154*Parameters!B$65,0.0001)</f>
        <v>0.76973091061876342</v>
      </c>
      <c r="F155" s="9">
        <f>MAX((1-Parameters!$B$4)^Parameters!B$65*F154+C154*Parameters!B$65-Parameters!$B$5*C154^2/F154*Parameters!B$65,0.0001)</f>
        <v>0.14852031440382607</v>
      </c>
      <c r="G155" s="7">
        <f>MAX((1-Parameters!$B$4)^Parameters!B$65*G154+D154*Parameters!B$65-Parameters!$B$5*D154^2/G154*Parameters!B$65,0.0001)</f>
        <v>4.3878871916017816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7">
        <f>'6states'!$O$4</f>
        <v>0.98104277196026479</v>
      </c>
      <c r="L155" s="9">
        <f t="shared" si="35"/>
        <v>0.5</v>
      </c>
      <c r="N155" s="7">
        <f>(Parameters!$B$19*(E155+Parameters!$B$20)^L155+Parameters!$B$18*F155^L155)^(1/L155)</f>
        <v>0.53556700823170744</v>
      </c>
      <c r="O155" s="7">
        <f>(Parameters!$B$10*G155^Parameters!$B$9 + Parameters!$B$11*N155^Parameters!$B$9) ^ (Parameters!$B$7/Parameters!$B$9) * K155</f>
        <v>1.5032579687968484</v>
      </c>
      <c r="P155" s="7">
        <f t="shared" si="34"/>
        <v>1.145362995181725</v>
      </c>
      <c r="Q155" s="7">
        <f>EXP(-Parameters!$B$55*A155)</f>
        <v>0.10227397880626984</v>
      </c>
      <c r="R155" s="7">
        <f>IF(P155&gt;0,P155^(1-Parameters!$B$52)/(1-Parameters!$B$52)*Q155,-10+P155*1000)</f>
        <v>-0.27865510627237583</v>
      </c>
      <c r="S155" s="7"/>
      <c r="T155" s="7"/>
      <c r="U155" s="7"/>
      <c r="V155" s="7"/>
    </row>
    <row r="156" spans="1:22" x14ac:dyDescent="0.3">
      <c r="A156">
        <f>A155+Parameters!$B$65</f>
        <v>152</v>
      </c>
      <c r="B156" s="9">
        <f t="shared" si="36"/>
        <v>5.191758263687303E-2</v>
      </c>
      <c r="C156" s="9">
        <f t="shared" si="36"/>
        <v>1.0017548050425843E-2</v>
      </c>
      <c r="D156" s="7">
        <f t="shared" si="36"/>
        <v>0.2959598429278244</v>
      </c>
      <c r="E156" s="7">
        <f>MAX((1-Parameters!$B$4)^Parameters!B$65*E155+B155*Parameters!B$65-Parameters!$B$5*B155^2/E155*Parameters!B$65,0.0001)</f>
        <v>0.7697306297814247</v>
      </c>
      <c r="F156" s="9">
        <f>MAX((1-Parameters!$B$4)^Parameters!B$65*F155+C155*Parameters!B$65-Parameters!$B$5*C155^2/F155*Parameters!B$65,0.0001)</f>
        <v>0.14852026098778401</v>
      </c>
      <c r="G156" s="7">
        <f>MAX((1-Parameters!$B$4)^Parameters!B$65*G155+D155*Parameters!B$65-Parameters!$B$5*D155^2/G155*Parameters!B$65,0.0001)</f>
        <v>4.3878866511125425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7">
        <f>'6states'!$O$4</f>
        <v>0.98104277196026479</v>
      </c>
      <c r="L156" s="9">
        <f t="shared" si="35"/>
        <v>0.5</v>
      </c>
      <c r="N156" s="7">
        <f>(Parameters!$B$19*(E156+Parameters!$B$20)^L156+Parameters!$B$18*F156^L156)^(1/L156)</f>
        <v>0.53556681537973139</v>
      </c>
      <c r="O156" s="7">
        <f>(Parameters!$B$10*G156^Parameters!$B$9 + Parameters!$B$11*N156^Parameters!$B$9) ^ (Parameters!$B$7/Parameters!$B$9) * K156</f>
        <v>1.503257891708716</v>
      </c>
      <c r="P156" s="7">
        <f t="shared" si="34"/>
        <v>1.1453629180935927</v>
      </c>
      <c r="Q156" s="7">
        <f>EXP(-Parameters!$B$55*A156)</f>
        <v>0.10074124300474355</v>
      </c>
      <c r="R156" s="7">
        <f>IF(P156&gt;0,P156^(1-Parameters!$B$52)/(1-Parameters!$B$52)*Q156,-10+P156*1000)</f>
        <v>-0.27447902941133234</v>
      </c>
      <c r="S156" s="7"/>
      <c r="T156" s="7"/>
      <c r="U156" s="7"/>
      <c r="V156" s="7"/>
    </row>
    <row r="157" spans="1:22" x14ac:dyDescent="0.3">
      <c r="A157">
        <f>A156+Parameters!$B$65</f>
        <v>153</v>
      </c>
      <c r="B157" s="9">
        <f t="shared" si="36"/>
        <v>5.191758263687303E-2</v>
      </c>
      <c r="C157" s="9">
        <f t="shared" si="36"/>
        <v>1.0017548050425843E-2</v>
      </c>
      <c r="D157" s="7">
        <f t="shared" si="36"/>
        <v>0.2959598429278244</v>
      </c>
      <c r="E157" s="7">
        <f>MAX((1-Parameters!$B$4)^Parameters!B$65*E156+B156*Parameters!B$65-Parameters!$B$5*B156^2/E156*Parameters!B$65,0.0001)</f>
        <v>0.76973036533112171</v>
      </c>
      <c r="F157" s="9">
        <f>MAX((1-Parameters!$B$4)^Parameters!B$65*F156+C156*Parameters!B$65-Parameters!$B$5*C156^2/F156*Parameters!B$65,0.0001)</f>
        <v>0.14852021068860163</v>
      </c>
      <c r="G157" s="7">
        <f>MAX((1-Parameters!$B$4)^Parameters!B$65*G156+D156*Parameters!B$65-Parameters!$B$5*D156^2/G156*Parameters!B$65,0.0001)</f>
        <v>4.3878861421611708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7">
        <f>'6states'!$O$4</f>
        <v>0.98104277196026479</v>
      </c>
      <c r="L157" s="9">
        <f t="shared" si="35"/>
        <v>0.5</v>
      </c>
      <c r="N157" s="7">
        <f>(Parameters!$B$19*(E157+Parameters!$B$20)^L157+Parameters!$B$18*F157^L157)^(1/L157)</f>
        <v>0.53556663378078928</v>
      </c>
      <c r="O157" s="7">
        <f>(Parameters!$B$10*G157^Parameters!$B$9 + Parameters!$B$11*N157^Parameters!$B$9) ^ (Parameters!$B$7/Parameters!$B$9) * K157</f>
        <v>1.5032578191186965</v>
      </c>
      <c r="P157" s="7">
        <f t="shared" si="34"/>
        <v>1.1453628455035734</v>
      </c>
      <c r="Q157" s="7">
        <f>EXP(-Parameters!$B$55*A157)</f>
        <v>9.9231477650487412E-2</v>
      </c>
      <c r="R157" s="7">
        <f>IF(P157&gt;0,P157^(1-Parameters!$B$52)/(1-Parameters!$B$52)*Q157,-10+P157*1000)</f>
        <v>-0.27036553713604128</v>
      </c>
      <c r="S157" s="7"/>
      <c r="T157" s="7"/>
      <c r="U157" s="7"/>
      <c r="V157" s="7"/>
    </row>
    <row r="158" spans="1:22" x14ac:dyDescent="0.3">
      <c r="A158">
        <f>A157+Parameters!$B$65</f>
        <v>154</v>
      </c>
      <c r="B158" s="9">
        <f t="shared" si="36"/>
        <v>5.191758263687303E-2</v>
      </c>
      <c r="C158" s="9">
        <f t="shared" si="36"/>
        <v>1.0017548050425843E-2</v>
      </c>
      <c r="D158" s="7">
        <f t="shared" si="36"/>
        <v>0.2959598429278244</v>
      </c>
      <c r="E158" s="7">
        <f>MAX((1-Parameters!$B$4)^Parameters!B$65*E157+B157*Parameters!B$65-Parameters!$B$5*B157^2/E157*Parameters!B$65,0.0001)</f>
        <v>0.76973011631165966</v>
      </c>
      <c r="F158" s="9">
        <f>MAX((1-Parameters!$B$4)^Parameters!B$65*F157+C157*Parameters!B$65-Parameters!$B$5*C157^2/F157*Parameters!B$65,0.0001)</f>
        <v>0.14852016332440804</v>
      </c>
      <c r="G158" s="7">
        <f>MAX((1-Parameters!$B$4)^Parameters!B$65*G157+D157*Parameters!B$65-Parameters!$B$5*D157^2/G157*Parameters!B$65,0.0001)</f>
        <v>4.3878856629074141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7">
        <f>'6states'!$O$4</f>
        <v>0.98104277196026479</v>
      </c>
      <c r="L158" s="9">
        <f t="shared" si="35"/>
        <v>0.5</v>
      </c>
      <c r="N158" s="7">
        <f>(Parameters!$B$19*(E158+Parameters!$B$20)^L158+Parameters!$B$18*F158^L158)^(1/L158)</f>
        <v>0.53556646277825981</v>
      </c>
      <c r="O158" s="7">
        <f>(Parameters!$B$10*G158^Parameters!$B$9 + Parameters!$B$11*N158^Parameters!$B$9) ^ (Parameters!$B$7/Parameters!$B$9) * K158</f>
        <v>1.5032577507643246</v>
      </c>
      <c r="P158" s="7">
        <f t="shared" si="34"/>
        <v>1.1453627771492014</v>
      </c>
      <c r="Q158" s="7">
        <f>EXP(-Parameters!$B$55*A158)</f>
        <v>9.7744338495362112E-2</v>
      </c>
      <c r="R158" s="7">
        <f>IF(P158&gt;0,P158^(1-Parameters!$B$52)/(1-Parameters!$B$52)*Q158,-10+P158*1000)</f>
        <v>-0.26631369155238643</v>
      </c>
      <c r="S158" s="7"/>
      <c r="T158" s="7"/>
      <c r="U158" s="7"/>
      <c r="V158" s="7"/>
    </row>
    <row r="159" spans="1:22" x14ac:dyDescent="0.3">
      <c r="A159">
        <f>A158+Parameters!$B$65</f>
        <v>155</v>
      </c>
      <c r="B159" s="9">
        <f t="shared" si="36"/>
        <v>5.191758263687303E-2</v>
      </c>
      <c r="C159" s="9">
        <f t="shared" si="36"/>
        <v>1.0017548050425843E-2</v>
      </c>
      <c r="D159" s="7">
        <f t="shared" si="36"/>
        <v>0.2959598429278244</v>
      </c>
      <c r="E159" s="7">
        <f>MAX((1-Parameters!$B$4)^Parameters!B$65*E158+B158*Parameters!B$65-Parameters!$B$5*B158^2/E158*Parameters!B$65,0.0001)</f>
        <v>0.76972988182263868</v>
      </c>
      <c r="F159" s="9">
        <f>MAX((1-Parameters!$B$4)^Parameters!B$65*F158+C158*Parameters!B$65-Parameters!$B$5*C158^2/F158*Parameters!B$65,0.0001)</f>
        <v>0.14852011872394466</v>
      </c>
      <c r="G159" s="7">
        <f>MAX((1-Parameters!$B$4)^Parameters!B$65*G158+D158*Parameters!B$65-Parameters!$B$5*D158^2/G158*Parameters!B$65,0.0001)</f>
        <v>4.3878852116183964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7">
        <f>'6states'!$O$4</f>
        <v>0.98104277196026479</v>
      </c>
      <c r="L159" s="9">
        <f t="shared" si="35"/>
        <v>0.5</v>
      </c>
      <c r="N159" s="7">
        <f>(Parameters!$B$19*(E159+Parameters!$B$20)^L159+Parameters!$B$18*F159^L159)^(1/L159)</f>
        <v>0.53556630175383424</v>
      </c>
      <c r="O159" s="7">
        <f>(Parameters!$B$10*G159^Parameters!$B$9 + Parameters!$B$11*N159^Parameters!$B$9) ^ (Parameters!$B$7/Parameters!$B$9) * K159</f>
        <v>1.5032576863984504</v>
      </c>
      <c r="P159" s="7">
        <f t="shared" si="34"/>
        <v>1.145362712783327</v>
      </c>
      <c r="Q159" s="7">
        <f>EXP(-Parameters!$B$55*A159)</f>
        <v>9.6279486450325927E-2</v>
      </c>
      <c r="R159" s="7">
        <f>IF(P159&gt;0,P159^(1-Parameters!$B$52)/(1-Parameters!$B$52)*Q159,-10+P159*1000)</f>
        <v>-0.26232256881960386</v>
      </c>
      <c r="S159" s="7"/>
      <c r="T159" s="7"/>
      <c r="U159" s="7"/>
      <c r="V159" s="7"/>
    </row>
    <row r="160" spans="1:22" x14ac:dyDescent="0.3">
      <c r="A160">
        <f>A159+Parameters!$B$65</f>
        <v>156</v>
      </c>
      <c r="B160" s="9">
        <f t="shared" ref="B160:D175" si="37">B159</f>
        <v>5.191758263687303E-2</v>
      </c>
      <c r="C160" s="9">
        <f t="shared" si="37"/>
        <v>1.0017548050425843E-2</v>
      </c>
      <c r="D160" s="7">
        <f t="shared" si="37"/>
        <v>0.2959598429278244</v>
      </c>
      <c r="E160" s="7">
        <f>MAX((1-Parameters!$B$4)^Parameters!B$65*E159+B159*Parameters!B$65-Parameters!$B$5*B159^2/E159*Parameters!B$65,0.0001)</f>
        <v>0.76972966101619766</v>
      </c>
      <c r="F160" s="9">
        <f>MAX((1-Parameters!$B$4)^Parameters!B$65*F159+C159*Parameters!B$65-Parameters!$B$5*C159^2/F159*Parameters!B$65,0.0001)</f>
        <v>0.14852007672594603</v>
      </c>
      <c r="G160" s="7">
        <f>MAX((1-Parameters!$B$4)^Parameters!B$65*G159+D159*Parameters!B$65-Parameters!$B$5*D159^2/G159*Parameters!B$65,0.0001)</f>
        <v>4.3878847866623598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7">
        <f>'6states'!$O$4</f>
        <v>0.98104277196026479</v>
      </c>
      <c r="L160" s="9">
        <f t="shared" si="35"/>
        <v>0.5</v>
      </c>
      <c r="N160" s="7">
        <f>(Parameters!$B$19*(E160+Parameters!$B$20)^L160+Parameters!$B$18*F160^L160)^(1/L160)</f>
        <v>0.53556615012528408</v>
      </c>
      <c r="O160" s="7">
        <f>(Parameters!$B$10*G160^Parameters!$B$9 + Parameters!$B$11*N160^Parameters!$B$9) ^ (Parameters!$B$7/Parameters!$B$9) * K160</f>
        <v>1.5032576257883445</v>
      </c>
      <c r="P160" s="7">
        <f t="shared" si="34"/>
        <v>1.1453626521732212</v>
      </c>
      <c r="Q160" s="7">
        <f>EXP(-Parameters!$B$55*A160)</f>
        <v>9.4836587508117826E-2</v>
      </c>
      <c r="R160" s="7">
        <f>IF(P160&gt;0,P160^(1-Parameters!$B$52)/(1-Parameters!$B$52)*Q160,-10+P160*1000)</f>
        <v>-0.2583912589398496</v>
      </c>
      <c r="S160" s="7"/>
      <c r="T160" s="7"/>
      <c r="U160" s="7"/>
      <c r="V160" s="7"/>
    </row>
    <row r="161" spans="1:22" x14ac:dyDescent="0.3">
      <c r="A161">
        <f>A160+Parameters!$B$65</f>
        <v>157</v>
      </c>
      <c r="B161" s="9">
        <f t="shared" si="37"/>
        <v>5.191758263687303E-2</v>
      </c>
      <c r="C161" s="9">
        <f t="shared" si="37"/>
        <v>1.0017548050425843E-2</v>
      </c>
      <c r="D161" s="7">
        <f t="shared" si="37"/>
        <v>0.2959598429278244</v>
      </c>
      <c r="E161" s="7">
        <f>MAX((1-Parameters!$B$4)^Parameters!B$65*E160+B160*Parameters!B$65-Parameters!$B$5*B160^2/E160*Parameters!B$65,0.0001)</f>
        <v>0.76972945309394913</v>
      </c>
      <c r="F161" s="9">
        <f>MAX((1-Parameters!$B$4)^Parameters!B$65*F160+C160*Parameters!B$65-Parameters!$B$5*C160^2/F160*Parameters!B$65,0.0001)</f>
        <v>0.14852003717855652</v>
      </c>
      <c r="G161" s="7">
        <f>MAX((1-Parameters!$B$4)^Parameters!B$65*G160+D160*Parameters!B$65-Parameters!$B$5*D160^2/G160*Parameters!B$65,0.0001)</f>
        <v>4.3878843865027584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7">
        <f>'6states'!$O$4</f>
        <v>0.98104277196026479</v>
      </c>
      <c r="L161" s="9">
        <f t="shared" si="35"/>
        <v>0.5</v>
      </c>
      <c r="N161" s="7">
        <f>(Parameters!$B$19*(E161+Parameters!$B$20)^L161+Parameters!$B$18*F161^L161)^(1/L161)</f>
        <v>0.53556600734435356</v>
      </c>
      <c r="O161" s="7">
        <f>(Parameters!$B$10*G161^Parameters!$B$9 + Parameters!$B$11*N161^Parameters!$B$9) ^ (Parameters!$B$7/Parameters!$B$9) * K161</f>
        <v>1.5032575687148584</v>
      </c>
      <c r="P161" s="7">
        <f t="shared" si="34"/>
        <v>1.1453625950997353</v>
      </c>
      <c r="Q161" s="7">
        <f>EXP(-Parameters!$B$55*A161)</f>
        <v>9.3415312667098696E-2</v>
      </c>
      <c r="R161" s="7">
        <f>IF(P161&gt;0,P161^(1-Parameters!$B$52)/(1-Parameters!$B$52)*Q161,-10+P161*1000)</f>
        <v>-0.25451886555090597</v>
      </c>
      <c r="S161" s="7"/>
      <c r="T161" s="7"/>
      <c r="U161" s="7"/>
      <c r="V161" s="7"/>
    </row>
    <row r="162" spans="1:22" x14ac:dyDescent="0.3">
      <c r="A162">
        <f>A161+Parameters!$B$65</f>
        <v>158</v>
      </c>
      <c r="B162" s="9">
        <f t="shared" si="37"/>
        <v>5.191758263687303E-2</v>
      </c>
      <c r="C162" s="9">
        <f t="shared" si="37"/>
        <v>1.0017548050425843E-2</v>
      </c>
      <c r="D162" s="7">
        <f t="shared" si="37"/>
        <v>0.2959598429278244</v>
      </c>
      <c r="E162" s="7">
        <f>MAX((1-Parameters!$B$4)^Parameters!B$65*E161+B161*Parameters!B$65-Parameters!$B$5*B161^2/E161*Parameters!B$65,0.0001)</f>
        <v>0.76972925730409181</v>
      </c>
      <c r="F162" s="9">
        <f>MAX((1-Parameters!$B$4)^Parameters!B$65*F161+C161*Parameters!B$65-Parameters!$B$5*C161^2/F161*Parameters!B$65,0.0001)</f>
        <v>0.14851999993878154</v>
      </c>
      <c r="G162" s="7">
        <f>MAX((1-Parameters!$B$4)^Parameters!B$65*G161+D161*Parameters!B$65-Parameters!$B$5*D161^2/G161*Parameters!B$65,0.0001)</f>
        <v>4.3878840096927059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7">
        <f>'6states'!$O$4</f>
        <v>0.98104277196026479</v>
      </c>
      <c r="L162" s="9">
        <f t="shared" si="35"/>
        <v>0.5</v>
      </c>
      <c r="N162" s="7">
        <f>(Parameters!$B$19*(E162+Parameters!$B$20)^L162+Parameters!$B$18*F162^L162)^(1/L162)</f>
        <v>0.53556587289477819</v>
      </c>
      <c r="O162" s="7">
        <f>(Parameters!$B$10*G162^Parameters!$B$9 + Parameters!$B$11*N162^Parameters!$B$9) ^ (Parameters!$B$7/Parameters!$B$9) * K162</f>
        <v>1.5032575149716298</v>
      </c>
      <c r="P162" s="7">
        <f t="shared" si="34"/>
        <v>1.1453625413565067</v>
      </c>
      <c r="Q162" s="7">
        <f>EXP(-Parameters!$B$55*A162)</f>
        <v>9.2015337856234475E-2</v>
      </c>
      <c r="R162" s="7">
        <f>IF(P162&gt;0,P162^(1-Parameters!$B$52)/(1-Parameters!$B$52)*Q162,-10+P162*1000)</f>
        <v>-0.25070450572198444</v>
      </c>
      <c r="S162" s="7"/>
      <c r="T162" s="7"/>
      <c r="U162" s="7"/>
      <c r="V162" s="7"/>
    </row>
    <row r="163" spans="1:22" x14ac:dyDescent="0.3">
      <c r="A163">
        <f>A162+Parameters!$B$65</f>
        <v>159</v>
      </c>
      <c r="B163" s="9">
        <f t="shared" si="37"/>
        <v>5.191758263687303E-2</v>
      </c>
      <c r="C163" s="9">
        <f t="shared" si="37"/>
        <v>1.0017548050425843E-2</v>
      </c>
      <c r="D163" s="7">
        <f t="shared" si="37"/>
        <v>0.2959598429278244</v>
      </c>
      <c r="E163" s="7">
        <f>MAX((1-Parameters!$B$4)^Parameters!B$65*E162+B162*Parameters!B$65-Parameters!$B$5*B162^2/E162*Parameters!B$65,0.0001)</f>
        <v>0.76972907293869275</v>
      </c>
      <c r="F163" s="9">
        <f>MAX((1-Parameters!$B$4)^Parameters!B$65*F162+C162*Parameters!B$65-Parameters!$B$5*C162^2/F162*Parameters!B$65,0.0001)</f>
        <v>0.14851996487197028</v>
      </c>
      <c r="G163" s="7">
        <f>MAX((1-Parameters!$B$4)^Parameters!B$65*G162+D162*Parameters!B$65-Parameters!$B$5*D162^2/G162*Parameters!B$65,0.0001)</f>
        <v>4.3878836548697411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7">
        <f>'6states'!$O$4</f>
        <v>0.98104277196026479</v>
      </c>
      <c r="L163" s="9">
        <f t="shared" si="35"/>
        <v>0.5</v>
      </c>
      <c r="N163" s="7">
        <f>(Parameters!$B$19*(E163+Parameters!$B$20)^L163+Parameters!$B$18*F163^L163)^(1/L163)</f>
        <v>0.53556574629041809</v>
      </c>
      <c r="O163" s="7">
        <f>(Parameters!$B$10*G163^Parameters!$B$9 + Parameters!$B$11*N163^Parameters!$B$9) ^ (Parameters!$B$7/Parameters!$B$9) * K163</f>
        <v>1.5032574643643375</v>
      </c>
      <c r="P163" s="7">
        <f t="shared" si="34"/>
        <v>1.1453624907492141</v>
      </c>
      <c r="Q163" s="7">
        <f>EXP(-Parameters!$B$55*A163)</f>
        <v>9.0636343861203325E-2</v>
      </c>
      <c r="R163" s="7">
        <f>IF(P163&gt;0,P163^(1-Parameters!$B$52)/(1-Parameters!$B$52)*Q163,-10+P163*1000)</f>
        <v>-0.246947309752577</v>
      </c>
      <c r="S163" s="7"/>
      <c r="T163" s="7"/>
      <c r="U163" s="7"/>
      <c r="V163" s="7"/>
    </row>
    <row r="164" spans="1:22" x14ac:dyDescent="0.3">
      <c r="A164">
        <f>A163+Parameters!$B$65</f>
        <v>160</v>
      </c>
      <c r="B164" s="9">
        <f t="shared" si="37"/>
        <v>5.191758263687303E-2</v>
      </c>
      <c r="C164" s="9">
        <f t="shared" si="37"/>
        <v>1.0017548050425843E-2</v>
      </c>
      <c r="D164" s="7">
        <f t="shared" si="37"/>
        <v>0.2959598429278244</v>
      </c>
      <c r="E164" s="7">
        <f>MAX((1-Parameters!$B$4)^Parameters!B$65*E163+B163*Parameters!B$65-Parameters!$B$5*B163^2/E163*Parameters!B$65,0.0001)</f>
        <v>0.76972889933112743</v>
      </c>
      <c r="F164" s="9">
        <f>MAX((1-Parameters!$B$4)^Parameters!B$65*F163+C163*Parameters!B$65-Parameters!$B$5*C163^2/F163*Parameters!B$65,0.0001)</f>
        <v>0.14851993185132886</v>
      </c>
      <c r="G164" s="7">
        <f>MAX((1-Parameters!$B$4)^Parameters!B$65*G163+D163*Parameters!B$65-Parameters!$B$5*D163^2/G163*Parameters!B$65,0.0001)</f>
        <v>4.3878833207509045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7">
        <f>'6states'!$O$4</f>
        <v>0.98104277196026479</v>
      </c>
      <c r="L164" s="9">
        <f t="shared" si="35"/>
        <v>0.5</v>
      </c>
      <c r="N164" s="7">
        <f>(Parameters!$B$19*(E164+Parameters!$B$20)^L164+Parameters!$B$18*F164^L164)^(1/L164)</f>
        <v>0.53556562707349964</v>
      </c>
      <c r="O164" s="7">
        <f>(Parameters!$B$10*G164^Parameters!$B$9 + Parameters!$B$11*N164^Parameters!$B$9) ^ (Parameters!$B$7/Parameters!$B$9) * K164</f>
        <v>1.503257416709999</v>
      </c>
      <c r="P164" s="7">
        <f t="shared" si="34"/>
        <v>1.1453624430948759</v>
      </c>
      <c r="Q164" s="7">
        <f>EXP(-Parameters!$B$55*A164)</f>
        <v>8.9278016251610026E-2</v>
      </c>
      <c r="R164" s="7">
        <f>IF(P164&gt;0,P164^(1-Parameters!$B$52)/(1-Parameters!$B$52)*Q164,-10+P164*1000)</f>
        <v>-0.24324642097431115</v>
      </c>
      <c r="S164" s="7"/>
      <c r="T164" s="7"/>
      <c r="U164" s="7"/>
      <c r="V164" s="7"/>
    </row>
    <row r="165" spans="1:22" x14ac:dyDescent="0.3">
      <c r="A165">
        <f>A164+Parameters!$B$65</f>
        <v>161</v>
      </c>
      <c r="B165" s="9">
        <f t="shared" si="37"/>
        <v>5.191758263687303E-2</v>
      </c>
      <c r="C165" s="9">
        <f t="shared" si="37"/>
        <v>1.0017548050425843E-2</v>
      </c>
      <c r="D165" s="7">
        <f t="shared" si="37"/>
        <v>0.2959598429278244</v>
      </c>
      <c r="E165" s="7">
        <f>MAX((1-Parameters!$B$4)^Parameters!B$65*E164+B164*Parameters!B$65-Parameters!$B$5*B164^2/E164*Parameters!B$65,0.0001)</f>
        <v>0.7697287358536693</v>
      </c>
      <c r="F165" s="9">
        <f>MAX((1-Parameters!$B$4)^Parameters!B$65*F164+C164*Parameters!B$65-Parameters!$B$5*C164^2/F164*Parameters!B$65,0.0001)</f>
        <v>0.14851990075746196</v>
      </c>
      <c r="G165" s="7">
        <f>MAX((1-Parameters!$B$4)^Parameters!B$65*G164+D164*Parameters!B$65-Parameters!$B$5*D164^2/G164*Parameters!B$65,0.0001)</f>
        <v>4.3878830061280985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7">
        <f>'6states'!$O$4</f>
        <v>0.98104277196026479</v>
      </c>
      <c r="L165" s="9">
        <f t="shared" si="35"/>
        <v>0.5</v>
      </c>
      <c r="N165" s="7">
        <f>(Parameters!$B$19*(E165+Parameters!$B$20)^L165+Parameters!$B$18*F165^L165)^(1/L165)</f>
        <v>0.535565514812961</v>
      </c>
      <c r="O165" s="7">
        <f>(Parameters!$B$10*G165^Parameters!$B$9 + Parameters!$B$11*N165^Parameters!$B$9) ^ (Parameters!$B$7/Parameters!$B$9) * K165</f>
        <v>1.5032573718363096</v>
      </c>
      <c r="P165" s="7">
        <f t="shared" si="34"/>
        <v>1.1453623982211862</v>
      </c>
      <c r="Q165" s="7">
        <f>EXP(-Parameters!$B$55*A165)</f>
        <v>8.7940045309291504E-2</v>
      </c>
      <c r="R165" s="7">
        <f>IF(P165&gt;0,P165^(1-Parameters!$B$52)/(1-Parameters!$B$52)*Q165,-10+P165*1000)</f>
        <v>-0.23960099555576539</v>
      </c>
      <c r="S165" s="7"/>
      <c r="T165" s="7"/>
      <c r="U165" s="7"/>
      <c r="V165" s="7"/>
    </row>
    <row r="166" spans="1:22" x14ac:dyDescent="0.3">
      <c r="A166">
        <f>A165+Parameters!$B$65</f>
        <v>162</v>
      </c>
      <c r="B166" s="9">
        <f t="shared" si="37"/>
        <v>5.191758263687303E-2</v>
      </c>
      <c r="C166" s="9">
        <f t="shared" si="37"/>
        <v>1.0017548050425843E-2</v>
      </c>
      <c r="D166" s="7">
        <f t="shared" si="37"/>
        <v>0.2959598429278244</v>
      </c>
      <c r="E166" s="7">
        <f>MAX((1-Parameters!$B$4)^Parameters!B$65*E165+B165*Parameters!B$65-Parameters!$B$5*B165^2/E165*Parameters!B$65,0.0001)</f>
        <v>0.7697285819152202</v>
      </c>
      <c r="F166" s="9">
        <f>MAX((1-Parameters!$B$4)^Parameters!B$65*F165+C165*Parameters!B$65-Parameters!$B$5*C165^2/F165*Parameters!B$65,0.0001)</f>
        <v>0.14851987147794107</v>
      </c>
      <c r="G166" s="7">
        <f>MAX((1-Parameters!$B$4)^Parameters!B$65*G165+D165*Parameters!B$65-Parameters!$B$5*D165^2/G165*Parameters!B$65,0.0001)</f>
        <v>4.3878827098637174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7">
        <f>'6states'!$O$4</f>
        <v>0.98104277196026479</v>
      </c>
      <c r="L166" s="9">
        <f t="shared" si="35"/>
        <v>0.5</v>
      </c>
      <c r="N166" s="7">
        <f>(Parameters!$B$19*(E166+Parameters!$B$20)^L166+Parameters!$B$18*F166^L166)^(1/L166)</f>
        <v>0.53556540910289319</v>
      </c>
      <c r="O166" s="7">
        <f>(Parameters!$B$10*G166^Parameters!$B$9 + Parameters!$B$11*N166^Parameters!$B$9) ^ (Parameters!$B$7/Parameters!$B$9) * K166</f>
        <v>1.5032573295810174</v>
      </c>
      <c r="P166" s="7">
        <f t="shared" si="34"/>
        <v>1.1453623559658941</v>
      </c>
      <c r="Q166" s="7">
        <f>EXP(-Parameters!$B$55*A166)</f>
        <v>8.6622125957696541E-2</v>
      </c>
      <c r="R166" s="7">
        <f>IF(P166&gt;0,P166^(1-Parameters!$B$52)/(1-Parameters!$B$52)*Q166,-10+P166*1000)</f>
        <v>-0.23601020231020123</v>
      </c>
      <c r="S166" s="7"/>
      <c r="T166" s="7"/>
      <c r="U166" s="7"/>
      <c r="V166" s="7"/>
    </row>
    <row r="167" spans="1:22" x14ac:dyDescent="0.3">
      <c r="A167">
        <f>A166+Parameters!$B$65</f>
        <v>163</v>
      </c>
      <c r="B167" s="9">
        <f t="shared" si="37"/>
        <v>5.191758263687303E-2</v>
      </c>
      <c r="C167" s="9">
        <f t="shared" si="37"/>
        <v>1.0017548050425843E-2</v>
      </c>
      <c r="D167" s="7">
        <f t="shared" si="37"/>
        <v>0.2959598429278244</v>
      </c>
      <c r="E167" s="7">
        <f>MAX((1-Parameters!$B$4)^Parameters!B$65*E166+B166*Parameters!B$65-Parameters!$B$5*B166^2/E166*Parameters!B$65,0.0001)</f>
        <v>0.76972843695917281</v>
      </c>
      <c r="F167" s="9">
        <f>MAX((1-Parameters!$B$4)^Parameters!B$65*F166+C166*Parameters!B$65-Parameters!$B$5*C166^2/F166*Parameters!B$65,0.0001)</f>
        <v>0.14851984390689796</v>
      </c>
      <c r="G167" s="7">
        <f>MAX((1-Parameters!$B$4)^Parameters!B$65*G166+D166*Parameters!B$65-Parameters!$B$5*D166^2/G166*Parameters!B$65,0.0001)</f>
        <v>4.3878824308865365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7">
        <f>'6states'!$O$4</f>
        <v>0.98104277196026479</v>
      </c>
      <c r="L167" s="9">
        <f t="shared" si="35"/>
        <v>0.5</v>
      </c>
      <c r="N167" s="7">
        <f>(Parameters!$B$19*(E167+Parameters!$B$20)^L167+Parameters!$B$18*F167^L167)^(1/L167)</f>
        <v>0.53556530956107173</v>
      </c>
      <c r="O167" s="7">
        <f>(Parameters!$B$10*G167^Parameters!$B$9 + Parameters!$B$11*N167^Parameters!$B$9) ^ (Parameters!$B$7/Parameters!$B$9) * K167</f>
        <v>1.5032572897913385</v>
      </c>
      <c r="P167" s="7">
        <f t="shared" si="34"/>
        <v>1.1453623161762154</v>
      </c>
      <c r="Q167" s="7">
        <f>EXP(-Parameters!$B$55*A167)</f>
        <v>8.5323957692323968E-2</v>
      </c>
      <c r="R167" s="7">
        <f>IF(P167&gt;0,P167^(1-Parameters!$B$52)/(1-Parameters!$B$52)*Q167,-10+P167*1000)</f>
        <v>-0.23247322250616778</v>
      </c>
      <c r="S167" s="7"/>
      <c r="T167" s="7"/>
      <c r="U167" s="7"/>
      <c r="V167" s="7"/>
    </row>
    <row r="168" spans="1:22" x14ac:dyDescent="0.3">
      <c r="A168">
        <f>A167+Parameters!$B$65</f>
        <v>164</v>
      </c>
      <c r="B168" s="9">
        <f t="shared" si="37"/>
        <v>5.191758263687303E-2</v>
      </c>
      <c r="C168" s="9">
        <f t="shared" si="37"/>
        <v>1.0017548050425843E-2</v>
      </c>
      <c r="D168" s="7">
        <f t="shared" si="37"/>
        <v>0.2959598429278244</v>
      </c>
      <c r="E168" s="7">
        <f>MAX((1-Parameters!$B$4)^Parameters!B$65*E167+B167*Parameters!B$65-Parameters!$B$5*B167^2/E167*Parameters!B$65,0.0001)</f>
        <v>0.76972830046139828</v>
      </c>
      <c r="F168" s="9">
        <f>MAX((1-Parameters!$B$4)^Parameters!B$65*F167+C167*Parameters!B$65-Parameters!$B$5*C167^2/F167*Parameters!B$65,0.0001)</f>
        <v>0.14851981794464181</v>
      </c>
      <c r="G168" s="7">
        <f>MAX((1-Parameters!$B$4)^Parameters!B$65*G167+D167*Parameters!B$65-Parameters!$B$5*D167^2/G167*Parameters!B$65,0.0001)</f>
        <v>4.3878821681878373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7">
        <f>'6states'!$O$4</f>
        <v>0.98104277196026479</v>
      </c>
      <c r="L168" s="9">
        <f t="shared" si="35"/>
        <v>0.5</v>
      </c>
      <c r="N168" s="7">
        <f>(Parameters!$B$19*(E168+Parameters!$B$20)^L168+Parameters!$B$18*F168^L168)^(1/L168)</f>
        <v>0.53556521582757555</v>
      </c>
      <c r="O168" s="7">
        <f>(Parameters!$B$10*G168^Parameters!$B$9 + Parameters!$B$11*N168^Parameters!$B$9) ^ (Parameters!$B$7/Parameters!$B$9) * K168</f>
        <v>1.5032572523234036</v>
      </c>
      <c r="P168" s="7">
        <f t="shared" si="34"/>
        <v>1.1453622787082804</v>
      </c>
      <c r="Q168" s="7">
        <f>EXP(-Parameters!$B$55*A168)</f>
        <v>8.4045244512203479E-2</v>
      </c>
      <c r="R168" s="7">
        <f>IF(P168&gt;0,P168^(1-Parameters!$B$52)/(1-Parameters!$B$52)*Q168,-10+P168*1000)</f>
        <v>-0.2289892496809377</v>
      </c>
      <c r="S168" s="7"/>
      <c r="T168" s="7"/>
      <c r="U168" s="7"/>
      <c r="V168" s="7"/>
    </row>
    <row r="169" spans="1:22" x14ac:dyDescent="0.3">
      <c r="A169">
        <f>A168+Parameters!$B$65</f>
        <v>165</v>
      </c>
      <c r="B169" s="9">
        <f t="shared" si="37"/>
        <v>5.191758263687303E-2</v>
      </c>
      <c r="C169" s="9">
        <f t="shared" si="37"/>
        <v>1.0017548050425843E-2</v>
      </c>
      <c r="D169" s="7">
        <f t="shared" si="37"/>
        <v>0.2959598429278244</v>
      </c>
      <c r="E169" s="7">
        <f>MAX((1-Parameters!$B$4)^Parameters!B$65*E168+B168*Parameters!B$65-Parameters!$B$5*B168^2/E168*Parameters!B$65,0.0001)</f>
        <v>0.76972817192835108</v>
      </c>
      <c r="F169" s="9">
        <f>MAX((1-Parameters!$B$4)^Parameters!B$65*F168+C168*Parameters!B$65-Parameters!$B$5*C168^2/F168*Parameters!B$65,0.0001)</f>
        <v>0.14851979349729894</v>
      </c>
      <c r="G169" s="7">
        <f>MAX((1-Parameters!$B$4)^Parameters!B$65*G168+D168*Parameters!B$65-Parameters!$B$5*D168^2/G168*Parameters!B$65,0.0001)</f>
        <v>4.3878819208177609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7">
        <f>'6states'!$O$4</f>
        <v>0.98104277196026479</v>
      </c>
      <c r="L169" s="9">
        <f t="shared" si="35"/>
        <v>0.5</v>
      </c>
      <c r="N169" s="7">
        <f>(Parameters!$B$19*(E169+Parameters!$B$20)^L169+Parameters!$B$18*F169^L169)^(1/L169)</f>
        <v>0.53556512756348529</v>
      </c>
      <c r="O169" s="7">
        <f>(Parameters!$B$10*G169^Parameters!$B$9 + Parameters!$B$11*N169^Parameters!$B$9) ^ (Parameters!$B$7/Parameters!$B$9) * K169</f>
        <v>1.5032572170417386</v>
      </c>
      <c r="P169" s="7">
        <f t="shared" si="34"/>
        <v>1.1453622434266153</v>
      </c>
      <c r="Q169" s="7">
        <f>EXP(-Parameters!$B$55*A169)</f>
        <v>8.2785694852402933E-2</v>
      </c>
      <c r="R169" s="7">
        <f>IF(P169&gt;0,P169^(1-Parameters!$B$52)/(1-Parameters!$B$52)*Q169,-10+P169*1000)</f>
        <v>-0.22555748945673146</v>
      </c>
      <c r="S169" s="7"/>
      <c r="T169" s="7"/>
      <c r="U169" s="7"/>
      <c r="V169" s="7"/>
    </row>
    <row r="170" spans="1:22" x14ac:dyDescent="0.3">
      <c r="A170">
        <f>A169+Parameters!$B$65</f>
        <v>166</v>
      </c>
      <c r="B170" s="9">
        <f t="shared" si="37"/>
        <v>5.191758263687303E-2</v>
      </c>
      <c r="C170" s="9">
        <f t="shared" si="37"/>
        <v>1.0017548050425843E-2</v>
      </c>
      <c r="D170" s="7">
        <f t="shared" si="37"/>
        <v>0.2959598429278244</v>
      </c>
      <c r="E170" s="7">
        <f>MAX((1-Parameters!$B$4)^Parameters!B$65*E169+B169*Parameters!B$65-Parameters!$B$5*B169^2/E169*Parameters!B$65,0.0001)</f>
        <v>0.76972805089528429</v>
      </c>
      <c r="F170" s="9">
        <f>MAX((1-Parameters!$B$4)^Parameters!B$65*F169+C169*Parameters!B$65-Parameters!$B$5*C169^2/F169*Parameters!B$65,0.0001)</f>
        <v>0.14851977047647319</v>
      </c>
      <c r="G170" s="7">
        <f>MAX((1-Parameters!$B$4)^Parameters!B$65*G169+D169*Parameters!B$65-Parameters!$B$5*D169^2/G169*Parameters!B$65,0.0001)</f>
        <v>4.3878816878818725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7">
        <f>'6states'!$O$4</f>
        <v>0.98104277196026479</v>
      </c>
      <c r="L170" s="9">
        <f t="shared" si="35"/>
        <v>0.5</v>
      </c>
      <c r="N170" s="7">
        <f>(Parameters!$B$19*(E170+Parameters!$B$20)^L170+Parameters!$B$18*F170^L170)^(1/L170)</f>
        <v>0.53556504444965791</v>
      </c>
      <c r="O170" s="7">
        <f>(Parameters!$B$10*G170^Parameters!$B$9 + Parameters!$B$11*N170^Parameters!$B$9) ^ (Parameters!$B$7/Parameters!$B$9) * K170</f>
        <v>1.5032571838187738</v>
      </c>
      <c r="P170" s="7">
        <f t="shared" si="34"/>
        <v>1.1453622102036505</v>
      </c>
      <c r="Q170" s="7">
        <f>EXP(-Parameters!$B$55*A170)</f>
        <v>8.1545021517547445E-2</v>
      </c>
      <c r="R170" s="7">
        <f>IF(P170&gt;0,P170^(1-Parameters!$B$52)/(1-Parameters!$B$52)*Q170,-10+P170*1000)</f>
        <v>-0.22217715935968943</v>
      </c>
      <c r="S170" s="7"/>
      <c r="T170" s="7"/>
      <c r="U170" s="7"/>
      <c r="V170" s="7"/>
    </row>
    <row r="171" spans="1:22" x14ac:dyDescent="0.3">
      <c r="A171">
        <f>A170+Parameters!$B$65</f>
        <v>167</v>
      </c>
      <c r="B171" s="9">
        <f t="shared" si="37"/>
        <v>5.191758263687303E-2</v>
      </c>
      <c r="C171" s="9">
        <f t="shared" si="37"/>
        <v>1.0017548050425843E-2</v>
      </c>
      <c r="D171" s="7">
        <f t="shared" si="37"/>
        <v>0.2959598429278244</v>
      </c>
      <c r="E171" s="7">
        <f>MAX((1-Parameters!$B$4)^Parameters!B$65*E170+B170*Parameters!B$65-Parameters!$B$5*B170^2/E170*Parameters!B$65,0.0001)</f>
        <v>0.76972793692456942</v>
      </c>
      <c r="F171" s="9">
        <f>MAX((1-Parameters!$B$4)^Parameters!B$65*F170+C170*Parameters!B$65-Parameters!$B$5*C170^2/F170*Parameters!B$65,0.0001)</f>
        <v>0.1485197487989264</v>
      </c>
      <c r="G171" s="7">
        <f>MAX((1-Parameters!$B$4)^Parameters!B$65*G170+D170*Parameters!B$65-Parameters!$B$5*D170^2/G170*Parameters!B$65,0.0001)</f>
        <v>4.3878814685379286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7">
        <f>'6states'!$O$4</f>
        <v>0.98104277196026479</v>
      </c>
      <c r="L171" s="9">
        <f t="shared" si="35"/>
        <v>0.5</v>
      </c>
      <c r="N171" s="7">
        <f>(Parameters!$B$19*(E171+Parameters!$B$20)^L171+Parameters!$B$18*F171^L171)^(1/L171)</f>
        <v>0.53556496618557181</v>
      </c>
      <c r="O171" s="7">
        <f>(Parameters!$B$10*G171^Parameters!$B$9 + Parameters!$B$11*N171^Parameters!$B$9) ^ (Parameters!$B$7/Parameters!$B$9) * K171</f>
        <v>1.5032571525343839</v>
      </c>
      <c r="P171" s="7">
        <f t="shared" si="34"/>
        <v>1.1453621789192607</v>
      </c>
      <c r="Q171" s="7">
        <f>EXP(-Parameters!$B$55*A171)</f>
        <v>8.0322941616334922E-2</v>
      </c>
      <c r="R171" s="7">
        <f>IF(P171&gt;0,P171^(1-Parameters!$B$52)/(1-Parameters!$B$52)*Q171,-10+P171*1000)</f>
        <v>-0.21884748864155146</v>
      </c>
      <c r="S171" s="7"/>
      <c r="T171" s="7"/>
      <c r="U171" s="7"/>
      <c r="V171" s="7"/>
    </row>
    <row r="172" spans="1:22" x14ac:dyDescent="0.3">
      <c r="A172">
        <f>A171+Parameters!$B$65</f>
        <v>168</v>
      </c>
      <c r="B172" s="9">
        <f t="shared" si="37"/>
        <v>5.191758263687303E-2</v>
      </c>
      <c r="C172" s="9">
        <f t="shared" si="37"/>
        <v>1.0017548050425843E-2</v>
      </c>
      <c r="D172" s="7">
        <f t="shared" si="37"/>
        <v>0.2959598429278244</v>
      </c>
      <c r="E172" s="7">
        <f>MAX((1-Parameters!$B$4)^Parameters!B$65*E171+B171*Parameters!B$65-Parameters!$B$5*B171^2/E171*Parameters!B$65,0.0001)</f>
        <v>0.7697278296041139</v>
      </c>
      <c r="F172" s="9">
        <f>MAX((1-Parameters!$B$4)^Parameters!B$65*F171+C171*Parameters!B$65-Parameters!$B$5*C171^2/F171*Parameters!B$65,0.0001)</f>
        <v>0.14851972838627742</v>
      </c>
      <c r="G172" s="7">
        <f>MAX((1-Parameters!$B$4)^Parameters!B$65*G171+D171*Parameters!B$65-Parameters!$B$5*D171^2/G171*Parameters!B$65,0.0001)</f>
        <v>4.387881261992832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7">
        <f>'6states'!$O$4</f>
        <v>0.98104277196026479</v>
      </c>
      <c r="L172" s="9">
        <f t="shared" si="35"/>
        <v>0.5</v>
      </c>
      <c r="N172" s="7">
        <f>(Parameters!$B$19*(E172+Parameters!$B$20)^L172+Parameters!$B$18*F172^L172)^(1/L172)</f>
        <v>0.53556489248824213</v>
      </c>
      <c r="O172" s="7">
        <f>(Parameters!$B$10*G172^Parameters!$B$9 + Parameters!$B$11*N172^Parameters!$B$9) ^ (Parameters!$B$7/Parameters!$B$9) * K172</f>
        <v>1.5032571230754519</v>
      </c>
      <c r="P172" s="7">
        <f t="shared" si="34"/>
        <v>1.1453621494603285</v>
      </c>
      <c r="Q172" s="7">
        <f>EXP(-Parameters!$B$55*A172)</f>
        <v>7.9119176497032498E-2</v>
      </c>
      <c r="R172" s="7">
        <f>IF(P172&gt;0,P172^(1-Parameters!$B$52)/(1-Parameters!$B$52)*Q172,-10+P172*1000)</f>
        <v>-0.21556771810400205</v>
      </c>
      <c r="S172" s="7"/>
      <c r="T172" s="7"/>
      <c r="U172" s="7"/>
      <c r="V172" s="7"/>
    </row>
    <row r="173" spans="1:22" x14ac:dyDescent="0.3">
      <c r="A173">
        <f>A172+Parameters!$B$65</f>
        <v>169</v>
      </c>
      <c r="B173" s="9">
        <f t="shared" si="37"/>
        <v>5.191758263687303E-2</v>
      </c>
      <c r="C173" s="9">
        <f t="shared" si="37"/>
        <v>1.0017548050425843E-2</v>
      </c>
      <c r="D173" s="7">
        <f t="shared" si="37"/>
        <v>0.2959598429278244</v>
      </c>
      <c r="E173" s="7">
        <f>MAX((1-Parameters!$B$4)^Parameters!B$65*E172+B172*Parameters!B$65-Parameters!$B$5*B172^2/E172*Parameters!B$65,0.0001)</f>
        <v>0.7697277285458709</v>
      </c>
      <c r="F173" s="9">
        <f>MAX((1-Parameters!$B$4)^Parameters!B$65*F172+C172*Parameters!B$65-Parameters!$B$5*C172^2/F172*Parameters!B$65,0.0001)</f>
        <v>0.14851970916471868</v>
      </c>
      <c r="G173" s="7">
        <f>MAX((1-Parameters!$B$4)^Parameters!B$65*G172+D172*Parameters!B$65-Parameters!$B$5*D172^2/G172*Parameters!B$65,0.0001)</f>
        <v>4.3878810674997615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7">
        <f>'6states'!$O$4</f>
        <v>0.98104277196026479</v>
      </c>
      <c r="L173" s="9">
        <f t="shared" si="35"/>
        <v>0.5</v>
      </c>
      <c r="N173" s="7">
        <f>(Parameters!$B$19*(E173+Parameters!$B$20)^L173+Parameters!$B$18*F173^L173)^(1/L173)</f>
        <v>0.53556482309119535</v>
      </c>
      <c r="O173" s="7">
        <f>(Parameters!$B$10*G173^Parameters!$B$9 + Parameters!$B$11*N173^Parameters!$B$9) ^ (Parameters!$B$7/Parameters!$B$9) * K173</f>
        <v>1.5032570953354616</v>
      </c>
      <c r="P173" s="7">
        <f t="shared" si="34"/>
        <v>1.1453621217203382</v>
      </c>
      <c r="Q173" s="7">
        <f>EXP(-Parameters!$B$55*A173)</f>
        <v>7.79334516839401E-2</v>
      </c>
      <c r="R173" s="7">
        <f>IF(P173&gt;0,P173^(1-Parameters!$B$52)/(1-Parameters!$B$52)*Q173,-10+P173*1000)</f>
        <v>-0.2123370999256437</v>
      </c>
      <c r="S173" s="7"/>
      <c r="T173" s="7"/>
      <c r="U173" s="7"/>
      <c r="V173" s="7"/>
    </row>
    <row r="174" spans="1:22" x14ac:dyDescent="0.3">
      <c r="A174">
        <f>A173+Parameters!$B$65</f>
        <v>170</v>
      </c>
      <c r="B174" s="9">
        <f t="shared" si="37"/>
        <v>5.191758263687303E-2</v>
      </c>
      <c r="C174" s="9">
        <f t="shared" si="37"/>
        <v>1.0017548050425843E-2</v>
      </c>
      <c r="D174" s="7">
        <f t="shared" si="37"/>
        <v>0.2959598429278244</v>
      </c>
      <c r="E174" s="7">
        <f>MAX((1-Parameters!$B$4)^Parameters!B$65*E173+B173*Parameters!B$65-Parameters!$B$5*B173^2/E173*Parameters!B$65,0.0001)</f>
        <v>0.7697276333844365</v>
      </c>
      <c r="F174" s="9">
        <f>MAX((1-Parameters!$B$4)^Parameters!B$65*F173+C173*Parameters!B$65-Parameters!$B$5*C173^2/F173*Parameters!B$65,0.0001)</f>
        <v>0.14851969106474933</v>
      </c>
      <c r="G174" s="7">
        <f>MAX((1-Parameters!$B$4)^Parameters!B$65*G173+D173*Parameters!B$65-Parameters!$B$5*D173^2/G173*Parameters!B$65,0.0001)</f>
        <v>4.3878808843554751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7">
        <f>'6states'!$O$4</f>
        <v>0.98104277196026479</v>
      </c>
      <c r="L174" s="9">
        <f t="shared" si="35"/>
        <v>0.5</v>
      </c>
      <c r="N174" s="7">
        <f>(Parameters!$B$19*(E174+Parameters!$B$20)^L174+Parameters!$B$18*F174^L174)^(1/L174)</f>
        <v>0.53556475774350776</v>
      </c>
      <c r="O174" s="7">
        <f>(Parameters!$B$10*G174^Parameters!$B$9 + Parameters!$B$11*N174^Parameters!$B$9) ^ (Parameters!$B$7/Parameters!$B$9) * K174</f>
        <v>1.5032570692141127</v>
      </c>
      <c r="P174" s="7">
        <f t="shared" si="34"/>
        <v>1.1453620955989896</v>
      </c>
      <c r="Q174" s="7">
        <f>EXP(-Parameters!$B$55*A174)</f>
        <v>7.6765496814806045E-2</v>
      </c>
      <c r="R174" s="7">
        <f>IF(P174&gt;0,P174^(1-Parameters!$B$52)/(1-Parameters!$B$52)*Q174,-10+P174*1000)</f>
        <v>-0.20915489749155808</v>
      </c>
      <c r="S174" s="7"/>
      <c r="T174" s="7"/>
      <c r="U174" s="7"/>
      <c r="V174" s="7"/>
    </row>
    <row r="175" spans="1:22" x14ac:dyDescent="0.3">
      <c r="A175">
        <f>A174+Parameters!$B$65</f>
        <v>171</v>
      </c>
      <c r="B175" s="9">
        <f t="shared" si="37"/>
        <v>5.191758263687303E-2</v>
      </c>
      <c r="C175" s="9">
        <f t="shared" si="37"/>
        <v>1.0017548050425843E-2</v>
      </c>
      <c r="D175" s="7">
        <f t="shared" si="37"/>
        <v>0.2959598429278244</v>
      </c>
      <c r="E175" s="7">
        <f>MAX((1-Parameters!$B$4)^Parameters!B$65*E174+B174*Parameters!B$65-Parameters!$B$5*B174^2/E174*Parameters!B$65,0.0001)</f>
        <v>0.76972754377572838</v>
      </c>
      <c r="F175" s="9">
        <f>MAX((1-Parameters!$B$4)^Parameters!B$65*F174+C174*Parameters!B$65-Parameters!$B$5*C174^2/F174*Parameters!B$65,0.0001)</f>
        <v>0.14851967402092392</v>
      </c>
      <c r="G175" s="7">
        <f>MAX((1-Parameters!$B$4)^Parameters!B$65*G174+D174*Parameters!B$65-Parameters!$B$5*D174^2/G174*Parameters!B$65,0.0001)</f>
        <v>4.3878807118977647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7">
        <f>'6states'!$O$4</f>
        <v>0.98104277196026479</v>
      </c>
      <c r="L175" s="9">
        <f t="shared" si="35"/>
        <v>0.5</v>
      </c>
      <c r="N175" s="7">
        <f>(Parameters!$B$19*(E175+Parameters!$B$20)^L175+Parameters!$B$18*F175^L175)^(1/L175)</f>
        <v>0.53556469620889635</v>
      </c>
      <c r="O175" s="7">
        <f>(Parameters!$B$10*G175^Parameters!$B$9 + Parameters!$B$11*N175^Parameters!$B$9) ^ (Parameters!$B$7/Parameters!$B$9) * K175</f>
        <v>1.5032570446169571</v>
      </c>
      <c r="P175" s="7">
        <f t="shared" si="34"/>
        <v>1.1453620710018337</v>
      </c>
      <c r="Q175" s="7">
        <f>EXP(-Parameters!$B$55*A175)</f>
        <v>7.5615045579180543E-2</v>
      </c>
      <c r="R175" s="7">
        <f>IF(P175&gt;0,P175^(1-Parameters!$B$52)/(1-Parameters!$B$52)*Q175,-10+P175*1000)</f>
        <v>-0.20602038522541705</v>
      </c>
      <c r="S175" s="7"/>
      <c r="T175" s="7"/>
      <c r="U175" s="7"/>
      <c r="V175" s="7"/>
    </row>
    <row r="176" spans="1:22" x14ac:dyDescent="0.3">
      <c r="A176">
        <f>A175+Parameters!$B$65</f>
        <v>172</v>
      </c>
      <c r="B176" s="9">
        <f t="shared" ref="B176:D191" si="38">B175</f>
        <v>5.191758263687303E-2</v>
      </c>
      <c r="C176" s="9">
        <f t="shared" si="38"/>
        <v>1.0017548050425843E-2</v>
      </c>
      <c r="D176" s="7">
        <f t="shared" si="38"/>
        <v>0.2959598429278244</v>
      </c>
      <c r="E176" s="7">
        <f>MAX((1-Parameters!$B$4)^Parameters!B$65*E175+B175*Parameters!B$65-Parameters!$B$5*B175^2/E175*Parameters!B$65,0.0001)</f>
        <v>0.76972745939574139</v>
      </c>
      <c r="F176" s="9">
        <f>MAX((1-Parameters!$B$4)^Parameters!B$65*F175+C175*Parameters!B$65-Parameters!$B$5*C175^2/F175*Parameters!B$65,0.0001)</f>
        <v>0.14851965797161581</v>
      </c>
      <c r="G176" s="7">
        <f>MAX((1-Parameters!$B$4)^Parameters!B$65*G175+D175*Parameters!B$65-Parameters!$B$5*D175^2/G175*Parameters!B$65,0.0001)</f>
        <v>4.3878805495030617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7">
        <f>'6states'!$O$4</f>
        <v>0.98104277196026479</v>
      </c>
      <c r="L176" s="9">
        <f t="shared" si="35"/>
        <v>0.5</v>
      </c>
      <c r="N176" s="7">
        <f>(Parameters!$B$19*(E176+Parameters!$B$20)^L176+Parameters!$B$18*F176^L176)^(1/L176)</f>
        <v>0.53556463826486622</v>
      </c>
      <c r="O176" s="7">
        <f>(Parameters!$B$10*G176^Parameters!$B$9 + Parameters!$B$11*N176^Parameters!$B$9) ^ (Parameters!$B$7/Parameters!$B$9) * K176</f>
        <v>1.5032570214550571</v>
      </c>
      <c r="P176" s="7">
        <f t="shared" si="34"/>
        <v>1.1453620478399338</v>
      </c>
      <c r="Q176" s="7">
        <f>EXP(-Parameters!$B$55*A176)</f>
        <v>7.4481835657693174E-2</v>
      </c>
      <c r="R176" s="7">
        <f>IF(P176&gt;0,P176^(1-Parameters!$B$52)/(1-Parameters!$B$52)*Q176,-10+P176*1000)</f>
        <v>-0.20293284842410581</v>
      </c>
      <c r="S176" s="7"/>
      <c r="T176" s="7"/>
      <c r="U176" s="7"/>
      <c r="V176" s="7"/>
    </row>
    <row r="177" spans="1:22" x14ac:dyDescent="0.3">
      <c r="A177">
        <f>A176+Parameters!$B$65</f>
        <v>173</v>
      </c>
      <c r="B177" s="9">
        <f t="shared" si="38"/>
        <v>5.191758263687303E-2</v>
      </c>
      <c r="C177" s="9">
        <f t="shared" si="38"/>
        <v>1.0017548050425843E-2</v>
      </c>
      <c r="D177" s="7">
        <f t="shared" si="38"/>
        <v>0.2959598429278244</v>
      </c>
      <c r="E177" s="7">
        <f>MAX((1-Parameters!$B$4)^Parameters!B$65*E176+B176*Parameters!B$65-Parameters!$B$5*B176^2/E176*Parameters!B$65,0.0001)</f>
        <v>0.76972737993937668</v>
      </c>
      <c r="F177" s="9">
        <f>MAX((1-Parameters!$B$4)^Parameters!B$65*F176+C176*Parameters!B$65-Parameters!$B$5*C176^2/F176*Parameters!B$65,0.0001)</f>
        <v>0.14851964285879435</v>
      </c>
      <c r="G177" s="7">
        <f>MAX((1-Parameters!$B$4)^Parameters!B$65*G176+D176*Parameters!B$65-Parameters!$B$5*D176^2/G176*Parameters!B$65,0.0001)</f>
        <v>4.3878803965841842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7">
        <f>'6states'!$O$4</f>
        <v>0.98104277196026479</v>
      </c>
      <c r="L177" s="9">
        <f t="shared" si="35"/>
        <v>0.5</v>
      </c>
      <c r="N177" s="7">
        <f>(Parameters!$B$19*(E177+Parameters!$B$20)^L177+Parameters!$B$18*F177^L177)^(1/L177)</f>
        <v>0.5355645837019043</v>
      </c>
      <c r="O177" s="7">
        <f>(Parameters!$B$10*G177^Parameters!$B$9 + Parameters!$B$11*N177^Parameters!$B$9) ^ (Parameters!$B$7/Parameters!$B$9) * K177</f>
        <v>1.5032569996446647</v>
      </c>
      <c r="P177" s="7">
        <f t="shared" si="34"/>
        <v>1.1453620260295416</v>
      </c>
      <c r="Q177" s="7">
        <f>EXP(-Parameters!$B$55*A177)</f>
        <v>7.3365608662240192E-2</v>
      </c>
      <c r="R177" s="7">
        <f>IF(P177&gt;0,P177^(1-Parameters!$B$52)/(1-Parameters!$B$52)*Q177,-10+P177*1000)</f>
        <v>-0.19989158309482011</v>
      </c>
      <c r="S177" s="7"/>
      <c r="T177" s="7"/>
      <c r="U177" s="7"/>
      <c r="V177" s="7"/>
    </row>
    <row r="178" spans="1:22" x14ac:dyDescent="0.3">
      <c r="A178">
        <f>A177+Parameters!$B$65</f>
        <v>174</v>
      </c>
      <c r="B178" s="9">
        <f t="shared" si="38"/>
        <v>5.191758263687303E-2</v>
      </c>
      <c r="C178" s="9">
        <f t="shared" si="38"/>
        <v>1.0017548050425843E-2</v>
      </c>
      <c r="D178" s="7">
        <f t="shared" si="38"/>
        <v>0.2959598429278244</v>
      </c>
      <c r="E178" s="7">
        <f>MAX((1-Parameters!$B$4)^Parameters!B$65*E177+B177*Parameters!B$65-Parameters!$B$5*B177^2/E177*Parameters!B$65,0.0001)</f>
        <v>0.76972730511933773</v>
      </c>
      <c r="F178" s="9">
        <f>MAX((1-Parameters!$B$4)^Parameters!B$65*F177+C177*Parameters!B$65-Parameters!$B$5*C177^2/F177*Parameters!B$65,0.0001)</f>
        <v>0.14851962862781493</v>
      </c>
      <c r="G178" s="7">
        <f>MAX((1-Parameters!$B$4)^Parameters!B$65*G177+D177*Parameters!B$65-Parameters!$B$5*D177^2/G177*Parameters!B$65,0.0001)</f>
        <v>4.3878802525882126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7">
        <f>'6states'!$O$4</f>
        <v>0.98104277196026479</v>
      </c>
      <c r="L178" s="9">
        <f t="shared" si="35"/>
        <v>0.5</v>
      </c>
      <c r="N178" s="7">
        <f>(Parameters!$B$19*(E178+Parameters!$B$20)^L178+Parameters!$B$18*F178^L178)^(1/L178)</f>
        <v>0.53556453232272361</v>
      </c>
      <c r="O178" s="7">
        <f>(Parameters!$B$10*G178^Parameters!$B$9 + Parameters!$B$11*N178^Parameters!$B$9) ^ (Parameters!$B$7/Parameters!$B$9) * K178</f>
        <v>1.5032569791069197</v>
      </c>
      <c r="P178" s="7">
        <f t="shared" si="34"/>
        <v>1.1453620054917963</v>
      </c>
      <c r="Q178" s="7">
        <f>EXP(-Parameters!$B$55*A178)</f>
        <v>7.226611007706836E-2</v>
      </c>
      <c r="R178" s="7">
        <f>IF(P178&gt;0,P178^(1-Parameters!$B$52)/(1-Parameters!$B$52)*Q178,-10+P178*1000)</f>
        <v>-0.19689589579460143</v>
      </c>
      <c r="S178" s="7"/>
      <c r="T178" s="7"/>
      <c r="U178" s="7"/>
      <c r="V178" s="7"/>
    </row>
    <row r="179" spans="1:22" x14ac:dyDescent="0.3">
      <c r="A179">
        <f>A178+Parameters!$B$65</f>
        <v>175</v>
      </c>
      <c r="B179" s="9">
        <f t="shared" si="38"/>
        <v>5.191758263687303E-2</v>
      </c>
      <c r="C179" s="9">
        <f t="shared" si="38"/>
        <v>1.0017548050425843E-2</v>
      </c>
      <c r="D179" s="7">
        <f t="shared" si="38"/>
        <v>0.2959598429278244</v>
      </c>
      <c r="E179" s="7">
        <f>MAX((1-Parameters!$B$4)^Parameters!B$65*E178+B178*Parameters!B$65-Parameters!$B$5*B178^2/E178*Parameters!B$65,0.0001)</f>
        <v>0.76972723466509219</v>
      </c>
      <c r="F179" s="9">
        <f>MAX((1-Parameters!$B$4)^Parameters!B$65*F178+C178*Parameters!B$65-Parameters!$B$5*C178^2/F178*Parameters!B$65,0.0001)</f>
        <v>0.14851961522722154</v>
      </c>
      <c r="G179" s="7">
        <f>MAX((1-Parameters!$B$4)^Parameters!B$65*G178+D178*Parameters!B$65-Parameters!$B$5*D178^2/G178*Parameters!B$65,0.0001)</f>
        <v>4.3878801169944888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7">
        <f>'6states'!$O$4</f>
        <v>0.98104277196026479</v>
      </c>
      <c r="L179" s="9">
        <f t="shared" si="35"/>
        <v>0.5</v>
      </c>
      <c r="N179" s="7">
        <f>(Parameters!$B$19*(E179+Parameters!$B$20)^L179+Parameters!$B$18*F179^L179)^(1/L179)</f>
        <v>0.53556448394154821</v>
      </c>
      <c r="O179" s="7">
        <f>(Parameters!$B$10*G179^Parameters!$B$9 + Parameters!$B$11*N179^Parameters!$B$9) ^ (Parameters!$B$7/Parameters!$B$9) * K179</f>
        <v>1.503256959767562</v>
      </c>
      <c r="P179" s="7">
        <f t="shared" si="34"/>
        <v>1.1453619861524387</v>
      </c>
      <c r="Q179" s="7">
        <f>EXP(-Parameters!$B$55*A179)</f>
        <v>7.1183089200741873E-2</v>
      </c>
      <c r="R179" s="7">
        <f>IF(P179&gt;0,P179^(1-Parameters!$B$52)/(1-Parameters!$B$52)*Q179,-10+P179*1000)</f>
        <v>-0.1939451034722742</v>
      </c>
      <c r="S179" s="7"/>
      <c r="T179" s="7"/>
      <c r="U179" s="7"/>
      <c r="V179" s="7"/>
    </row>
    <row r="180" spans="1:22" x14ac:dyDescent="0.3">
      <c r="A180">
        <f>A179+Parameters!$B$65</f>
        <v>176</v>
      </c>
      <c r="B180" s="9">
        <f t="shared" si="38"/>
        <v>5.191758263687303E-2</v>
      </c>
      <c r="C180" s="9">
        <f t="shared" si="38"/>
        <v>1.0017548050425843E-2</v>
      </c>
      <c r="D180" s="7">
        <f t="shared" si="38"/>
        <v>0.2959598429278244</v>
      </c>
      <c r="E180" s="7">
        <f>MAX((1-Parameters!$B$4)^Parameters!B$65*E179+B179*Parameters!B$65-Parameters!$B$5*B179^2/E179*Parameters!B$65,0.0001)</f>
        <v>0.76972716832189336</v>
      </c>
      <c r="F180" s="9">
        <f>MAX((1-Parameters!$B$4)^Parameters!B$65*F179+C179*Parameters!B$65-Parameters!$B$5*C179^2/F179*Parameters!B$65,0.0001)</f>
        <v>0.14851960260856067</v>
      </c>
      <c r="G180" s="7">
        <f>MAX((1-Parameters!$B$4)^Parameters!B$65*G179+D179*Parameters!B$65-Parameters!$B$5*D179^2/G179*Parameters!B$65,0.0001)</f>
        <v>4.3878799893127365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7">
        <f>'6states'!$O$4</f>
        <v>0.98104277196026479</v>
      </c>
      <c r="L180" s="9">
        <f t="shared" si="35"/>
        <v>0.5</v>
      </c>
      <c r="N180" s="7">
        <f>(Parameters!$B$19*(E180+Parameters!$B$20)^L180+Parameters!$B$18*F180^L180)^(1/L180)</f>
        <v>0.53556443838344303</v>
      </c>
      <c r="O180" s="7">
        <f>(Parameters!$B$10*G180^Parameters!$B$9 + Parameters!$B$11*N180^Parameters!$B$9) ^ (Parameters!$B$7/Parameters!$B$9) * K180</f>
        <v>1.5032569415566654</v>
      </c>
      <c r="P180" s="7">
        <f t="shared" si="34"/>
        <v>1.1453619679415423</v>
      </c>
      <c r="Q180" s="7">
        <f>EXP(-Parameters!$B$55*A180)</f>
        <v>7.0116299088978581E-2</v>
      </c>
      <c r="R180" s="7">
        <f>IF(P180&gt;0,P180^(1-Parameters!$B$52)/(1-Parameters!$B$52)*Q180,-10+P180*1000)</f>
        <v>-0.19103853331274781</v>
      </c>
      <c r="S180" s="7"/>
      <c r="T180" s="7"/>
      <c r="U180" s="7"/>
      <c r="V180" s="7"/>
    </row>
    <row r="181" spans="1:22" x14ac:dyDescent="0.3">
      <c r="A181">
        <f>A180+Parameters!$B$65</f>
        <v>177</v>
      </c>
      <c r="B181" s="9">
        <f t="shared" si="38"/>
        <v>5.191758263687303E-2</v>
      </c>
      <c r="C181" s="9">
        <f t="shared" si="38"/>
        <v>1.0017548050425843E-2</v>
      </c>
      <c r="D181" s="7">
        <f t="shared" si="38"/>
        <v>0.2959598429278244</v>
      </c>
      <c r="E181" s="7">
        <f>MAX((1-Parameters!$B$4)^Parameters!B$65*E180+B180*Parameters!B$65-Parameters!$B$5*B180^2/E180*Parameters!B$65,0.0001)</f>
        <v>0.76972710584985915</v>
      </c>
      <c r="F181" s="9">
        <f>MAX((1-Parameters!$B$4)^Parameters!B$65*F180+C180*Parameters!B$65-Parameters!$B$5*C180^2/F180*Parameters!B$65,0.0001)</f>
        <v>0.14851959072620607</v>
      </c>
      <c r="G181" s="7">
        <f>MAX((1-Parameters!$B$4)^Parameters!B$65*G180+D180*Parameters!B$65-Parameters!$B$5*D180^2/G180*Parameters!B$65,0.0001)</f>
        <v>4.3878798690812895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7">
        <f>'6states'!$O$4</f>
        <v>0.98104277196026479</v>
      </c>
      <c r="L181" s="9">
        <f t="shared" si="35"/>
        <v>0.5</v>
      </c>
      <c r="N181" s="7">
        <f>(Parameters!$B$19*(E181+Parameters!$B$20)^L181+Parameters!$B$18*F181^L181)^(1/L181)</f>
        <v>0.53556439548368007</v>
      </c>
      <c r="O181" s="7">
        <f>(Parameters!$B$10*G181^Parameters!$B$9 + Parameters!$B$11*N181^Parameters!$B$9) ^ (Parameters!$B$7/Parameters!$B$9) * K181</f>
        <v>1.5032569244083838</v>
      </c>
      <c r="P181" s="7">
        <f t="shared" si="34"/>
        <v>1.1453619507932604</v>
      </c>
      <c r="Q181" s="7">
        <f>EXP(-Parameters!$B$55*A181)</f>
        <v>6.9065496498343315E-2</v>
      </c>
      <c r="R181" s="7">
        <f>IF(P181&gt;0,P181^(1-Parameters!$B$52)/(1-Parameters!$B$52)*Q181,-10+P181*1000)</f>
        <v>-0.18817552258364947</v>
      </c>
      <c r="S181" s="7"/>
      <c r="T181" s="7"/>
      <c r="U181" s="7"/>
      <c r="V181" s="7"/>
    </row>
    <row r="182" spans="1:22" x14ac:dyDescent="0.3">
      <c r="A182">
        <f>A181+Parameters!$B$65</f>
        <v>178</v>
      </c>
      <c r="B182" s="9">
        <f t="shared" si="38"/>
        <v>5.191758263687303E-2</v>
      </c>
      <c r="C182" s="9">
        <f t="shared" si="38"/>
        <v>1.0017548050425843E-2</v>
      </c>
      <c r="D182" s="7">
        <f t="shared" si="38"/>
        <v>0.2959598429278244</v>
      </c>
      <c r="E182" s="7">
        <f>MAX((1-Parameters!$B$4)^Parameters!B$65*E181+B181*Parameters!B$65-Parameters!$B$5*B181^2/E181*Parameters!B$65,0.0001)</f>
        <v>0.7697270470231049</v>
      </c>
      <c r="F182" s="9">
        <f>MAX((1-Parameters!$B$4)^Parameters!B$65*F181+C181*Parameters!B$65-Parameters!$B$5*C181^2/F181*Parameters!B$65,0.0001)</f>
        <v>0.14851957953719383</v>
      </c>
      <c r="G182" s="7">
        <f>MAX((1-Parameters!$B$4)^Parameters!B$65*G181+D181*Parameters!B$65-Parameters!$B$5*D181^2/G181*Parameters!B$65,0.0001)</f>
        <v>4.3878797558654163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7">
        <f>'6states'!$O$4</f>
        <v>0.98104277196026479</v>
      </c>
      <c r="L182" s="9">
        <f t="shared" si="35"/>
        <v>0.5</v>
      </c>
      <c r="N182" s="7">
        <f>(Parameters!$B$19*(E182+Parameters!$B$20)^L182+Parameters!$B$18*F182^L182)^(1/L182)</f>
        <v>0.53556435508714351</v>
      </c>
      <c r="O182" s="7">
        <f>(Parameters!$B$10*G182^Parameters!$B$9 + Parameters!$B$11*N182^Parameters!$B$9) ^ (Parameters!$B$7/Parameters!$B$9) * K182</f>
        <v>1.503256908260713</v>
      </c>
      <c r="P182" s="7">
        <f t="shared" si="34"/>
        <v>1.1453619346455897</v>
      </c>
      <c r="Q182" s="7">
        <f>EXP(-Parameters!$B$55*A182)</f>
        <v>6.8030441830784896E-2</v>
      </c>
      <c r="R182" s="7">
        <f>IF(P182&gt;0,P182^(1-Parameters!$B$52)/(1-Parameters!$B$52)*Q182,-10+P182*1000)</f>
        <v>-0.18535541848425346</v>
      </c>
      <c r="S182" s="7"/>
      <c r="T182" s="7"/>
      <c r="U182" s="7"/>
      <c r="V182" s="7"/>
    </row>
    <row r="183" spans="1:22" x14ac:dyDescent="0.3">
      <c r="A183">
        <f>A182+Parameters!$B$65</f>
        <v>179</v>
      </c>
      <c r="B183" s="9">
        <f t="shared" si="38"/>
        <v>5.191758263687303E-2</v>
      </c>
      <c r="C183" s="9">
        <f t="shared" si="38"/>
        <v>1.0017548050425843E-2</v>
      </c>
      <c r="D183" s="7">
        <f t="shared" si="38"/>
        <v>0.2959598429278244</v>
      </c>
      <c r="E183" s="7">
        <f>MAX((1-Parameters!$B$4)^Parameters!B$65*E182+B182*Parameters!B$65-Parameters!$B$5*B182^2/E182*Parameters!B$65,0.0001)</f>
        <v>0.76972699162892622</v>
      </c>
      <c r="F183" s="9">
        <f>MAX((1-Parameters!$B$4)^Parameters!B$65*F182+C182*Parameters!B$65-Parameters!$B$5*C182^2/F182*Parameters!B$65,0.0001)</f>
        <v>0.14851956900106703</v>
      </c>
      <c r="G183" s="7">
        <f>MAX((1-Parameters!$B$4)^Parameters!B$65*G182+D182*Parameters!B$65-Parameters!$B$5*D182^2/G182*Parameters!B$65,0.0001)</f>
        <v>4.3878796492557557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7">
        <f>'6states'!$O$4</f>
        <v>0.98104277196026479</v>
      </c>
      <c r="L183" s="9">
        <f t="shared" si="35"/>
        <v>0.5</v>
      </c>
      <c r="N183" s="7">
        <f>(Parameters!$B$19*(E183+Parameters!$B$20)^L183+Parameters!$B$18*F183^L183)^(1/L183)</f>
        <v>0.53556431704776841</v>
      </c>
      <c r="O183" s="7">
        <f>(Parameters!$B$10*G183^Parameters!$B$9 + Parameters!$B$11*N183^Parameters!$B$9) ^ (Parameters!$B$7/Parameters!$B$9) * K183</f>
        <v>1.5032568930552672</v>
      </c>
      <c r="P183" s="7">
        <f t="shared" si="34"/>
        <v>1.1453619194401439</v>
      </c>
      <c r="Q183" s="7">
        <f>EXP(-Parameters!$B$55*A183)</f>
        <v>6.701089907900426E-2</v>
      </c>
      <c r="R183" s="7">
        <f>IF(P183&gt;0,P183^(1-Parameters!$B$52)/(1-Parameters!$B$52)*Q183,-10+P183*1000)</f>
        <v>-0.18257757799667093</v>
      </c>
      <c r="S183" s="7"/>
      <c r="T183" s="7"/>
      <c r="U183" s="7"/>
      <c r="V183" s="7"/>
    </row>
    <row r="184" spans="1:22" x14ac:dyDescent="0.3">
      <c r="A184">
        <f>A183+Parameters!$B$65</f>
        <v>180</v>
      </c>
      <c r="B184" s="9">
        <f t="shared" si="38"/>
        <v>5.191758263687303E-2</v>
      </c>
      <c r="C184" s="9">
        <f t="shared" si="38"/>
        <v>1.0017548050425843E-2</v>
      </c>
      <c r="D184" s="7">
        <f t="shared" si="38"/>
        <v>0.2959598429278244</v>
      </c>
      <c r="E184" s="7">
        <f>MAX((1-Parameters!$B$4)^Parameters!B$65*E183+B183*Parameters!B$65-Parameters!$B$5*B183^2/E183*Parameters!B$65,0.0001)</f>
        <v>0.7697269394670303</v>
      </c>
      <c r="F184" s="9">
        <f>MAX((1-Parameters!$B$4)^Parameters!B$65*F183+C183*Parameters!B$65-Parameters!$B$5*C183^2/F183*Parameters!B$65,0.0001)</f>
        <v>0.14851955907972941</v>
      </c>
      <c r="G184" s="7">
        <f>MAX((1-Parameters!$B$4)^Parameters!B$65*G183+D183*Parameters!B$65-Parameters!$B$5*D183^2/G183*Parameters!B$65,0.0001)</f>
        <v>4.3878795488668301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7">
        <f>'6states'!$O$4</f>
        <v>0.98104277196026479</v>
      </c>
      <c r="L184" s="9">
        <f t="shared" si="35"/>
        <v>0.5</v>
      </c>
      <c r="N184" s="7">
        <f>(Parameters!$B$19*(E184+Parameters!$B$20)^L184+Parameters!$B$18*F184^L184)^(1/L184)</f>
        <v>0.53556428122801325</v>
      </c>
      <c r="O184" s="7">
        <f>(Parameters!$B$10*G184^Parameters!$B$9 + Parameters!$B$11*N184^Parameters!$B$9) ^ (Parameters!$B$7/Parameters!$B$9) * K184</f>
        <v>1.5032568787370668</v>
      </c>
      <c r="P184" s="7">
        <f t="shared" si="34"/>
        <v>1.1453619051219435</v>
      </c>
      <c r="Q184" s="7">
        <f>EXP(-Parameters!$B$55*A184)</f>
        <v>6.6006635772641528E-2</v>
      </c>
      <c r="R184" s="7">
        <f>IF(P184&gt;0,P184^(1-Parameters!$B$52)/(1-Parameters!$B$52)*Q184,-10+P184*1000)</f>
        <v>-0.17984136773926854</v>
      </c>
      <c r="S184" s="7"/>
      <c r="T184" s="7"/>
      <c r="U184" s="7"/>
      <c r="V184" s="7"/>
    </row>
    <row r="185" spans="1:22" x14ac:dyDescent="0.3">
      <c r="A185">
        <f>A184+Parameters!$B$65</f>
        <v>181</v>
      </c>
      <c r="B185" s="9">
        <f t="shared" si="38"/>
        <v>5.191758263687303E-2</v>
      </c>
      <c r="C185" s="9">
        <f t="shared" si="38"/>
        <v>1.0017548050425843E-2</v>
      </c>
      <c r="D185" s="7">
        <f t="shared" si="38"/>
        <v>0.2959598429278244</v>
      </c>
      <c r="E185" s="7">
        <f>MAX((1-Parameters!$B$4)^Parameters!B$65*E184+B184*Parameters!B$65-Parameters!$B$5*B184^2/E184*Parameters!B$65,0.0001)</f>
        <v>0.76972689034881159</v>
      </c>
      <c r="F185" s="9">
        <f>MAX((1-Parameters!$B$4)^Parameters!B$65*F184+C184*Parameters!B$65-Parameters!$B$5*C184^2/F184*Parameters!B$65,0.0001)</f>
        <v>0.14851954973730766</v>
      </c>
      <c r="G185" s="7">
        <f>MAX((1-Parameters!$B$4)^Parameters!B$65*G184+D184*Parameters!B$65-Parameters!$B$5*D184^2/G184*Parameters!B$65,0.0001)</f>
        <v>4.3878794543356561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7">
        <f>'6states'!$O$4</f>
        <v>0.98104277196026479</v>
      </c>
      <c r="L185" s="9">
        <f t="shared" si="35"/>
        <v>0.5</v>
      </c>
      <c r="N185" s="7">
        <f>(Parameters!$B$19*(E185+Parameters!$B$20)^L185+Parameters!$B$18*F185^L185)^(1/L185)</f>
        <v>0.53556424749836185</v>
      </c>
      <c r="O185" s="7">
        <f>(Parameters!$B$10*G185^Parameters!$B$9 + Parameters!$B$11*N185^Parameters!$B$9) ^ (Parameters!$B$7/Parameters!$B$9) * K185</f>
        <v>1.5032568652543408</v>
      </c>
      <c r="P185" s="7">
        <f t="shared" si="34"/>
        <v>1.1453618916392174</v>
      </c>
      <c r="Q185" s="7">
        <f>EXP(-Parameters!$B$55*A185)</f>
        <v>6.5017422925269325E-2</v>
      </c>
      <c r="R185" s="7">
        <f>IF(P185&gt;0,P185^(1-Parameters!$B$52)/(1-Parameters!$B$52)*Q185,-10+P185*1000)</f>
        <v>-0.17714616382228091</v>
      </c>
      <c r="S185" s="7"/>
      <c r="T185" s="7"/>
      <c r="U185" s="7"/>
      <c r="V185" s="7"/>
    </row>
    <row r="186" spans="1:22" x14ac:dyDescent="0.3">
      <c r="A186">
        <f>A185+Parameters!$B$65</f>
        <v>182</v>
      </c>
      <c r="B186" s="9">
        <f t="shared" si="38"/>
        <v>5.191758263687303E-2</v>
      </c>
      <c r="C186" s="9">
        <f t="shared" si="38"/>
        <v>1.0017548050425843E-2</v>
      </c>
      <c r="D186" s="7">
        <f t="shared" si="38"/>
        <v>0.2959598429278244</v>
      </c>
      <c r="E186" s="7">
        <f>MAX((1-Parameters!$B$4)^Parameters!B$65*E185+B185*Parameters!B$65-Parameters!$B$5*B185^2/E185*Parameters!B$65,0.0001)</f>
        <v>0.76972684409666969</v>
      </c>
      <c r="F186" s="9">
        <f>MAX((1-Parameters!$B$4)^Parameters!B$65*F185+C185*Parameters!B$65-Parameters!$B$5*C185^2/F185*Parameters!B$65,0.0001)</f>
        <v>0.14851954094002168</v>
      </c>
      <c r="G186" s="7">
        <f>MAX((1-Parameters!$B$4)^Parameters!B$65*G185+D185*Parameters!B$65-Parameters!$B$5*D185^2/G185*Parameters!B$65,0.0001)</f>
        <v>4.3878793653204307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7">
        <f>'6states'!$O$4</f>
        <v>0.98104277196026479</v>
      </c>
      <c r="L186" s="9">
        <f t="shared" si="35"/>
        <v>0.5</v>
      </c>
      <c r="N186" s="7">
        <f>(Parameters!$B$19*(E186+Parameters!$B$20)^L186+Parameters!$B$18*F186^L186)^(1/L186)</f>
        <v>0.5355642157368552</v>
      </c>
      <c r="O186" s="7">
        <f>(Parameters!$B$10*G186^Parameters!$B$9 + Parameters!$B$11*N186^Parameters!$B$9) ^ (Parameters!$B$7/Parameters!$B$9) * K186</f>
        <v>1.503256852558339</v>
      </c>
      <c r="P186" s="7">
        <f t="shared" si="34"/>
        <v>1.1453618789432158</v>
      </c>
      <c r="Q186" s="7">
        <f>EXP(-Parameters!$B$55*A186)</f>
        <v>6.4043034982180613E-2</v>
      </c>
      <c r="R186" s="7">
        <f>IF(P186&gt;0,P186^(1-Parameters!$B$52)/(1-Parameters!$B$52)*Q186,-10+P186*1000)</f>
        <v>-0.17449135170558522</v>
      </c>
      <c r="S186" s="7"/>
      <c r="T186" s="7"/>
      <c r="U186" s="7"/>
      <c r="V186" s="7"/>
    </row>
    <row r="187" spans="1:22" x14ac:dyDescent="0.3">
      <c r="A187">
        <f>A186+Parameters!$B$65</f>
        <v>183</v>
      </c>
      <c r="B187" s="9">
        <f t="shared" si="38"/>
        <v>5.191758263687303E-2</v>
      </c>
      <c r="C187" s="9">
        <f t="shared" si="38"/>
        <v>1.0017548050425843E-2</v>
      </c>
      <c r="D187" s="7">
        <f t="shared" si="38"/>
        <v>0.2959598429278244</v>
      </c>
      <c r="E187" s="7">
        <f>MAX((1-Parameters!$B$4)^Parameters!B$65*E186+B186*Parameters!B$65-Parameters!$B$5*B186^2/E186*Parameters!B$65,0.0001)</f>
        <v>0.76972680054336728</v>
      </c>
      <c r="F187" s="9">
        <f>MAX((1-Parameters!$B$4)^Parameters!B$65*F186+C186*Parameters!B$65-Parameters!$B$5*C186^2/F186*Parameters!B$65,0.0001)</f>
        <v>0.14851953265606246</v>
      </c>
      <c r="G187" s="7">
        <f>MAX((1-Parameters!$B$4)^Parameters!B$65*G186+D186*Parameters!B$65-Parameters!$B$5*D186^2/G186*Parameters!B$65,0.0001)</f>
        <v>4.3878792814992957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7">
        <f>'6states'!$O$4</f>
        <v>0.98104277196026479</v>
      </c>
      <c r="L187" s="9">
        <f t="shared" si="35"/>
        <v>0.5</v>
      </c>
      <c r="N187" s="7">
        <f>(Parameters!$B$19*(E187+Parameters!$B$20)^L187+Parameters!$B$18*F187^L187)^(1/L187)</f>
        <v>0.53556418582865095</v>
      </c>
      <c r="O187" s="7">
        <f>(Parameters!$B$10*G187^Parameters!$B$9 + Parameters!$B$11*N187^Parameters!$B$9) ^ (Parameters!$B$7/Parameters!$B$9) * K187</f>
        <v>1.5032568406031555</v>
      </c>
      <c r="P187" s="7">
        <f t="shared" si="34"/>
        <v>1.1453618669880323</v>
      </c>
      <c r="Q187" s="7">
        <f>EXP(-Parameters!$B$55*A187)</f>
        <v>6.3083249768959085E-2</v>
      </c>
      <c r="R187" s="7">
        <f>IF(P187&gt;0,P187^(1-Parameters!$B$52)/(1-Parameters!$B$52)*Q187,-10+P187*1000)</f>
        <v>-0.17187632605860625</v>
      </c>
      <c r="S187" s="7"/>
      <c r="T187" s="7"/>
      <c r="U187" s="7"/>
      <c r="V187" s="7"/>
    </row>
    <row r="188" spans="1:22" x14ac:dyDescent="0.3">
      <c r="A188">
        <f>A187+Parameters!$B$65</f>
        <v>184</v>
      </c>
      <c r="B188" s="9">
        <f t="shared" si="38"/>
        <v>5.191758263687303E-2</v>
      </c>
      <c r="C188" s="9">
        <f t="shared" si="38"/>
        <v>1.0017548050425843E-2</v>
      </c>
      <c r="D188" s="7">
        <f t="shared" si="38"/>
        <v>0.2959598429278244</v>
      </c>
      <c r="E188" s="7">
        <f>MAX((1-Parameters!$B$4)^Parameters!B$65*E187+B187*Parameters!B$65-Parameters!$B$5*B187^2/E187*Parameters!B$65,0.0001)</f>
        <v>0.76972675953142544</v>
      </c>
      <c r="F188" s="9">
        <f>MAX((1-Parameters!$B$4)^Parameters!B$65*F187+C187*Parameters!B$65-Parameters!$B$5*C187^2/F187*Parameters!B$65,0.0001)</f>
        <v>0.14851952485547709</v>
      </c>
      <c r="G188" s="7">
        <f>MAX((1-Parameters!$B$4)^Parameters!B$65*G187+D187*Parameters!B$65-Parameters!$B$5*D187^2/G187*Parameters!B$65,0.0001)</f>
        <v>4.387879202569172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7">
        <f>'6states'!$O$4</f>
        <v>0.98104277196026479</v>
      </c>
      <c r="L188" s="9">
        <f t="shared" si="35"/>
        <v>0.5</v>
      </c>
      <c r="N188" s="7">
        <f>(Parameters!$B$19*(E188+Parameters!$B$20)^L188+Parameters!$B$18*F188^L188)^(1/L188)</f>
        <v>0.53556415766560805</v>
      </c>
      <c r="O188" s="7">
        <f>(Parameters!$B$10*G188^Parameters!$B$9 + Parameters!$B$11*N188^Parameters!$B$9) ^ (Parameters!$B$7/Parameters!$B$9) * K188</f>
        <v>1.503256829345563</v>
      </c>
      <c r="P188" s="7">
        <f t="shared" si="34"/>
        <v>1.1453618557304397</v>
      </c>
      <c r="Q188" s="7">
        <f>EXP(-Parameters!$B$55*A188)</f>
        <v>6.2137848440820063E-2</v>
      </c>
      <c r="R188" s="7">
        <f>IF(P188&gt;0,P188^(1-Parameters!$B$52)/(1-Parameters!$B$52)*Q188,-10+P188*1000)</f>
        <v>-0.16930049062231772</v>
      </c>
      <c r="S188" s="7"/>
      <c r="T188" s="7"/>
      <c r="U188" s="7"/>
      <c r="V188" s="7"/>
    </row>
    <row r="189" spans="1:22" x14ac:dyDescent="0.3">
      <c r="A189">
        <f>A188+Parameters!$B$65</f>
        <v>185</v>
      </c>
      <c r="B189" s="9">
        <f t="shared" si="38"/>
        <v>5.191758263687303E-2</v>
      </c>
      <c r="C189" s="9">
        <f t="shared" si="38"/>
        <v>1.0017548050425843E-2</v>
      </c>
      <c r="D189" s="7">
        <f t="shared" si="38"/>
        <v>0.2959598429278244</v>
      </c>
      <c r="E189" s="7">
        <f>MAX((1-Parameters!$B$4)^Parameters!B$65*E188+B188*Parameters!B$65-Parameters!$B$5*B188^2/E188*Parameters!B$65,0.0001)</f>
        <v>0.76972672091255434</v>
      </c>
      <c r="F189" s="9">
        <f>MAX((1-Parameters!$B$4)^Parameters!B$65*F188+C188*Parameters!B$65-Parameters!$B$5*C188^2/F188*Parameters!B$65,0.0001)</f>
        <v>0.14851951751006043</v>
      </c>
      <c r="G189" s="7">
        <f>MAX((1-Parameters!$B$4)^Parameters!B$65*G188+D188*Parameters!B$65-Parameters!$B$5*D188^2/G188*Parameters!B$65,0.0001)</f>
        <v>4.3878791282446663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7">
        <f>'6states'!$O$4</f>
        <v>0.98104277196026479</v>
      </c>
      <c r="L189" s="9">
        <f t="shared" si="35"/>
        <v>0.5</v>
      </c>
      <c r="N189" s="7">
        <f>(Parameters!$B$19*(E189+Parameters!$B$20)^L189+Parameters!$B$18*F189^L189)^(1/L189)</f>
        <v>0.53556413114589507</v>
      </c>
      <c r="O189" s="7">
        <f>(Parameters!$B$10*G189^Parameters!$B$9 + Parameters!$B$11*N189^Parameters!$B$9) ^ (Parameters!$B$7/Parameters!$B$9) * K189</f>
        <v>1.5032568187448572</v>
      </c>
      <c r="P189" s="7">
        <f t="shared" si="34"/>
        <v>1.145361845129734</v>
      </c>
      <c r="Q189" s="7">
        <f>EXP(-Parameters!$B$55*A189)</f>
        <v>6.1206615432710852E-2</v>
      </c>
      <c r="R189" s="7">
        <f>IF(P189&gt;0,P189^(1-Parameters!$B$52)/(1-Parameters!$B$52)*Q189,-10+P189*1000)</f>
        <v>-0.16676325807331147</v>
      </c>
      <c r="S189" s="7"/>
      <c r="T189" s="7"/>
      <c r="U189" s="7"/>
      <c r="V189" s="7"/>
    </row>
    <row r="190" spans="1:22" x14ac:dyDescent="0.3">
      <c r="A190">
        <f>A189+Parameters!$B$65</f>
        <v>186</v>
      </c>
      <c r="B190" s="9">
        <f t="shared" si="38"/>
        <v>5.191758263687303E-2</v>
      </c>
      <c r="C190" s="9">
        <f t="shared" si="38"/>
        <v>1.0017548050425843E-2</v>
      </c>
      <c r="D190" s="7">
        <f t="shared" si="38"/>
        <v>0.2959598429278244</v>
      </c>
      <c r="E190" s="7">
        <f>MAX((1-Parameters!$B$4)^Parameters!B$65*E189+B189*Parameters!B$65-Parameters!$B$5*B189^2/E189*Parameters!B$65,0.0001)</f>
        <v>0.7697266845471169</v>
      </c>
      <c r="F190" s="9">
        <f>MAX((1-Parameters!$B$4)^Parameters!B$65*F189+C189*Parameters!B$65-Parameters!$B$5*C189^2/F189*Parameters!B$65,0.0001)</f>
        <v>0.14851951059325308</v>
      </c>
      <c r="G190" s="7">
        <f>MAX((1-Parameters!$B$4)^Parameters!B$65*G189+D189*Parameters!B$65-Parameters!$B$5*D189^2/G189*Parameters!B$65,0.0001)</f>
        <v>4.3878790582570391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7">
        <f>'6states'!$O$4</f>
        <v>0.98104277196026479</v>
      </c>
      <c r="L190" s="9">
        <f t="shared" si="35"/>
        <v>0.5</v>
      </c>
      <c r="N190" s="7">
        <f>(Parameters!$B$19*(E190+Parameters!$B$20)^L190+Parameters!$B$18*F190^L190)^(1/L190)</f>
        <v>0.53556410617362271</v>
      </c>
      <c r="O190" s="7">
        <f>(Parameters!$B$10*G190^Parameters!$B$9 + Parameters!$B$11*N190^Parameters!$B$9) ^ (Parameters!$B$7/Parameters!$B$9) * K190</f>
        <v>1.5032568087627078</v>
      </c>
      <c r="P190" s="7">
        <f t="shared" si="34"/>
        <v>1.1453618351475847</v>
      </c>
      <c r="Q190" s="7">
        <f>EXP(-Parameters!$B$55*A190)</f>
        <v>6.0289338410158787E-2</v>
      </c>
      <c r="R190" s="7">
        <f>IF(P190&gt;0,P190^(1-Parameters!$B$52)/(1-Parameters!$B$52)*Q190,-10+P190*1000)</f>
        <v>-0.16426404988990201</v>
      </c>
      <c r="S190" s="7"/>
      <c r="T190" s="7"/>
      <c r="U190" s="7"/>
      <c r="V190" s="7"/>
    </row>
    <row r="191" spans="1:22" x14ac:dyDescent="0.3">
      <c r="A191">
        <f>A190+Parameters!$B$65</f>
        <v>187</v>
      </c>
      <c r="B191" s="9">
        <f t="shared" si="38"/>
        <v>5.191758263687303E-2</v>
      </c>
      <c r="C191" s="9">
        <f t="shared" si="38"/>
        <v>1.0017548050425843E-2</v>
      </c>
      <c r="D191" s="7">
        <f t="shared" si="38"/>
        <v>0.2959598429278244</v>
      </c>
      <c r="E191" s="7">
        <f>MAX((1-Parameters!$B$4)^Parameters!B$65*E190+B190*Parameters!B$65-Parameters!$B$5*B190^2/E190*Parameters!B$65,0.0001)</f>
        <v>0.76972665030362386</v>
      </c>
      <c r="F191" s="9">
        <f>MAX((1-Parameters!$B$4)^Parameters!B$65*F190+C190*Parameters!B$65-Parameters!$B$5*C190^2/F190*Parameters!B$65,0.0001)</f>
        <v>0.14851950408004549</v>
      </c>
      <c r="G191" s="7">
        <f>MAX((1-Parameters!$B$4)^Parameters!B$65*G190+D190*Parameters!B$65-Parameters!$B$5*D190^2/G190*Parameters!B$65,0.0001)</f>
        <v>4.3878789923532304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7">
        <f>'6states'!$O$4</f>
        <v>0.98104277196026479</v>
      </c>
      <c r="L191" s="9">
        <f t="shared" si="35"/>
        <v>0.5</v>
      </c>
      <c r="N191" s="7">
        <f>(Parameters!$B$19*(E191+Parameters!$B$20)^L191+Parameters!$B$18*F191^L191)^(1/L191)</f>
        <v>0.53556408265849698</v>
      </c>
      <c r="O191" s="7">
        <f>(Parameters!$B$10*G191^Parameters!$B$9 + Parameters!$B$11*N191^Parameters!$B$9) ^ (Parameters!$B$7/Parameters!$B$9) * K191</f>
        <v>1.5032567993630228</v>
      </c>
      <c r="P191" s="7">
        <f t="shared" si="34"/>
        <v>1.1453618257478997</v>
      </c>
      <c r="Q191" s="7">
        <f>EXP(-Parameters!$B$55*A191)</f>
        <v>5.9385808220855908E-2</v>
      </c>
      <c r="R191" s="7">
        <f>IF(P191&gt;0,P191^(1-Parameters!$B$52)/(1-Parameters!$B$52)*Q191,-10+P191*1000)</f>
        <v>-0.16180229622023579</v>
      </c>
      <c r="S191" s="7"/>
      <c r="T191" s="7"/>
      <c r="U191" s="7"/>
      <c r="V191" s="7"/>
    </row>
    <row r="192" spans="1:22" x14ac:dyDescent="0.3">
      <c r="A192">
        <f>A191+Parameters!$B$65</f>
        <v>188</v>
      </c>
      <c r="B192" s="9">
        <f t="shared" ref="B192:D204" si="39">B191</f>
        <v>5.191758263687303E-2</v>
      </c>
      <c r="C192" s="9">
        <f t="shared" si="39"/>
        <v>1.0017548050425843E-2</v>
      </c>
      <c r="D192" s="7">
        <f t="shared" si="39"/>
        <v>0.2959598429278244</v>
      </c>
      <c r="E192" s="7">
        <f>MAX((1-Parameters!$B$4)^Parameters!B$65*E191+B191*Parameters!B$65-Parameters!$B$5*B191^2/E191*Parameters!B$65,0.0001)</f>
        <v>0.76972661805825859</v>
      </c>
      <c r="F192" s="9">
        <f>MAX((1-Parameters!$B$4)^Parameters!B$65*F191+C191*Parameters!B$65-Parameters!$B$5*C191^2/F191*Parameters!B$65,0.0001)</f>
        <v>0.14851949794688737</v>
      </c>
      <c r="G192" s="7">
        <f>MAX((1-Parameters!$B$4)^Parameters!B$65*G191+D191*Parameters!B$65-Parameters!$B$5*D191^2/G191*Parameters!B$65,0.0001)</f>
        <v>4.3878789302949475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7">
        <f>'6states'!$O$4</f>
        <v>0.98104277196026479</v>
      </c>
      <c r="L192" s="9">
        <f t="shared" si="35"/>
        <v>0.5</v>
      </c>
      <c r="N192" s="7">
        <f>(Parameters!$B$19*(E192+Parameters!$B$20)^L192+Parameters!$B$18*F192^L192)^(1/L192)</f>
        <v>0.53556406051549266</v>
      </c>
      <c r="O192" s="7">
        <f>(Parameters!$B$10*G192^Parameters!$B$9 + Parameters!$B$11*N192^Parameters!$B$9) ^ (Parameters!$B$7/Parameters!$B$9) * K192</f>
        <v>1.5032567905118139</v>
      </c>
      <c r="P192" s="7">
        <f t="shared" si="34"/>
        <v>1.1453618168966906</v>
      </c>
      <c r="Q192" s="7">
        <f>EXP(-Parameters!$B$55*A192)</f>
        <v>5.8495818846969333E-2</v>
      </c>
      <c r="R192" s="7">
        <f>IF(P192&gt;0,P192^(1-Parameters!$B$52)/(1-Parameters!$B$52)*Q192,-10+P192*1000)</f>
        <v>-0.15937743575237684</v>
      </c>
      <c r="S192" s="7"/>
      <c r="T192" s="7"/>
      <c r="U192" s="7"/>
      <c r="V192" s="7"/>
    </row>
    <row r="193" spans="1:22" x14ac:dyDescent="0.3">
      <c r="A193">
        <f>A192+Parameters!$B$65</f>
        <v>189</v>
      </c>
      <c r="B193" s="9">
        <f t="shared" si="39"/>
        <v>5.191758263687303E-2</v>
      </c>
      <c r="C193" s="9">
        <f t="shared" si="39"/>
        <v>1.0017548050425843E-2</v>
      </c>
      <c r="D193" s="7">
        <f t="shared" si="39"/>
        <v>0.2959598429278244</v>
      </c>
      <c r="E193" s="7">
        <f>MAX((1-Parameters!$B$4)^Parameters!B$65*E192+B192*Parameters!B$65-Parameters!$B$5*B192^2/E192*Parameters!B$65,0.0001)</f>
        <v>0.76972658769442914</v>
      </c>
      <c r="F193" s="9">
        <f>MAX((1-Parameters!$B$4)^Parameters!B$65*F192+C192*Parameters!B$65-Parameters!$B$5*C192^2/F192*Parameters!B$65,0.0001)</f>
        <v>0.14851949217160257</v>
      </c>
      <c r="G193" s="7">
        <f>MAX((1-Parameters!$B$4)^Parameters!B$65*G192+D192*Parameters!B$65-Parameters!$B$5*D192^2/G192*Parameters!B$65,0.0001)</f>
        <v>4.3878788718578008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7">
        <f>'6states'!$O$4</f>
        <v>0.98104277196026479</v>
      </c>
      <c r="L193" s="9">
        <f t="shared" si="35"/>
        <v>0.5</v>
      </c>
      <c r="N193" s="7">
        <f>(Parameters!$B$19*(E193+Parameters!$B$20)^L193+Parameters!$B$18*F193^L193)^(1/L193)</f>
        <v>0.53556403966454558</v>
      </c>
      <c r="O193" s="7">
        <f>(Parameters!$B$10*G193^Parameters!$B$9 + Parameters!$B$11*N193^Parameters!$B$9) ^ (Parameters!$B$7/Parameters!$B$9) * K193</f>
        <v>1.5032567821770786</v>
      </c>
      <c r="P193" s="7">
        <f t="shared" si="34"/>
        <v>1.1453618085619555</v>
      </c>
      <c r="Q193" s="7">
        <f>EXP(-Parameters!$B$55*A193)</f>
        <v>5.7619167358166093E-2</v>
      </c>
      <c r="R193" s="7">
        <f>IF(P193&gt;0,P193^(1-Parameters!$B$52)/(1-Parameters!$B$52)*Q193,-10+P193*1000)</f>
        <v>-0.15698891558633696</v>
      </c>
      <c r="S193" s="7"/>
      <c r="T193" s="7"/>
      <c r="U193" s="7"/>
      <c r="V193" s="7"/>
    </row>
    <row r="194" spans="1:22" x14ac:dyDescent="0.3">
      <c r="A194">
        <f>A193+Parameters!$B$65</f>
        <v>190</v>
      </c>
      <c r="B194" s="9">
        <f t="shared" si="39"/>
        <v>5.191758263687303E-2</v>
      </c>
      <c r="C194" s="9">
        <f t="shared" si="39"/>
        <v>1.0017548050425843E-2</v>
      </c>
      <c r="D194" s="7">
        <f t="shared" si="39"/>
        <v>0.2959598429278244</v>
      </c>
      <c r="E194" s="7">
        <f>MAX((1-Parameters!$B$4)^Parameters!B$65*E193+B193*Parameters!B$65-Parameters!$B$5*B193^2/E193*Parameters!B$65,0.0001)</f>
        <v>0.76972655910234677</v>
      </c>
      <c r="F194" s="9">
        <f>MAX((1-Parameters!$B$4)^Parameters!B$65*F193+C193*Parameters!B$65-Parameters!$B$5*C193^2/F193*Parameters!B$65,0.0001)</f>
        <v>0.148519486733309</v>
      </c>
      <c r="G194" s="7">
        <f>MAX((1-Parameters!$B$4)^Parameters!B$65*G193+D193*Parameters!B$65-Parameters!$B$5*D193^2/G193*Parameters!B$65,0.0001)</f>
        <v>4.3878788168304954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7">
        <f>'6states'!$O$4</f>
        <v>0.98104277196026479</v>
      </c>
      <c r="L194" s="9">
        <f t="shared" si="35"/>
        <v>0.5</v>
      </c>
      <c r="N194" s="7">
        <f>(Parameters!$B$19*(E194+Parameters!$B$20)^L194+Parameters!$B$18*F194^L194)^(1/L194)</f>
        <v>0.53556402003026304</v>
      </c>
      <c r="O194" s="7">
        <f>(Parameters!$B$10*G194^Parameters!$B$9 + Parameters!$B$11*N194^Parameters!$B$9) ^ (Parameters!$B$7/Parameters!$B$9) * K194</f>
        <v>1.5032567743286789</v>
      </c>
      <c r="P194" s="7">
        <f t="shared" si="34"/>
        <v>1.1453618007135558</v>
      </c>
      <c r="Q194" s="7">
        <f>EXP(-Parameters!$B$55*A194)</f>
        <v>5.6755653865342197E-2</v>
      </c>
      <c r="R194" s="7">
        <f>IF(P194&gt;0,P194^(1-Parameters!$B$52)/(1-Parameters!$B$52)*Q194,-10+P194*1000)</f>
        <v>-0.15463619110802393</v>
      </c>
      <c r="S194" s="7"/>
      <c r="T194" s="7"/>
      <c r="U194" s="7"/>
      <c r="V194" s="7"/>
    </row>
    <row r="195" spans="1:22" x14ac:dyDescent="0.3">
      <c r="A195">
        <f>A194+Parameters!$B$65</f>
        <v>191</v>
      </c>
      <c r="B195" s="9">
        <f t="shared" si="39"/>
        <v>5.191758263687303E-2</v>
      </c>
      <c r="C195" s="9">
        <f t="shared" si="39"/>
        <v>1.0017548050425843E-2</v>
      </c>
      <c r="D195" s="7">
        <f t="shared" si="39"/>
        <v>0.2959598429278244</v>
      </c>
      <c r="E195" s="7">
        <f>MAX((1-Parameters!$B$4)^Parameters!B$65*E194+B194*Parameters!B$65-Parameters!$B$5*B194^2/E194*Parameters!B$65,0.0001)</f>
        <v>0.76972653217862896</v>
      </c>
      <c r="F195" s="9">
        <f>MAX((1-Parameters!$B$4)^Parameters!B$65*F194+C194*Parameters!B$65-Parameters!$B$5*C194^2/F194*Parameters!B$65,0.0001)</f>
        <v>0.14851948161234302</v>
      </c>
      <c r="G195" s="7">
        <f>MAX((1-Parameters!$B$4)^Parameters!B$65*G194+D194*Parameters!B$65-Parameters!$B$5*D194^2/G194*Parameters!B$65,0.0001)</f>
        <v>4.3878787650140652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7">
        <f>'6states'!$O$4</f>
        <v>0.98104277196026479</v>
      </c>
      <c r="L195" s="9">
        <f t="shared" si="35"/>
        <v>0.5</v>
      </c>
      <c r="N195" s="7">
        <f>(Parameters!$B$19*(E195+Parameters!$B$20)^L195+Parameters!$B$18*F195^L195)^(1/L195)</f>
        <v>0.53556400154165262</v>
      </c>
      <c r="O195" s="7">
        <f>(Parameters!$B$10*G195^Parameters!$B$9 + Parameters!$B$11*N195^Parameters!$B$9) ^ (Parameters!$B$7/Parameters!$B$9) * K195</f>
        <v>1.5032567669382377</v>
      </c>
      <c r="P195" s="7">
        <f t="shared" si="34"/>
        <v>1.1453617933231146</v>
      </c>
      <c r="Q195" s="7">
        <f>EXP(-Parameters!$B$55*A195)</f>
        <v>5.5905081475045089E-2</v>
      </c>
      <c r="R195" s="7">
        <f>IF(P195&gt;0,P195^(1-Parameters!$B$52)/(1-Parameters!$B$52)*Q195,-10+P195*1000)</f>
        <v>-0.15231872586507672</v>
      </c>
      <c r="S195" s="7"/>
      <c r="T195" s="7"/>
      <c r="U195" s="7"/>
      <c r="V195" s="7"/>
    </row>
    <row r="196" spans="1:22" x14ac:dyDescent="0.3">
      <c r="A196">
        <f>A195+Parameters!$B$65</f>
        <v>192</v>
      </c>
      <c r="B196" s="9">
        <f t="shared" si="39"/>
        <v>5.191758263687303E-2</v>
      </c>
      <c r="C196" s="9">
        <f t="shared" si="39"/>
        <v>1.0017548050425843E-2</v>
      </c>
      <c r="D196" s="7">
        <f t="shared" si="39"/>
        <v>0.2959598429278244</v>
      </c>
      <c r="E196" s="7">
        <f>MAX((1-Parameters!$B$4)^Parameters!B$65*E195+B195*Parameters!B$65-Parameters!$B$5*B195^2/E195*Parameters!B$65,0.0001)</f>
        <v>0.7697265068259258</v>
      </c>
      <c r="F196" s="9">
        <f>MAX((1-Parameters!$B$4)^Parameters!B$65*F195+C195*Parameters!B$65-Parameters!$B$5*C195^2/F195*Parameters!B$65,0.0001)</f>
        <v>0.14851947679018834</v>
      </c>
      <c r="G196" s="7">
        <f>MAX((1-Parameters!$B$4)^Parameters!B$65*G195+D195*Parameters!B$65-Parameters!$B$5*D195^2/G195*Parameters!B$65,0.0001)</f>
        <v>4.3878787162211532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7">
        <f>'6states'!$O$4</f>
        <v>0.98104277196026479</v>
      </c>
      <c r="L196" s="9">
        <f t="shared" si="35"/>
        <v>0.5</v>
      </c>
      <c r="N196" s="7">
        <f>(Parameters!$B$19*(E196+Parameters!$B$20)^L196+Parameters!$B$18*F196^L196)^(1/L196)</f>
        <v>0.53556398413186312</v>
      </c>
      <c r="O196" s="7">
        <f>(Parameters!$B$10*G196^Parameters!$B$9 + Parameters!$B$11*N196^Parameters!$B$9) ^ (Parameters!$B$7/Parameters!$B$9) * K196</f>
        <v>1.5032567599790327</v>
      </c>
      <c r="P196" s="7">
        <f t="shared" ref="P196:P259" si="40">O196-B196-C196-D196</f>
        <v>1.1453617863639094</v>
      </c>
      <c r="Q196" s="7">
        <f>EXP(-Parameters!$B$55*A196)</f>
        <v>5.5067256244579005E-2</v>
      </c>
      <c r="R196" s="7">
        <f>IF(P196&gt;0,P196^(1-Parameters!$B$52)/(1-Parameters!$B$52)*Q196,-10+P196*1000)</f>
        <v>-0.15003599144456137</v>
      </c>
      <c r="S196" s="7"/>
      <c r="T196" s="7"/>
      <c r="U196" s="7"/>
      <c r="V196" s="7"/>
    </row>
    <row r="197" spans="1:22" x14ac:dyDescent="0.3">
      <c r="A197">
        <f>A196+Parameters!$B$65</f>
        <v>193</v>
      </c>
      <c r="B197" s="9">
        <f t="shared" si="39"/>
        <v>5.191758263687303E-2</v>
      </c>
      <c r="C197" s="9">
        <f t="shared" si="39"/>
        <v>1.0017548050425843E-2</v>
      </c>
      <c r="D197" s="7">
        <f t="shared" si="39"/>
        <v>0.2959598429278244</v>
      </c>
      <c r="E197" s="7">
        <f>MAX((1-Parameters!$B$4)^Parameters!B$65*E196+B196*Parameters!B$65-Parameters!$B$5*B196^2/E196*Parameters!B$65,0.0001)</f>
        <v>0.76972648295256751</v>
      </c>
      <c r="F197" s="9">
        <f>MAX((1-Parameters!$B$4)^Parameters!B$65*F196+C196*Parameters!B$65-Parameters!$B$5*C196^2/F196*Parameters!B$65,0.0001)</f>
        <v>0.1485194722494092</v>
      </c>
      <c r="G197" s="7">
        <f>MAX((1-Parameters!$B$4)^Parameters!B$65*G196+D196*Parameters!B$65-Parameters!$B$5*D196^2/G196*Parameters!B$65,0.0001)</f>
        <v>4.3878786702753354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7">
        <f>'6states'!$O$4</f>
        <v>0.98104277196026479</v>
      </c>
      <c r="L197" s="9">
        <f t="shared" si="35"/>
        <v>0.5</v>
      </c>
      <c r="N197" s="7">
        <f>(Parameters!$B$19*(E197+Parameters!$B$20)^L197+Parameters!$B$18*F197^L197)^(1/L197)</f>
        <v>0.5355639677379449</v>
      </c>
      <c r="O197" s="7">
        <f>(Parameters!$B$10*G197^Parameters!$B$9 + Parameters!$B$11*N197^Parameters!$B$9) ^ (Parameters!$B$7/Parameters!$B$9) * K197</f>
        <v>1.5032567534259014</v>
      </c>
      <c r="P197" s="7">
        <f t="shared" si="40"/>
        <v>1.145361779810778</v>
      </c>
      <c r="Q197" s="7">
        <f>EXP(-Parameters!$B$55*A197)</f>
        <v>5.4241987137783339E-2</v>
      </c>
      <c r="R197" s="7">
        <f>IF(P197&gt;0,P197^(1-Parameters!$B$52)/(1-Parameters!$B$52)*Q197,-10+P197*1000)</f>
        <v>-0.14778746735249831</v>
      </c>
      <c r="S197" s="7"/>
      <c r="T197" s="7"/>
      <c r="U197" s="7"/>
      <c r="V197" s="7"/>
    </row>
    <row r="198" spans="1:22" x14ac:dyDescent="0.3">
      <c r="A198">
        <f>A197+Parameters!$B$65</f>
        <v>194</v>
      </c>
      <c r="B198" s="9">
        <f t="shared" si="39"/>
        <v>5.191758263687303E-2</v>
      </c>
      <c r="C198" s="9">
        <f t="shared" si="39"/>
        <v>1.0017548050425843E-2</v>
      </c>
      <c r="D198" s="7">
        <f t="shared" si="39"/>
        <v>0.2959598429278244</v>
      </c>
      <c r="E198" s="7">
        <f>MAX((1-Parameters!$B$4)^Parameters!B$65*E197+B197*Parameters!B$65-Parameters!$B$5*B197^2/E197*Parameters!B$65,0.0001)</f>
        <v>0.76972646047223348</v>
      </c>
      <c r="F198" s="9">
        <f>MAX((1-Parameters!$B$4)^Parameters!B$65*F197+C197*Parameters!B$65-Parameters!$B$5*C197^2/F197*Parameters!B$65,0.0001)</f>
        <v>0.14851946797358717</v>
      </c>
      <c r="G198" s="7">
        <f>MAX((1-Parameters!$B$4)^Parameters!B$65*G197+D197*Parameters!B$65-Parameters!$B$5*D197^2/G197*Parameters!B$65,0.0001)</f>
        <v>4.3878786270104833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7">
        <f>'6states'!$O$4</f>
        <v>0.98104277196026479</v>
      </c>
      <c r="L198" s="9">
        <f t="shared" ref="L198:L204" si="41">L197</f>
        <v>0.5</v>
      </c>
      <c r="N198" s="7">
        <f>(Parameters!$B$19*(E198+Parameters!$B$20)^L198+Parameters!$B$18*F198^L198)^(1/L198)</f>
        <v>0.53556395230062148</v>
      </c>
      <c r="O198" s="7">
        <f>(Parameters!$B$10*G198^Parameters!$B$9 + Parameters!$B$11*N198^Parameters!$B$9) ^ (Parameters!$B$7/Parameters!$B$9) * K198</f>
        <v>1.5032567472551488</v>
      </c>
      <c r="P198" s="7">
        <f t="shared" si="40"/>
        <v>1.1453617736400257</v>
      </c>
      <c r="Q198" s="7">
        <f>EXP(-Parameters!$B$55*A198)</f>
        <v>5.3429085981473647E-2</v>
      </c>
      <c r="R198" s="7">
        <f>IF(P198&gt;0,P198^(1-Parameters!$B$52)/(1-Parameters!$B$52)*Q198,-10+P198*1000)</f>
        <v>-0.14557264089519495</v>
      </c>
      <c r="S198" s="7"/>
      <c r="T198" s="7"/>
      <c r="U198" s="7"/>
      <c r="V198" s="7"/>
    </row>
    <row r="199" spans="1:22" x14ac:dyDescent="0.3">
      <c r="A199">
        <f>A198+Parameters!$B$65</f>
        <v>195</v>
      </c>
      <c r="B199" s="9">
        <f t="shared" si="39"/>
        <v>5.191758263687303E-2</v>
      </c>
      <c r="C199" s="9">
        <f t="shared" si="39"/>
        <v>1.0017548050425843E-2</v>
      </c>
      <c r="D199" s="7">
        <f t="shared" si="39"/>
        <v>0.2959598429278244</v>
      </c>
      <c r="E199" s="7">
        <f>MAX((1-Parameters!$B$4)^Parameters!B$65*E198+B198*Parameters!B$65-Parameters!$B$5*B198^2/E198*Parameters!B$65,0.0001)</f>
        <v>0.76972643930364004</v>
      </c>
      <c r="F199" s="9">
        <f>MAX((1-Parameters!$B$4)^Parameters!B$65*F198+C198*Parameters!B$65-Parameters!$B$5*C198^2/F198*Parameters!B$65,0.0001)</f>
        <v>0.14851946394726184</v>
      </c>
      <c r="G199" s="7">
        <f>MAX((1-Parameters!$B$4)^Parameters!B$65*G198+D198*Parameters!B$65-Parameters!$B$5*D198^2/G198*Parameters!B$65,0.0001)</f>
        <v>4.3878785862701601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7">
        <f>'6states'!$O$4</f>
        <v>0.98104277196026479</v>
      </c>
      <c r="L199" s="9">
        <f t="shared" si="41"/>
        <v>0.5</v>
      </c>
      <c r="N199" s="7">
        <f>(Parameters!$B$19*(E199+Parameters!$B$20)^L199+Parameters!$B$18*F199^L199)^(1/L199)</f>
        <v>0.53556393776407485</v>
      </c>
      <c r="O199" s="7">
        <f>(Parameters!$B$10*G199^Parameters!$B$9 + Parameters!$B$11*N199^Parameters!$B$9) ^ (Parameters!$B$7/Parameters!$B$9) * K199</f>
        <v>1.5032567414444631</v>
      </c>
      <c r="P199" s="7">
        <f t="shared" si="40"/>
        <v>1.14536176782934</v>
      </c>
      <c r="Q199" s="7">
        <f>EXP(-Parameters!$B$55*A199)</f>
        <v>5.2628367422535426E-2</v>
      </c>
      <c r="R199" s="7">
        <f>IF(P199&gt;0,P199^(1-Parameters!$B$52)/(1-Parameters!$B$52)*Q199,-10+P199*1000)</f>
        <v>-0.14339100706235541</v>
      </c>
      <c r="S199" s="7"/>
      <c r="T199" s="7"/>
      <c r="U199" s="7"/>
      <c r="V199" s="7"/>
    </row>
    <row r="200" spans="1:22" x14ac:dyDescent="0.3">
      <c r="A200">
        <f>A199+Parameters!$B$65</f>
        <v>196</v>
      </c>
      <c r="B200" s="9">
        <f t="shared" si="39"/>
        <v>5.191758263687303E-2</v>
      </c>
      <c r="C200" s="9">
        <f t="shared" si="39"/>
        <v>1.0017548050425843E-2</v>
      </c>
      <c r="D200" s="7">
        <f t="shared" si="39"/>
        <v>0.2959598429278244</v>
      </c>
      <c r="E200" s="7">
        <f>MAX((1-Parameters!$B$4)^Parameters!B$65*E199+B199*Parameters!B$65-Parameters!$B$5*B199^2/E199*Parameters!B$65,0.0001)</f>
        <v>0.76972641937024633</v>
      </c>
      <c r="F200" s="9">
        <f>MAX((1-Parameters!$B$4)^Parameters!B$65*F199+C199*Parameters!B$65-Parameters!$B$5*C199^2/F199*Parameters!B$65,0.0001)</f>
        <v>0.14851946015587492</v>
      </c>
      <c r="G200" s="7">
        <f>MAX((1-Parameters!$B$4)^Parameters!B$65*G199+D199*Parameters!B$65-Parameters!$B$5*D199^2/G199*Parameters!B$65,0.0001)</f>
        <v>4.3878785479070581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7">
        <f>'6states'!$O$4</f>
        <v>0.98104277196026479</v>
      </c>
      <c r="L200" s="9">
        <f t="shared" si="41"/>
        <v>0.5</v>
      </c>
      <c r="N200" s="7">
        <f>(Parameters!$B$19*(E200+Parameters!$B$20)^L200+Parameters!$B$18*F200^L200)^(1/L200)</f>
        <v>0.53556392407574416</v>
      </c>
      <c r="O200" s="7">
        <f>(Parameters!$B$10*G200^Parameters!$B$9 + Parameters!$B$11*N200^Parameters!$B$9) ^ (Parameters!$B$7/Parameters!$B$9) * K200</f>
        <v>1.5032567359728342</v>
      </c>
      <c r="P200" s="7">
        <f t="shared" si="40"/>
        <v>1.145361762357711</v>
      </c>
      <c r="Q200" s="7">
        <f>EXP(-Parameters!$B$55*A200)</f>
        <v>5.1839648885661067E-2</v>
      </c>
      <c r="R200" s="7">
        <f>IF(P200&gt;0,P200^(1-Parameters!$B$52)/(1-Parameters!$B$52)*Q200,-10+P200*1000)</f>
        <v>-0.14124206841194181</v>
      </c>
      <c r="S200" s="7"/>
      <c r="T200" s="7"/>
      <c r="U200" s="7"/>
      <c r="V200" s="7"/>
    </row>
    <row r="201" spans="1:22" x14ac:dyDescent="0.3">
      <c r="A201">
        <f>A200+Parameters!$B$65</f>
        <v>197</v>
      </c>
      <c r="B201" s="9">
        <f t="shared" si="39"/>
        <v>5.191758263687303E-2</v>
      </c>
      <c r="C201" s="9">
        <f t="shared" si="39"/>
        <v>1.0017548050425843E-2</v>
      </c>
      <c r="D201" s="7">
        <f t="shared" si="39"/>
        <v>0.2959598429278244</v>
      </c>
      <c r="E201" s="7">
        <f>MAX((1-Parameters!$B$4)^Parameters!B$65*E200+B200*Parameters!B$65-Parameters!$B$5*B200^2/E200*Parameters!B$65,0.0001)</f>
        <v>0.76972640059997754</v>
      </c>
      <c r="F201" s="9">
        <f>MAX((1-Parameters!$B$4)^Parameters!B$65*F200+C200*Parameters!B$65-Parameters!$B$5*C200^2/F200*Parameters!B$65,0.0001)</f>
        <v>0.14851945658571764</v>
      </c>
      <c r="G201" s="7">
        <f>MAX((1-Parameters!$B$4)^Parameters!B$65*G200+D200*Parameters!B$65-Parameters!$B$5*D200^2/G200*Parameters!B$65,0.0001)</f>
        <v>4.3878785117824659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7">
        <f>'6states'!$O$4</f>
        <v>0.98104277196026479</v>
      </c>
      <c r="L201" s="9">
        <f t="shared" si="41"/>
        <v>0.5</v>
      </c>
      <c r="N201" s="7">
        <f>(Parameters!$B$19*(E201+Parameters!$B$20)^L201+Parameters!$B$18*F201^L201)^(1/L201)</f>
        <v>0.53556391118613522</v>
      </c>
      <c r="O201" s="7">
        <f>(Parameters!$B$10*G201^Parameters!$B$9 + Parameters!$B$11*N201^Parameters!$B$9) ^ (Parameters!$B$7/Parameters!$B$9) * K201</f>
        <v>1.5032567308204774</v>
      </c>
      <c r="P201" s="7">
        <f t="shared" si="40"/>
        <v>1.1453617572053543</v>
      </c>
      <c r="Q201" s="7">
        <f>EXP(-Parameters!$B$55*A201)</f>
        <v>5.1062750531719887E-2</v>
      </c>
      <c r="R201" s="7">
        <f>IF(P201&gt;0,P201^(1-Parameters!$B$52)/(1-Parameters!$B$52)*Q201,-10+P201*1000)</f>
        <v>-0.13912533495675994</v>
      </c>
      <c r="S201" s="7"/>
      <c r="T201" s="7"/>
      <c r="U201" s="7"/>
      <c r="V201" s="7"/>
    </row>
    <row r="202" spans="1:22" x14ac:dyDescent="0.3">
      <c r="A202">
        <f>A201+Parameters!$B$65</f>
        <v>198</v>
      </c>
      <c r="B202" s="9">
        <f t="shared" si="39"/>
        <v>5.191758263687303E-2</v>
      </c>
      <c r="C202" s="9">
        <f t="shared" si="39"/>
        <v>1.0017548050425843E-2</v>
      </c>
      <c r="D202" s="7">
        <f t="shared" si="39"/>
        <v>0.2959598429278244</v>
      </c>
      <c r="E202" s="7">
        <f>MAX((1-Parameters!$B$4)^Parameters!B$65*E201+B201*Parameters!B$65-Parameters!$B$5*B201^2/E201*Parameters!B$65,0.0001)</f>
        <v>0.76972638292496487</v>
      </c>
      <c r="F202" s="9">
        <f>MAX((1-Parameters!$B$4)^Parameters!B$65*F201+C201*Parameters!B$65-Parameters!$B$5*C201^2/F201*Parameters!B$65,0.0001)</f>
        <v>0.14851945322388108</v>
      </c>
      <c r="G202" s="7">
        <f>MAX((1-Parameters!$B$4)^Parameters!B$65*G201+D201*Parameters!B$65-Parameters!$B$5*D201^2/G201*Parameters!B$65,0.0001)</f>
        <v>4.3878784777657636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7">
        <f>'6states'!$O$4</f>
        <v>0.98104277196026479</v>
      </c>
      <c r="L202" s="9">
        <f t="shared" si="41"/>
        <v>0.5</v>
      </c>
      <c r="N202" s="7">
        <f>(Parameters!$B$19*(E202+Parameters!$B$20)^L202+Parameters!$B$18*F202^L202)^(1/L202)</f>
        <v>0.53556389904864254</v>
      </c>
      <c r="O202" s="7">
        <f>(Parameters!$B$10*G202^Parameters!$B$9 + Parameters!$B$11*N202^Parameters!$B$9) ^ (Parameters!$B$7/Parameters!$B$9) * K202</f>
        <v>1.5032567259687637</v>
      </c>
      <c r="P202" s="7">
        <f t="shared" si="40"/>
        <v>1.1453617523536406</v>
      </c>
      <c r="Q202" s="7">
        <f>EXP(-Parameters!$B$55*A202)</f>
        <v>5.0297495216752343E-2</v>
      </c>
      <c r="R202" s="7">
        <f>IF(P202&gt;0,P202^(1-Parameters!$B$52)/(1-Parameters!$B$52)*Q202,-10+P202*1000)</f>
        <v>-0.13704032405274447</v>
      </c>
      <c r="S202" s="7"/>
      <c r="T202" s="7"/>
      <c r="U202" s="7"/>
      <c r="V202" s="7"/>
    </row>
    <row r="203" spans="1:22" x14ac:dyDescent="0.3">
      <c r="A203">
        <f>A202+Parameters!$B$65</f>
        <v>199</v>
      </c>
      <c r="B203" s="9">
        <f t="shared" si="39"/>
        <v>5.191758263687303E-2</v>
      </c>
      <c r="C203" s="9">
        <f t="shared" si="39"/>
        <v>1.0017548050425843E-2</v>
      </c>
      <c r="D203" s="7">
        <f t="shared" si="39"/>
        <v>0.2959598429278244</v>
      </c>
      <c r="E203" s="7">
        <f>MAX((1-Parameters!$B$4)^Parameters!B$65*E202+B202*Parameters!B$65-Parameters!$B$5*B202^2/E202*Parameters!B$65,0.0001)</f>
        <v>0.76972636628129942</v>
      </c>
      <c r="F203" s="9">
        <f>MAX((1-Parameters!$B$4)^Parameters!B$65*F202+C202*Parameters!B$65-Parameters!$B$5*C202^2/F202*Parameters!B$65,0.0001)</f>
        <v>0.14851945005820963</v>
      </c>
      <c r="G203" s="7">
        <f>MAX((1-Parameters!$B$4)^Parameters!B$65*G202+D202*Parameters!B$65-Parameters!$B$5*D202^2/G202*Parameters!B$65,0.0001)</f>
        <v>4.3878784457339552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7">
        <f>'6states'!$O$4</f>
        <v>0.98104277196026479</v>
      </c>
      <c r="L203" s="9">
        <f t="shared" si="41"/>
        <v>0.5</v>
      </c>
      <c r="N203" s="7">
        <f>(Parameters!$B$19*(E203+Parameters!$B$20)^L203+Parameters!$B$18*F203^L203)^(1/L203)</f>
        <v>0.53556388761937967</v>
      </c>
      <c r="O203" s="7">
        <f>(Parameters!$B$10*G203^Parameters!$B$9 + Parameters!$B$11*N203^Parameters!$B$9) ^ (Parameters!$B$7/Parameters!$B$9) * K203</f>
        <v>1.5032567214001502</v>
      </c>
      <c r="P203" s="7">
        <f t="shared" si="40"/>
        <v>1.1453617477850271</v>
      </c>
      <c r="Q203" s="7">
        <f>EXP(-Parameters!$B$55*A203)</f>
        <v>4.9543708451578718E-2</v>
      </c>
      <c r="R203" s="7">
        <f>IF(P203&gt;0,P203^(1-Parameters!$B$52)/(1-Parameters!$B$52)*Q203,-10+P203*1000)</f>
        <v>-0.13498656028891781</v>
      </c>
      <c r="S203" s="7"/>
      <c r="T203" s="7"/>
      <c r="U203" s="7"/>
      <c r="V203" s="7"/>
    </row>
    <row r="204" spans="1:22" x14ac:dyDescent="0.3">
      <c r="A204">
        <f>A203+Parameters!$B$65</f>
        <v>200</v>
      </c>
      <c r="B204" s="9">
        <f t="shared" si="39"/>
        <v>5.191758263687303E-2</v>
      </c>
      <c r="C204" s="9">
        <f t="shared" si="39"/>
        <v>1.0017548050425843E-2</v>
      </c>
      <c r="D204" s="7">
        <f t="shared" si="39"/>
        <v>0.2959598429278244</v>
      </c>
      <c r="E204" s="7">
        <f>MAX((1-Parameters!$B$4)^Parameters!B$65*E203+B203*Parameters!B$65-Parameters!$B$5*B203^2/E203*Parameters!B$65,0.0001)</f>
        <v>0.76972635060880157</v>
      </c>
      <c r="F204" s="9">
        <f>MAX((1-Parameters!$B$4)^Parameters!B$65*F203+C203*Parameters!B$65-Parameters!$B$5*C203^2/F203*Parameters!B$65,0.0001)</f>
        <v>0.14851944707725692</v>
      </c>
      <c r="G204" s="7">
        <f>MAX((1-Parameters!$B$4)^Parameters!B$65*G203+D203*Parameters!B$65-Parameters!$B$5*D203^2/G203*Parameters!B$65,0.0001)</f>
        <v>4.3878784155712216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7">
        <f>'6states'!$O$4</f>
        <v>0.98104277196026479</v>
      </c>
      <c r="L204" s="9">
        <f t="shared" si="41"/>
        <v>0.5</v>
      </c>
      <c r="N204" s="7">
        <f>(Parameters!$B$19*(E204+Parameters!$B$20)^L204+Parameters!$B$18*F204^L204)^(1/L204)</f>
        <v>0.53556387685702112</v>
      </c>
      <c r="O204" s="7">
        <f>(Parameters!$B$10*G204^Parameters!$B$9 + Parameters!$B$11*N204^Parameters!$B$9) ^ (Parameters!$B$7/Parameters!$B$9) * K204</f>
        <v>1.5032567170981179</v>
      </c>
      <c r="P204" s="7">
        <f t="shared" si="40"/>
        <v>1.1453617434829946</v>
      </c>
      <c r="Q204" s="7">
        <f>EXP(-Parameters!$B$55*A204)</f>
        <v>4.8801218362012941E-2</v>
      </c>
      <c r="R204" s="7">
        <f>IF(P204&gt;0,P204^(1-Parameters!$B$52)/(1-Parameters!$B$52)*Q204,-10+P204*1000)</f>
        <v>-0.13296357537899725</v>
      </c>
      <c r="S204" s="7"/>
      <c r="T204" s="7"/>
      <c r="U204" s="7"/>
      <c r="V204" s="7"/>
    </row>
    <row r="205" spans="1:22" x14ac:dyDescent="0.3">
      <c r="A205">
        <f>A204+Parameters!$B$65</f>
        <v>201</v>
      </c>
      <c r="B205" s="9">
        <f t="shared" ref="B205:D205" si="42">B204</f>
        <v>5.191758263687303E-2</v>
      </c>
      <c r="C205" s="9">
        <f t="shared" si="42"/>
        <v>1.0017548050425843E-2</v>
      </c>
      <c r="D205" s="7">
        <f t="shared" si="42"/>
        <v>0.2959598429278244</v>
      </c>
      <c r="E205" s="7">
        <f>MAX((1-Parameters!$B$4)^Parameters!B$65*E204+B204*Parameters!B$65-Parameters!$B$5*B204^2/E204*Parameters!B$65,0.0001)</f>
        <v>0.76972633585080297</v>
      </c>
      <c r="F205" s="9">
        <f>MAX((1-Parameters!$B$4)^Parameters!B$65*F204+C204*Parameters!B$65-Parameters!$B$5*C204^2/F204*Parameters!B$65,0.0001)</f>
        <v>0.14851944427024455</v>
      </c>
      <c r="G205" s="7">
        <f>MAX((1-Parameters!$B$4)^Parameters!B$65*G204+D204*Parameters!B$65-Parameters!$B$5*D204^2/G204*Parameters!B$65,0.0001)</f>
        <v>4.3878783871685005</v>
      </c>
      <c r="I205" s="7">
        <f>I204*(1+Parameters!$B$51)^Parameters!B$65</f>
        <v>14.604074928931254</v>
      </c>
      <c r="J205" s="7">
        <f>J204*(1+Parameters!$B$53)^Parameters!B$65</f>
        <v>484.62662725616127</v>
      </c>
      <c r="K205" s="7">
        <f>'6states'!$O$4</f>
        <v>0.98104277196026479</v>
      </c>
      <c r="L205" s="9">
        <f t="shared" ref="L205:L268" si="43">L204</f>
        <v>0.5</v>
      </c>
      <c r="N205" s="7">
        <f>(Parameters!$B$19*(E205+Parameters!$B$20)^L205+Parameters!$B$18*F205^L205)^(1/L205)</f>
        <v>0.53556386672265199</v>
      </c>
      <c r="O205" s="7">
        <f>(Parameters!$B$10*G205^Parameters!$B$9 + Parameters!$B$11*N205^Parameters!$B$9) ^ (Parameters!$B$7/Parameters!$B$9) * K205</f>
        <v>1.5032567130471115</v>
      </c>
      <c r="P205" s="7">
        <f t="shared" si="40"/>
        <v>1.1453617394319884</v>
      </c>
      <c r="Q205" s="7">
        <f>EXP(-Parameters!$B$55*A205)</f>
        <v>4.8069855649672907E-2</v>
      </c>
      <c r="R205" s="7">
        <f>IF(P205&gt;0,P205^(1-Parameters!$B$52)/(1-Parameters!$B$52)*Q205,-10+P205*1000)</f>
        <v>-0.1309709080546263</v>
      </c>
      <c r="S205" s="7"/>
      <c r="T205" s="7"/>
      <c r="U205" s="7"/>
      <c r="V205" s="7"/>
    </row>
    <row r="206" spans="1:22" x14ac:dyDescent="0.3">
      <c r="A206">
        <f>A205+Parameters!$B$65</f>
        <v>202</v>
      </c>
      <c r="B206" s="9">
        <f t="shared" ref="B206:D206" si="44">B205</f>
        <v>5.191758263687303E-2</v>
      </c>
      <c r="C206" s="9">
        <f t="shared" si="44"/>
        <v>1.0017548050425843E-2</v>
      </c>
      <c r="D206" s="7">
        <f t="shared" si="44"/>
        <v>0.2959598429278244</v>
      </c>
      <c r="E206" s="7">
        <f>MAX((1-Parameters!$B$4)^Parameters!B$65*E205+B205*Parameters!B$65-Parameters!$B$5*B205^2/E205*Parameters!B$65,0.0001)</f>
        <v>0.76972632195394208</v>
      </c>
      <c r="F206" s="9">
        <f>MAX((1-Parameters!$B$4)^Parameters!B$65*F205+C205*Parameters!B$65-Parameters!$B$5*C205^2/F205*Parameters!B$65,0.0001)</f>
        <v>0.14851944162702296</v>
      </c>
      <c r="G206" s="7">
        <f>MAX((1-Parameters!$B$4)^Parameters!B$65*G205+D205*Parameters!B$65-Parameters!$B$5*D205^2/G205*Parameters!B$65,0.0001)</f>
        <v>4.3878783604230946</v>
      </c>
      <c r="I206" s="7">
        <f>I205*(1+Parameters!$B$51)^Parameters!B$65</f>
        <v>14.646426746225153</v>
      </c>
      <c r="J206" s="7">
        <f>J205*(1+Parameters!$B$53)^Parameters!B$65</f>
        <v>494.31915980128451</v>
      </c>
      <c r="K206" s="7">
        <f>'6states'!$O$4</f>
        <v>0.98104277196026479</v>
      </c>
      <c r="L206" s="9">
        <f t="shared" si="43"/>
        <v>0.5</v>
      </c>
      <c r="N206" s="7">
        <f>(Parameters!$B$19*(E206+Parameters!$B$20)^L206+Parameters!$B$18*F206^L206)^(1/L206)</f>
        <v>0.5355638571796294</v>
      </c>
      <c r="O206" s="7">
        <f>(Parameters!$B$10*G206^Parameters!$B$9 + Parameters!$B$11*N206^Parameters!$B$9) ^ (Parameters!$B$7/Parameters!$B$9) * K206</f>
        <v>1.5032567092324838</v>
      </c>
      <c r="P206" s="7">
        <f t="shared" si="40"/>
        <v>1.1453617356173607</v>
      </c>
      <c r="Q206" s="7">
        <f>EXP(-Parameters!$B$55*A206)</f>
        <v>4.7349453553378031E-2</v>
      </c>
      <c r="R206" s="7">
        <f>IF(P206&gt;0,P206^(1-Parameters!$B$52)/(1-Parameters!$B$52)*Q206,-10+P206*1000)</f>
        <v>-0.12900810396020584</v>
      </c>
      <c r="S206" s="7"/>
      <c r="T206" s="7"/>
      <c r="U206" s="7"/>
      <c r="V206" s="7"/>
    </row>
    <row r="207" spans="1:22" x14ac:dyDescent="0.3">
      <c r="A207">
        <f>A206+Parameters!$B$65</f>
        <v>203</v>
      </c>
      <c r="B207" s="9">
        <f t="shared" ref="B207:D207" si="45">B206</f>
        <v>5.191758263687303E-2</v>
      </c>
      <c r="C207" s="9">
        <f t="shared" si="45"/>
        <v>1.0017548050425843E-2</v>
      </c>
      <c r="D207" s="7">
        <f t="shared" si="45"/>
        <v>0.2959598429278244</v>
      </c>
      <c r="E207" s="7">
        <f>MAX((1-Parameters!$B$4)^Parameters!B$65*E206+B206*Parameters!B$65-Parameters!$B$5*B206^2/E206*Parameters!B$65,0.0001)</f>
        <v>0.76972630886797111</v>
      </c>
      <c r="F207" s="9">
        <f>MAX((1-Parameters!$B$4)^Parameters!B$65*F206+C206*Parameters!B$65-Parameters!$B$5*C206^2/F206*Parameters!B$65,0.0001)</f>
        <v>0.14851943913803489</v>
      </c>
      <c r="G207" s="7">
        <f>MAX((1-Parameters!$B$4)^Parameters!B$65*G206+D206*Parameters!B$65-Parameters!$B$5*D206^2/G206*Parameters!B$65,0.0001)</f>
        <v>4.3878783352382991</v>
      </c>
      <c r="I207" s="7">
        <f>I206*(1+Parameters!$B$51)^Parameters!B$65</f>
        <v>14.688901383789204</v>
      </c>
      <c r="J207" s="7">
        <f>J206*(1+Parameters!$B$53)^Parameters!B$65</f>
        <v>504.2055429973102</v>
      </c>
      <c r="K207" s="7">
        <f>'6states'!$O$4</f>
        <v>0.98104277196026479</v>
      </c>
      <c r="L207" s="9">
        <f t="shared" si="43"/>
        <v>0.5</v>
      </c>
      <c r="N207" s="7">
        <f>(Parameters!$B$19*(E207+Parameters!$B$20)^L207+Parameters!$B$18*F207^L207)^(1/L207)</f>
        <v>0.53556384819344749</v>
      </c>
      <c r="O207" s="7">
        <f>(Parameters!$B$10*G207^Parameters!$B$9 + Parameters!$B$11*N207^Parameters!$B$9) ^ (Parameters!$B$7/Parameters!$B$9) * K207</f>
        <v>1.5032567056404413</v>
      </c>
      <c r="P207" s="7">
        <f t="shared" si="40"/>
        <v>1.145361732025318</v>
      </c>
      <c r="Q207" s="7">
        <f>EXP(-Parameters!$B$55*A207)</f>
        <v>4.6639847811125214E-2</v>
      </c>
      <c r="R207" s="7">
        <f>IF(P207&gt;0,P207^(1-Parameters!$B$52)/(1-Parameters!$B$52)*Q207,-10+P207*1000)</f>
        <v>-0.12707471554930064</v>
      </c>
      <c r="S207" s="7"/>
      <c r="T207" s="7"/>
      <c r="U207" s="7"/>
      <c r="V207" s="7"/>
    </row>
    <row r="208" spans="1:22" x14ac:dyDescent="0.3">
      <c r="A208">
        <f>A207+Parameters!$B$65</f>
        <v>204</v>
      </c>
      <c r="B208" s="9">
        <f t="shared" ref="B208:D208" si="46">B207</f>
        <v>5.191758263687303E-2</v>
      </c>
      <c r="C208" s="9">
        <f t="shared" si="46"/>
        <v>1.0017548050425843E-2</v>
      </c>
      <c r="D208" s="7">
        <f t="shared" si="46"/>
        <v>0.2959598429278244</v>
      </c>
      <c r="E208" s="7">
        <f>MAX((1-Parameters!$B$4)^Parameters!B$65*E207+B207*Parameters!B$65-Parameters!$B$5*B207^2/E207*Parameters!B$65,0.0001)</f>
        <v>0.76972629654557412</v>
      </c>
      <c r="F208" s="9">
        <f>MAX((1-Parameters!$B$4)^Parameters!B$65*F207+C207*Parameters!B$65-Parameters!$B$5*C207^2/F207*Parameters!B$65,0.0001)</f>
        <v>0.1485194367942807</v>
      </c>
      <c r="G208" s="7">
        <f>MAX((1-Parameters!$B$4)^Parameters!B$65*G207+D207*Parameters!B$65-Parameters!$B$5*D207^2/G207*Parameters!B$65,0.0001)</f>
        <v>4.3878783115230515</v>
      </c>
      <c r="I208" s="7">
        <f>I207*(1+Parameters!$B$51)^Parameters!B$65</f>
        <v>14.731499197802192</v>
      </c>
      <c r="J208" s="7">
        <f>J207*(1+Parameters!$B$53)^Parameters!B$65</f>
        <v>514.28965385725644</v>
      </c>
      <c r="K208" s="7">
        <f>'6states'!$O$4</f>
        <v>0.98104277196026479</v>
      </c>
      <c r="L208" s="9">
        <f t="shared" si="43"/>
        <v>0.5</v>
      </c>
      <c r="N208" s="7">
        <f>(Parameters!$B$19*(E208+Parameters!$B$20)^L208+Parameters!$B$18*F208^L208)^(1/L208)</f>
        <v>0.53556383973161481</v>
      </c>
      <c r="O208" s="7">
        <f>(Parameters!$B$10*G208^Parameters!$B$9 + Parameters!$B$11*N208^Parameters!$B$9) ^ (Parameters!$B$7/Parameters!$B$9) * K208</f>
        <v>1.503256702257997</v>
      </c>
      <c r="P208" s="7">
        <f t="shared" si="40"/>
        <v>1.1453617286428739</v>
      </c>
      <c r="Q208" s="7">
        <f>EXP(-Parameters!$B$55*A208)</f>
        <v>4.5940876622634921E-2</v>
      </c>
      <c r="R208" s="7">
        <f>IF(P208&gt;0,P208^(1-Parameters!$B$52)/(1-Parameters!$B$52)*Q208,-10+P208*1000)</f>
        <v>-0.12517030198259843</v>
      </c>
      <c r="S208" s="7"/>
      <c r="T208" s="7"/>
      <c r="U208" s="7"/>
      <c r="V208" s="7"/>
    </row>
    <row r="209" spans="1:22" x14ac:dyDescent="0.3">
      <c r="A209">
        <f>A208+Parameters!$B$65</f>
        <v>205</v>
      </c>
      <c r="B209" s="9">
        <f t="shared" ref="B209:D209" si="47">B208</f>
        <v>5.191758263687303E-2</v>
      </c>
      <c r="C209" s="9">
        <f t="shared" si="47"/>
        <v>1.0017548050425843E-2</v>
      </c>
      <c r="D209" s="7">
        <f t="shared" si="47"/>
        <v>0.2959598429278244</v>
      </c>
      <c r="E209" s="7">
        <f>MAX((1-Parameters!$B$4)^Parameters!B$65*E208+B208*Parameters!B$65-Parameters!$B$5*B208^2/E208*Parameters!B$65,0.0001)</f>
        <v>0.76972628494219597</v>
      </c>
      <c r="F209" s="9">
        <f>MAX((1-Parameters!$B$4)^Parameters!B$65*F208+C208*Parameters!B$65-Parameters!$B$5*C208^2/F208*Parameters!B$65,0.0001)</f>
        <v>0.14851943458728592</v>
      </c>
      <c r="G209" s="7">
        <f>MAX((1-Parameters!$B$4)^Parameters!B$65*G208+D208*Parameters!B$65-Parameters!$B$5*D208^2/G208*Parameters!B$65,0.0001)</f>
        <v>4.3878782891916011</v>
      </c>
      <c r="I209" s="7">
        <f>I208*(1+Parameters!$B$51)^Parameters!B$65</f>
        <v>14.774220545475817</v>
      </c>
      <c r="J209" s="7">
        <f>J208*(1+Parameters!$B$53)^Parameters!B$65</f>
        <v>524.57544693440161</v>
      </c>
      <c r="K209" s="7">
        <f>'6states'!$O$4</f>
        <v>0.98104277196026479</v>
      </c>
      <c r="L209" s="9">
        <f t="shared" si="43"/>
        <v>0.5</v>
      </c>
      <c r="N209" s="7">
        <f>(Parameters!$B$19*(E209+Parameters!$B$20)^L209+Parameters!$B$18*F209^L209)^(1/L209)</f>
        <v>0.53556383176353461</v>
      </c>
      <c r="O209" s="7">
        <f>(Parameters!$B$10*G209^Parameters!$B$9 + Parameters!$B$11*N209^Parameters!$B$9) ^ (Parameters!$B$7/Parameters!$B$9) * K209</f>
        <v>1.5032566990729199</v>
      </c>
      <c r="P209" s="7">
        <f t="shared" si="40"/>
        <v>1.1453617254577968</v>
      </c>
      <c r="Q209" s="7">
        <f>EXP(-Parameters!$B$55*A209)</f>
        <v>4.5252380612458197E-2</v>
      </c>
      <c r="R209" s="7">
        <f>IF(P209&gt;0,P209^(1-Parameters!$B$52)/(1-Parameters!$B$52)*Q209,-10+P209*1000)</f>
        <v>-0.12329442902739726</v>
      </c>
      <c r="S209" s="7"/>
      <c r="T209" s="7"/>
      <c r="U209" s="7"/>
      <c r="V209" s="7"/>
    </row>
    <row r="210" spans="1:22" x14ac:dyDescent="0.3">
      <c r="A210">
        <f>A209+Parameters!$B$65</f>
        <v>206</v>
      </c>
      <c r="B210" s="9">
        <f t="shared" ref="B210:D210" si="48">B209</f>
        <v>5.191758263687303E-2</v>
      </c>
      <c r="C210" s="9">
        <f t="shared" si="48"/>
        <v>1.0017548050425843E-2</v>
      </c>
      <c r="D210" s="7">
        <f t="shared" si="48"/>
        <v>0.2959598429278244</v>
      </c>
      <c r="E210" s="7">
        <f>MAX((1-Parameters!$B$4)^Parameters!B$65*E209+B209*Parameters!B$65-Parameters!$B$5*B209^2/E209*Parameters!B$65,0.0001)</f>
        <v>0.76972627401588167</v>
      </c>
      <c r="F210" s="9">
        <f>MAX((1-Parameters!$B$4)^Parameters!B$65*F209+C209*Parameters!B$65-Parameters!$B$5*C209^2/F209*Parameters!B$65,0.0001)</f>
        <v>0.14851943250907057</v>
      </c>
      <c r="G210" s="7">
        <f>MAX((1-Parameters!$B$4)^Parameters!B$65*G209+D209*Parameters!B$65-Parameters!$B$5*D209^2/G209*Parameters!B$65,0.0001)</f>
        <v>4.3878782681632034</v>
      </c>
      <c r="I210" s="7">
        <f>I209*(1+Parameters!$B$51)^Parameters!B$65</f>
        <v>14.817065785057695</v>
      </c>
      <c r="J210" s="7">
        <f>J209*(1+Parameters!$B$53)^Parameters!B$65</f>
        <v>535.06695587308968</v>
      </c>
      <c r="K210" s="7">
        <f>'6states'!$O$4</f>
        <v>0.98104277196026479</v>
      </c>
      <c r="L210" s="9">
        <f t="shared" si="43"/>
        <v>0.5</v>
      </c>
      <c r="N210" s="7">
        <f>(Parameters!$B$19*(E210+Parameters!$B$20)^L210+Parameters!$B$18*F210^L210)^(1/L210)</f>
        <v>0.53556382426039673</v>
      </c>
      <c r="O210" s="7">
        <f>(Parameters!$B$10*G210^Parameters!$B$9 + Parameters!$B$11*N210^Parameters!$B$9) ^ (Parameters!$B$7/Parameters!$B$9) * K210</f>
        <v>1.5032566960736937</v>
      </c>
      <c r="P210" s="7">
        <f t="shared" si="40"/>
        <v>1.1453617224585706</v>
      </c>
      <c r="Q210" s="7">
        <f>EXP(-Parameters!$B$55*A210)</f>
        <v>4.45742027936369E-2</v>
      </c>
      <c r="R210" s="7">
        <f>IF(P210&gt;0,P210^(1-Parameters!$B$52)/(1-Parameters!$B$52)*Q210,-10+P210*1000)</f>
        <v>-0.12144666895859957</v>
      </c>
      <c r="S210" s="7"/>
      <c r="T210" s="7"/>
      <c r="U210" s="7"/>
      <c r="V210" s="7"/>
    </row>
    <row r="211" spans="1:22" x14ac:dyDescent="0.3">
      <c r="A211">
        <f>A210+Parameters!$B$65</f>
        <v>207</v>
      </c>
      <c r="B211" s="9">
        <f t="shared" ref="B211:D211" si="49">B210</f>
        <v>5.191758263687303E-2</v>
      </c>
      <c r="C211" s="9">
        <f t="shared" si="49"/>
        <v>1.0017548050425843E-2</v>
      </c>
      <c r="D211" s="7">
        <f t="shared" si="49"/>
        <v>0.2959598429278244</v>
      </c>
      <c r="E211" s="7">
        <f>MAX((1-Parameters!$B$4)^Parameters!B$65*E210+B210*Parameters!B$65-Parameters!$B$5*B210^2/E210*Parameters!B$65,0.0001)</f>
        <v>0.76972626372712427</v>
      </c>
      <c r="F211" s="9">
        <f>MAX((1-Parameters!$B$4)^Parameters!B$65*F210+C210*Parameters!B$65-Parameters!$B$5*C210^2/F210*Parameters!B$65,0.0001)</f>
        <v>0.14851943055212027</v>
      </c>
      <c r="G211" s="7">
        <f>MAX((1-Parameters!$B$4)^Parameters!B$65*G210+D210*Parameters!B$65-Parameters!$B$5*D210^2/G210*Parameters!B$65,0.0001)</f>
        <v>4.3878782483618259</v>
      </c>
      <c r="I211" s="7">
        <f>I210*(1+Parameters!$B$51)^Parameters!B$65</f>
        <v>14.860035275834361</v>
      </c>
      <c r="J211" s="7">
        <f>J210*(1+Parameters!$B$53)^Parameters!B$65</f>
        <v>545.76829499055145</v>
      </c>
      <c r="K211" s="7">
        <f>'6states'!$O$4</f>
        <v>0.98104277196026479</v>
      </c>
      <c r="L211" s="9">
        <f t="shared" si="43"/>
        <v>0.5</v>
      </c>
      <c r="N211" s="7">
        <f>(Parameters!$B$19*(E211+Parameters!$B$20)^L211+Parameters!$B$18*F211^L211)^(1/L211)</f>
        <v>0.53556381719507118</v>
      </c>
      <c r="O211" s="7">
        <f>(Parameters!$B$10*G211^Parameters!$B$9 + Parameters!$B$11*N211^Parameters!$B$9) ^ (Parameters!$B$7/Parameters!$B$9) * K211</f>
        <v>1.5032566932494746</v>
      </c>
      <c r="P211" s="7">
        <f t="shared" si="40"/>
        <v>1.1453617196343515</v>
      </c>
      <c r="Q211" s="7">
        <f>EXP(-Parameters!$B$55*A211)</f>
        <v>4.3906188531908454E-2</v>
      </c>
      <c r="R211" s="7">
        <f>IF(P211&gt;0,P211^(1-Parameters!$B$52)/(1-Parameters!$B$52)*Q211,-10+P211*1000)</f>
        <v>-0.11962660046118917</v>
      </c>
      <c r="S211" s="7"/>
      <c r="T211" s="7"/>
      <c r="U211" s="7"/>
      <c r="V211" s="7"/>
    </row>
    <row r="212" spans="1:22" x14ac:dyDescent="0.3">
      <c r="A212">
        <f>A211+Parameters!$B$65</f>
        <v>208</v>
      </c>
      <c r="B212" s="9">
        <f t="shared" ref="B212:D212" si="50">B211</f>
        <v>5.191758263687303E-2</v>
      </c>
      <c r="C212" s="9">
        <f t="shared" si="50"/>
        <v>1.0017548050425843E-2</v>
      </c>
      <c r="D212" s="7">
        <f t="shared" si="50"/>
        <v>0.2959598429278244</v>
      </c>
      <c r="E212" s="7">
        <f>MAX((1-Parameters!$B$4)^Parameters!B$65*E211+B211*Parameters!B$65-Parameters!$B$5*B211^2/E211*Parameters!B$65,0.0001)</f>
        <v>0.76972625403872164</v>
      </c>
      <c r="F212" s="9">
        <f>MAX((1-Parameters!$B$4)^Parameters!B$65*F211+C211*Parameters!B$65-Parameters!$B$5*C211^2/F211*Parameters!B$65,0.0001)</f>
        <v>0.14851942870935916</v>
      </c>
      <c r="G212" s="7">
        <f>MAX((1-Parameters!$B$4)^Parameters!B$65*G211+D211*Parameters!B$65-Parameters!$B$5*D211^2/G211*Parameters!B$65,0.0001)</f>
        <v>4.38787822971587</v>
      </c>
      <c r="I212" s="7">
        <f>I211*(1+Parameters!$B$51)^Parameters!B$65</f>
        <v>14.903129378134279</v>
      </c>
      <c r="J212" s="7">
        <f>J211*(1+Parameters!$B$53)^Parameters!B$65</f>
        <v>556.68366089036249</v>
      </c>
      <c r="K212" s="7">
        <f>'6states'!$O$4</f>
        <v>0.98104277196026479</v>
      </c>
      <c r="L212" s="9">
        <f t="shared" si="43"/>
        <v>0.5</v>
      </c>
      <c r="N212" s="7">
        <f>(Parameters!$B$19*(E212+Parameters!$B$20)^L212+Parameters!$B$18*F212^L212)^(1/L212)</f>
        <v>0.53556381054201141</v>
      </c>
      <c r="O212" s="7">
        <f>(Parameters!$B$10*G212^Parameters!$B$9 + Parameters!$B$11*N212^Parameters!$B$9) ^ (Parameters!$B$7/Parameters!$B$9) * K212</f>
        <v>1.50325669059005</v>
      </c>
      <c r="P212" s="7">
        <f t="shared" si="40"/>
        <v>1.1453617169749268</v>
      </c>
      <c r="Q212" s="7">
        <f>EXP(-Parameters!$B$55*A212)</f>
        <v>4.3248185510446908E-2</v>
      </c>
      <c r="R212" s="7">
        <f>IF(P212&gt;0,P212^(1-Parameters!$B$52)/(1-Parameters!$B$52)*Q212,-10+P212*1000)</f>
        <v>-0.11783380853416993</v>
      </c>
      <c r="S212" s="7"/>
      <c r="T212" s="7"/>
      <c r="U212" s="7"/>
      <c r="V212" s="7"/>
    </row>
    <row r="213" spans="1:22" x14ac:dyDescent="0.3">
      <c r="A213">
        <f>A212+Parameters!$B$65</f>
        <v>209</v>
      </c>
      <c r="B213" s="9">
        <f t="shared" ref="B213:D213" si="51">B212</f>
        <v>5.191758263687303E-2</v>
      </c>
      <c r="C213" s="9">
        <f t="shared" si="51"/>
        <v>1.0017548050425843E-2</v>
      </c>
      <c r="D213" s="7">
        <f t="shared" si="51"/>
        <v>0.2959598429278244</v>
      </c>
      <c r="E213" s="7">
        <f>MAX((1-Parameters!$B$4)^Parameters!B$65*E212+B212*Parameters!B$65-Parameters!$B$5*B212^2/E212*Parameters!B$65,0.0001)</f>
        <v>0.7697262449156429</v>
      </c>
      <c r="F213" s="9">
        <f>MAX((1-Parameters!$B$4)^Parameters!B$65*F212+C212*Parameters!B$65-Parameters!$B$5*C212^2/F212*Parameters!B$65,0.0001)</f>
        <v>0.14851942697412424</v>
      </c>
      <c r="G213" s="7">
        <f>MAX((1-Parameters!$B$4)^Parameters!B$65*G212+D212*Parameters!B$65-Parameters!$B$5*D212^2/G212*Parameters!B$65,0.0001)</f>
        <v>4.3878782121579158</v>
      </c>
      <c r="I213" s="7">
        <f>I212*(1+Parameters!$B$51)^Parameters!B$65</f>
        <v>14.946348453330867</v>
      </c>
      <c r="J213" s="7">
        <f>J212*(1+Parameters!$B$53)^Parameters!B$65</f>
        <v>567.8173341081698</v>
      </c>
      <c r="K213" s="7">
        <f>'6states'!$O$4</f>
        <v>0.98104277196026479</v>
      </c>
      <c r="L213" s="9">
        <f t="shared" si="43"/>
        <v>0.5</v>
      </c>
      <c r="N213" s="7">
        <f>(Parameters!$B$19*(E213+Parameters!$B$20)^L213+Parameters!$B$18*F213^L213)^(1/L213)</f>
        <v>0.53556380427716166</v>
      </c>
      <c r="O213" s="7">
        <f>(Parameters!$B$10*G213^Parameters!$B$9 + Parameters!$B$11*N213^Parameters!$B$9) ^ (Parameters!$B$7/Parameters!$B$9) * K213</f>
        <v>1.5032566880858043</v>
      </c>
      <c r="P213" s="7">
        <f t="shared" si="40"/>
        <v>1.1453617144706811</v>
      </c>
      <c r="Q213" s="7">
        <f>EXP(-Parameters!$B$55*A213)</f>
        <v>4.2600043695132594E-2</v>
      </c>
      <c r="R213" s="7">
        <f>IF(P213&gt;0,P213^(1-Parameters!$B$52)/(1-Parameters!$B$52)*Q213,-10+P213*1000)</f>
        <v>-0.11606788439594333</v>
      </c>
      <c r="S213" s="7"/>
      <c r="T213" s="7"/>
      <c r="U213" s="7"/>
      <c r="V213" s="7"/>
    </row>
    <row r="214" spans="1:22" x14ac:dyDescent="0.3">
      <c r="A214">
        <f>A213+Parameters!$B$65</f>
        <v>210</v>
      </c>
      <c r="B214" s="9">
        <f t="shared" ref="B214:D214" si="52">B213</f>
        <v>5.191758263687303E-2</v>
      </c>
      <c r="C214" s="9">
        <f t="shared" si="52"/>
        <v>1.0017548050425843E-2</v>
      </c>
      <c r="D214" s="7">
        <f t="shared" si="52"/>
        <v>0.2959598429278244</v>
      </c>
      <c r="E214" s="7">
        <f>MAX((1-Parameters!$B$4)^Parameters!B$65*E213+B213*Parameters!B$65-Parameters!$B$5*B213^2/E213*Parameters!B$65,0.0001)</f>
        <v>0.76972623632490111</v>
      </c>
      <c r="F214" s="9">
        <f>MAX((1-Parameters!$B$4)^Parameters!B$65*F213+C213*Parameters!B$65-Parameters!$B$5*C213^2/F213*Parameters!B$65,0.0001)</f>
        <v>0.14851942534014126</v>
      </c>
      <c r="G214" s="7">
        <f>MAX((1-Parameters!$B$4)^Parameters!B$65*G213+D213*Parameters!B$65-Parameters!$B$5*D213^2/G213*Parameters!B$65,0.0001)</f>
        <v>4.387878195624479</v>
      </c>
      <c r="I214" s="7">
        <f>I213*(1+Parameters!$B$51)^Parameters!B$65</f>
        <v>14.989692863845525</v>
      </c>
      <c r="J214" s="7">
        <f>J213*(1+Parameters!$B$53)^Parameters!B$65</f>
        <v>579.17368079033326</v>
      </c>
      <c r="K214" s="7">
        <f>'6states'!$O$4</f>
        <v>0.98104277196026479</v>
      </c>
      <c r="L214" s="9">
        <f t="shared" si="43"/>
        <v>0.5</v>
      </c>
      <c r="N214" s="7">
        <f>(Parameters!$B$19*(E214+Parameters!$B$20)^L214+Parameters!$B$18*F214^L214)^(1/L214)</f>
        <v>0.53556379837786916</v>
      </c>
      <c r="O214" s="7">
        <f>(Parameters!$B$10*G214^Parameters!$B$9 + Parameters!$B$11*N214^Parameters!$B$9) ^ (Parameters!$B$7/Parameters!$B$9) * K214</f>
        <v>1.5032566857276826</v>
      </c>
      <c r="P214" s="7">
        <f t="shared" si="40"/>
        <v>1.1453617121125594</v>
      </c>
      <c r="Q214" s="7">
        <f>EXP(-Parameters!$B$55*A214)</f>
        <v>4.1961615300342196E-2</v>
      </c>
      <c r="R214" s="7">
        <f>IF(P214&gt;0,P214^(1-Parameters!$B$52)/(1-Parameters!$B$52)*Q214,-10+P214*1000)</f>
        <v>-0.11432842539110433</v>
      </c>
      <c r="S214" s="7"/>
      <c r="T214" s="7"/>
      <c r="U214" s="7"/>
      <c r="V214" s="7"/>
    </row>
    <row r="215" spans="1:22" x14ac:dyDescent="0.3">
      <c r="A215">
        <f>A214+Parameters!$B$65</f>
        <v>211</v>
      </c>
      <c r="B215" s="9">
        <f t="shared" ref="B215:D215" si="53">B214</f>
        <v>5.191758263687303E-2</v>
      </c>
      <c r="C215" s="9">
        <f t="shared" si="53"/>
        <v>1.0017548050425843E-2</v>
      </c>
      <c r="D215" s="7">
        <f t="shared" si="53"/>
        <v>0.2959598429278244</v>
      </c>
      <c r="E215" s="7">
        <f>MAX((1-Parameters!$B$4)^Parameters!B$65*E214+B214*Parameters!B$65-Parameters!$B$5*B214^2/E214*Parameters!B$65,0.0001)</f>
        <v>0.76972622823543402</v>
      </c>
      <c r="F215" s="9">
        <f>MAX((1-Parameters!$B$4)^Parameters!B$65*F214+C214*Parameters!B$65-Parameters!$B$5*C214^2/F214*Parameters!B$65,0.0001)</f>
        <v>0.14851942380150213</v>
      </c>
      <c r="G215" s="7">
        <f>MAX((1-Parameters!$B$4)^Parameters!B$65*G214+D214*Parameters!B$65-Parameters!$B$5*D214^2/G214*Parameters!B$65,0.0001)</f>
        <v>4.3878781800557771</v>
      </c>
      <c r="I215" s="7">
        <f>I214*(1+Parameters!$B$51)^Parameters!B$65</f>
        <v>15.033162973150676</v>
      </c>
      <c r="J215" s="7">
        <f>J214*(1+Parameters!$B$53)^Parameters!B$65</f>
        <v>590.75715440613999</v>
      </c>
      <c r="K215" s="7">
        <f>'6states'!$O$4</f>
        <v>0.98104277196026479</v>
      </c>
      <c r="L215" s="9">
        <f t="shared" si="43"/>
        <v>0.5</v>
      </c>
      <c r="N215" s="7">
        <f>(Parameters!$B$19*(E215+Parameters!$B$20)^L215+Parameters!$B$18*F215^L215)^(1/L215)</f>
        <v>0.5355637928228042</v>
      </c>
      <c r="O215" s="7">
        <f>(Parameters!$B$10*G215^Parameters!$B$9 + Parameters!$B$11*N215^Parameters!$B$9) ^ (Parameters!$B$7/Parameters!$B$9) * K215</f>
        <v>1.5032566835071586</v>
      </c>
      <c r="P215" s="7">
        <f t="shared" si="40"/>
        <v>1.1453617098920352</v>
      </c>
      <c r="Q215" s="7">
        <f>EXP(-Parameters!$B$55*A215)</f>
        <v>4.1332754755251451E-2</v>
      </c>
      <c r="R215" s="7">
        <f>IF(P215&gt;0,P215^(1-Parameters!$B$52)/(1-Parameters!$B$52)*Q215,-10+P215*1000)</f>
        <v>-0.11261503489863338</v>
      </c>
      <c r="S215" s="7"/>
      <c r="T215" s="7"/>
      <c r="U215" s="7"/>
      <c r="V215" s="7"/>
    </row>
    <row r="216" spans="1:22" x14ac:dyDescent="0.3">
      <c r="A216">
        <f>A215+Parameters!$B$65</f>
        <v>212</v>
      </c>
      <c r="B216" s="9">
        <f t="shared" ref="B216:D216" si="54">B215</f>
        <v>5.191758263687303E-2</v>
      </c>
      <c r="C216" s="9">
        <f t="shared" si="54"/>
        <v>1.0017548050425843E-2</v>
      </c>
      <c r="D216" s="7">
        <f t="shared" si="54"/>
        <v>0.2959598429278244</v>
      </c>
      <c r="E216" s="7">
        <f>MAX((1-Parameters!$B$4)^Parameters!B$65*E215+B215*Parameters!B$65-Parameters!$B$5*B215^2/E215*Parameters!B$65,0.0001)</f>
        <v>0.76972622061799201</v>
      </c>
      <c r="F216" s="9">
        <f>MAX((1-Parameters!$B$4)^Parameters!B$65*F215+C215*Parameters!B$65-Parameters!$B$5*C215^2/F215*Parameters!B$65,0.0001)</f>
        <v>0.14851942235264348</v>
      </c>
      <c r="G216" s="7">
        <f>MAX((1-Parameters!$B$4)^Parameters!B$65*G215+D215*Parameters!B$65-Parameters!$B$5*D215^2/G215*Parameters!B$65,0.0001)</f>
        <v>4.3878781653955183</v>
      </c>
      <c r="I216" s="7">
        <f>I215*(1+Parameters!$B$51)^Parameters!B$65</f>
        <v>15.076759145772812</v>
      </c>
      <c r="J216" s="7">
        <f>J215*(1+Parameters!$B$53)^Parameters!B$65</f>
        <v>602.57229749426278</v>
      </c>
      <c r="K216" s="7">
        <f>'6states'!$O$4</f>
        <v>0.98104277196026479</v>
      </c>
      <c r="L216" s="9">
        <f t="shared" si="43"/>
        <v>0.5</v>
      </c>
      <c r="N216" s="7">
        <f>(Parameters!$B$19*(E216+Parameters!$B$20)^L216+Parameters!$B$18*F216^L216)^(1/L216)</f>
        <v>0.53556378759188028</v>
      </c>
      <c r="O216" s="7">
        <f>(Parameters!$B$10*G216^Parameters!$B$9 + Parameters!$B$11*N216^Parameters!$B$9) ^ (Parameters!$B$7/Parameters!$B$9) * K216</f>
        <v>1.5032566814162038</v>
      </c>
      <c r="P216" s="7">
        <f t="shared" si="40"/>
        <v>1.1453617078010807</v>
      </c>
      <c r="Q216" s="7">
        <f>EXP(-Parameters!$B$55*A216)</f>
        <v>4.0713318670643026E-2</v>
      </c>
      <c r="R216" s="7">
        <f>IF(P216&gt;0,P216^(1-Parameters!$B$52)/(1-Parameters!$B$52)*Q216,-10+P216*1000)</f>
        <v>-0.11092732224146466</v>
      </c>
      <c r="S216" s="7"/>
      <c r="T216" s="7"/>
      <c r="U216" s="7"/>
      <c r="V216" s="7"/>
    </row>
    <row r="217" spans="1:22" x14ac:dyDescent="0.3">
      <c r="A217">
        <f>A216+Parameters!$B$65</f>
        <v>213</v>
      </c>
      <c r="B217" s="9">
        <f t="shared" ref="B217:D217" si="55">B216</f>
        <v>5.191758263687303E-2</v>
      </c>
      <c r="C217" s="9">
        <f t="shared" si="55"/>
        <v>1.0017548050425843E-2</v>
      </c>
      <c r="D217" s="7">
        <f t="shared" si="55"/>
        <v>0.2959598429278244</v>
      </c>
      <c r="E217" s="7">
        <f>MAX((1-Parameters!$B$4)^Parameters!B$65*E216+B216*Parameters!B$65-Parameters!$B$5*B216^2/E216*Parameters!B$65,0.0001)</f>
        <v>0.76972621344503211</v>
      </c>
      <c r="F217" s="9">
        <f>MAX((1-Parameters!$B$4)^Parameters!B$65*F216+C216*Parameters!B$65-Parameters!$B$5*C216^2/F216*Parameters!B$65,0.0001)</f>
        <v>0.14851942098832657</v>
      </c>
      <c r="G217" s="7">
        <f>MAX((1-Parameters!$B$4)^Parameters!B$65*G216+D216*Parameters!B$65-Parameters!$B$5*D216^2/G216*Parameters!B$65,0.0001)</f>
        <v>4.3878781515906935</v>
      </c>
      <c r="I217" s="7">
        <f>I216*(1+Parameters!$B$51)^Parameters!B$65</f>
        <v>15.120481747295552</v>
      </c>
      <c r="J217" s="7">
        <f>J216*(1+Parameters!$B$53)^Parameters!B$65</f>
        <v>614.62374344414809</v>
      </c>
      <c r="K217" s="7">
        <f>'6states'!$O$4</f>
        <v>0.98104277196026479</v>
      </c>
      <c r="L217" s="9">
        <f t="shared" si="43"/>
        <v>0.5</v>
      </c>
      <c r="N217" s="7">
        <f>(Parameters!$B$19*(E217+Parameters!$B$20)^L217+Parameters!$B$18*F217^L217)^(1/L217)</f>
        <v>0.53556378266618365</v>
      </c>
      <c r="O217" s="7">
        <f>(Parameters!$B$10*G217^Parameters!$B$9 + Parameters!$B$11*N217^Parameters!$B$9) ^ (Parameters!$B$7/Parameters!$B$9) * K217</f>
        <v>1.5032566794472568</v>
      </c>
      <c r="P217" s="7">
        <f t="shared" si="40"/>
        <v>1.1453617058321335</v>
      </c>
      <c r="Q217" s="7">
        <f>EXP(-Parameters!$B$55*A217)</f>
        <v>4.0103165806211608E-2</v>
      </c>
      <c r="R217" s="7">
        <f>IF(P217&gt;0,P217^(1-Parameters!$B$52)/(1-Parameters!$B$52)*Q217,-10+P217*1000)</f>
        <v>-0.10926490259740892</v>
      </c>
      <c r="S217" s="7"/>
      <c r="T217" s="7"/>
      <c r="U217" s="7"/>
      <c r="V217" s="7"/>
    </row>
    <row r="218" spans="1:22" x14ac:dyDescent="0.3">
      <c r="A218">
        <f>A217+Parameters!$B$65</f>
        <v>214</v>
      </c>
      <c r="B218" s="9">
        <f t="shared" ref="B218:D218" si="56">B217</f>
        <v>5.191758263687303E-2</v>
      </c>
      <c r="C218" s="9">
        <f t="shared" si="56"/>
        <v>1.0017548050425843E-2</v>
      </c>
      <c r="D218" s="7">
        <f t="shared" si="56"/>
        <v>0.2959598429278244</v>
      </c>
      <c r="E218" s="7">
        <f>MAX((1-Parameters!$B$4)^Parameters!B$65*E217+B217*Parameters!B$65-Parameters!$B$5*B217^2/E217*Parameters!B$65,0.0001)</f>
        <v>0.76972620669061864</v>
      </c>
      <c r="F218" s="9">
        <f>MAX((1-Parameters!$B$4)^Parameters!B$65*F217+C217*Parameters!B$65-Parameters!$B$5*C217^2/F217*Parameters!B$65,0.0001)</f>
        <v>0.14851941970361834</v>
      </c>
      <c r="G218" s="7">
        <f>MAX((1-Parameters!$B$4)^Parameters!B$65*G217+D217*Parameters!B$65-Parameters!$B$5*D217^2/G217*Parameters!B$65,0.0001)</f>
        <v>4.3878781385913879</v>
      </c>
      <c r="I218" s="7">
        <f>I217*(1+Parameters!$B$51)^Parameters!B$65</f>
        <v>15.164331144362707</v>
      </c>
      <c r="J218" s="7">
        <f>J217*(1+Parameters!$B$53)^Parameters!B$65</f>
        <v>626.9162183130311</v>
      </c>
      <c r="K218" s="7">
        <f>'6states'!$O$4</f>
        <v>0.98104277196026479</v>
      </c>
      <c r="L218" s="9">
        <f t="shared" si="43"/>
        <v>0.5</v>
      </c>
      <c r="N218" s="7">
        <f>(Parameters!$B$19*(E218+Parameters!$B$20)^L218+Parameters!$B$18*F218^L218)^(1/L218)</f>
        <v>0.53556377802790456</v>
      </c>
      <c r="O218" s="7">
        <f>(Parameters!$B$10*G218^Parameters!$B$9 + Parameters!$B$11*N218^Parameters!$B$9) ^ (Parameters!$B$7/Parameters!$B$9) * K218</f>
        <v>1.5032566775931995</v>
      </c>
      <c r="P218" s="7">
        <f t="shared" si="40"/>
        <v>1.1453617039780761</v>
      </c>
      <c r="Q218" s="7">
        <f>EXP(-Parameters!$B$55*A218)</f>
        <v>3.9502157038359118E-2</v>
      </c>
      <c r="R218" s="7">
        <f>IF(P218&gt;0,P218^(1-Parameters!$B$52)/(1-Parameters!$B$52)*Q218,-10+P218*1000)</f>
        <v>-0.10762739691141096</v>
      </c>
      <c r="S218" s="7"/>
      <c r="T218" s="7"/>
      <c r="U218" s="7"/>
      <c r="V218" s="7"/>
    </row>
    <row r="219" spans="1:22" x14ac:dyDescent="0.3">
      <c r="A219">
        <f>A218+Parameters!$B$65</f>
        <v>215</v>
      </c>
      <c r="B219" s="9">
        <f t="shared" ref="B219:D219" si="57">B218</f>
        <v>5.191758263687303E-2</v>
      </c>
      <c r="C219" s="9">
        <f t="shared" si="57"/>
        <v>1.0017548050425843E-2</v>
      </c>
      <c r="D219" s="7">
        <f t="shared" si="57"/>
        <v>0.2959598429278244</v>
      </c>
      <c r="E219" s="7">
        <f>MAX((1-Parameters!$B$4)^Parameters!B$65*E218+B218*Parameters!B$65-Parameters!$B$5*B218^2/E218*Parameters!B$65,0.0001)</f>
        <v>0.76972620033032901</v>
      </c>
      <c r="F219" s="9">
        <f>MAX((1-Parameters!$B$4)^Parameters!B$65*F218+C218*Parameters!B$65-Parameters!$B$5*C218^2/F218*Parameters!B$65,0.0001)</f>
        <v>0.14851941849387357</v>
      </c>
      <c r="G219" s="7">
        <f>MAX((1-Parameters!$B$4)^Parameters!B$65*G218+D218*Parameters!B$65-Parameters!$B$5*D218^2/G218*Parameters!B$65,0.0001)</f>
        <v>4.3878781263505999</v>
      </c>
      <c r="I219" s="7">
        <f>I218*(1+Parameters!$B$51)^Parameters!B$65</f>
        <v>15.208307704681358</v>
      </c>
      <c r="J219" s="7">
        <f>J218*(1+Parameters!$B$53)^Parameters!B$65</f>
        <v>639.45454267929176</v>
      </c>
      <c r="K219" s="7">
        <f>'6states'!$O$4</f>
        <v>0.98104277196026479</v>
      </c>
      <c r="L219" s="9">
        <f t="shared" si="43"/>
        <v>0.5</v>
      </c>
      <c r="N219" s="7">
        <f>(Parameters!$B$19*(E219+Parameters!$B$20)^L219+Parameters!$B$18*F219^L219)^(1/L219)</f>
        <v>0.53556377366027141</v>
      </c>
      <c r="O219" s="7">
        <f>(Parameters!$B$10*G219^Parameters!$B$9 + Parameters!$B$11*N219^Parameters!$B$9) ^ (Parameters!$B$7/Parameters!$B$9) * K219</f>
        <v>1.5032566758473276</v>
      </c>
      <c r="P219" s="7">
        <f t="shared" si="40"/>
        <v>1.1453617022322042</v>
      </c>
      <c r="Q219" s="7">
        <f>EXP(-Parameters!$B$55*A219)</f>
        <v>3.8910155328472619E-2</v>
      </c>
      <c r="R219" s="7">
        <f>IF(P219&gt;0,P219^(1-Parameters!$B$52)/(1-Parameters!$B$52)*Q219,-10+P219*1000)</f>
        <v>-0.10601443180912279</v>
      </c>
      <c r="S219" s="7"/>
      <c r="T219" s="7"/>
      <c r="U219" s="7"/>
      <c r="V219" s="7"/>
    </row>
    <row r="220" spans="1:22" x14ac:dyDescent="0.3">
      <c r="A220">
        <f>A219+Parameters!$B$65</f>
        <v>216</v>
      </c>
      <c r="B220" s="9">
        <f t="shared" ref="B220:D220" si="58">B219</f>
        <v>5.191758263687303E-2</v>
      </c>
      <c r="C220" s="9">
        <f t="shared" si="58"/>
        <v>1.0017548050425843E-2</v>
      </c>
      <c r="D220" s="7">
        <f t="shared" si="58"/>
        <v>0.2959598429278244</v>
      </c>
      <c r="E220" s="7">
        <f>MAX((1-Parameters!$B$4)^Parameters!B$65*E219+B219*Parameters!B$65-Parameters!$B$5*B219^2/E219*Parameters!B$65,0.0001)</f>
        <v>0.76972619434116596</v>
      </c>
      <c r="F220" s="9">
        <f>MAX((1-Parameters!$B$4)^Parameters!B$65*F219+C219*Parameters!B$65-Parameters!$B$5*C219^2/F219*Parameters!B$65,0.0001)</f>
        <v>0.1485194173547181</v>
      </c>
      <c r="G220" s="7">
        <f>MAX((1-Parameters!$B$4)^Parameters!B$65*G219+D219*Parameters!B$65-Parameters!$B$5*D219^2/G219*Parameters!B$65,0.0001)</f>
        <v>4.3878781148240691</v>
      </c>
      <c r="I220" s="7">
        <f>I219*(1+Parameters!$B$51)^Parameters!B$65</f>
        <v>15.252411797024932</v>
      </c>
      <c r="J220" s="7">
        <f>J219*(1+Parameters!$B$53)^Parameters!B$65</f>
        <v>652.24363353287765</v>
      </c>
      <c r="K220" s="7">
        <f>'6states'!$O$4</f>
        <v>0.98104277196026479</v>
      </c>
      <c r="L220" s="9">
        <f t="shared" si="43"/>
        <v>0.5</v>
      </c>
      <c r="N220" s="7">
        <f>(Parameters!$B$19*(E220+Parameters!$B$20)^L220+Parameters!$B$18*F220^L220)^(1/L220)</f>
        <v>0.53556376954749241</v>
      </c>
      <c r="O220" s="7">
        <f>(Parameters!$B$10*G220^Parameters!$B$9 + Parameters!$B$11*N220^Parameters!$B$9) ^ (Parameters!$B$7/Parameters!$B$9) * K220</f>
        <v>1.503256674203328</v>
      </c>
      <c r="P220" s="7">
        <f t="shared" si="40"/>
        <v>1.1453617005882046</v>
      </c>
      <c r="Q220" s="7">
        <f>EXP(-Parameters!$B$55*A220)</f>
        <v>3.8327025691677424E-2</v>
      </c>
      <c r="R220" s="7">
        <f>IF(P220&gt;0,P220^(1-Parameters!$B$52)/(1-Parameters!$B$52)*Q220,-10+P220*1000)</f>
        <v>-0.10442563951177077</v>
      </c>
      <c r="S220" s="7"/>
      <c r="T220" s="7"/>
      <c r="U220" s="7"/>
      <c r="V220" s="7"/>
    </row>
    <row r="221" spans="1:22" x14ac:dyDescent="0.3">
      <c r="A221">
        <f>A220+Parameters!$B$65</f>
        <v>217</v>
      </c>
      <c r="B221" s="9">
        <f t="shared" ref="B221:D221" si="59">B220</f>
        <v>5.191758263687303E-2</v>
      </c>
      <c r="C221" s="9">
        <f t="shared" si="59"/>
        <v>1.0017548050425843E-2</v>
      </c>
      <c r="D221" s="7">
        <f t="shared" si="59"/>
        <v>0.2959598429278244</v>
      </c>
      <c r="E221" s="7">
        <f>MAX((1-Parameters!$B$4)^Parameters!B$65*E220+B220*Parameters!B$65-Parameters!$B$5*B220^2/E220*Parameters!B$65,0.0001)</f>
        <v>0.76972618870147402</v>
      </c>
      <c r="F221" s="9">
        <f>MAX((1-Parameters!$B$4)^Parameters!B$65*F220+C220*Parameters!B$65-Parameters!$B$5*C220^2/F220*Parameters!B$65,0.0001)</f>
        <v>0.14851941628203302</v>
      </c>
      <c r="G221" s="7">
        <f>MAX((1-Parameters!$B$4)^Parameters!B$65*G220+D220*Parameters!B$65-Parameters!$B$5*D220^2/G220*Parameters!B$65,0.0001)</f>
        <v>4.3878781039701185</v>
      </c>
      <c r="I221" s="7">
        <f>I220*(1+Parameters!$B$51)^Parameters!B$65</f>
        <v>15.296643791236303</v>
      </c>
      <c r="J221" s="7">
        <f>J220*(1+Parameters!$B$53)^Parameters!B$65</f>
        <v>665.28850620353523</v>
      </c>
      <c r="K221" s="7">
        <f>'6states'!$O$4</f>
        <v>0.98104277196026479</v>
      </c>
      <c r="L221" s="9">
        <f t="shared" si="43"/>
        <v>0.5</v>
      </c>
      <c r="N221" s="7">
        <f>(Parameters!$B$19*(E221+Parameters!$B$20)^L221+Parameters!$B$18*F221^L221)^(1/L221)</f>
        <v>0.53556376567469632</v>
      </c>
      <c r="O221" s="7">
        <f>(Parameters!$B$10*G221^Parameters!$B$9 + Parameters!$B$11*N221^Parameters!$B$9) ^ (Parameters!$B$7/Parameters!$B$9) * K221</f>
        <v>1.5032566726552568</v>
      </c>
      <c r="P221" s="7">
        <f t="shared" si="40"/>
        <v>1.1453616990401336</v>
      </c>
      <c r="Q221" s="7">
        <f>EXP(-Parameters!$B$55*A221)</f>
        <v>3.7752635166058694E-2</v>
      </c>
      <c r="R221" s="7">
        <f>IF(P221&gt;0,P221^(1-Parameters!$B$52)/(1-Parameters!$B$52)*Q221,-10+P221*1000)</f>
        <v>-0.10286065775229922</v>
      </c>
      <c r="S221" s="7"/>
      <c r="T221" s="7"/>
      <c r="U221" s="7"/>
      <c r="V221" s="7"/>
    </row>
    <row r="222" spans="1:22" x14ac:dyDescent="0.3">
      <c r="A222">
        <f>A221+Parameters!$B$65</f>
        <v>218</v>
      </c>
      <c r="B222" s="9">
        <f t="shared" ref="B222:D222" si="60">B221</f>
        <v>5.191758263687303E-2</v>
      </c>
      <c r="C222" s="9">
        <f t="shared" si="60"/>
        <v>1.0017548050425843E-2</v>
      </c>
      <c r="D222" s="7">
        <f t="shared" si="60"/>
        <v>0.2959598429278244</v>
      </c>
      <c r="E222" s="7">
        <f>MAX((1-Parameters!$B$4)^Parameters!B$65*E221+B221*Parameters!B$65-Parameters!$B$5*B221^2/E221*Parameters!B$65,0.0001)</f>
        <v>0.76972618339086141</v>
      </c>
      <c r="F222" s="9">
        <f>MAX((1-Parameters!$B$4)^Parameters!B$65*F221+C221*Parameters!B$65-Parameters!$B$5*C221^2/F221*Parameters!B$65,0.0001)</f>
        <v>0.14851941527193974</v>
      </c>
      <c r="G222" s="7">
        <f>MAX((1-Parameters!$B$4)^Parameters!B$65*G221+D221*Parameters!B$65-Parameters!$B$5*D221^2/G221*Parameters!B$65,0.0001)</f>
        <v>4.3878780937495012</v>
      </c>
      <c r="I222" s="7">
        <f>I221*(1+Parameters!$B$51)^Parameters!B$65</f>
        <v>15.341004058230887</v>
      </c>
      <c r="J222" s="7">
        <f>J221*(1+Parameters!$B$53)^Parameters!B$65</f>
        <v>678.59427632760594</v>
      </c>
      <c r="K222" s="7">
        <f>'6states'!$O$4</f>
        <v>0.98104277196026479</v>
      </c>
      <c r="L222" s="9">
        <f t="shared" si="43"/>
        <v>0.5</v>
      </c>
      <c r="N222" s="7">
        <f>(Parameters!$B$19*(E222+Parameters!$B$20)^L222+Parameters!$B$18*F222^L222)^(1/L222)</f>
        <v>0.53556376202788025</v>
      </c>
      <c r="O222" s="7">
        <f>(Parameters!$B$10*G222^Parameters!$B$9 + Parameters!$B$11*N222^Parameters!$B$9) ^ (Parameters!$B$7/Parameters!$B$9) * K222</f>
        <v>1.5032566711975164</v>
      </c>
      <c r="P222" s="7">
        <f t="shared" si="40"/>
        <v>1.145361697582393</v>
      </c>
      <c r="Q222" s="7">
        <f>EXP(-Parameters!$B$55*A222)</f>
        <v>3.7186852782344175E-2</v>
      </c>
      <c r="R222" s="7">
        <f>IF(P222&gt;0,P222^(1-Parameters!$B$52)/(1-Parameters!$B$52)*Q222,-10+P222*1000)</f>
        <v>-0.10131912969277028</v>
      </c>
      <c r="S222" s="7"/>
      <c r="T222" s="7"/>
      <c r="U222" s="7"/>
      <c r="V222" s="7"/>
    </row>
    <row r="223" spans="1:22" x14ac:dyDescent="0.3">
      <c r="A223">
        <f>A222+Parameters!$B$65</f>
        <v>219</v>
      </c>
      <c r="B223" s="9">
        <f t="shared" ref="B223:D223" si="61">B222</f>
        <v>5.191758263687303E-2</v>
      </c>
      <c r="C223" s="9">
        <f t="shared" si="61"/>
        <v>1.0017548050425843E-2</v>
      </c>
      <c r="D223" s="7">
        <f t="shared" si="61"/>
        <v>0.2959598429278244</v>
      </c>
      <c r="E223" s="7">
        <f>MAX((1-Parameters!$B$4)^Parameters!B$65*E222+B222*Parameters!B$65-Parameters!$B$5*B222^2/E222*Parameters!B$65,0.0001)</f>
        <v>0.76972617839012603</v>
      </c>
      <c r="F223" s="9">
        <f>MAX((1-Parameters!$B$4)^Parameters!B$65*F222+C222*Parameters!B$65-Parameters!$B$5*C222^2/F222*Parameters!B$65,0.0001)</f>
        <v>0.14851941432078597</v>
      </c>
      <c r="G223" s="7">
        <f>MAX((1-Parameters!$B$4)^Parameters!B$65*G222+D222*Parameters!B$65-Parameters!$B$5*D222^2/G222*Parameters!B$65,0.0001)</f>
        <v>4.3878780841252629</v>
      </c>
      <c r="I223" s="7">
        <f>I222*(1+Parameters!$B$51)^Parameters!B$65</f>
        <v>15.385492969999754</v>
      </c>
      <c r="J223" s="7">
        <f>J222*(1+Parameters!$B$53)^Parameters!B$65</f>
        <v>692.16616185415808</v>
      </c>
      <c r="K223" s="7">
        <f>'6states'!$O$4</f>
        <v>0.98104277196026479</v>
      </c>
      <c r="L223" s="9">
        <f t="shared" si="43"/>
        <v>0.5</v>
      </c>
      <c r="N223" s="7">
        <f>(Parameters!$B$19*(E223+Parameters!$B$20)^L223+Parameters!$B$18*F223^L223)^(1/L223)</f>
        <v>0.53556375859385785</v>
      </c>
      <c r="O223" s="7">
        <f>(Parameters!$B$10*G223^Parameters!$B$9 + Parameters!$B$11*N223^Parameters!$B$9) ^ (Parameters!$B$7/Parameters!$B$9) * K223</f>
        <v>1.503256669824836</v>
      </c>
      <c r="P223" s="7">
        <f t="shared" si="40"/>
        <v>1.1453616962097128</v>
      </c>
      <c r="Q223" s="7">
        <f>EXP(-Parameters!$B$55*A223)</f>
        <v>3.662954953404135E-2</v>
      </c>
      <c r="R223" s="7">
        <f>IF(P223&gt;0,P223^(1-Parameters!$B$52)/(1-Parameters!$B$52)*Q223,-10+P223*1000)</f>
        <v>-9.9800703843001715E-2</v>
      </c>
      <c r="S223" s="7"/>
      <c r="T223" s="7"/>
      <c r="U223" s="7"/>
      <c r="V223" s="7"/>
    </row>
    <row r="224" spans="1:22" x14ac:dyDescent="0.3">
      <c r="A224">
        <f>A223+Parameters!$B$65</f>
        <v>220</v>
      </c>
      <c r="B224" s="9">
        <f t="shared" ref="B224:D224" si="62">B223</f>
        <v>5.191758263687303E-2</v>
      </c>
      <c r="C224" s="9">
        <f t="shared" si="62"/>
        <v>1.0017548050425843E-2</v>
      </c>
      <c r="D224" s="7">
        <f t="shared" si="62"/>
        <v>0.2959598429278244</v>
      </c>
      <c r="E224" s="7">
        <f>MAX((1-Parameters!$B$4)^Parameters!B$65*E223+B223*Parameters!B$65-Parameters!$B$5*B223^2/E223*Parameters!B$65,0.0001)</f>
        <v>0.76972617368118645</v>
      </c>
      <c r="F224" s="9">
        <f>MAX((1-Parameters!$B$4)^Parameters!B$65*F223+C223*Parameters!B$65-Parameters!$B$5*C223^2/F223*Parameters!B$65,0.0001)</f>
        <v>0.14851941342513258</v>
      </c>
      <c r="G224" s="7">
        <f>MAX((1-Parameters!$B$4)^Parameters!B$65*G223+D223*Parameters!B$65-Parameters!$B$5*D223^2/G223*Parameters!B$65,0.0001)</f>
        <v>4.3878780750626047</v>
      </c>
      <c r="I224" s="7">
        <f>I223*(1+Parameters!$B$51)^Parameters!B$65</f>
        <v>15.430110899612751</v>
      </c>
      <c r="J224" s="7">
        <f>J223*(1+Parameters!$B$53)^Parameters!B$65</f>
        <v>706.00948509124123</v>
      </c>
      <c r="K224" s="7">
        <f>'6states'!$O$4</f>
        <v>0.98104277196026479</v>
      </c>
      <c r="L224" s="9">
        <f t="shared" si="43"/>
        <v>0.5</v>
      </c>
      <c r="N224" s="7">
        <f>(Parameters!$B$19*(E224+Parameters!$B$20)^L224+Parameters!$B$18*F224^L224)^(1/L224)</f>
        <v>0.53556375536021272</v>
      </c>
      <c r="O224" s="7">
        <f>(Parameters!$B$10*G224^Parameters!$B$9 + Parameters!$B$11*N224^Parameters!$B$9) ^ (Parameters!$B$7/Parameters!$B$9) * K224</f>
        <v>1.5032566685322521</v>
      </c>
      <c r="P224" s="7">
        <f t="shared" si="40"/>
        <v>1.145361694917129</v>
      </c>
      <c r="Q224" s="7">
        <f>EXP(-Parameters!$B$55*A224)</f>
        <v>3.608059834802213E-2</v>
      </c>
      <c r="R224" s="7">
        <f>IF(P224&gt;0,P224^(1-Parameters!$B$52)/(1-Parameters!$B$52)*Q224,-10+P224*1000)</f>
        <v>-9.8305033980423853E-2</v>
      </c>
      <c r="S224" s="7"/>
      <c r="T224" s="7"/>
      <c r="U224" s="7"/>
      <c r="V224" s="7"/>
    </row>
    <row r="225" spans="1:22" x14ac:dyDescent="0.3">
      <c r="A225">
        <f>A224+Parameters!$B$65</f>
        <v>221</v>
      </c>
      <c r="B225" s="9">
        <f t="shared" ref="B225:D225" si="63">B224</f>
        <v>5.191758263687303E-2</v>
      </c>
      <c r="C225" s="9">
        <f t="shared" si="63"/>
        <v>1.0017548050425843E-2</v>
      </c>
      <c r="D225" s="7">
        <f t="shared" si="63"/>
        <v>0.2959598429278244</v>
      </c>
      <c r="E225" s="7">
        <f>MAX((1-Parameters!$B$4)^Parameters!B$65*E224+B224*Parameters!B$65-Parameters!$B$5*B224^2/E224*Parameters!B$65,0.0001)</f>
        <v>0.7697261692470162</v>
      </c>
      <c r="F225" s="9">
        <f>MAX((1-Parameters!$B$4)^Parameters!B$65*F224+C224*Parameters!B$65-Parameters!$B$5*C224^2/F224*Parameters!B$65,0.0001)</f>
        <v>0.14851941258174106</v>
      </c>
      <c r="G225" s="7">
        <f>MAX((1-Parameters!$B$4)^Parameters!B$65*G224+D224*Parameters!B$65-Parameters!$B$5*D224^2/G224*Parameters!B$65,0.0001)</f>
        <v>4.3878780665287573</v>
      </c>
      <c r="I225" s="7">
        <f>I224*(1+Parameters!$B$51)^Parameters!B$65</f>
        <v>15.474858221221627</v>
      </c>
      <c r="J225" s="7">
        <f>J224*(1+Parameters!$B$53)^Parameters!B$65</f>
        <v>720.1296747930661</v>
      </c>
      <c r="K225" s="7">
        <f>'6states'!$O$4</f>
        <v>0.98104277196026479</v>
      </c>
      <c r="L225" s="9">
        <f t="shared" si="43"/>
        <v>0.5</v>
      </c>
      <c r="N225" s="7">
        <f>(Parameters!$B$19*(E225+Parameters!$B$20)^L225+Parameters!$B$18*F225^L225)^(1/L225)</f>
        <v>0.53556375231525255</v>
      </c>
      <c r="O225" s="7">
        <f>(Parameters!$B$10*G225^Parameters!$B$9 + Parameters!$B$11*N225^Parameters!$B$9) ^ (Parameters!$B$7/Parameters!$B$9) * K225</f>
        <v>1.5032566673150916</v>
      </c>
      <c r="P225" s="7">
        <f t="shared" si="40"/>
        <v>1.1453616936999684</v>
      </c>
      <c r="Q225" s="7">
        <f>EXP(-Parameters!$B$55*A225)</f>
        <v>3.5539874055548294E-2</v>
      </c>
      <c r="R225" s="7">
        <f>IF(P225&gt;0,P225^(1-Parameters!$B$52)/(1-Parameters!$B$52)*Q225,-10+P225*1000)</f>
        <v>-9.683177907113745E-2</v>
      </c>
      <c r="S225" s="7"/>
      <c r="T225" s="7"/>
      <c r="U225" s="7"/>
      <c r="V225" s="7"/>
    </row>
    <row r="226" spans="1:22" x14ac:dyDescent="0.3">
      <c r="A226">
        <f>A225+Parameters!$B$65</f>
        <v>222</v>
      </c>
      <c r="B226" s="9">
        <f t="shared" ref="B226:D226" si="64">B225</f>
        <v>5.191758263687303E-2</v>
      </c>
      <c r="C226" s="9">
        <f t="shared" si="64"/>
        <v>1.0017548050425843E-2</v>
      </c>
      <c r="D226" s="7">
        <f t="shared" si="64"/>
        <v>0.2959598429278244</v>
      </c>
      <c r="E226" s="7">
        <f>MAX((1-Parameters!$B$4)^Parameters!B$65*E225+B225*Parameters!B$65-Parameters!$B$5*B225^2/E225*Parameters!B$65,0.0001)</f>
        <v>0.76972616507158242</v>
      </c>
      <c r="F226" s="9">
        <f>MAX((1-Parameters!$B$4)^Parameters!B$65*F225+C225*Parameters!B$65-Parameters!$B$5*C225^2/F225*Parameters!B$65,0.0001)</f>
        <v>0.14851941178756195</v>
      </c>
      <c r="G226" s="7">
        <f>MAX((1-Parameters!$B$4)^Parameters!B$65*G225+D225*Parameters!B$65-Parameters!$B$5*D225^2/G225*Parameters!B$65,0.0001)</f>
        <v>4.3878780584928654</v>
      </c>
      <c r="I226" s="7">
        <f>I225*(1+Parameters!$B$51)^Parameters!B$65</f>
        <v>15.519735310063169</v>
      </c>
      <c r="J226" s="7">
        <f>J225*(1+Parameters!$B$53)^Parameters!B$65</f>
        <v>734.53226828892741</v>
      </c>
      <c r="K226" s="7">
        <f>'6states'!$O$4</f>
        <v>0.98104277196026479</v>
      </c>
      <c r="L226" s="9">
        <f t="shared" si="43"/>
        <v>0.5</v>
      </c>
      <c r="N226" s="7">
        <f>(Parameters!$B$19*(E226+Parameters!$B$20)^L226+Parameters!$B$18*F226^L226)^(1/L226)</f>
        <v>0.53556374944796781</v>
      </c>
      <c r="O226" s="7">
        <f>(Parameters!$B$10*G226^Parameters!$B$9 + Parameters!$B$11*N226^Parameters!$B$9) ^ (Parameters!$B$7/Parameters!$B$9) * K226</f>
        <v>1.5032566661689526</v>
      </c>
      <c r="P226" s="7">
        <f t="shared" si="40"/>
        <v>1.1453616925538292</v>
      </c>
      <c r="Q226" s="7">
        <f>EXP(-Parameters!$B$55*A226)</f>
        <v>3.5007253363731262E-2</v>
      </c>
      <c r="R226" s="7">
        <f>IF(P226&gt;0,P226^(1-Parameters!$B$52)/(1-Parameters!$B$52)*Q226,-10+P226*1000)</f>
        <v>-9.5380603192154509E-2</v>
      </c>
      <c r="S226" s="7"/>
      <c r="T226" s="7"/>
      <c r="U226" s="7"/>
      <c r="V226" s="7"/>
    </row>
    <row r="227" spans="1:22" x14ac:dyDescent="0.3">
      <c r="A227">
        <f>A226+Parameters!$B$65</f>
        <v>223</v>
      </c>
      <c r="B227" s="9">
        <f t="shared" ref="B227:D227" si="65">B226</f>
        <v>5.191758263687303E-2</v>
      </c>
      <c r="C227" s="9">
        <f t="shared" si="65"/>
        <v>1.0017548050425843E-2</v>
      </c>
      <c r="D227" s="7">
        <f t="shared" si="65"/>
        <v>0.2959598429278244</v>
      </c>
      <c r="E227" s="7">
        <f>MAX((1-Parameters!$B$4)^Parameters!B$65*E226+B226*Parameters!B$65-Parameters!$B$5*B226^2/E226*Parameters!B$65,0.0001)</f>
        <v>0.76972616113978765</v>
      </c>
      <c r="F227" s="9">
        <f>MAX((1-Parameters!$B$4)^Parameters!B$65*F226+C226*Parameters!B$65-Parameters!$B$5*C226^2/F226*Parameters!B$65,0.0001)</f>
        <v>0.14851941103972366</v>
      </c>
      <c r="G227" s="7">
        <f>MAX((1-Parameters!$B$4)^Parameters!B$65*G226+D226*Parameters!B$65-Parameters!$B$5*D226^2/G226*Parameters!B$65,0.0001)</f>
        <v>4.3878780509258721</v>
      </c>
      <c r="I227" s="7">
        <f>I226*(1+Parameters!$B$51)^Parameters!B$65</f>
        <v>15.56474254246235</v>
      </c>
      <c r="J227" s="7">
        <f>J226*(1+Parameters!$B$53)^Parameters!B$65</f>
        <v>749.22291365470596</v>
      </c>
      <c r="K227" s="7">
        <f>'6states'!$O$4</f>
        <v>0.98104277196026479</v>
      </c>
      <c r="L227" s="9">
        <f t="shared" si="43"/>
        <v>0.5</v>
      </c>
      <c r="N227" s="7">
        <f>(Parameters!$B$19*(E227+Parameters!$B$20)^L227+Parameters!$B$18*F227^L227)^(1/L227)</f>
        <v>0.53556374674799068</v>
      </c>
      <c r="O227" s="7">
        <f>(Parameters!$B$10*G227^Parameters!$B$9 + Parameters!$B$11*N227^Parameters!$B$9) ^ (Parameters!$B$7/Parameters!$B$9) * K227</f>
        <v>1.5032566650896919</v>
      </c>
      <c r="P227" s="7">
        <f t="shared" si="40"/>
        <v>1.1453616914745686</v>
      </c>
      <c r="Q227" s="7">
        <f>EXP(-Parameters!$B$55*A227)</f>
        <v>3.4482614827419586E-2</v>
      </c>
      <c r="R227" s="7">
        <f>IF(P227&gt;0,P227^(1-Parameters!$B$52)/(1-Parameters!$B$52)*Q227,-10+P227*1000)</f>
        <v>-9.3951175454804664E-2</v>
      </c>
      <c r="S227" s="7"/>
      <c r="T227" s="7"/>
      <c r="U227" s="7"/>
      <c r="V227" s="7"/>
    </row>
    <row r="228" spans="1:22" x14ac:dyDescent="0.3">
      <c r="A228">
        <f>A227+Parameters!$B$65</f>
        <v>224</v>
      </c>
      <c r="B228" s="9">
        <f t="shared" ref="B228:D228" si="66">B227</f>
        <v>5.191758263687303E-2</v>
      </c>
      <c r="C228" s="9">
        <f t="shared" si="66"/>
        <v>1.0017548050425843E-2</v>
      </c>
      <c r="D228" s="7">
        <f t="shared" si="66"/>
        <v>0.2959598429278244</v>
      </c>
      <c r="E228" s="7">
        <f>MAX((1-Parameters!$B$4)^Parameters!B$65*E227+B227*Parameters!B$65-Parameters!$B$5*B227^2/E227*Parameters!B$65,0.0001)</f>
        <v>0.76972615743741524</v>
      </c>
      <c r="F228" s="9">
        <f>MAX((1-Parameters!$B$4)^Parameters!B$65*F227+C227*Parameters!B$65-Parameters!$B$5*C227^2/F227*Parameters!B$65,0.0001)</f>
        <v>0.14851941033552213</v>
      </c>
      <c r="G228" s="7">
        <f>MAX((1-Parameters!$B$4)^Parameters!B$65*G227+D227*Parameters!B$65-Parameters!$B$5*D227^2/G227*Parameters!B$65,0.0001)</f>
        <v>4.3878780438004172</v>
      </c>
      <c r="I228" s="7">
        <f>I227*(1+Parameters!$B$51)^Parameters!B$65</f>
        <v>15.609880295835488</v>
      </c>
      <c r="J228" s="7">
        <f>J227*(1+Parameters!$B$53)^Parameters!B$65</f>
        <v>764.20737192780007</v>
      </c>
      <c r="K228" s="7">
        <f>'6states'!$O$4</f>
        <v>0.98104277196026479</v>
      </c>
      <c r="L228" s="9">
        <f t="shared" si="43"/>
        <v>0.5</v>
      </c>
      <c r="N228" s="7">
        <f>(Parameters!$B$19*(E228+Parameters!$B$20)^L228+Parameters!$B$18*F228^L228)^(1/L228)</f>
        <v>0.53556374420555863</v>
      </c>
      <c r="O228" s="7">
        <f>(Parameters!$B$10*G228^Parameters!$B$9 + Parameters!$B$11*N228^Parameters!$B$9) ^ (Parameters!$B$7/Parameters!$B$9) * K228</f>
        <v>1.5032566640734064</v>
      </c>
      <c r="P228" s="7">
        <f t="shared" si="40"/>
        <v>1.1453616904582833</v>
      </c>
      <c r="Q228" s="7">
        <f>EXP(-Parameters!$B$55*A228)</f>
        <v>3.3965838821507631E-2</v>
      </c>
      <c r="R228" s="7">
        <f>IF(P228&gt;0,P228^(1-Parameters!$B$52)/(1-Parameters!$B$52)*Q228,-10+P228*1000)</f>
        <v>-9.2543169929288863E-2</v>
      </c>
      <c r="S228" s="7"/>
      <c r="T228" s="7"/>
      <c r="U228" s="7"/>
      <c r="V228" s="7"/>
    </row>
    <row r="229" spans="1:22" x14ac:dyDescent="0.3">
      <c r="A229">
        <f>A228+Parameters!$B$65</f>
        <v>225</v>
      </c>
      <c r="B229" s="9">
        <f t="shared" ref="B229:D229" si="67">B228</f>
        <v>5.191758263687303E-2</v>
      </c>
      <c r="C229" s="9">
        <f t="shared" si="67"/>
        <v>1.0017548050425843E-2</v>
      </c>
      <c r="D229" s="7">
        <f t="shared" si="67"/>
        <v>0.2959598429278244</v>
      </c>
      <c r="E229" s="7">
        <f>MAX((1-Parameters!$B$4)^Parameters!B$65*E228+B228*Parameters!B$65-Parameters!$B$5*B228^2/E228*Parameters!B$65,0.0001)</f>
        <v>0.76972615395107846</v>
      </c>
      <c r="F229" s="9">
        <f>MAX((1-Parameters!$B$4)^Parameters!B$65*F228+C228*Parameters!B$65-Parameters!$B$5*C228^2/F228*Parameters!B$65,0.0001)</f>
        <v>0.14851940967241117</v>
      </c>
      <c r="G229" s="7">
        <f>MAX((1-Parameters!$B$4)^Parameters!B$65*G228+D228*Parameters!B$65-Parameters!$B$5*D228^2/G228*Parameters!B$65,0.0001)</f>
        <v>4.3878780370907364</v>
      </c>
      <c r="I229" s="7">
        <f>I228*(1+Parameters!$B$51)^Parameters!B$65</f>
        <v>15.655148948693409</v>
      </c>
      <c r="J229" s="7">
        <f>J228*(1+Parameters!$B$53)^Parameters!B$65</f>
        <v>779.4915193663561</v>
      </c>
      <c r="K229" s="7">
        <f>'6states'!$O$4</f>
        <v>0.98104277196026479</v>
      </c>
      <c r="L229" s="9">
        <f t="shared" si="43"/>
        <v>0.5</v>
      </c>
      <c r="N229" s="7">
        <f>(Parameters!$B$19*(E229+Parameters!$B$20)^L229+Parameters!$B$18*F229^L229)^(1/L229)</f>
        <v>0.53556374181147914</v>
      </c>
      <c r="O229" s="7">
        <f>(Parameters!$B$10*G229^Parameters!$B$9 + Parameters!$B$11*N229^Parameters!$B$9) ^ (Parameters!$B$7/Parameters!$B$9) * K229</f>
        <v>1.5032566631164219</v>
      </c>
      <c r="P229" s="7">
        <f t="shared" si="40"/>
        <v>1.1453616895012986</v>
      </c>
      <c r="Q229" s="7">
        <f>EXP(-Parameters!$B$55*A229)</f>
        <v>3.3456807513659412E-2</v>
      </c>
      <c r="R229" s="7">
        <f>IF(P229&gt;0,P229^(1-Parameters!$B$52)/(1-Parameters!$B$52)*Q229,-10+P229*1000)</f>
        <v>-9.1156265570364062E-2</v>
      </c>
      <c r="S229" s="7"/>
      <c r="T229" s="7"/>
      <c r="U229" s="7"/>
      <c r="V229" s="7"/>
    </row>
    <row r="230" spans="1:22" x14ac:dyDescent="0.3">
      <c r="A230">
        <f>A229+Parameters!$B$65</f>
        <v>226</v>
      </c>
      <c r="B230" s="9">
        <f t="shared" ref="B230:D230" si="68">B229</f>
        <v>5.191758263687303E-2</v>
      </c>
      <c r="C230" s="9">
        <f t="shared" si="68"/>
        <v>1.0017548050425843E-2</v>
      </c>
      <c r="D230" s="7">
        <f t="shared" si="68"/>
        <v>0.2959598429278244</v>
      </c>
      <c r="E230" s="7">
        <f>MAX((1-Parameters!$B$4)^Parameters!B$65*E229+B229*Parameters!B$65-Parameters!$B$5*B229^2/E229*Parameters!B$65,0.0001)</f>
        <v>0.7697261506681714</v>
      </c>
      <c r="F230" s="9">
        <f>MAX((1-Parameters!$B$4)^Parameters!B$65*F229+C229*Parameters!B$65-Parameters!$B$5*C229^2/F229*Parameters!B$65,0.0001)</f>
        <v>0.14851940904799313</v>
      </c>
      <c r="G230" s="7">
        <f>MAX((1-Parameters!$B$4)^Parameters!B$65*G229+D229*Parameters!B$65-Parameters!$B$5*D229^2/G229*Parameters!B$65,0.0001)</f>
        <v>4.38787803077257</v>
      </c>
      <c r="I230" s="7">
        <f>I229*(1+Parameters!$B$51)^Parameters!B$65</f>
        <v>15.700548880644618</v>
      </c>
      <c r="J230" s="7">
        <f>J229*(1+Parameters!$B$53)^Parameters!B$65</f>
        <v>795.08134975368318</v>
      </c>
      <c r="K230" s="7">
        <f>'6states'!$O$4</f>
        <v>0.98104277196026479</v>
      </c>
      <c r="L230" s="9">
        <f t="shared" si="43"/>
        <v>0.5</v>
      </c>
      <c r="N230" s="7">
        <f>(Parameters!$B$19*(E230+Parameters!$B$20)^L230+Parameters!$B$18*F230^L230)^(1/L230)</f>
        <v>0.53556373955709524</v>
      </c>
      <c r="O230" s="7">
        <f>(Parameters!$B$10*G230^Parameters!$B$9 + Parameters!$B$11*N230^Parameters!$B$9) ^ (Parameters!$B$7/Parameters!$B$9) * K230</f>
        <v>1.5032566622152781</v>
      </c>
      <c r="P230" s="7">
        <f t="shared" si="40"/>
        <v>1.145361688600155</v>
      </c>
      <c r="Q230" s="7">
        <f>EXP(-Parameters!$B$55*A230)</f>
        <v>3.2955404837441082E-2</v>
      </c>
      <c r="R230" s="7">
        <f>IF(P230&gt;0,P230^(1-Parameters!$B$52)/(1-Parameters!$B$52)*Q230,-10+P230*1000)</f>
        <v>-8.9790146144141256E-2</v>
      </c>
      <c r="S230" s="7"/>
      <c r="T230" s="7"/>
      <c r="U230" s="7"/>
      <c r="V230" s="7"/>
    </row>
    <row r="231" spans="1:22" x14ac:dyDescent="0.3">
      <c r="A231">
        <f>A230+Parameters!$B$65</f>
        <v>227</v>
      </c>
      <c r="B231" s="9">
        <f t="shared" ref="B231:D231" si="69">B230</f>
        <v>5.191758263687303E-2</v>
      </c>
      <c r="C231" s="9">
        <f t="shared" si="69"/>
        <v>1.0017548050425843E-2</v>
      </c>
      <c r="D231" s="7">
        <f t="shared" si="69"/>
        <v>0.2959598429278244</v>
      </c>
      <c r="E231" s="7">
        <f>MAX((1-Parameters!$B$4)^Parameters!B$65*E230+B230*Parameters!B$65-Parameters!$B$5*B230^2/E230*Parameters!B$65,0.0001)</f>
        <v>0.76972614757682389</v>
      </c>
      <c r="F231" s="9">
        <f>MAX((1-Parameters!$B$4)^Parameters!B$65*F230+C230*Parameters!B$65-Parameters!$B$5*C230^2/F230*Parameters!B$65,0.0001)</f>
        <v>0.14851940846001024</v>
      </c>
      <c r="G231" s="7">
        <f>MAX((1-Parameters!$B$4)^Parameters!B$65*G230+D230*Parameters!B$65-Parameters!$B$5*D230^2/G230*Parameters!B$65,0.0001)</f>
        <v>4.3878780248230722</v>
      </c>
      <c r="I231" s="7">
        <f>I230*(1+Parameters!$B$51)^Parameters!B$65</f>
        <v>15.746080472398486</v>
      </c>
      <c r="J231" s="7">
        <f>J230*(1+Parameters!$B$53)^Parameters!B$65</f>
        <v>810.98297674875687</v>
      </c>
      <c r="K231" s="7">
        <f>'6states'!$O$4</f>
        <v>0.98104277196026479</v>
      </c>
      <c r="L231" s="9">
        <f t="shared" si="43"/>
        <v>0.5</v>
      </c>
      <c r="N231" s="7">
        <f>(Parameters!$B$19*(E231+Parameters!$B$20)^L231+Parameters!$B$18*F231^L231)^(1/L231)</f>
        <v>0.53556373743425623</v>
      </c>
      <c r="O231" s="7">
        <f>(Parameters!$B$10*G231^Parameters!$B$9 + Parameters!$B$11*N231^Parameters!$B$9) ^ (Parameters!$B$7/Parameters!$B$9) * K231</f>
        <v>1.5032566613667164</v>
      </c>
      <c r="P231" s="7">
        <f t="shared" si="40"/>
        <v>1.1453616877515933</v>
      </c>
      <c r="Q231" s="7">
        <f>EXP(-Parameters!$B$55*A231)</f>
        <v>3.2461516465856148E-2</v>
      </c>
      <c r="R231" s="7">
        <f>IF(P231&gt;0,P231^(1-Parameters!$B$52)/(1-Parameters!$B$52)*Q231,-10+P231*1000)</f>
        <v>-8.8444500155980849E-2</v>
      </c>
      <c r="S231" s="7"/>
      <c r="T231" s="7"/>
      <c r="U231" s="7"/>
      <c r="V231" s="7"/>
    </row>
    <row r="232" spans="1:22" x14ac:dyDescent="0.3">
      <c r="A232">
        <f>A231+Parameters!$B$65</f>
        <v>228</v>
      </c>
      <c r="B232" s="9">
        <f t="shared" ref="B232:D232" si="70">B231</f>
        <v>5.191758263687303E-2</v>
      </c>
      <c r="C232" s="9">
        <f t="shared" si="70"/>
        <v>1.0017548050425843E-2</v>
      </c>
      <c r="D232" s="7">
        <f t="shared" si="70"/>
        <v>0.2959598429278244</v>
      </c>
      <c r="E232" s="7">
        <f>MAX((1-Parameters!$B$4)^Parameters!B$65*E231+B231*Parameters!B$65-Parameters!$B$5*B231^2/E231*Parameters!B$65,0.0001)</f>
        <v>0.76972614466585831</v>
      </c>
      <c r="F232" s="9">
        <f>MAX((1-Parameters!$B$4)^Parameters!B$65*F231+C231*Parameters!B$65-Parameters!$B$5*C231^2/F231*Parameters!B$65,0.0001)</f>
        <v>0.1485194079063365</v>
      </c>
      <c r="G232" s="7">
        <f>MAX((1-Parameters!$B$4)^Parameters!B$65*G231+D231*Parameters!B$65-Parameters!$B$5*D231^2/G231*Parameters!B$65,0.0001)</f>
        <v>4.3878780192207314</v>
      </c>
      <c r="I232" s="7">
        <f>I231*(1+Parameters!$B$51)^Parameters!B$65</f>
        <v>15.791744105768441</v>
      </c>
      <c r="J232" s="7">
        <f>J231*(1+Parameters!$B$53)^Parameters!B$65</f>
        <v>827.20263628373198</v>
      </c>
      <c r="K232" s="7">
        <f>'6states'!$O$4</f>
        <v>0.98104277196026479</v>
      </c>
      <c r="L232" s="9">
        <f t="shared" si="43"/>
        <v>0.5</v>
      </c>
      <c r="N232" s="7">
        <f>(Parameters!$B$19*(E232+Parameters!$B$20)^L232+Parameters!$B$18*F232^L232)^(1/L232)</f>
        <v>0.53556373543528601</v>
      </c>
      <c r="O232" s="7">
        <f>(Parameters!$B$10*G232^Parameters!$B$9 + Parameters!$B$11*N232^Parameters!$B$9) ^ (Parameters!$B$7/Parameters!$B$9) * K232</f>
        <v>1.5032566605676687</v>
      </c>
      <c r="P232" s="7">
        <f t="shared" si="40"/>
        <v>1.1453616869525454</v>
      </c>
      <c r="Q232" s="7">
        <f>EXP(-Parameters!$B$55*A232)</f>
        <v>3.1975029785277304E-2</v>
      </c>
      <c r="R232" s="7">
        <f>IF(P232&gt;0,P232^(1-Parameters!$B$52)/(1-Parameters!$B$52)*Q232,-10+P232*1000)</f>
        <v>-8.7119020779468398E-2</v>
      </c>
      <c r="S232" s="7"/>
      <c r="T232" s="7"/>
      <c r="U232" s="7"/>
      <c r="V232" s="7"/>
    </row>
    <row r="233" spans="1:22" x14ac:dyDescent="0.3">
      <c r="A233">
        <f>A232+Parameters!$B$65</f>
        <v>229</v>
      </c>
      <c r="B233" s="9">
        <f t="shared" ref="B233:D233" si="71">B232</f>
        <v>5.191758263687303E-2</v>
      </c>
      <c r="C233" s="9">
        <f t="shared" si="71"/>
        <v>1.0017548050425843E-2</v>
      </c>
      <c r="D233" s="7">
        <f t="shared" si="71"/>
        <v>0.2959598429278244</v>
      </c>
      <c r="E233" s="7">
        <f>MAX((1-Parameters!$B$4)^Parameters!B$65*E232+B232*Parameters!B$65-Parameters!$B$5*B232^2/E232*Parameters!B$65,0.0001)</f>
        <v>0.76972614192474931</v>
      </c>
      <c r="F233" s="9">
        <f>MAX((1-Parameters!$B$4)^Parameters!B$65*F232+C232*Parameters!B$65-Parameters!$B$5*C232^2/F232*Parameters!B$65,0.0001)</f>
        <v>0.14851940738496994</v>
      </c>
      <c r="G233" s="7">
        <f>MAX((1-Parameters!$B$4)^Parameters!B$65*G232+D232*Parameters!B$65-Parameters!$B$5*D232^2/G232*Parameters!B$65,0.0001)</f>
        <v>4.38787801394529</v>
      </c>
      <c r="I233" s="7">
        <f>I232*(1+Parameters!$B$51)^Parameters!B$65</f>
        <v>15.837540163675168</v>
      </c>
      <c r="J233" s="7">
        <f>J232*(1+Parameters!$B$53)^Parameters!B$65</f>
        <v>843.74668900940662</v>
      </c>
      <c r="K233" s="7">
        <f>'6states'!$O$4</f>
        <v>0.98104277196026479</v>
      </c>
      <c r="L233" s="9">
        <f t="shared" si="43"/>
        <v>0.5</v>
      </c>
      <c r="N233" s="7">
        <f>(Parameters!$B$19*(E233+Parameters!$B$20)^L233+Parameters!$B$18*F233^L233)^(1/L233)</f>
        <v>0.53556373355295706</v>
      </c>
      <c r="O233" s="7">
        <f>(Parameters!$B$10*G233^Parameters!$B$9 + Parameters!$B$11*N233^Parameters!$B$9) ^ (Parameters!$B$7/Parameters!$B$9) * K233</f>
        <v>1.5032566598152459</v>
      </c>
      <c r="P233" s="7">
        <f t="shared" si="40"/>
        <v>1.1453616862001228</v>
      </c>
      <c r="Q233" s="7">
        <f>EXP(-Parameters!$B$55*A233)</f>
        <v>3.1495833869768834E-2</v>
      </c>
      <c r="R233" s="7">
        <f>IF(P233&gt;0,P233^(1-Parameters!$B$52)/(1-Parameters!$B$52)*Q233,-10+P233*1000)</f>
        <v>-8.58134057864543E-2</v>
      </c>
      <c r="S233" s="7"/>
      <c r="T233" s="7"/>
      <c r="U233" s="7"/>
      <c r="V233" s="7"/>
    </row>
    <row r="234" spans="1:22" x14ac:dyDescent="0.3">
      <c r="A234">
        <f>A233+Parameters!$B$65</f>
        <v>230</v>
      </c>
      <c r="B234" s="9">
        <f t="shared" ref="B234:D234" si="72">B233</f>
        <v>5.191758263687303E-2</v>
      </c>
      <c r="C234" s="9">
        <f t="shared" si="72"/>
        <v>1.0017548050425843E-2</v>
      </c>
      <c r="D234" s="7">
        <f t="shared" si="72"/>
        <v>0.2959598429278244</v>
      </c>
      <c r="E234" s="7">
        <f>MAX((1-Parameters!$B$4)^Parameters!B$65*E233+B233*Parameters!B$65-Parameters!$B$5*B233^2/E233*Parameters!B$65,0.0001)</f>
        <v>0.76972613934358558</v>
      </c>
      <c r="F234" s="9">
        <f>MAX((1-Parameters!$B$4)^Parameters!B$65*F233+C233*Parameters!B$65-Parameters!$B$5*C233^2/F233*Parameters!B$65,0.0001)</f>
        <v>0.1485194068940254</v>
      </c>
      <c r="G234" s="7">
        <f>MAX((1-Parameters!$B$4)^Parameters!B$65*G233+D233*Parameters!B$65-Parameters!$B$5*D233^2/G233*Parameters!B$65,0.0001)</f>
        <v>4.3878780089776743</v>
      </c>
      <c r="I234" s="7">
        <f>I233*(1+Parameters!$B$51)^Parameters!B$65</f>
        <v>15.883469030149826</v>
      </c>
      <c r="J234" s="7">
        <f>J233*(1+Parameters!$B$53)^Parameters!B$65</f>
        <v>860.62162278959477</v>
      </c>
      <c r="K234" s="7">
        <f>'6states'!$O$4</f>
        <v>0.98104277196026479</v>
      </c>
      <c r="L234" s="9">
        <f t="shared" si="43"/>
        <v>0.5</v>
      </c>
      <c r="N234" s="7">
        <f>(Parameters!$B$19*(E234+Parameters!$B$20)^L234+Parameters!$B$18*F234^L234)^(1/L234)</f>
        <v>0.5355637317804629</v>
      </c>
      <c r="O234" s="7">
        <f>(Parameters!$B$10*G234^Parameters!$B$9 + Parameters!$B$11*N234^Parameters!$B$9) ^ (Parameters!$B$7/Parameters!$B$9) * K234</f>
        <v>1.5032566591067276</v>
      </c>
      <c r="P234" s="7">
        <f t="shared" si="40"/>
        <v>1.1453616854916042</v>
      </c>
      <c r="Q234" s="7">
        <f>EXP(-Parameters!$B$55*A234)</f>
        <v>3.1023819455793956E-2</v>
      </c>
      <c r="R234" s="7">
        <f>IF(P234&gt;0,P234^(1-Parameters!$B$52)/(1-Parameters!$B$52)*Q234,-10+P234*1000)</f>
        <v>-8.4527357478142773E-2</v>
      </c>
      <c r="S234" s="7"/>
      <c r="T234" s="7"/>
      <c r="U234" s="7"/>
      <c r="V234" s="7"/>
    </row>
    <row r="235" spans="1:22" x14ac:dyDescent="0.3">
      <c r="A235">
        <f>A234+Parameters!$B$65</f>
        <v>231</v>
      </c>
      <c r="B235" s="9">
        <f t="shared" ref="B235:D235" si="73">B234</f>
        <v>5.191758263687303E-2</v>
      </c>
      <c r="C235" s="9">
        <f t="shared" si="73"/>
        <v>1.0017548050425843E-2</v>
      </c>
      <c r="D235" s="7">
        <f t="shared" si="73"/>
        <v>0.2959598429278244</v>
      </c>
      <c r="E235" s="7">
        <f>MAX((1-Parameters!$B$4)^Parameters!B$65*E234+B234*Parameters!B$65-Parameters!$B$5*B234^2/E234*Parameters!B$65,0.0001)</f>
        <v>0.76972613691303415</v>
      </c>
      <c r="F235" s="9">
        <f>MAX((1-Parameters!$B$4)^Parameters!B$65*F234+C234*Parameters!B$65-Parameters!$B$5*C234^2/F234*Parameters!B$65,0.0001)</f>
        <v>0.14851940643172779</v>
      </c>
      <c r="G235" s="7">
        <f>MAX((1-Parameters!$B$4)^Parameters!B$65*G234+D234*Parameters!B$65-Parameters!$B$5*D234^2/G234*Parameters!B$65,0.0001)</f>
        <v>4.387878004299921</v>
      </c>
      <c r="I235" s="7">
        <f>I234*(1+Parameters!$B$51)^Parameters!B$65</f>
        <v>15.929531090337258</v>
      </c>
      <c r="J235" s="7">
        <f>J234*(1+Parameters!$B$53)^Parameters!B$65</f>
        <v>877.83405524538671</v>
      </c>
      <c r="K235" s="7">
        <f>'6states'!$O$4</f>
        <v>0.98104277196026479</v>
      </c>
      <c r="L235" s="9">
        <f t="shared" si="43"/>
        <v>0.5</v>
      </c>
      <c r="N235" s="7">
        <f>(Parameters!$B$19*(E235+Parameters!$B$20)^L235+Parameters!$B$18*F235^L235)^(1/L235)</f>
        <v>0.5355637301113948</v>
      </c>
      <c r="O235" s="7">
        <f>(Parameters!$B$10*G235^Parameters!$B$9 + Parameters!$B$11*N235^Parameters!$B$9) ^ (Parameters!$B$7/Parameters!$B$9) * K235</f>
        <v>1.5032566584395517</v>
      </c>
      <c r="P235" s="7">
        <f t="shared" si="40"/>
        <v>1.1453616848244286</v>
      </c>
      <c r="Q235" s="7">
        <f>EXP(-Parameters!$B$55*A235)</f>
        <v>3.0558878917301198E-2</v>
      </c>
      <c r="R235" s="7">
        <f>IF(P235&gt;0,P235^(1-Parameters!$B$52)/(1-Parameters!$B$52)*Q235,-10+P235*1000)</f>
        <v>-8.326058261721267E-2</v>
      </c>
      <c r="S235" s="7"/>
      <c r="T235" s="7"/>
      <c r="U235" s="7"/>
      <c r="V235" s="7"/>
    </row>
    <row r="236" spans="1:22" x14ac:dyDescent="0.3">
      <c r="A236">
        <f>A235+Parameters!$B$65</f>
        <v>232</v>
      </c>
      <c r="B236" s="9">
        <f t="shared" ref="B236:D236" si="74">B235</f>
        <v>5.191758263687303E-2</v>
      </c>
      <c r="C236" s="9">
        <f t="shared" si="74"/>
        <v>1.0017548050425843E-2</v>
      </c>
      <c r="D236" s="7">
        <f t="shared" si="74"/>
        <v>0.2959598429278244</v>
      </c>
      <c r="E236" s="7">
        <f>MAX((1-Parameters!$B$4)^Parameters!B$65*E235+B235*Parameters!B$65-Parameters!$B$5*B235^2/E235*Parameters!B$65,0.0001)</f>
        <v>0.76972613462430683</v>
      </c>
      <c r="F236" s="9">
        <f>MAX((1-Parameters!$B$4)^Parameters!B$65*F235+C235*Parameters!B$65-Parameters!$B$5*C235^2/F235*Parameters!B$65,0.0001)</f>
        <v>0.14851940599640548</v>
      </c>
      <c r="G236" s="7">
        <f>MAX((1-Parameters!$B$4)^Parameters!B$65*G235+D235*Parameters!B$65-Parameters!$B$5*D235^2/G235*Parameters!B$65,0.0001)</f>
        <v>4.3878779998951174</v>
      </c>
      <c r="I236" s="7">
        <f>I235*(1+Parameters!$B$51)^Parameters!B$65</f>
        <v>15.975726730499234</v>
      </c>
      <c r="J236" s="7">
        <f>J235*(1+Parameters!$B$53)^Parameters!B$65</f>
        <v>895.39073635029445</v>
      </c>
      <c r="K236" s="7">
        <f>'6states'!$O$4</f>
        <v>0.98104277196026479</v>
      </c>
      <c r="L236" s="9">
        <f t="shared" si="43"/>
        <v>0.5</v>
      </c>
      <c r="N236" s="7">
        <f>(Parameters!$B$19*(E236+Parameters!$B$20)^L236+Parameters!$B$18*F236^L236)^(1/L236)</f>
        <v>0.53556372853971768</v>
      </c>
      <c r="O236" s="7">
        <f>(Parameters!$B$10*G236^Parameters!$B$9 + Parameters!$B$11*N236^Parameters!$B$9) ^ (Parameters!$B$7/Parameters!$B$9) * K236</f>
        <v>1.503256657811306</v>
      </c>
      <c r="P236" s="7">
        <f t="shared" si="40"/>
        <v>1.1453616841961827</v>
      </c>
      <c r="Q236" s="7">
        <f>EXP(-Parameters!$B$55*A236)</f>
        <v>3.0100906241184062E-2</v>
      </c>
      <c r="R236" s="7">
        <f>IF(P236&gt;0,P236^(1-Parameters!$B$52)/(1-Parameters!$B$52)*Q236,-10+P236*1000)</f>
        <v>-8.2012792360956072E-2</v>
      </c>
      <c r="S236" s="7"/>
      <c r="T236" s="7"/>
      <c r="U236" s="7"/>
      <c r="V236" s="7"/>
    </row>
    <row r="237" spans="1:22" x14ac:dyDescent="0.3">
      <c r="A237">
        <f>A236+Parameters!$B$65</f>
        <v>233</v>
      </c>
      <c r="B237" s="9">
        <f t="shared" ref="B237:D237" si="75">B236</f>
        <v>5.191758263687303E-2</v>
      </c>
      <c r="C237" s="9">
        <f t="shared" si="75"/>
        <v>1.0017548050425843E-2</v>
      </c>
      <c r="D237" s="7">
        <f t="shared" si="75"/>
        <v>0.2959598429278244</v>
      </c>
      <c r="E237" s="7">
        <f>MAX((1-Parameters!$B$4)^Parameters!B$65*E236+B236*Parameters!B$65-Parameters!$B$5*B236^2/E236*Parameters!B$65,0.0001)</f>
        <v>0.76972613246912802</v>
      </c>
      <c r="F237" s="9">
        <f>MAX((1-Parameters!$B$4)^Parameters!B$65*F236+C236*Parameters!B$65-Parameters!$B$5*C236^2/F236*Parameters!B$65,0.0001)</f>
        <v>0.14851940558648447</v>
      </c>
      <c r="G237" s="7">
        <f>MAX((1-Parameters!$B$4)^Parameters!B$65*G236+D236*Parameters!B$65-Parameters!$B$5*D236^2/G236*Parameters!B$65,0.0001)</f>
        <v>4.3878779957473366</v>
      </c>
      <c r="I237" s="7">
        <f>I236*(1+Parameters!$B$51)^Parameters!B$65</f>
        <v>16.022056338017681</v>
      </c>
      <c r="J237" s="7">
        <f>J236*(1+Parameters!$B$53)^Parameters!B$65</f>
        <v>913.29855107730032</v>
      </c>
      <c r="K237" s="7">
        <f>'6states'!$O$4</f>
        <v>0.98104277196026479</v>
      </c>
      <c r="L237" s="9">
        <f t="shared" si="43"/>
        <v>0.5</v>
      </c>
      <c r="N237" s="7">
        <f>(Parameters!$B$19*(E237+Parameters!$B$20)^L237+Parameters!$B$18*F237^L237)^(1/L237)</f>
        <v>0.53556372705974897</v>
      </c>
      <c r="O237" s="7">
        <f>(Parameters!$B$10*G237^Parameters!$B$9 + Parameters!$B$11*N237^Parameters!$B$9) ^ (Parameters!$B$7/Parameters!$B$9) * K237</f>
        <v>1.5032566572197184</v>
      </c>
      <c r="P237" s="7">
        <f t="shared" si="40"/>
        <v>1.145361683604595</v>
      </c>
      <c r="Q237" s="7">
        <f>EXP(-Parameters!$B$55*A237)</f>
        <v>2.9649797003108529E-2</v>
      </c>
      <c r="R237" s="7">
        <f>IF(P237&gt;0,P237^(1-Parameters!$B$52)/(1-Parameters!$B$52)*Q237,-10+P237*1000)</f>
        <v>-8.0783702195418486E-2</v>
      </c>
      <c r="S237" s="7"/>
      <c r="T237" s="7"/>
      <c r="U237" s="7"/>
      <c r="V237" s="7"/>
    </row>
    <row r="238" spans="1:22" x14ac:dyDescent="0.3">
      <c r="A238">
        <f>A237+Parameters!$B$65</f>
        <v>234</v>
      </c>
      <c r="B238" s="9">
        <f t="shared" ref="B238:D238" si="76">B237</f>
        <v>5.191758263687303E-2</v>
      </c>
      <c r="C238" s="9">
        <f t="shared" si="76"/>
        <v>1.0017548050425843E-2</v>
      </c>
      <c r="D238" s="7">
        <f t="shared" si="76"/>
        <v>0.2959598429278244</v>
      </c>
      <c r="E238" s="7">
        <f>MAX((1-Parameters!$B$4)^Parameters!B$65*E237+B237*Parameters!B$65-Parameters!$B$5*B237^2/E237*Parameters!B$65,0.0001)</f>
        <v>0.76972613043970517</v>
      </c>
      <c r="F238" s="9">
        <f>MAX((1-Parameters!$B$4)^Parameters!B$65*F237+C237*Parameters!B$65-Parameters!$B$5*C237^2/F237*Parameters!B$65,0.0001)</f>
        <v>0.1485194052004826</v>
      </c>
      <c r="G238" s="7">
        <f>MAX((1-Parameters!$B$4)^Parameters!B$65*G237+D237*Parameters!B$65-Parameters!$B$5*D237^2/G237*Parameters!B$65,0.0001)</f>
        <v>4.3878779918415809</v>
      </c>
      <c r="I238" s="7">
        <f>I237*(1+Parameters!$B$51)^Parameters!B$65</f>
        <v>16.068520301397932</v>
      </c>
      <c r="J238" s="7">
        <f>J237*(1+Parameters!$B$53)^Parameters!B$65</f>
        <v>931.5645220988464</v>
      </c>
      <c r="K238" s="7">
        <f>'6states'!$O$4</f>
        <v>0.98104277196026479</v>
      </c>
      <c r="L238" s="9">
        <f t="shared" si="43"/>
        <v>0.5</v>
      </c>
      <c r="N238" s="7">
        <f>(Parameters!$B$19*(E238+Parameters!$B$20)^L238+Parameters!$B$18*F238^L238)^(1/L238)</f>
        <v>0.5355637256661373</v>
      </c>
      <c r="O238" s="7">
        <f>(Parameters!$B$10*G238^Parameters!$B$9 + Parameters!$B$11*N238^Parameters!$B$9) ^ (Parameters!$B$7/Parameters!$B$9) * K238</f>
        <v>1.5032566566626504</v>
      </c>
      <c r="P238" s="7">
        <f t="shared" si="40"/>
        <v>1.1453616830475273</v>
      </c>
      <c r="Q238" s="7">
        <f>EXP(-Parameters!$B$55*A238)</f>
        <v>2.9205448343702842E-2</v>
      </c>
      <c r="R238" s="7">
        <f>IF(P238&gt;0,P238^(1-Parameters!$B$52)/(1-Parameters!$B$52)*Q238,-10+P238*1000)</f>
        <v>-7.9573031870526431E-2</v>
      </c>
      <c r="S238" s="7"/>
      <c r="T238" s="7"/>
      <c r="U238" s="7"/>
      <c r="V238" s="7"/>
    </row>
    <row r="239" spans="1:22" x14ac:dyDescent="0.3">
      <c r="A239">
        <f>A238+Parameters!$B$65</f>
        <v>235</v>
      </c>
      <c r="B239" s="9">
        <f t="shared" ref="B239:D239" si="77">B238</f>
        <v>5.191758263687303E-2</v>
      </c>
      <c r="C239" s="9">
        <f t="shared" si="77"/>
        <v>1.0017548050425843E-2</v>
      </c>
      <c r="D239" s="7">
        <f t="shared" si="77"/>
        <v>0.2959598429278244</v>
      </c>
      <c r="E239" s="7">
        <f>MAX((1-Parameters!$B$4)^Parameters!B$65*E238+B238*Parameters!B$65-Parameters!$B$5*B238^2/E238*Parameters!B$65,0.0001)</f>
        <v>0.76972612852870026</v>
      </c>
      <c r="F239" s="9">
        <f>MAX((1-Parameters!$B$4)^Parameters!B$65*F238+C238*Parameters!B$65-Parameters!$B$5*C238^2/F238*Parameters!B$65,0.0001)</f>
        <v>0.14851940483700413</v>
      </c>
      <c r="G239" s="7">
        <f>MAX((1-Parameters!$B$4)^Parameters!B$65*G238+D238*Parameters!B$65-Parameters!$B$5*D238^2/G238*Parameters!B$65,0.0001)</f>
        <v>4.3878779881637282</v>
      </c>
      <c r="I239" s="7">
        <f>I238*(1+Parameters!$B$51)^Parameters!B$65</f>
        <v>16.115119010271986</v>
      </c>
      <c r="J239" s="7">
        <f>J238*(1+Parameters!$B$53)^Parameters!B$65</f>
        <v>950.19581254082334</v>
      </c>
      <c r="K239" s="7">
        <f>'6states'!$O$4</f>
        <v>0.98104277196026479</v>
      </c>
      <c r="L239" s="9">
        <f t="shared" si="43"/>
        <v>0.5</v>
      </c>
      <c r="N239" s="7">
        <f>(Parameters!$B$19*(E239+Parameters!$B$20)^L239+Parameters!$B$18*F239^L239)^(1/L239)</f>
        <v>0.53556372435384336</v>
      </c>
      <c r="O239" s="7">
        <f>(Parameters!$B$10*G239^Parameters!$B$9 + Parameters!$B$11*N239^Parameters!$B$9) ^ (Parameters!$B$7/Parameters!$B$9) * K239</f>
        <v>1.5032566561380878</v>
      </c>
      <c r="P239" s="7">
        <f t="shared" si="40"/>
        <v>1.1453616825229647</v>
      </c>
      <c r="Q239" s="7">
        <f>EXP(-Parameters!$B$55*A239)</f>
        <v>2.8767758945104051E-2</v>
      </c>
      <c r="R239" s="7">
        <f>IF(P239&gt;0,P239^(1-Parameters!$B$52)/(1-Parameters!$B$52)*Q239,-10+P239*1000)</f>
        <v>-7.838050533618672E-2</v>
      </c>
      <c r="S239" s="7"/>
      <c r="T239" s="7"/>
      <c r="U239" s="7"/>
      <c r="V239" s="7"/>
    </row>
    <row r="240" spans="1:22" x14ac:dyDescent="0.3">
      <c r="A240">
        <f>A239+Parameters!$B$65</f>
        <v>236</v>
      </c>
      <c r="B240" s="9">
        <f t="shared" ref="B240:D240" si="78">B239</f>
        <v>5.191758263687303E-2</v>
      </c>
      <c r="C240" s="9">
        <f t="shared" si="78"/>
        <v>1.0017548050425843E-2</v>
      </c>
      <c r="D240" s="7">
        <f t="shared" si="78"/>
        <v>0.2959598429278244</v>
      </c>
      <c r="E240" s="7">
        <f>MAX((1-Parameters!$B$4)^Parameters!B$65*E239+B239*Parameters!B$65-Parameters!$B$5*B239^2/E239*Parameters!B$65,0.0001)</f>
        <v>0.7697261267292036</v>
      </c>
      <c r="F240" s="9">
        <f>MAX((1-Parameters!$B$4)^Parameters!B$65*F239+C239*Parameters!B$65-Parameters!$B$5*C239^2/F239*Parameters!B$65,0.0001)</f>
        <v>0.14851940449473489</v>
      </c>
      <c r="G240" s="7">
        <f>MAX((1-Parameters!$B$4)^Parameters!B$65*G239+D239*Parameters!B$65-Parameters!$B$5*D239^2/G239*Parameters!B$65,0.0001)</f>
        <v>4.3878779847004807</v>
      </c>
      <c r="I240" s="7">
        <f>I239*(1+Parameters!$B$51)^Parameters!B$65</f>
        <v>16.161852855401772</v>
      </c>
      <c r="J240" s="7">
        <f>J239*(1+Parameters!$B$53)^Parameters!B$65</f>
        <v>969.19972879163981</v>
      </c>
      <c r="K240" s="7">
        <f>'6states'!$O$4</f>
        <v>0.98104277196026479</v>
      </c>
      <c r="L240" s="9">
        <f t="shared" si="43"/>
        <v>0.5</v>
      </c>
      <c r="N240" s="7">
        <f>(Parameters!$B$19*(E240+Parameters!$B$20)^L240+Parameters!$B$18*F240^L240)^(1/L240)</f>
        <v>0.53556372311812284</v>
      </c>
      <c r="O240" s="7">
        <f>(Parameters!$B$10*G240^Parameters!$B$9 + Parameters!$B$11*N240^Parameters!$B$9) ^ (Parameters!$B$7/Parameters!$B$9) * K240</f>
        <v>1.5032566556441336</v>
      </c>
      <c r="P240" s="7">
        <f t="shared" si="40"/>
        <v>1.1453616820290105</v>
      </c>
      <c r="Q240" s="7">
        <f>EXP(-Parameters!$B$55*A240)</f>
        <v>2.8336629007856159E-2</v>
      </c>
      <c r="R240" s="7">
        <f>IF(P240&gt;0,P240^(1-Parameters!$B$52)/(1-Parameters!$B$52)*Q240,-10+P240*1000)</f>
        <v>-7.7205850679343879E-2</v>
      </c>
      <c r="S240" s="7"/>
      <c r="T240" s="7"/>
      <c r="U240" s="7"/>
      <c r="V240" s="7"/>
    </row>
    <row r="241" spans="1:22" x14ac:dyDescent="0.3">
      <c r="A241">
        <f>A240+Parameters!$B$65</f>
        <v>237</v>
      </c>
      <c r="B241" s="9">
        <f t="shared" ref="B241:D241" si="79">B240</f>
        <v>5.191758263687303E-2</v>
      </c>
      <c r="C241" s="9">
        <f t="shared" si="79"/>
        <v>1.0017548050425843E-2</v>
      </c>
      <c r="D241" s="7">
        <f t="shared" si="79"/>
        <v>0.2959598429278244</v>
      </c>
      <c r="E241" s="7">
        <f>MAX((1-Parameters!$B$4)^Parameters!B$65*E240+B240*Parameters!B$65-Parameters!$B$5*B240^2/E240*Parameters!B$65,0.0001)</f>
        <v>0.76972612503470861</v>
      </c>
      <c r="F241" s="9">
        <f>MAX((1-Parameters!$B$4)^Parameters!B$65*F240+C240*Parameters!B$65-Parameters!$B$5*C240^2/F240*Parameters!B$65,0.0001)</f>
        <v>0.14851940417243722</v>
      </c>
      <c r="G241" s="7">
        <f>MAX((1-Parameters!$B$4)^Parameters!B$65*G240+D240*Parameters!B$65-Parameters!$B$5*D240^2/G240*Parameters!B$65,0.0001)</f>
        <v>4.3878779814393161</v>
      </c>
      <c r="I241" s="7">
        <f>I240*(1+Parameters!$B$51)^Parameters!B$65</f>
        <v>16.208722228682436</v>
      </c>
      <c r="J241" s="7">
        <f>J240*(1+Parameters!$B$53)^Parameters!B$65</f>
        <v>988.58372336747266</v>
      </c>
      <c r="K241" s="7">
        <f>'6states'!$O$4</f>
        <v>0.98104277196026479</v>
      </c>
      <c r="L241" s="9">
        <f t="shared" si="43"/>
        <v>0.5</v>
      </c>
      <c r="N241" s="7">
        <f>(Parameters!$B$19*(E241+Parameters!$B$20)^L241+Parameters!$B$18*F241^L241)^(1/L241)</f>
        <v>0.5355637219545073</v>
      </c>
      <c r="O241" s="7">
        <f>(Parameters!$B$10*G241^Parameters!$B$9 + Parameters!$B$11*N241^Parameters!$B$9) ^ (Parameters!$B$7/Parameters!$B$9) * K241</f>
        <v>1.5032566551790021</v>
      </c>
      <c r="P241" s="7">
        <f t="shared" si="40"/>
        <v>1.145361681563879</v>
      </c>
      <c r="Q241" s="7">
        <f>EXP(-Parameters!$B$55*A241)</f>
        <v>2.7911960228154321E-2</v>
      </c>
      <c r="R241" s="7">
        <f>IF(P241&gt;0,P241^(1-Parameters!$B$52)/(1-Parameters!$B$52)*Q241,-10+P241*1000)</f>
        <v>-7.6048800061980282E-2</v>
      </c>
      <c r="S241" s="7"/>
      <c r="T241" s="7"/>
      <c r="U241" s="7"/>
      <c r="V241" s="7"/>
    </row>
    <row r="242" spans="1:22" x14ac:dyDescent="0.3">
      <c r="A242">
        <f>A241+Parameters!$B$65</f>
        <v>238</v>
      </c>
      <c r="B242" s="9">
        <f t="shared" ref="B242:D242" si="80">B241</f>
        <v>5.191758263687303E-2</v>
      </c>
      <c r="C242" s="9">
        <f t="shared" si="80"/>
        <v>1.0017548050425843E-2</v>
      </c>
      <c r="D242" s="7">
        <f t="shared" si="80"/>
        <v>0.2959598429278244</v>
      </c>
      <c r="E242" s="7">
        <f>MAX((1-Parameters!$B$4)^Parameters!B$65*E241+B241*Parameters!B$65-Parameters!$B$5*B241^2/E241*Parameters!B$65,0.0001)</f>
        <v>0.76972612343908842</v>
      </c>
      <c r="F242" s="9">
        <f>MAX((1-Parameters!$B$4)^Parameters!B$65*F241+C241*Parameters!B$65-Parameters!$B$5*C241^2/F241*Parameters!B$65,0.0001)</f>
        <v>0.14851940386894583</v>
      </c>
      <c r="G242" s="7">
        <f>MAX((1-Parameters!$B$4)^Parameters!B$65*G241+D241*Parameters!B$65-Parameters!$B$5*D241^2/G241*Parameters!B$65,0.0001)</f>
        <v>4.3878779783684427</v>
      </c>
      <c r="I242" s="7">
        <f>I241*(1+Parameters!$B$51)^Parameters!B$65</f>
        <v>16.255727523145612</v>
      </c>
      <c r="J242" s="7">
        <f>J241*(1+Parameters!$B$53)^Parameters!B$65</f>
        <v>1008.3553978348222</v>
      </c>
      <c r="K242" s="7">
        <f>'6states'!$O$4</f>
        <v>0.98104277196026479</v>
      </c>
      <c r="L242" s="9">
        <f t="shared" si="43"/>
        <v>0.5</v>
      </c>
      <c r="N242" s="7">
        <f>(Parameters!$B$19*(E242+Parameters!$B$20)^L242+Parameters!$B$18*F242^L242)^(1/L242)</f>
        <v>0.53556372085878934</v>
      </c>
      <c r="O242" s="7">
        <f>(Parameters!$B$10*G242^Parameters!$B$9 + Parameters!$B$11*N242^Parameters!$B$9) ^ (Parameters!$B$7/Parameters!$B$9) * K242</f>
        <v>1.5032566547410111</v>
      </c>
      <c r="P242" s="7">
        <f t="shared" si="40"/>
        <v>1.145361681125888</v>
      </c>
      <c r="Q242" s="7">
        <f>EXP(-Parameters!$B$55*A242)</f>
        <v>2.7493655775430236E-2</v>
      </c>
      <c r="R242" s="7">
        <f>IF(P242&gt;0,P242^(1-Parameters!$B$52)/(1-Parameters!$B$52)*Q242,-10+P242*1000)</f>
        <v>-7.4909089660045891E-2</v>
      </c>
      <c r="S242" s="7"/>
      <c r="T242" s="7"/>
      <c r="U242" s="7"/>
      <c r="V242" s="7"/>
    </row>
    <row r="243" spans="1:22" x14ac:dyDescent="0.3">
      <c r="A243">
        <f>A242+Parameters!$B$65</f>
        <v>239</v>
      </c>
      <c r="B243" s="9">
        <f t="shared" ref="B243:D243" si="81">B242</f>
        <v>5.191758263687303E-2</v>
      </c>
      <c r="C243" s="9">
        <f t="shared" si="81"/>
        <v>1.0017548050425843E-2</v>
      </c>
      <c r="D243" s="7">
        <f t="shared" si="81"/>
        <v>0.2959598429278244</v>
      </c>
      <c r="E243" s="7">
        <f>MAX((1-Parameters!$B$4)^Parameters!B$65*E242+B242*Parameters!B$65-Parameters!$B$5*B242^2/E242*Parameters!B$65,0.0001)</f>
        <v>0.76972612193657353</v>
      </c>
      <c r="F243" s="9">
        <f>MAX((1-Parameters!$B$4)^Parameters!B$65*F242+C242*Parameters!B$65-Parameters!$B$5*C242^2/F242*Parameters!B$65,0.0001)</f>
        <v>0.14851940358316332</v>
      </c>
      <c r="G243" s="7">
        <f>MAX((1-Parameters!$B$4)^Parameters!B$65*G242+D242*Parameters!B$65-Parameters!$B$5*D242^2/G242*Parameters!B$65,0.0001)</f>
        <v>4.3878779754767558</v>
      </c>
      <c r="I243" s="7">
        <f>I242*(1+Parameters!$B$51)^Parameters!B$65</f>
        <v>16.302869132962734</v>
      </c>
      <c r="J243" s="7">
        <f>J242*(1+Parameters!$B$53)^Parameters!B$65</f>
        <v>1028.5225057915186</v>
      </c>
      <c r="K243" s="7">
        <f>'6states'!$O$4</f>
        <v>0.98104277196026479</v>
      </c>
      <c r="L243" s="9">
        <f t="shared" si="43"/>
        <v>0.5</v>
      </c>
      <c r="N243" s="7">
        <f>(Parameters!$B$19*(E243+Parameters!$B$20)^L243+Parameters!$B$18*F243^L243)^(1/L243)</f>
        <v>0.53556371982700723</v>
      </c>
      <c r="O243" s="7">
        <f>(Parameters!$B$10*G243^Parameters!$B$9 + Parameters!$B$11*N243^Parameters!$B$9) ^ (Parameters!$B$7/Parameters!$B$9) * K243</f>
        <v>1.5032566543285772</v>
      </c>
      <c r="P243" s="7">
        <f t="shared" si="40"/>
        <v>1.1453616807134539</v>
      </c>
      <c r="Q243" s="7">
        <f>EXP(-Parameters!$B$55*A243)</f>
        <v>2.7081620270273384E-2</v>
      </c>
      <c r="R243" s="7">
        <f>IF(P243&gt;0,P243^(1-Parameters!$B$52)/(1-Parameters!$B$52)*Q243,-10+P243*1000)</f>
        <v>-7.3786459603303003E-2</v>
      </c>
      <c r="S243" s="7"/>
      <c r="T243" s="7"/>
      <c r="U243" s="7"/>
      <c r="V243" s="7"/>
    </row>
    <row r="244" spans="1:22" x14ac:dyDescent="0.3">
      <c r="A244">
        <f>A243+Parameters!$B$65</f>
        <v>240</v>
      </c>
      <c r="B244" s="9">
        <f t="shared" ref="B244:D244" si="82">B243</f>
        <v>5.191758263687303E-2</v>
      </c>
      <c r="C244" s="9">
        <f t="shared" si="82"/>
        <v>1.0017548050425843E-2</v>
      </c>
      <c r="D244" s="7">
        <f t="shared" si="82"/>
        <v>0.2959598429278244</v>
      </c>
      <c r="E244" s="7">
        <f>MAX((1-Parameters!$B$4)^Parameters!B$65*E243+B243*Parameters!B$65-Parameters!$B$5*B243^2/E243*Parameters!B$65,0.0001)</f>
        <v>0.76972612052173128</v>
      </c>
      <c r="F244" s="9">
        <f>MAX((1-Parameters!$B$4)^Parameters!B$65*F243+C243*Parameters!B$65-Parameters!$B$5*C243^2/F243*Parameters!B$65,0.0001)</f>
        <v>0.14851940331405639</v>
      </c>
      <c r="G244" s="7">
        <f>MAX((1-Parameters!$B$4)^Parameters!B$65*G243+D243*Parameters!B$65-Parameters!$B$5*D243^2/G243*Parameters!B$65,0.0001)</f>
        <v>4.3878779727538006</v>
      </c>
      <c r="I244" s="7">
        <f>I243*(1+Parameters!$B$51)^Parameters!B$65</f>
        <v>16.350147453448322</v>
      </c>
      <c r="J244" s="7">
        <f>J243*(1+Parameters!$B$53)^Parameters!B$65</f>
        <v>1049.0929559073491</v>
      </c>
      <c r="K244" s="7">
        <f>'6states'!$O$4</f>
        <v>0.98104277196026479</v>
      </c>
      <c r="L244" s="9">
        <f t="shared" si="43"/>
        <v>0.5</v>
      </c>
      <c r="N244" s="7">
        <f>(Parameters!$B$19*(E244+Parameters!$B$20)^L244+Parameters!$B$18*F244^L244)^(1/L244)</f>
        <v>0.53556371885542997</v>
      </c>
      <c r="O244" s="7">
        <f>(Parameters!$B$10*G244^Parameters!$B$9 + Parameters!$B$11*N244^Parameters!$B$9) ^ (Parameters!$B$7/Parameters!$B$9) * K244</f>
        <v>1.503256653940209</v>
      </c>
      <c r="P244" s="7">
        <f t="shared" si="40"/>
        <v>1.1453616803250859</v>
      </c>
      <c r="Q244" s="7">
        <f>EXP(-Parameters!$B$55*A244)</f>
        <v>2.6675759762683122E-2</v>
      </c>
      <c r="R244" s="7">
        <f>IF(P244&gt;0,P244^(1-Parameters!$B$52)/(1-Parameters!$B$52)*Q244,-10+P244*1000)</f>
        <v>-7.2680653916072299E-2</v>
      </c>
      <c r="S244" s="7"/>
      <c r="T244" s="7"/>
      <c r="U244" s="7"/>
      <c r="V244" s="7"/>
    </row>
    <row r="245" spans="1:22" x14ac:dyDescent="0.3">
      <c r="A245">
        <f>A244+Parameters!$B$65</f>
        <v>241</v>
      </c>
      <c r="B245" s="9">
        <f t="shared" ref="B245:D245" si="83">B244</f>
        <v>5.191758263687303E-2</v>
      </c>
      <c r="C245" s="9">
        <f t="shared" si="83"/>
        <v>1.0017548050425843E-2</v>
      </c>
      <c r="D245" s="7">
        <f t="shared" si="83"/>
        <v>0.2959598429278244</v>
      </c>
      <c r="E245" s="7">
        <f>MAX((1-Parameters!$B$4)^Parameters!B$65*E244+B244*Parameters!B$65-Parameters!$B$5*B244^2/E244*Parameters!B$65,0.0001)</f>
        <v>0.76972611918944589</v>
      </c>
      <c r="F245" s="9">
        <f>MAX((1-Parameters!$B$4)^Parameters!B$65*F244+C244*Parameters!B$65-Parameters!$B$5*C244^2/F244*Parameters!B$65,0.0001)</f>
        <v>0.14851940306065201</v>
      </c>
      <c r="G245" s="7">
        <f>MAX((1-Parameters!$B$4)^Parameters!B$65*G244+D244*Parameters!B$65-Parameters!$B$5*D244^2/G244*Parameters!B$65,0.0001)</f>
        <v>4.3878779701897317</v>
      </c>
      <c r="I245" s="7">
        <f>I244*(1+Parameters!$B$51)^Parameters!B$65</f>
        <v>16.397562881063322</v>
      </c>
      <c r="J245" s="7">
        <f>J244*(1+Parameters!$B$53)^Parameters!B$65</f>
        <v>1070.074815025496</v>
      </c>
      <c r="K245" s="7">
        <f>'6states'!$O$4</f>
        <v>0.98104277196026479</v>
      </c>
      <c r="L245" s="9">
        <f t="shared" si="43"/>
        <v>0.5</v>
      </c>
      <c r="N245" s="7">
        <f>(Parameters!$B$19*(E245+Parameters!$B$20)^L245+Parameters!$B$18*F245^L245)^(1/L245)</f>
        <v>0.53556371794054514</v>
      </c>
      <c r="O245" s="7">
        <f>(Parameters!$B$10*G245^Parameters!$B$9 + Parameters!$B$11*N245^Parameters!$B$9) ^ (Parameters!$B$7/Parameters!$B$9) * K245</f>
        <v>1.5032566535745024</v>
      </c>
      <c r="P245" s="7">
        <f t="shared" si="40"/>
        <v>1.1453616799593793</v>
      </c>
      <c r="Q245" s="7">
        <f>EXP(-Parameters!$B$55*A245)</f>
        <v>2.6275981710646754E-2</v>
      </c>
      <c r="R245" s="7">
        <f>IF(P245&gt;0,P245^(1-Parameters!$B$52)/(1-Parameters!$B$52)*Q245,-10+P245*1000)</f>
        <v>-7.1591420458867322E-2</v>
      </c>
      <c r="S245" s="7"/>
      <c r="T245" s="7"/>
      <c r="U245" s="7"/>
      <c r="V245" s="7"/>
    </row>
    <row r="246" spans="1:22" x14ac:dyDescent="0.3">
      <c r="A246">
        <f>A245+Parameters!$B$65</f>
        <v>242</v>
      </c>
      <c r="B246" s="9">
        <f t="shared" ref="B246:D246" si="84">B245</f>
        <v>5.191758263687303E-2</v>
      </c>
      <c r="C246" s="9">
        <f t="shared" si="84"/>
        <v>1.0017548050425843E-2</v>
      </c>
      <c r="D246" s="7">
        <f t="shared" si="84"/>
        <v>0.2959598429278244</v>
      </c>
      <c r="E246" s="7">
        <f>MAX((1-Parameters!$B$4)^Parameters!B$65*E245+B245*Parameters!B$65-Parameters!$B$5*B245^2/E245*Parameters!B$65,0.0001)</f>
        <v>0.76972611793490009</v>
      </c>
      <c r="F246" s="9">
        <f>MAX((1-Parameters!$B$4)^Parameters!B$65*F245+C245*Parameters!B$65-Parameters!$B$5*C245^2/F245*Parameters!B$65,0.0001)</f>
        <v>0.14851940282203391</v>
      </c>
      <c r="G246" s="7">
        <f>MAX((1-Parameters!$B$4)^Parameters!B$65*G245+D245*Parameters!B$65-Parameters!$B$5*D245^2/G245*Parameters!B$65,0.0001)</f>
        <v>4.3878779677752773</v>
      </c>
      <c r="I246" s="7">
        <f>I245*(1+Parameters!$B$51)^Parameters!B$65</f>
        <v>16.445115813418404</v>
      </c>
      <c r="J246" s="7">
        <f>J245*(1+Parameters!$B$53)^Parameters!B$65</f>
        <v>1091.476311326006</v>
      </c>
      <c r="K246" s="7">
        <f>'6states'!$O$4</f>
        <v>0.98104277196026479</v>
      </c>
      <c r="L246" s="9">
        <f t="shared" si="43"/>
        <v>0.5</v>
      </c>
      <c r="N246" s="7">
        <f>(Parameters!$B$19*(E246+Parameters!$B$20)^L246+Parameters!$B$18*F246^L246)^(1/L246)</f>
        <v>0.53556371707904415</v>
      </c>
      <c r="O246" s="7">
        <f>(Parameters!$B$10*G246^Parameters!$B$9 + Parameters!$B$11*N246^Parameters!$B$9) ^ (Parameters!$B$7/Parameters!$B$9) * K246</f>
        <v>1.503256653230135</v>
      </c>
      <c r="P246" s="7">
        <f t="shared" si="40"/>
        <v>1.1453616796150117</v>
      </c>
      <c r="Q246" s="7">
        <f>EXP(-Parameters!$B$55*A246)</f>
        <v>2.5882194959038634E-2</v>
      </c>
      <c r="R246" s="7">
        <f>IF(P246&gt;0,P246^(1-Parameters!$B$52)/(1-Parameters!$B$52)*Q246,-10+P246*1000)</f>
        <v>-7.0518510870903328E-2</v>
      </c>
      <c r="S246" s="7"/>
      <c r="T246" s="7"/>
      <c r="U246" s="7"/>
      <c r="V246" s="7"/>
    </row>
    <row r="247" spans="1:22" x14ac:dyDescent="0.3">
      <c r="A247">
        <f>A246+Parameters!$B$65</f>
        <v>243</v>
      </c>
      <c r="B247" s="9">
        <f t="shared" ref="B247:D247" si="85">B246</f>
        <v>5.191758263687303E-2</v>
      </c>
      <c r="C247" s="9">
        <f t="shared" si="85"/>
        <v>1.0017548050425843E-2</v>
      </c>
      <c r="D247" s="7">
        <f t="shared" si="85"/>
        <v>0.2959598429278244</v>
      </c>
      <c r="E247" s="7">
        <f>MAX((1-Parameters!$B$4)^Parameters!B$65*E246+B246*Parameters!B$65-Parameters!$B$5*B246^2/E246*Parameters!B$65,0.0001)</f>
        <v>0.76972611675355784</v>
      </c>
      <c r="F247" s="9">
        <f>MAX((1-Parameters!$B$4)^Parameters!B$65*F246+C246*Parameters!B$65-Parameters!$B$5*C246^2/F246*Parameters!B$65,0.0001)</f>
        <v>0.14851940259733931</v>
      </c>
      <c r="G247" s="7">
        <f>MAX((1-Parameters!$B$4)^Parameters!B$65*G246+D246*Parameters!B$65-Parameters!$B$5*D246^2/G246*Parameters!B$65,0.0001)</f>
        <v>4.3878779655017084</v>
      </c>
      <c r="I247" s="7">
        <f>I246*(1+Parameters!$B$51)^Parameters!B$65</f>
        <v>16.492806649277316</v>
      </c>
      <c r="J247" s="7">
        <f>J246*(1+Parameters!$B$53)^Parameters!B$65</f>
        <v>1113.3058375525261</v>
      </c>
      <c r="K247" s="7">
        <f>'6states'!$O$4</f>
        <v>0.98104277196026479</v>
      </c>
      <c r="L247" s="9">
        <f t="shared" si="43"/>
        <v>0.5</v>
      </c>
      <c r="N247" s="7">
        <f>(Parameters!$B$19*(E247+Parameters!$B$20)^L247+Parameters!$B$18*F247^L247)^(1/L247)</f>
        <v>0.5355637162678123</v>
      </c>
      <c r="O247" s="7">
        <f>(Parameters!$B$10*G247^Parameters!$B$9 + Parameters!$B$11*N247^Parameters!$B$9) ^ (Parameters!$B$7/Parameters!$B$9) * K247</f>
        <v>1.5032566529058617</v>
      </c>
      <c r="P247" s="7">
        <f t="shared" si="40"/>
        <v>1.1453616792907386</v>
      </c>
      <c r="Q247" s="7">
        <f>EXP(-Parameters!$B$55*A247)</f>
        <v>2.549430971883547E-2</v>
      </c>
      <c r="R247" s="7">
        <f>IF(P247&gt;0,P247^(1-Parameters!$B$52)/(1-Parameters!$B$52)*Q247,-10+P247*1000)</f>
        <v>-6.9461680513467641E-2</v>
      </c>
      <c r="S247" s="7"/>
      <c r="T247" s="7"/>
      <c r="U247" s="7"/>
      <c r="V247" s="7"/>
    </row>
    <row r="248" spans="1:22" x14ac:dyDescent="0.3">
      <c r="A248">
        <f>A247+Parameters!$B$65</f>
        <v>244</v>
      </c>
      <c r="B248" s="9">
        <f t="shared" ref="B248:D248" si="86">B247</f>
        <v>5.191758263687303E-2</v>
      </c>
      <c r="C248" s="9">
        <f t="shared" si="86"/>
        <v>1.0017548050425843E-2</v>
      </c>
      <c r="D248" s="7">
        <f t="shared" si="86"/>
        <v>0.2959598429278244</v>
      </c>
      <c r="E248" s="7">
        <f>MAX((1-Parameters!$B$4)^Parameters!B$65*E247+B247*Parameters!B$65-Parameters!$B$5*B247^2/E247*Parameters!B$65,0.0001)</f>
        <v>0.76972611564114757</v>
      </c>
      <c r="F248" s="9">
        <f>MAX((1-Parameters!$B$4)^Parameters!B$65*F247+C247*Parameters!B$65-Parameters!$B$5*C247^2/F247*Parameters!B$65,0.0001)</f>
        <v>0.14851940238575576</v>
      </c>
      <c r="G248" s="7">
        <f>MAX((1-Parameters!$B$4)^Parameters!B$65*G247+D247*Parameters!B$65-Parameters!$B$5*D247^2/G247*Parameters!B$65,0.0001)</f>
        <v>4.3878779633608032</v>
      </c>
      <c r="I248" s="7">
        <f>I247*(1+Parameters!$B$51)^Parameters!B$65</f>
        <v>16.54063578856022</v>
      </c>
      <c r="J248" s="7">
        <f>J247*(1+Parameters!$B$53)^Parameters!B$65</f>
        <v>1135.5719543035766</v>
      </c>
      <c r="K248" s="7">
        <f>'6states'!$O$4</f>
        <v>0.98104277196026479</v>
      </c>
      <c r="L248" s="9">
        <f t="shared" si="43"/>
        <v>0.5</v>
      </c>
      <c r="N248" s="7">
        <f>(Parameters!$B$19*(E248+Parameters!$B$20)^L248+Parameters!$B$18*F248^L248)^(1/L248)</f>
        <v>0.53556371550391635</v>
      </c>
      <c r="O248" s="7">
        <f>(Parameters!$B$10*G248^Parameters!$B$9 + Parameters!$B$11*N248^Parameters!$B$9) ^ (Parameters!$B$7/Parameters!$B$9) * K248</f>
        <v>1.5032566526005096</v>
      </c>
      <c r="P248" s="7">
        <f t="shared" si="40"/>
        <v>1.1453616789853864</v>
      </c>
      <c r="Q248" s="7">
        <f>EXP(-Parameters!$B$55*A248)</f>
        <v>2.5112237546643188E-2</v>
      </c>
      <c r="R248" s="7">
        <f>IF(P248&gt;0,P248^(1-Parameters!$B$52)/(1-Parameters!$B$52)*Q248,-10+P248*1000)</f>
        <v>-6.8420688414139064E-2</v>
      </c>
      <c r="S248" s="7"/>
      <c r="T248" s="7"/>
      <c r="U248" s="7"/>
      <c r="V248" s="7"/>
    </row>
    <row r="249" spans="1:22" x14ac:dyDescent="0.3">
      <c r="A249">
        <f>A248+Parameters!$B$65</f>
        <v>245</v>
      </c>
      <c r="B249" s="9">
        <f t="shared" ref="B249:D249" si="87">B248</f>
        <v>5.191758263687303E-2</v>
      </c>
      <c r="C249" s="9">
        <f t="shared" si="87"/>
        <v>1.0017548050425843E-2</v>
      </c>
      <c r="D249" s="7">
        <f t="shared" si="87"/>
        <v>0.2959598429278244</v>
      </c>
      <c r="E249" s="7">
        <f>MAX((1-Parameters!$B$4)^Parameters!B$65*E248+B248*Parameters!B$65-Parameters!$B$5*B248^2/E248*Parameters!B$65,0.0001)</f>
        <v>0.76972611459364704</v>
      </c>
      <c r="F249" s="9">
        <f>MAX((1-Parameters!$B$4)^Parameters!B$65*F248+C248*Parameters!B$65-Parameters!$B$5*C248^2/F248*Parameters!B$65,0.0001)</f>
        <v>0.14851940218651824</v>
      </c>
      <c r="G249" s="7">
        <f>MAX((1-Parameters!$B$4)^Parameters!B$65*G248+D248*Parameters!B$65-Parameters!$B$5*D248^2/G248*Parameters!B$65,0.0001)</f>
        <v>4.3878779613448211</v>
      </c>
      <c r="I249" s="7">
        <f>I248*(1+Parameters!$B$51)^Parameters!B$65</f>
        <v>16.588603632347041</v>
      </c>
      <c r="J249" s="7">
        <f>J248*(1+Parameters!$B$53)^Parameters!B$65</f>
        <v>1158.2833933896482</v>
      </c>
      <c r="K249" s="7">
        <f>'6states'!$O$4</f>
        <v>0.98104277196026479</v>
      </c>
      <c r="L249" s="9">
        <f t="shared" si="43"/>
        <v>0.5</v>
      </c>
      <c r="N249" s="7">
        <f>(Parameters!$B$19*(E249+Parameters!$B$20)^L249+Parameters!$B$18*F249^L249)^(1/L249)</f>
        <v>0.53556371478459397</v>
      </c>
      <c r="O249" s="7">
        <f>(Parameters!$B$10*G249^Parameters!$B$9 + Parameters!$B$11*N249^Parameters!$B$9) ^ (Parameters!$B$7/Parameters!$B$9) * K249</f>
        <v>1.5032566523129753</v>
      </c>
      <c r="P249" s="7">
        <f t="shared" si="40"/>
        <v>1.145361678697852</v>
      </c>
      <c r="Q249" s="7">
        <f>EXP(-Parameters!$B$55*A249)</f>
        <v>2.4735891324530496E-2</v>
      </c>
      <c r="R249" s="7">
        <f>IF(P249&gt;0,P249^(1-Parameters!$B$52)/(1-Parameters!$B$52)*Q249,-10+P249*1000)</f>
        <v>-6.7395297211842703E-2</v>
      </c>
      <c r="S249" s="7"/>
      <c r="T249" s="7"/>
      <c r="U249" s="7"/>
      <c r="V249" s="7"/>
    </row>
    <row r="250" spans="1:22" x14ac:dyDescent="0.3">
      <c r="A250">
        <f>A249+Parameters!$B$65</f>
        <v>246</v>
      </c>
      <c r="B250" s="9">
        <f t="shared" ref="B250:D250" si="88">B249</f>
        <v>5.191758263687303E-2</v>
      </c>
      <c r="C250" s="9">
        <f t="shared" si="88"/>
        <v>1.0017548050425843E-2</v>
      </c>
      <c r="D250" s="7">
        <f t="shared" si="88"/>
        <v>0.2959598429278244</v>
      </c>
      <c r="E250" s="7">
        <f>MAX((1-Parameters!$B$4)^Parameters!B$65*E249+B249*Parameters!B$65-Parameters!$B$5*B249^2/E249*Parameters!B$65,0.0001)</f>
        <v>0.76972611360726872</v>
      </c>
      <c r="F250" s="9">
        <f>MAX((1-Parameters!$B$4)^Parameters!B$65*F249+C249*Parameters!B$65-Parameters!$B$5*C249^2/F249*Parameters!B$65,0.0001)</f>
        <v>0.14851940199890637</v>
      </c>
      <c r="G250" s="7">
        <f>MAX((1-Parameters!$B$4)^Parameters!B$65*G249+D249*Parameters!B$65-Parameters!$B$5*D249^2/G249*Parameters!B$65,0.0001)</f>
        <v>4.387877959446473</v>
      </c>
      <c r="I250" s="7">
        <f>I249*(1+Parameters!$B$51)^Parameters!B$65</f>
        <v>16.636710582880845</v>
      </c>
      <c r="J250" s="7">
        <f>J249*(1+Parameters!$B$53)^Parameters!B$65</f>
        <v>1181.4490612574411</v>
      </c>
      <c r="K250" s="7">
        <f>'6states'!$O$4</f>
        <v>0.98104277196026479</v>
      </c>
      <c r="L250" s="9">
        <f t="shared" si="43"/>
        <v>0.5</v>
      </c>
      <c r="N250" s="7">
        <f>(Parameters!$B$19*(E250+Parameters!$B$20)^L250+Parameters!$B$18*F250^L250)^(1/L250)</f>
        <v>0.53556371410724468</v>
      </c>
      <c r="O250" s="7">
        <f>(Parameters!$B$10*G250^Parameters!$B$9 + Parameters!$B$11*N250^Parameters!$B$9) ^ (Parameters!$B$7/Parameters!$B$9) * K250</f>
        <v>1.5032566520422188</v>
      </c>
      <c r="P250" s="7">
        <f t="shared" si="40"/>
        <v>1.1453616784270957</v>
      </c>
      <c r="Q250" s="7">
        <f>EXP(-Parameters!$B$55*A250)</f>
        <v>2.4365185240164795E-2</v>
      </c>
      <c r="R250" s="7">
        <f>IF(P250&gt;0,P250^(1-Parameters!$B$52)/(1-Parameters!$B$52)*Q250,-10+P250*1000)</f>
        <v>-6.638527310272864E-2</v>
      </c>
      <c r="S250" s="7"/>
      <c r="T250" s="7"/>
      <c r="U250" s="7"/>
      <c r="V250" s="7"/>
    </row>
    <row r="251" spans="1:22" x14ac:dyDescent="0.3">
      <c r="A251">
        <f>A250+Parameters!$B$65</f>
        <v>247</v>
      </c>
      <c r="B251" s="9">
        <f t="shared" ref="B251:D251" si="89">B250</f>
        <v>5.191758263687303E-2</v>
      </c>
      <c r="C251" s="9">
        <f t="shared" si="89"/>
        <v>1.0017548050425843E-2</v>
      </c>
      <c r="D251" s="7">
        <f t="shared" si="89"/>
        <v>0.2959598429278244</v>
      </c>
      <c r="E251" s="7">
        <f>MAX((1-Parameters!$B$4)^Parameters!B$65*E250+B250*Parameters!B$65-Parameters!$B$5*B250^2/E250*Parameters!B$65,0.0001)</f>
        <v>0.76972611267844626</v>
      </c>
      <c r="F251" s="9">
        <f>MAX((1-Parameters!$B$4)^Parameters!B$65*F250+C250*Parameters!B$65-Parameters!$B$5*C250^2/F250*Parameters!B$65,0.0001)</f>
        <v>0.14851940182224174</v>
      </c>
      <c r="G251" s="7">
        <f>MAX((1-Parameters!$B$4)^Parameters!B$65*G250+D250*Parameters!B$65-Parameters!$B$5*D250^2/G250*Parameters!B$65,0.0001)</f>
        <v>4.387877957658894</v>
      </c>
      <c r="I251" s="7">
        <f>I250*(1+Parameters!$B$51)^Parameters!B$65</f>
        <v>16.684957043571199</v>
      </c>
      <c r="J251" s="7">
        <f>J250*(1+Parameters!$B$53)^Parameters!B$65</f>
        <v>1205.07804248259</v>
      </c>
      <c r="K251" s="7">
        <f>'6states'!$O$4</f>
        <v>0.98104277196026479</v>
      </c>
      <c r="L251" s="9">
        <f t="shared" si="43"/>
        <v>0.5</v>
      </c>
      <c r="N251" s="7">
        <f>(Parameters!$B$19*(E251+Parameters!$B$20)^L251+Parameters!$B$18*F251^L251)^(1/L251)</f>
        <v>0.53556371346941889</v>
      </c>
      <c r="O251" s="7">
        <f>(Parameters!$B$10*G251^Parameters!$B$9 + Parameters!$B$11*N251^Parameters!$B$9) ^ (Parameters!$B$7/Parameters!$B$9) * K251</f>
        <v>1.5032566517872612</v>
      </c>
      <c r="P251" s="7">
        <f t="shared" si="40"/>
        <v>1.1453616781721379</v>
      </c>
      <c r="Q251" s="7">
        <f>EXP(-Parameters!$B$55*A251)</f>
        <v>2.400003476724576E-2</v>
      </c>
      <c r="R251" s="7">
        <f>IF(P251&gt;0,P251^(1-Parameters!$B$52)/(1-Parameters!$B$52)*Q251,-10+P251*1000)</f>
        <v>-6.5390385786861599E-2</v>
      </c>
      <c r="S251" s="7"/>
      <c r="T251" s="7"/>
      <c r="U251" s="7"/>
      <c r="V251" s="7"/>
    </row>
    <row r="252" spans="1:22" x14ac:dyDescent="0.3">
      <c r="A252">
        <f>A251+Parameters!$B$65</f>
        <v>248</v>
      </c>
      <c r="B252" s="9">
        <f t="shared" ref="B252:D252" si="90">B251</f>
        <v>5.191758263687303E-2</v>
      </c>
      <c r="C252" s="9">
        <f t="shared" si="90"/>
        <v>1.0017548050425843E-2</v>
      </c>
      <c r="D252" s="7">
        <f t="shared" si="90"/>
        <v>0.2959598429278244</v>
      </c>
      <c r="E252" s="7">
        <f>MAX((1-Parameters!$B$4)^Parameters!B$65*E251+B251*Parameters!B$65-Parameters!$B$5*B251^2/E251*Parameters!B$65,0.0001)</f>
        <v>0.76972611180382111</v>
      </c>
      <c r="F252" s="9">
        <f>MAX((1-Parameters!$B$4)^Parameters!B$65*F251+C251*Parameters!B$65-Parameters!$B$5*C251^2/F251*Parameters!B$65,0.0001)</f>
        <v>0.14851940165588559</v>
      </c>
      <c r="G252" s="7">
        <f>MAX((1-Parameters!$B$4)^Parameters!B$65*G251+D251*Parameters!B$65-Parameters!$B$5*D251^2/G251*Parameters!B$65,0.0001)</f>
        <v>4.3878779559756218</v>
      </c>
      <c r="I252" s="7">
        <f>I251*(1+Parameters!$B$51)^Parameters!B$65</f>
        <v>16.733343418997553</v>
      </c>
      <c r="J252" s="7">
        <f>J251*(1+Parameters!$B$53)^Parameters!B$65</f>
        <v>1229.1796033322419</v>
      </c>
      <c r="K252" s="7">
        <f>'6states'!$O$4</f>
        <v>0.98104277196026479</v>
      </c>
      <c r="L252" s="9">
        <f t="shared" si="43"/>
        <v>0.5</v>
      </c>
      <c r="N252" s="7">
        <f>(Parameters!$B$19*(E252+Parameters!$B$20)^L252+Parameters!$B$18*F252^L252)^(1/L252)</f>
        <v>0.53556371286881088</v>
      </c>
      <c r="O252" s="7">
        <f>(Parameters!$B$10*G252^Parameters!$B$9 + Parameters!$B$11*N252^Parameters!$B$9) ^ (Parameters!$B$7/Parameters!$B$9) * K252</f>
        <v>1.5032566515471799</v>
      </c>
      <c r="P252" s="7">
        <f t="shared" si="40"/>
        <v>1.1453616779320566</v>
      </c>
      <c r="Q252" s="7">
        <f>EXP(-Parameters!$B$55*A252)</f>
        <v>2.3640356646232066E-2</v>
      </c>
      <c r="R252" s="7">
        <f>IF(P252&gt;0,P252^(1-Parameters!$B$52)/(1-Parameters!$B$52)*Q252,-10+P252*1000)</f>
        <v>-6.441040841570933E-2</v>
      </c>
      <c r="S252" s="7"/>
      <c r="T252" s="7"/>
      <c r="U252" s="7"/>
      <c r="V252" s="7"/>
    </row>
    <row r="253" spans="1:22" x14ac:dyDescent="0.3">
      <c r="A253">
        <f>A252+Parameters!$B$65</f>
        <v>249</v>
      </c>
      <c r="B253" s="9">
        <f t="shared" ref="B253:D253" si="91">B252</f>
        <v>5.191758263687303E-2</v>
      </c>
      <c r="C253" s="9">
        <f t="shared" si="91"/>
        <v>1.0017548050425843E-2</v>
      </c>
      <c r="D253" s="7">
        <f t="shared" si="91"/>
        <v>0.2959598429278244</v>
      </c>
      <c r="E253" s="7">
        <f>MAX((1-Parameters!$B$4)^Parameters!B$65*E252+B252*Parameters!B$65-Parameters!$B$5*B252^2/E252*Parameters!B$65,0.0001)</f>
        <v>0.7697261109802308</v>
      </c>
      <c r="F253" s="9">
        <f>MAX((1-Parameters!$B$4)^Parameters!B$65*F252+C252*Parameters!B$65-Parameters!$B$5*C252^2/F252*Parameters!B$65,0.0001)</f>
        <v>0.14851940149923643</v>
      </c>
      <c r="G253" s="7">
        <f>MAX((1-Parameters!$B$4)^Parameters!B$65*G252+D252*Parameters!B$65-Parameters!$B$5*D252^2/G252*Parameters!B$65,0.0001)</f>
        <v>4.3878779543905697</v>
      </c>
      <c r="I253" s="7">
        <f>I252*(1+Parameters!$B$51)^Parameters!B$65</f>
        <v>16.781870114912643</v>
      </c>
      <c r="J253" s="7">
        <f>J252*(1+Parameters!$B$53)^Parameters!B$65</f>
        <v>1253.7631953988866</v>
      </c>
      <c r="K253" s="7">
        <f>'6states'!$O$4</f>
        <v>0.98104277196026479</v>
      </c>
      <c r="L253" s="9">
        <f t="shared" si="43"/>
        <v>0.5</v>
      </c>
      <c r="N253" s="7">
        <f>(Parameters!$B$19*(E253+Parameters!$B$20)^L253+Parameters!$B$18*F253^L253)^(1/L253)</f>
        <v>0.5355637123032484</v>
      </c>
      <c r="O253" s="7">
        <f>(Parameters!$B$10*G253^Parameters!$B$9 + Parameters!$B$11*N253^Parameters!$B$9) ^ (Parameters!$B$7/Parameters!$B$9) * K253</f>
        <v>1.5032566513211083</v>
      </c>
      <c r="P253" s="7">
        <f t="shared" si="40"/>
        <v>1.145361677705985</v>
      </c>
      <c r="Q253" s="7">
        <f>EXP(-Parameters!$B$55*A253)</f>
        <v>2.3286068865357064E-2</v>
      </c>
      <c r="R253" s="7">
        <f>IF(P253&gt;0,P253^(1-Parameters!$B$52)/(1-Parameters!$B$52)*Q253,-10+P253*1000)</f>
        <v>-6.3445117540418067E-2</v>
      </c>
      <c r="S253" s="7"/>
      <c r="T253" s="7"/>
      <c r="U253" s="7"/>
      <c r="V253" s="7"/>
    </row>
    <row r="254" spans="1:22" x14ac:dyDescent="0.3">
      <c r="A254">
        <f>A253+Parameters!$B$65</f>
        <v>250</v>
      </c>
      <c r="B254" s="9">
        <f t="shared" ref="B254:D254" si="92">B253</f>
        <v>5.191758263687303E-2</v>
      </c>
      <c r="C254" s="9">
        <f t="shared" si="92"/>
        <v>1.0017548050425843E-2</v>
      </c>
      <c r="D254" s="7">
        <f t="shared" si="92"/>
        <v>0.2959598429278244</v>
      </c>
      <c r="E254" s="7">
        <f>MAX((1-Parameters!$B$4)^Parameters!B$65*E253+B253*Parameters!B$65-Parameters!$B$5*B253^2/E253*Parameters!B$65,0.0001)</f>
        <v>0.76972611020469739</v>
      </c>
      <c r="F254" s="9">
        <f>MAX((1-Parameters!$B$4)^Parameters!B$65*F253+C253*Parameters!B$65-Parameters!$B$5*C253^2/F253*Parameters!B$65,0.0001)</f>
        <v>0.14851940135172784</v>
      </c>
      <c r="G254" s="7">
        <f>MAX((1-Parameters!$B$4)^Parameters!B$65*G253+D253*Parameters!B$65-Parameters!$B$5*D253^2/G253*Parameters!B$65,0.0001)</f>
        <v>4.3878779528980063</v>
      </c>
      <c r="I254" s="7">
        <f>I253*(1+Parameters!$B$51)^Parameters!B$65</f>
        <v>16.830537538245888</v>
      </c>
      <c r="J254" s="7">
        <f>J253*(1+Parameters!$B$53)^Parameters!B$65</f>
        <v>1278.8384593068645</v>
      </c>
      <c r="K254" s="7">
        <f>'6states'!$O$4</f>
        <v>0.98104277196026479</v>
      </c>
      <c r="L254" s="9">
        <f t="shared" si="43"/>
        <v>0.5</v>
      </c>
      <c r="N254" s="7">
        <f>(Parameters!$B$19*(E254+Parameters!$B$20)^L254+Parameters!$B$18*F254^L254)^(1/L254)</f>
        <v>0.53556371177068718</v>
      </c>
      <c r="O254" s="7">
        <f>(Parameters!$B$10*G254^Parameters!$B$9 + Parameters!$B$11*N254^Parameters!$B$9) ^ (Parameters!$B$7/Parameters!$B$9) * K254</f>
        <v>1.5032566511082277</v>
      </c>
      <c r="P254" s="7">
        <f t="shared" si="40"/>
        <v>1.1453616774931046</v>
      </c>
      <c r="Q254" s="7">
        <f>EXP(-Parameters!$B$55*A254)</f>
        <v>2.293709064192892E-2</v>
      </c>
      <c r="R254" s="7">
        <f>IF(P254&gt;0,P254^(1-Parameters!$B$52)/(1-Parameters!$B$52)*Q254,-10+P254*1000)</f>
        <v>-6.2494293060863355E-2</v>
      </c>
      <c r="S254" s="7"/>
      <c r="T254" s="7"/>
      <c r="U254" s="7"/>
      <c r="V254" s="7"/>
    </row>
    <row r="255" spans="1:22" x14ac:dyDescent="0.3">
      <c r="A255">
        <f>A254+Parameters!$B$65</f>
        <v>251</v>
      </c>
      <c r="B255" s="9">
        <f t="shared" ref="B255:D255" si="93">B254</f>
        <v>5.191758263687303E-2</v>
      </c>
      <c r="C255" s="9">
        <f t="shared" si="93"/>
        <v>1.0017548050425843E-2</v>
      </c>
      <c r="D255" s="7">
        <f t="shared" si="93"/>
        <v>0.2959598429278244</v>
      </c>
      <c r="E255" s="7">
        <f>MAX((1-Parameters!$B$4)^Parameters!B$65*E254+B254*Parameters!B$65-Parameters!$B$5*B254^2/E254*Parameters!B$65,0.0001)</f>
        <v>0.76972610947441689</v>
      </c>
      <c r="F255" s="9">
        <f>MAX((1-Parameters!$B$4)^Parameters!B$65*F254+C254*Parameters!B$65-Parameters!$B$5*C254^2/F254*Parameters!B$65,0.0001)</f>
        <v>0.14851940121282645</v>
      </c>
      <c r="G255" s="7">
        <f>MAX((1-Parameters!$B$4)^Parameters!B$65*G254+D254*Parameters!B$65-Parameters!$B$5*D254^2/G254*Parameters!B$65,0.0001)</f>
        <v>4.3878779514925341</v>
      </c>
      <c r="I255" s="7">
        <f>I254*(1+Parameters!$B$51)^Parameters!B$65</f>
        <v>16.879346097106801</v>
      </c>
      <c r="J255" s="7">
        <f>J254*(1+Parameters!$B$53)^Parameters!B$65</f>
        <v>1304.4152284930019</v>
      </c>
      <c r="K255" s="7">
        <f>'6states'!$O$4</f>
        <v>0.98104277196026479</v>
      </c>
      <c r="L255" s="9">
        <f t="shared" si="43"/>
        <v>0.5</v>
      </c>
      <c r="N255" s="7">
        <f>(Parameters!$B$19*(E255+Parameters!$B$20)^L255+Parameters!$B$18*F255^L255)^(1/L255)</f>
        <v>0.53556371126920099</v>
      </c>
      <c r="O255" s="7">
        <f>(Parameters!$B$10*G255^Parameters!$B$9 + Parameters!$B$11*N255^Parameters!$B$9) ^ (Parameters!$B$7/Parameters!$B$9) * K255</f>
        <v>1.5032566509077687</v>
      </c>
      <c r="P255" s="7">
        <f t="shared" si="40"/>
        <v>1.1453616772926454</v>
      </c>
      <c r="Q255" s="7">
        <f>EXP(-Parameters!$B$55*A255)</f>
        <v>2.259334240391098E-2</v>
      </c>
      <c r="R255" s="7">
        <f>IF(P255&gt;0,P255^(1-Parameters!$B$52)/(1-Parameters!$B$52)*Q255,-10+P255*1000)</f>
        <v>-6.1557718175464092E-2</v>
      </c>
      <c r="S255" s="7"/>
      <c r="T255" s="7"/>
      <c r="U255" s="7"/>
      <c r="V255" s="7"/>
    </row>
    <row r="256" spans="1:22" x14ac:dyDescent="0.3">
      <c r="A256">
        <f>A255+Parameters!$B$65</f>
        <v>252</v>
      </c>
      <c r="B256" s="9">
        <f t="shared" ref="B256:D256" si="94">B255</f>
        <v>5.191758263687303E-2</v>
      </c>
      <c r="C256" s="9">
        <f t="shared" si="94"/>
        <v>1.0017548050425843E-2</v>
      </c>
      <c r="D256" s="7">
        <f t="shared" si="94"/>
        <v>0.2959598429278244</v>
      </c>
      <c r="E256" s="7">
        <f>MAX((1-Parameters!$B$4)^Parameters!B$65*E255+B255*Parameters!B$65-Parameters!$B$5*B255^2/E255*Parameters!B$65,0.0001)</f>
        <v>0.76972610878674874</v>
      </c>
      <c r="F256" s="9">
        <f>MAX((1-Parameters!$B$4)^Parameters!B$65*F255+C255*Parameters!B$65-Parameters!$B$5*C255^2/F255*Parameters!B$65,0.0001)</f>
        <v>0.14851940108203004</v>
      </c>
      <c r="G256" s="7">
        <f>MAX((1-Parameters!$B$4)^Parameters!B$65*G255+D255*Parameters!B$65-Parameters!$B$5*D255^2/G255*Parameters!B$65,0.0001)</f>
        <v>4.3878779501690719</v>
      </c>
      <c r="I256" s="7">
        <f>I255*(1+Parameters!$B$51)^Parameters!B$65</f>
        <v>16.928296200788409</v>
      </c>
      <c r="J256" s="7">
        <f>J255*(1+Parameters!$B$53)^Parameters!B$65</f>
        <v>1330.5035330628621</v>
      </c>
      <c r="K256" s="7">
        <f>'6states'!$O$4</f>
        <v>0.98104277196026479</v>
      </c>
      <c r="L256" s="9">
        <f t="shared" si="43"/>
        <v>0.5</v>
      </c>
      <c r="N256" s="7">
        <f>(Parameters!$B$19*(E256+Parameters!$B$20)^L256+Parameters!$B$18*F256^L256)^(1/L256)</f>
        <v>0.53556371079697673</v>
      </c>
      <c r="O256" s="7">
        <f>(Parameters!$B$10*G256^Parameters!$B$9 + Parameters!$B$11*N256^Parameters!$B$9) ^ (Parameters!$B$7/Parameters!$B$9) * K256</f>
        <v>1.5032566507190068</v>
      </c>
      <c r="P256" s="7">
        <f t="shared" si="40"/>
        <v>1.1453616771038835</v>
      </c>
      <c r="Q256" s="7">
        <f>EXP(-Parameters!$B$55*A256)</f>
        <v>2.2254745771778255E-2</v>
      </c>
      <c r="R256" s="7">
        <f>IF(P256&gt;0,P256^(1-Parameters!$B$52)/(1-Parameters!$B$52)*Q256,-10+P256*1000)</f>
        <v>-6.0635179331748876E-2</v>
      </c>
      <c r="S256" s="7"/>
      <c r="T256" s="7"/>
      <c r="U256" s="7"/>
      <c r="V256" s="7"/>
    </row>
    <row r="257" spans="1:22" x14ac:dyDescent="0.3">
      <c r="A257">
        <f>A256+Parameters!$B$65</f>
        <v>253</v>
      </c>
      <c r="B257" s="9">
        <f t="shared" ref="B257:D257" si="95">B256</f>
        <v>5.191758263687303E-2</v>
      </c>
      <c r="C257" s="9">
        <f t="shared" si="95"/>
        <v>1.0017548050425843E-2</v>
      </c>
      <c r="D257" s="7">
        <f t="shared" si="95"/>
        <v>0.2959598429278244</v>
      </c>
      <c r="E257" s="7">
        <f>MAX((1-Parameters!$B$4)^Parameters!B$65*E256+B256*Parameters!B$65-Parameters!$B$5*B256^2/E256*Parameters!B$65,0.0001)</f>
        <v>0.76972610813920639</v>
      </c>
      <c r="F257" s="9">
        <f>MAX((1-Parameters!$B$4)^Parameters!B$65*F256+C256*Parameters!B$65-Parameters!$B$5*C256^2/F256*Parameters!B$65,0.0001)</f>
        <v>0.14851940095886568</v>
      </c>
      <c r="G257" s="7">
        <f>MAX((1-Parameters!$B$4)^Parameters!B$65*G256+D256*Parameters!B$65-Parameters!$B$5*D256^2/G256*Parameters!B$65,0.0001)</f>
        <v>4.3878779489228341</v>
      </c>
      <c r="I257" s="7">
        <f>I256*(1+Parameters!$B$51)^Parameters!B$65</f>
        <v>16.977388259770695</v>
      </c>
      <c r="J257" s="7">
        <f>J256*(1+Parameters!$B$53)^Parameters!B$65</f>
        <v>1357.1136037241192</v>
      </c>
      <c r="K257" s="7">
        <f>'6states'!$O$4</f>
        <v>0.98104277196026479</v>
      </c>
      <c r="L257" s="9">
        <f t="shared" si="43"/>
        <v>0.5</v>
      </c>
      <c r="N257" s="7">
        <f>(Parameters!$B$19*(E257+Parameters!$B$20)^L257+Parameters!$B$18*F257^L257)^(1/L257)</f>
        <v>0.5355637103523071</v>
      </c>
      <c r="O257" s="7">
        <f>(Parameters!$B$10*G257^Parameters!$B$9 + Parameters!$B$11*N257^Parameters!$B$9) ^ (Parameters!$B$7/Parameters!$B$9) * K257</f>
        <v>1.5032566505412592</v>
      </c>
      <c r="P257" s="7">
        <f t="shared" si="40"/>
        <v>1.1453616769261359</v>
      </c>
      <c r="Q257" s="7">
        <f>EXP(-Parameters!$B$55*A257)</f>
        <v>2.1921223540645702E-2</v>
      </c>
      <c r="R257" s="7">
        <f>IF(P257&gt;0,P257^(1-Parameters!$B$52)/(1-Parameters!$B$52)*Q257,-10+P257*1000)</f>
        <v>-5.9726466177663057E-2</v>
      </c>
      <c r="S257" s="7"/>
      <c r="T257" s="7"/>
      <c r="U257" s="7"/>
      <c r="V257" s="7"/>
    </row>
    <row r="258" spans="1:22" x14ac:dyDescent="0.3">
      <c r="A258">
        <f>A257+Parameters!$B$65</f>
        <v>254</v>
      </c>
      <c r="B258" s="9">
        <f t="shared" ref="B258:D258" si="96">B257</f>
        <v>5.191758263687303E-2</v>
      </c>
      <c r="C258" s="9">
        <f t="shared" si="96"/>
        <v>1.0017548050425843E-2</v>
      </c>
      <c r="D258" s="7">
        <f t="shared" si="96"/>
        <v>0.2959598429278244</v>
      </c>
      <c r="E258" s="7">
        <f>MAX((1-Parameters!$B$4)^Parameters!B$65*E257+B257*Parameters!B$65-Parameters!$B$5*B257^2/E257*Parameters!B$65,0.0001)</f>
        <v>0.76972610752944848</v>
      </c>
      <c r="F258" s="9">
        <f>MAX((1-Parameters!$B$4)^Parameters!B$65*F257+C257*Parameters!B$65-Parameters!$B$5*C257^2/F257*Parameters!B$65,0.0001)</f>
        <v>0.14851940084288803</v>
      </c>
      <c r="G258" s="7">
        <f>MAX((1-Parameters!$B$4)^Parameters!B$65*G257+D257*Parameters!B$65-Parameters!$B$5*D257^2/G257*Parameters!B$65,0.0001)</f>
        <v>4.3878779477493159</v>
      </c>
      <c r="I258" s="7">
        <f>I257*(1+Parameters!$B$51)^Parameters!B$65</f>
        <v>17.026622685724028</v>
      </c>
      <c r="J258" s="7">
        <f>J257*(1+Parameters!$B$53)^Parameters!B$65</f>
        <v>1384.2558757986017</v>
      </c>
      <c r="K258" s="7">
        <f>'6states'!$O$4</f>
        <v>0.98104277196026479</v>
      </c>
      <c r="L258" s="9">
        <f t="shared" si="43"/>
        <v>0.5</v>
      </c>
      <c r="N258" s="7">
        <f>(Parameters!$B$19*(E258+Parameters!$B$20)^L258+Parameters!$B$18*F258^L258)^(1/L258)</f>
        <v>0.53556370993358426</v>
      </c>
      <c r="O258" s="7">
        <f>(Parameters!$B$10*G258^Parameters!$B$9 + Parameters!$B$11*N258^Parameters!$B$9) ^ (Parameters!$B$7/Parameters!$B$9) * K258</f>
        <v>1.5032566503738831</v>
      </c>
      <c r="P258" s="7">
        <f t="shared" si="40"/>
        <v>1.14536167675876</v>
      </c>
      <c r="Q258" s="7">
        <f>EXP(-Parameters!$B$55*A258)</f>
        <v>2.159269966266443E-2</v>
      </c>
      <c r="R258" s="7">
        <f>IF(P258&gt;0,P258^(1-Parameters!$B$52)/(1-Parameters!$B$52)*Q258,-10+P258*1000)</f>
        <v>-5.8831371513605658E-2</v>
      </c>
      <c r="S258" s="7"/>
      <c r="T258" s="7"/>
      <c r="U258" s="7"/>
      <c r="V258" s="7"/>
    </row>
    <row r="259" spans="1:22" x14ac:dyDescent="0.3">
      <c r="A259">
        <f>A258+Parameters!$B$65</f>
        <v>255</v>
      </c>
      <c r="B259" s="9">
        <f t="shared" ref="B259:D259" si="97">B258</f>
        <v>5.191758263687303E-2</v>
      </c>
      <c r="C259" s="9">
        <f t="shared" si="97"/>
        <v>1.0017548050425843E-2</v>
      </c>
      <c r="D259" s="7">
        <f t="shared" si="97"/>
        <v>0.2959598429278244</v>
      </c>
      <c r="E259" s="7">
        <f>MAX((1-Parameters!$B$4)^Parameters!B$65*E258+B258*Parameters!B$65-Parameters!$B$5*B258^2/E258*Parameters!B$65,0.0001)</f>
        <v>0.76972610695527033</v>
      </c>
      <c r="F259" s="9">
        <f>MAX((1-Parameters!$B$4)^Parameters!B$65*F258+C258*Parameters!B$65-Parameters!$B$5*C258^2/F258*Parameters!B$65,0.0001)</f>
        <v>0.14851940073367775</v>
      </c>
      <c r="G259" s="7">
        <f>MAX((1-Parameters!$B$4)^Parameters!B$65*G258+D258*Parameters!B$65-Parameters!$B$5*D258^2/G258*Parameters!B$65,0.0001)</f>
        <v>4.3878779466442728</v>
      </c>
      <c r="I259" s="7">
        <f>I258*(1+Parameters!$B$51)^Parameters!B$65</f>
        <v>17.075999891512627</v>
      </c>
      <c r="J259" s="7">
        <f>J258*(1+Parameters!$B$53)^Parameters!B$65</f>
        <v>1411.9409933145737</v>
      </c>
      <c r="K259" s="7">
        <f>'6states'!$O$4</f>
        <v>0.98104277196026479</v>
      </c>
      <c r="L259" s="9">
        <f t="shared" si="43"/>
        <v>0.5</v>
      </c>
      <c r="N259" s="7">
        <f>(Parameters!$B$19*(E259+Parameters!$B$20)^L259+Parameters!$B$18*F259^L259)^(1/L259)</f>
        <v>0.53556370953929411</v>
      </c>
      <c r="O259" s="7">
        <f>(Parameters!$B$10*G259^Parameters!$B$9 + Parameters!$B$11*N259^Parameters!$B$9) ^ (Parameters!$B$7/Parameters!$B$9) * K259</f>
        <v>1.5032566502162736</v>
      </c>
      <c r="P259" s="7">
        <f t="shared" si="40"/>
        <v>1.1453616766011505</v>
      </c>
      <c r="Q259" s="7">
        <f>EXP(-Parameters!$B$55*A259)</f>
        <v>2.1269099229681749E-2</v>
      </c>
      <c r="R259" s="7">
        <f>IF(P259&gt;0,P259^(1-Parameters!$B$52)/(1-Parameters!$B$52)*Q259,-10+P259*1000)</f>
        <v>-5.7949691245185092E-2</v>
      </c>
      <c r="S259" s="7"/>
      <c r="T259" s="7"/>
      <c r="U259" s="7"/>
      <c r="V259" s="7"/>
    </row>
    <row r="260" spans="1:22" x14ac:dyDescent="0.3">
      <c r="A260">
        <f>A259+Parameters!$B$65</f>
        <v>256</v>
      </c>
      <c r="B260" s="9">
        <f t="shared" ref="B260:D260" si="98">B259</f>
        <v>5.191758263687303E-2</v>
      </c>
      <c r="C260" s="9">
        <f t="shared" si="98"/>
        <v>1.0017548050425843E-2</v>
      </c>
      <c r="D260" s="7">
        <f t="shared" si="98"/>
        <v>0.2959598429278244</v>
      </c>
      <c r="E260" s="7">
        <f>MAX((1-Parameters!$B$4)^Parameters!B$65*E259+B259*Parameters!B$65-Parameters!$B$5*B259^2/E259*Parameters!B$65,0.0001)</f>
        <v>0.76972610641459571</v>
      </c>
      <c r="F260" s="9">
        <f>MAX((1-Parameters!$B$4)^Parameters!B$65*F259+C259*Parameters!B$65-Parameters!$B$5*C259^2/F259*Parameters!B$65,0.0001)</f>
        <v>0.14851940063083993</v>
      </c>
      <c r="G260" s="7">
        <f>MAX((1-Parameters!$B$4)^Parameters!B$65*G259+D259*Parameters!B$65-Parameters!$B$5*D259^2/G259*Parameters!B$65,0.0001)</f>
        <v>4.3878779456037096</v>
      </c>
      <c r="I260" s="7">
        <f>I259*(1+Parameters!$B$51)^Parameters!B$65</f>
        <v>17.125520291198011</v>
      </c>
      <c r="J260" s="7">
        <f>J259*(1+Parameters!$B$53)^Parameters!B$65</f>
        <v>1440.1798131808653</v>
      </c>
      <c r="K260" s="7">
        <f>'6states'!$O$4</f>
        <v>0.98104277196026479</v>
      </c>
      <c r="L260" s="9">
        <f t="shared" si="43"/>
        <v>0.5</v>
      </c>
      <c r="N260" s="7">
        <f>(Parameters!$B$19*(E260+Parameters!$B$20)^L260+Parameters!$B$18*F260^L260)^(1/L260)</f>
        <v>0.53556370916801121</v>
      </c>
      <c r="O260" s="7">
        <f>(Parameters!$B$10*G260^Parameters!$B$9 + Parameters!$B$11*N260^Parameters!$B$9) ^ (Parameters!$B$7/Parameters!$B$9) * K260</f>
        <v>1.5032566500678608</v>
      </c>
      <c r="P260" s="7">
        <f t="shared" ref="P260:P304" si="99">O260-B260-C260-D260</f>
        <v>1.1453616764527377</v>
      </c>
      <c r="Q260" s="7">
        <f>EXP(-Parameters!$B$55*A260)</f>
        <v>2.0950348456160946E-2</v>
      </c>
      <c r="R260" s="7">
        <f>IF(P260&gt;0,P260^(1-Parameters!$B$52)/(1-Parameters!$B$52)*Q260,-10+P260*1000)</f>
        <v>-5.7081224336682612E-2</v>
      </c>
      <c r="S260" s="7"/>
      <c r="T260" s="7"/>
      <c r="U260" s="7"/>
      <c r="V260" s="7"/>
    </row>
    <row r="261" spans="1:22" x14ac:dyDescent="0.3">
      <c r="A261">
        <f>A260+Parameters!$B$65</f>
        <v>257</v>
      </c>
      <c r="B261" s="9">
        <f t="shared" ref="B261:D261" si="100">B260</f>
        <v>5.191758263687303E-2</v>
      </c>
      <c r="C261" s="9">
        <f t="shared" si="100"/>
        <v>1.0017548050425843E-2</v>
      </c>
      <c r="D261" s="7">
        <f t="shared" si="100"/>
        <v>0.2959598429278244</v>
      </c>
      <c r="E261" s="7">
        <f>MAX((1-Parameters!$B$4)^Parameters!B$65*E260+B260*Parameters!B$65-Parameters!$B$5*B260^2/E260*Parameters!B$65,0.0001)</f>
        <v>0.76972610590546986</v>
      </c>
      <c r="F261" s="9">
        <f>MAX((1-Parameters!$B$4)^Parameters!B$65*F260+C260*Parameters!B$65-Parameters!$B$5*C260^2/F260*Parameters!B$65,0.0001)</f>
        <v>0.14851940053400275</v>
      </c>
      <c r="G261" s="7">
        <f>MAX((1-Parameters!$B$4)^Parameters!B$65*G260+D260*Parameters!B$65-Parameters!$B$5*D260^2/G260*Parameters!B$65,0.0001)</f>
        <v>4.387877944623864</v>
      </c>
      <c r="I261" s="7">
        <f>I260*(1+Parameters!$B$51)^Parameters!B$65</f>
        <v>17.175184300042485</v>
      </c>
      <c r="J261" s="7">
        <f>J260*(1+Parameters!$B$53)^Parameters!B$65</f>
        <v>1468.9834094444825</v>
      </c>
      <c r="K261" s="7">
        <f>'6states'!$O$4</f>
        <v>0.98104277196026479</v>
      </c>
      <c r="L261" s="9">
        <f t="shared" si="43"/>
        <v>0.5</v>
      </c>
      <c r="N261" s="7">
        <f>(Parameters!$B$19*(E261+Parameters!$B$20)^L261+Parameters!$B$18*F261^L261)^(1/L261)</f>
        <v>0.53556370881839255</v>
      </c>
      <c r="O261" s="7">
        <f>(Parameters!$B$10*G261^Parameters!$B$9 + Parameters!$B$11*N261^Parameters!$B$9) ^ (Parameters!$B$7/Parameters!$B$9) * K261</f>
        <v>1.5032566499281077</v>
      </c>
      <c r="P261" s="7">
        <f t="shared" si="99"/>
        <v>1.1453616763129846</v>
      </c>
      <c r="Q261" s="7">
        <f>EXP(-Parameters!$B$55*A261)</f>
        <v>2.0636374662357192E-2</v>
      </c>
      <c r="R261" s="7">
        <f>IF(P261&gt;0,P261^(1-Parameters!$B$52)/(1-Parameters!$B$52)*Q261,-10+P261*1000)</f>
        <v>-5.6225772765213622E-2</v>
      </c>
      <c r="S261" s="7"/>
      <c r="T261" s="7"/>
      <c r="U261" s="7"/>
      <c r="V261" s="7"/>
    </row>
    <row r="262" spans="1:22" x14ac:dyDescent="0.3">
      <c r="A262">
        <f>A261+Parameters!$B$65</f>
        <v>258</v>
      </c>
      <c r="B262" s="9">
        <f t="shared" ref="B262:D262" si="101">B261</f>
        <v>5.191758263687303E-2</v>
      </c>
      <c r="C262" s="9">
        <f t="shared" si="101"/>
        <v>1.0017548050425843E-2</v>
      </c>
      <c r="D262" s="7">
        <f t="shared" si="101"/>
        <v>0.2959598429278244</v>
      </c>
      <c r="E262" s="7">
        <f>MAX((1-Parameters!$B$4)^Parameters!B$65*E261+B261*Parameters!B$65-Parameters!$B$5*B261^2/E261*Parameters!B$65,0.0001)</f>
        <v>0.7697261054260518</v>
      </c>
      <c r="F262" s="9">
        <f>MAX((1-Parameters!$B$4)^Parameters!B$65*F261+C261*Parameters!B$65-Parameters!$B$5*C261^2/F261*Parameters!B$65,0.0001)</f>
        <v>0.14851940044281609</v>
      </c>
      <c r="G262" s="7">
        <f>MAX((1-Parameters!$B$4)^Parameters!B$65*G261+D261*Parameters!B$65-Parameters!$B$5*D261^2/G261*Parameters!B$65,0.0001)</f>
        <v>4.3878779437011932</v>
      </c>
      <c r="I262" s="7">
        <f>I261*(1+Parameters!$B$51)^Parameters!B$65</f>
        <v>17.224992334512606</v>
      </c>
      <c r="J262" s="7">
        <f>J261*(1+Parameters!$B$53)^Parameters!B$65</f>
        <v>1498.3630776333721</v>
      </c>
      <c r="K262" s="7">
        <f>'6states'!$O$4</f>
        <v>0.98104277196026479</v>
      </c>
      <c r="L262" s="9">
        <f t="shared" si="43"/>
        <v>0.5</v>
      </c>
      <c r="N262" s="7">
        <f>(Parameters!$B$19*(E262+Parameters!$B$20)^L262+Parameters!$B$18*F262^L262)^(1/L262)</f>
        <v>0.53556370848917434</v>
      </c>
      <c r="O262" s="7">
        <f>(Parameters!$B$10*G262^Parameters!$B$9 + Parameters!$B$11*N262^Parameters!$B$9) ^ (Parameters!$B$7/Parameters!$B$9) * K262</f>
        <v>1.5032566497965096</v>
      </c>
      <c r="P262" s="7">
        <f t="shared" si="99"/>
        <v>1.1453616761813863</v>
      </c>
      <c r="Q262" s="7">
        <f>EXP(-Parameters!$B$55*A262)</f>
        <v>2.03271062577455E-2</v>
      </c>
      <c r="R262" s="7">
        <f>IF(P262&gt;0,P262^(1-Parameters!$B$52)/(1-Parameters!$B$52)*Q262,-10+P262*1000)</f>
        <v>-5.5383141475575534E-2</v>
      </c>
      <c r="S262" s="7"/>
      <c r="T262" s="7"/>
      <c r="U262" s="7"/>
      <c r="V262" s="7"/>
    </row>
    <row r="263" spans="1:22" x14ac:dyDescent="0.3">
      <c r="A263">
        <f>A262+Parameters!$B$65</f>
        <v>259</v>
      </c>
      <c r="B263" s="9">
        <f t="shared" ref="B263:D263" si="102">B262</f>
        <v>5.191758263687303E-2</v>
      </c>
      <c r="C263" s="9">
        <f t="shared" si="102"/>
        <v>1.0017548050425843E-2</v>
      </c>
      <c r="D263" s="7">
        <f t="shared" si="102"/>
        <v>0.2959598429278244</v>
      </c>
      <c r="E263" s="7">
        <f>MAX((1-Parameters!$B$4)^Parameters!B$65*E262+B262*Parameters!B$65-Parameters!$B$5*B262^2/E262*Parameters!B$65,0.0001)</f>
        <v>0.76972610497460792</v>
      </c>
      <c r="F263" s="9">
        <f>MAX((1-Parameters!$B$4)^Parameters!B$65*F262+C262*Parameters!B$65-Parameters!$B$5*C262^2/F262*Parameters!B$65,0.0001)</f>
        <v>0.14851940035695022</v>
      </c>
      <c r="G263" s="7">
        <f>MAX((1-Parameters!$B$4)^Parameters!B$65*G262+D262*Parameters!B$65-Parameters!$B$5*D262^2/G262*Parameters!B$65,0.0001)</f>
        <v>4.3878779428323602</v>
      </c>
      <c r="I263" s="7">
        <f>I262*(1+Parameters!$B$51)^Parameters!B$65</f>
        <v>17.274944812282691</v>
      </c>
      <c r="J263" s="7">
        <f>J262*(1+Parameters!$B$53)^Parameters!B$65</f>
        <v>1528.3303391860395</v>
      </c>
      <c r="K263" s="7">
        <f>'6states'!$O$4</f>
        <v>0.98104277196026479</v>
      </c>
      <c r="L263" s="9">
        <f t="shared" si="43"/>
        <v>0.5</v>
      </c>
      <c r="N263" s="7">
        <f>(Parameters!$B$19*(E263+Parameters!$B$20)^L263+Parameters!$B$18*F263^L263)^(1/L263)</f>
        <v>0.53556370817916654</v>
      </c>
      <c r="O263" s="7">
        <f>(Parameters!$B$10*G263^Parameters!$B$9 + Parameters!$B$11*N263^Parameters!$B$9) ^ (Parameters!$B$7/Parameters!$B$9) * K263</f>
        <v>1.5032566496725903</v>
      </c>
      <c r="P263" s="7">
        <f t="shared" si="99"/>
        <v>1.1453616760574672</v>
      </c>
      <c r="Q263" s="7">
        <f>EXP(-Parameters!$B$55*A263)</f>
        <v>2.0022472724697045E-2</v>
      </c>
      <c r="R263" s="7">
        <f>IF(P263&gt;0,P263^(1-Parameters!$B$52)/(1-Parameters!$B$52)*Q263,-10+P263*1000)</f>
        <v>-5.4553138335772654E-2</v>
      </c>
      <c r="S263" s="7"/>
      <c r="T263" s="7"/>
      <c r="U263" s="7"/>
      <c r="V263" s="7"/>
    </row>
    <row r="264" spans="1:22" x14ac:dyDescent="0.3">
      <c r="A264">
        <f>A263+Parameters!$B$65</f>
        <v>260</v>
      </c>
      <c r="B264" s="9">
        <f t="shared" ref="B264:D264" si="103">B263</f>
        <v>5.191758263687303E-2</v>
      </c>
      <c r="C264" s="9">
        <f t="shared" si="103"/>
        <v>1.0017548050425843E-2</v>
      </c>
      <c r="D264" s="7">
        <f t="shared" si="103"/>
        <v>0.2959598429278244</v>
      </c>
      <c r="E264" s="7">
        <f>MAX((1-Parameters!$B$4)^Parameters!B$65*E263+B263*Parameters!B$65-Parameters!$B$5*B263^2/E263*Parameters!B$65,0.0001)</f>
        <v>0.76972610454950607</v>
      </c>
      <c r="F264" s="9">
        <f>MAX((1-Parameters!$B$4)^Parameters!B$65*F263+C263*Parameters!B$65-Parameters!$B$5*C263^2/F263*Parameters!B$65,0.0001)</f>
        <v>0.14851940027609467</v>
      </c>
      <c r="G264" s="7">
        <f>MAX((1-Parameters!$B$4)^Parameters!B$65*G263+D263*Parameters!B$65-Parameters!$B$5*D263^2/G263*Parameters!B$65,0.0001)</f>
        <v>4.3878779420142244</v>
      </c>
      <c r="I264" s="7">
        <f>I263*(1+Parameters!$B$51)^Parameters!B$65</f>
        <v>17.325042152238307</v>
      </c>
      <c r="J264" s="7">
        <f>J263*(1+Parameters!$B$53)^Parameters!B$65</f>
        <v>1558.8969459697603</v>
      </c>
      <c r="K264" s="7">
        <f>'6states'!$O$4</f>
        <v>0.98104277196026479</v>
      </c>
      <c r="L264" s="9">
        <f t="shared" si="43"/>
        <v>0.5</v>
      </c>
      <c r="N264" s="7">
        <f>(Parameters!$B$19*(E264+Parameters!$B$20)^L264+Parameters!$B$18*F264^L264)^(1/L264)</f>
        <v>0.53556370788724728</v>
      </c>
      <c r="O264" s="7">
        <f>(Parameters!$B$10*G264^Parameters!$B$9 + Parameters!$B$11*N264^Parameters!$B$9) ^ (Parameters!$B$7/Parameters!$B$9) * K264</f>
        <v>1.5032566495559017</v>
      </c>
      <c r="P264" s="7">
        <f t="shared" si="99"/>
        <v>1.1453616759407783</v>
      </c>
      <c r="Q264" s="7">
        <f>EXP(-Parameters!$B$55*A264)</f>
        <v>1.9722404602400177E-2</v>
      </c>
      <c r="R264" s="7">
        <f>IF(P264&gt;0,P264^(1-Parameters!$B$52)/(1-Parameters!$B$52)*Q264,-10+P264*1000)</f>
        <v>-5.3735574093207332E-2</v>
      </c>
      <c r="S264" s="7"/>
      <c r="T264" s="7"/>
      <c r="U264" s="7"/>
      <c r="V264" s="7"/>
    </row>
    <row r="265" spans="1:22" x14ac:dyDescent="0.3">
      <c r="A265">
        <f>A264+Parameters!$B$65</f>
        <v>261</v>
      </c>
      <c r="B265" s="9">
        <f t="shared" ref="B265:D265" si="104">B264</f>
        <v>5.191758263687303E-2</v>
      </c>
      <c r="C265" s="9">
        <f t="shared" si="104"/>
        <v>1.0017548050425843E-2</v>
      </c>
      <c r="D265" s="7">
        <f t="shared" si="104"/>
        <v>0.2959598429278244</v>
      </c>
      <c r="E265" s="7">
        <f>MAX((1-Parameters!$B$4)^Parameters!B$65*E264+B264*Parameters!B$65-Parameters!$B$5*B264^2/E264*Parameters!B$65,0.0001)</f>
        <v>0.76972610414920928</v>
      </c>
      <c r="F265" s="9">
        <f>MAX((1-Parameters!$B$4)^Parameters!B$65*F264+C264*Parameters!B$65-Parameters!$B$5*C264^2/F264*Parameters!B$65,0.0001)</f>
        <v>0.1485194001999571</v>
      </c>
      <c r="G265" s="7">
        <f>MAX((1-Parameters!$B$4)^Parameters!B$65*G264+D264*Parameters!B$65-Parameters!$B$5*D264^2/G264*Parameters!B$65,0.0001)</f>
        <v>4.3878779412438265</v>
      </c>
      <c r="I265" s="7">
        <f>I264*(1+Parameters!$B$51)^Parameters!B$65</f>
        <v>17.375284774479798</v>
      </c>
      <c r="J265" s="7">
        <f>J264*(1+Parameters!$B$53)^Parameters!B$65</f>
        <v>1590.0748848891556</v>
      </c>
      <c r="K265" s="7">
        <f>'6states'!$O$4</f>
        <v>0.98104277196026479</v>
      </c>
      <c r="L265" s="9">
        <f t="shared" si="43"/>
        <v>0.5</v>
      </c>
      <c r="N265" s="7">
        <f>(Parameters!$B$19*(E265+Parameters!$B$20)^L265+Parameters!$B$18*F265^L265)^(1/L265)</f>
        <v>0.53556370761236227</v>
      </c>
      <c r="O265" s="7">
        <f>(Parameters!$B$10*G265^Parameters!$B$9 + Parameters!$B$11*N265^Parameters!$B$9) ^ (Parameters!$B$7/Parameters!$B$9) * K265</f>
        <v>1.5032566494460218</v>
      </c>
      <c r="P265" s="7">
        <f t="shared" si="99"/>
        <v>1.1453616758308987</v>
      </c>
      <c r="Q265" s="7">
        <f>EXP(-Parameters!$B$55*A265)</f>
        <v>1.9426833471022302E-2</v>
      </c>
      <c r="R265" s="7">
        <f>IF(P265&gt;0,P265^(1-Parameters!$B$52)/(1-Parameters!$B$52)*Q265,-10+P265*1000)</f>
        <v>-5.2930262331527707E-2</v>
      </c>
      <c r="S265" s="7"/>
      <c r="T265" s="7"/>
      <c r="U265" s="7"/>
      <c r="V265" s="7"/>
    </row>
    <row r="266" spans="1:22" x14ac:dyDescent="0.3">
      <c r="A266">
        <f>A265+Parameters!$B$65</f>
        <v>262</v>
      </c>
      <c r="B266" s="9">
        <f t="shared" ref="B266:D266" si="105">B265</f>
        <v>5.191758263687303E-2</v>
      </c>
      <c r="C266" s="9">
        <f t="shared" si="105"/>
        <v>1.0017548050425843E-2</v>
      </c>
      <c r="D266" s="7">
        <f t="shared" si="105"/>
        <v>0.2959598429278244</v>
      </c>
      <c r="E266" s="7">
        <f>MAX((1-Parameters!$B$4)^Parameters!B$65*E265+B265*Parameters!B$65-Parameters!$B$5*B265^2/E265*Parameters!B$65,0.0001)</f>
        <v>0.76972610377227002</v>
      </c>
      <c r="F266" s="9">
        <f>MAX((1-Parameters!$B$4)^Parameters!B$65*F265+C265*Parameters!B$65-Parameters!$B$5*C265^2/F265*Parameters!B$65,0.0001)</f>
        <v>0.1485194001282622</v>
      </c>
      <c r="G266" s="7">
        <f>MAX((1-Parameters!$B$4)^Parameters!B$65*G265+D265*Parameters!B$65-Parameters!$B$5*D265^2/G265*Parameters!B$65,0.0001)</f>
        <v>4.3878779405183819</v>
      </c>
      <c r="I266" s="7">
        <f>I265*(1+Parameters!$B$51)^Parameters!B$65</f>
        <v>17.425673100325788</v>
      </c>
      <c r="J266" s="7">
        <f>J265*(1+Parameters!$B$53)^Parameters!B$65</f>
        <v>1621.8763825869387</v>
      </c>
      <c r="K266" s="7">
        <f>'6states'!$O$4</f>
        <v>0.98104277196026479</v>
      </c>
      <c r="L266" s="9">
        <f t="shared" si="43"/>
        <v>0.5</v>
      </c>
      <c r="N266" s="7">
        <f>(Parameters!$B$19*(E266+Parameters!$B$20)^L266+Parameters!$B$18*F266^L266)^(1/L266)</f>
        <v>0.53556370735351677</v>
      </c>
      <c r="O266" s="7">
        <f>(Parameters!$B$10*G266^Parameters!$B$9 + Parameters!$B$11*N266^Parameters!$B$9) ^ (Parameters!$B$7/Parameters!$B$9) * K266</f>
        <v>1.5032566493425534</v>
      </c>
      <c r="P266" s="7">
        <f t="shared" si="99"/>
        <v>1.1453616757274303</v>
      </c>
      <c r="Q266" s="7">
        <f>EXP(-Parameters!$B$55*A266)</f>
        <v>1.9135691936109211E-2</v>
      </c>
      <c r="R266" s="7">
        <f>IF(P266&gt;0,P266^(1-Parameters!$B$52)/(1-Parameters!$B$52)*Q266,-10+P266*1000)</f>
        <v>-5.2137019428122197E-2</v>
      </c>
      <c r="S266" s="7"/>
      <c r="T266" s="7"/>
      <c r="U266" s="7"/>
      <c r="V266" s="7"/>
    </row>
    <row r="267" spans="1:22" x14ac:dyDescent="0.3">
      <c r="A267">
        <f>A266+Parameters!$B$65</f>
        <v>263</v>
      </c>
      <c r="B267" s="9">
        <f t="shared" ref="B267:D267" si="106">B266</f>
        <v>5.191758263687303E-2</v>
      </c>
      <c r="C267" s="9">
        <f t="shared" si="106"/>
        <v>1.0017548050425843E-2</v>
      </c>
      <c r="D267" s="7">
        <f t="shared" si="106"/>
        <v>0.2959598429278244</v>
      </c>
      <c r="E267" s="7">
        <f>MAX((1-Parameters!$B$4)^Parameters!B$65*E266+B266*Parameters!B$65-Parameters!$B$5*B266^2/E266*Parameters!B$65,0.0001)</f>
        <v>0.76972610341732539</v>
      </c>
      <c r="F267" s="9">
        <f>MAX((1-Parameters!$B$4)^Parameters!B$65*F266+C266*Parameters!B$65-Parameters!$B$5*C266^2/F266*Parameters!B$65,0.0001)</f>
        <v>0.14851940006075073</v>
      </c>
      <c r="G267" s="7">
        <f>MAX((1-Parameters!$B$4)^Parameters!B$65*G266+D266*Parameters!B$65-Parameters!$B$5*D266^2/G266*Parameters!B$65,0.0001)</f>
        <v>4.387877939835267</v>
      </c>
      <c r="I267" s="7">
        <f>I266*(1+Parameters!$B$51)^Parameters!B$65</f>
        <v>17.47620755231673</v>
      </c>
      <c r="J267" s="7">
        <f>J266*(1+Parameters!$B$53)^Parameters!B$65</f>
        <v>1654.3139102386774</v>
      </c>
      <c r="K267" s="7">
        <f>'6states'!$O$4</f>
        <v>0.98104277196026479</v>
      </c>
      <c r="L267" s="9">
        <f t="shared" si="43"/>
        <v>0.5</v>
      </c>
      <c r="N267" s="7">
        <f>(Parameters!$B$19*(E267+Parameters!$B$20)^L267+Parameters!$B$18*F267^L267)^(1/L267)</f>
        <v>0.53556370710977508</v>
      </c>
      <c r="O267" s="7">
        <f>(Parameters!$B$10*G267^Parameters!$B$9 + Parameters!$B$11*N267^Parameters!$B$9) ^ (Parameters!$B$7/Parameters!$B$9) * K267</f>
        <v>1.5032566492451225</v>
      </c>
      <c r="P267" s="7">
        <f t="shared" si="99"/>
        <v>1.1453616756299994</v>
      </c>
      <c r="Q267" s="7">
        <f>EXP(-Parameters!$B$55*A267)</f>
        <v>1.88489136132182E-2</v>
      </c>
      <c r="R267" s="7">
        <f>IF(P267&gt;0,P267^(1-Parameters!$B$52)/(1-Parameters!$B$52)*Q267,-10+P267*1000)</f>
        <v>-5.1355664512251063E-2</v>
      </c>
      <c r="S267" s="7"/>
      <c r="T267" s="7"/>
      <c r="U267" s="7"/>
      <c r="V267" s="7"/>
    </row>
    <row r="268" spans="1:22" x14ac:dyDescent="0.3">
      <c r="A268">
        <f>A267+Parameters!$B$65</f>
        <v>264</v>
      </c>
      <c r="B268" s="9">
        <f t="shared" ref="B268:D268" si="107">B267</f>
        <v>5.191758263687303E-2</v>
      </c>
      <c r="C268" s="9">
        <f t="shared" si="107"/>
        <v>1.0017548050425843E-2</v>
      </c>
      <c r="D268" s="7">
        <f t="shared" si="107"/>
        <v>0.2959598429278244</v>
      </c>
      <c r="E268" s="7">
        <f>MAX((1-Parameters!$B$4)^Parameters!B$65*E267+B267*Parameters!B$65-Parameters!$B$5*B267^2/E267*Parameters!B$65,0.0001)</f>
        <v>0.76972610308309197</v>
      </c>
      <c r="F268" s="9">
        <f>MAX((1-Parameters!$B$4)^Parameters!B$65*F267+C267*Parameters!B$65-Parameters!$B$5*C267^2/F267*Parameters!B$65,0.0001)</f>
        <v>0.14851939999717859</v>
      </c>
      <c r="G268" s="7">
        <f>MAX((1-Parameters!$B$4)^Parameters!B$65*G267+D267*Parameters!B$65-Parameters!$B$5*D267^2/G267*Parameters!B$65,0.0001)</f>
        <v>4.3878779391920126</v>
      </c>
      <c r="I268" s="7">
        <f>I267*(1+Parameters!$B$51)^Parameters!B$65</f>
        <v>17.526888554218445</v>
      </c>
      <c r="J268" s="7">
        <f>J267*(1+Parameters!$B$53)^Parameters!B$65</f>
        <v>1687.400188443451</v>
      </c>
      <c r="K268" s="7">
        <f>'6states'!$O$4</f>
        <v>0.98104277196026479</v>
      </c>
      <c r="L268" s="9">
        <f t="shared" si="43"/>
        <v>0.5</v>
      </c>
      <c r="N268" s="7">
        <f>(Parameters!$B$19*(E268+Parameters!$B$20)^L268+Parameters!$B$18*F268^L268)^(1/L268)</f>
        <v>0.53556370688025601</v>
      </c>
      <c r="O268" s="7">
        <f>(Parameters!$B$10*G268^Parameters!$B$9 + Parameters!$B$11*N268^Parameters!$B$9) ^ (Parameters!$B$7/Parameters!$B$9) * K268</f>
        <v>1.5032566491533772</v>
      </c>
      <c r="P268" s="7">
        <f t="shared" si="99"/>
        <v>1.1453616755382541</v>
      </c>
      <c r="Q268" s="7">
        <f>EXP(-Parameters!$B$55*A268)</f>
        <v>1.8566433112781416E-2</v>
      </c>
      <c r="R268" s="7">
        <f>IF(P268&gt;0,P268^(1-Parameters!$B$52)/(1-Parameters!$B$52)*Q268,-10+P268*1000)</f>
        <v>-5.0586019423805265E-2</v>
      </c>
      <c r="S268" s="7"/>
      <c r="T268" s="7"/>
      <c r="U268" s="7"/>
      <c r="V268" s="7"/>
    </row>
    <row r="269" spans="1:22" x14ac:dyDescent="0.3">
      <c r="A269">
        <f>A268+Parameters!$B$65</f>
        <v>265</v>
      </c>
      <c r="B269" s="9">
        <f t="shared" ref="B269:D269" si="108">B268</f>
        <v>5.191758263687303E-2</v>
      </c>
      <c r="C269" s="9">
        <f t="shared" si="108"/>
        <v>1.0017548050425843E-2</v>
      </c>
      <c r="D269" s="7">
        <f t="shared" si="108"/>
        <v>0.2959598429278244</v>
      </c>
      <c r="E269" s="7">
        <f>MAX((1-Parameters!$B$4)^Parameters!B$65*E268+B268*Parameters!B$65-Parameters!$B$5*B268^2/E268*Parameters!B$65,0.0001)</f>
        <v>0.76972610276836129</v>
      </c>
      <c r="F269" s="9">
        <f>MAX((1-Parameters!$B$4)^Parameters!B$65*F268+C268*Parameters!B$65-Parameters!$B$5*C268^2/F268*Parameters!B$65,0.0001)</f>
        <v>0.14851939993731592</v>
      </c>
      <c r="G269" s="7">
        <f>MAX((1-Parameters!$B$4)^Parameters!B$65*G268+D268*Parameters!B$65-Parameters!$B$5*D268^2/G268*Parameters!B$65,0.0001)</f>
        <v>4.3878779385862936</v>
      </c>
      <c r="I269" s="7">
        <f>I268*(1+Parameters!$B$51)^Parameters!B$65</f>
        <v>17.577716531025676</v>
      </c>
      <c r="J269" s="7">
        <f>J268*(1+Parameters!$B$53)^Parameters!B$65</f>
        <v>1721.1481922123201</v>
      </c>
      <c r="K269" s="7">
        <f>'6states'!$O$4</f>
        <v>0.98104277196026479</v>
      </c>
      <c r="L269" s="9">
        <f t="shared" ref="L269:L304" si="109">L268</f>
        <v>0.5</v>
      </c>
      <c r="N269" s="7">
        <f>(Parameters!$B$19*(E269+Parameters!$B$20)^L269+Parameters!$B$18*F269^L269)^(1/L269)</f>
        <v>0.53556370666412922</v>
      </c>
      <c r="O269" s="7">
        <f>(Parameters!$B$10*G269^Parameters!$B$9 + Parameters!$B$11*N269^Parameters!$B$9) ^ (Parameters!$B$7/Parameters!$B$9) * K269</f>
        <v>1.5032566490669848</v>
      </c>
      <c r="P269" s="7">
        <f t="shared" si="99"/>
        <v>1.1453616754518614</v>
      </c>
      <c r="Q269" s="7">
        <f>EXP(-Parameters!$B$55*A269)</f>
        <v>1.8288186025196128E-2</v>
      </c>
      <c r="R269" s="7">
        <f>IF(P269&gt;0,P269^(1-Parameters!$B$52)/(1-Parameters!$B$52)*Q269,-10+P269*1000)</f>
        <v>-4.9827908672683462E-2</v>
      </c>
      <c r="S269" s="7"/>
      <c r="T269" s="7"/>
      <c r="U269" s="7"/>
      <c r="V269" s="7"/>
    </row>
    <row r="270" spans="1:22" x14ac:dyDescent="0.3">
      <c r="A270">
        <f>A269+Parameters!$B$65</f>
        <v>266</v>
      </c>
      <c r="B270" s="9">
        <f t="shared" ref="B270:D270" si="110">B269</f>
        <v>5.191758263687303E-2</v>
      </c>
      <c r="C270" s="9">
        <f t="shared" si="110"/>
        <v>1.0017548050425843E-2</v>
      </c>
      <c r="D270" s="7">
        <f t="shared" si="110"/>
        <v>0.2959598429278244</v>
      </c>
      <c r="E270" s="7">
        <f>MAX((1-Parameters!$B$4)^Parameters!B$65*E269+B269*Parameters!B$65-Parameters!$B$5*B269^2/E269*Parameters!B$65,0.0001)</f>
        <v>0.76972610247199524</v>
      </c>
      <c r="F270" s="9">
        <f>MAX((1-Parameters!$B$4)^Parameters!B$65*F269+C269*Parameters!B$65-Parameters!$B$5*C269^2/F269*Parameters!B$65,0.0001)</f>
        <v>0.14851939988094626</v>
      </c>
      <c r="G270" s="7">
        <f>MAX((1-Parameters!$B$4)^Parameters!B$65*G269+D269*Parameters!B$65-Parameters!$B$5*D269^2/G269*Parameters!B$65,0.0001)</f>
        <v>4.3878779380159179</v>
      </c>
      <c r="I270" s="7">
        <f>I269*(1+Parameters!$B$51)^Parameters!B$65</f>
        <v>17.628691908965649</v>
      </c>
      <c r="J270" s="7">
        <f>J269*(1+Parameters!$B$53)^Parameters!B$65</f>
        <v>1755.5711560565665</v>
      </c>
      <c r="K270" s="7">
        <f>'6states'!$O$4</f>
        <v>0.98104277196026479</v>
      </c>
      <c r="L270" s="9">
        <f t="shared" si="109"/>
        <v>0.5</v>
      </c>
      <c r="N270" s="7">
        <f>(Parameters!$B$19*(E270+Parameters!$B$20)^L270+Parameters!$B$18*F270^L270)^(1/L270)</f>
        <v>0.53556370646061346</v>
      </c>
      <c r="O270" s="7">
        <f>(Parameters!$B$10*G270^Parameters!$B$9 + Parameters!$B$11*N270^Parameters!$B$9) ^ (Parameters!$B$7/Parameters!$B$9) * K270</f>
        <v>1.5032566489856334</v>
      </c>
      <c r="P270" s="7">
        <f t="shared" si="99"/>
        <v>1.14536167537051</v>
      </c>
      <c r="Q270" s="7">
        <f>EXP(-Parameters!$B$55*A270)</f>
        <v>1.8014108906138429E-2</v>
      </c>
      <c r="R270" s="7">
        <f>IF(P270&gt;0,P270^(1-Parameters!$B$52)/(1-Parameters!$B$52)*Q270,-10+P270*1000)</f>
        <v>-4.9081159398777885E-2</v>
      </c>
      <c r="S270" s="7"/>
      <c r="T270" s="7"/>
      <c r="U270" s="7"/>
      <c r="V270" s="7"/>
    </row>
    <row r="271" spans="1:22" x14ac:dyDescent="0.3">
      <c r="A271">
        <f>A270+Parameters!$B$65</f>
        <v>267</v>
      </c>
      <c r="B271" s="9">
        <f t="shared" ref="B271:D271" si="111">B270</f>
        <v>5.191758263687303E-2</v>
      </c>
      <c r="C271" s="9">
        <f t="shared" si="111"/>
        <v>1.0017548050425843E-2</v>
      </c>
      <c r="D271" s="7">
        <f t="shared" si="111"/>
        <v>0.2959598429278244</v>
      </c>
      <c r="E271" s="7">
        <f>MAX((1-Parameters!$B$4)^Parameters!B$65*E270+B270*Parameters!B$65-Parameters!$B$5*B270^2/E270*Parameters!B$65,0.0001)</f>
        <v>0.76972610219292226</v>
      </c>
      <c r="F271" s="9">
        <f>MAX((1-Parameters!$B$4)^Parameters!B$65*F270+C270*Parameters!B$65-Parameters!$B$5*C270^2/F270*Parameters!B$65,0.0001)</f>
        <v>0.14851939982786583</v>
      </c>
      <c r="G271" s="7">
        <f>MAX((1-Parameters!$B$4)^Parameters!B$65*G270+D270*Parameters!B$65-Parameters!$B$5*D270^2/G270*Parameters!B$65,0.0001)</f>
        <v>4.3878779374788239</v>
      </c>
      <c r="I271" s="7">
        <f>I270*(1+Parameters!$B$51)^Parameters!B$65</f>
        <v>17.679815115501647</v>
      </c>
      <c r="J271" s="7">
        <f>J270*(1+Parameters!$B$53)^Parameters!B$65</f>
        <v>1790.6825791776978</v>
      </c>
      <c r="K271" s="7">
        <f>'6states'!$O$4</f>
        <v>0.98104277196026479</v>
      </c>
      <c r="L271" s="9">
        <f t="shared" si="109"/>
        <v>0.5</v>
      </c>
      <c r="N271" s="7">
        <f>(Parameters!$B$19*(E271+Parameters!$B$20)^L271+Parameters!$B$18*F271^L271)^(1/L271)</f>
        <v>0.53556370626897309</v>
      </c>
      <c r="O271" s="7">
        <f>(Parameters!$B$10*G271^Parameters!$B$9 + Parameters!$B$11*N271^Parameters!$B$9) ^ (Parameters!$B$7/Parameters!$B$9) * K271</f>
        <v>1.5032566489090293</v>
      </c>
      <c r="P271" s="7">
        <f t="shared" si="99"/>
        <v>1.145361675293906</v>
      </c>
      <c r="Q271" s="7">
        <f>EXP(-Parameters!$B$55*A271)</f>
        <v>1.7744139262096965E-2</v>
      </c>
      <c r="R271" s="7">
        <f>IF(P271&gt;0,P271^(1-Parameters!$B$52)/(1-Parameters!$B$52)*Q271,-10+P271*1000)</f>
        <v>-4.8345601332559655E-2</v>
      </c>
      <c r="S271" s="7"/>
      <c r="T271" s="7"/>
      <c r="U271" s="7"/>
      <c r="V271" s="7"/>
    </row>
    <row r="272" spans="1:22" x14ac:dyDescent="0.3">
      <c r="A272">
        <f>A271+Parameters!$B$65</f>
        <v>268</v>
      </c>
      <c r="B272" s="9">
        <f t="shared" ref="B272:D272" si="112">B271</f>
        <v>5.191758263687303E-2</v>
      </c>
      <c r="C272" s="9">
        <f t="shared" si="112"/>
        <v>1.0017548050425843E-2</v>
      </c>
      <c r="D272" s="7">
        <f t="shared" si="112"/>
        <v>0.2959598429278244</v>
      </c>
      <c r="E272" s="7">
        <f>MAX((1-Parameters!$B$4)^Parameters!B$65*E271+B271*Parameters!B$65-Parameters!$B$5*B271^2/E271*Parameters!B$65,0.0001)</f>
        <v>0.76972610193013347</v>
      </c>
      <c r="F272" s="9">
        <f>MAX((1-Parameters!$B$4)^Parameters!B$65*F271+C271*Parameters!B$65-Parameters!$B$5*C271^2/F271*Parameters!B$65,0.0001)</f>
        <v>0.14851939977788264</v>
      </c>
      <c r="G272" s="7">
        <f>MAX((1-Parameters!$B$4)^Parameters!B$65*G271+D271*Parameters!B$65-Parameters!$B$5*D271^2/G271*Parameters!B$65,0.0001)</f>
        <v>4.3878779369730694</v>
      </c>
      <c r="I272" s="7">
        <f>I271*(1+Parameters!$B$51)^Parameters!B$65</f>
        <v>17.731086579336601</v>
      </c>
      <c r="J272" s="7">
        <f>J271*(1+Parameters!$B$53)^Parameters!B$65</f>
        <v>1826.4962307612518</v>
      </c>
      <c r="K272" s="7">
        <f>'6states'!$O$4</f>
        <v>0.98104277196026479</v>
      </c>
      <c r="L272" s="9">
        <f t="shared" si="109"/>
        <v>0.5</v>
      </c>
      <c r="N272" s="7">
        <f>(Parameters!$B$19*(E272+Parameters!$B$20)^L272+Parameters!$B$18*F272^L272)^(1/L272)</f>
        <v>0.53556370608851533</v>
      </c>
      <c r="O272" s="7">
        <f>(Parameters!$B$10*G272^Parameters!$B$9 + Parameters!$B$11*N272^Parameters!$B$9) ^ (Parameters!$B$7/Parameters!$B$9) * K272</f>
        <v>1.5032566488368948</v>
      </c>
      <c r="P272" s="7">
        <f t="shared" si="99"/>
        <v>1.1453616752217717</v>
      </c>
      <c r="Q272" s="7">
        <f>EXP(-Parameters!$B$55*A272)</f>
        <v>1.7478215536123588E-2</v>
      </c>
      <c r="R272" s="7">
        <f>IF(P272&gt;0,P272^(1-Parameters!$B$52)/(1-Parameters!$B$52)*Q272,-10+P272*1000)</f>
        <v>-4.7621066756255159E-2</v>
      </c>
      <c r="S272" s="7"/>
      <c r="T272" s="7"/>
      <c r="U272" s="7"/>
      <c r="V272" s="7"/>
    </row>
    <row r="273" spans="1:22" x14ac:dyDescent="0.3">
      <c r="A273">
        <f>A272+Parameters!$B$65</f>
        <v>269</v>
      </c>
      <c r="B273" s="9">
        <f t="shared" ref="B273:D273" si="113">B272</f>
        <v>5.191758263687303E-2</v>
      </c>
      <c r="C273" s="9">
        <f t="shared" si="113"/>
        <v>1.0017548050425843E-2</v>
      </c>
      <c r="D273" s="7">
        <f t="shared" si="113"/>
        <v>0.2959598429278244</v>
      </c>
      <c r="E273" s="7">
        <f>MAX((1-Parameters!$B$4)^Parameters!B$65*E272+B272*Parameters!B$65-Parameters!$B$5*B272^2/E272*Parameters!B$65,0.0001)</f>
        <v>0.76972610168267852</v>
      </c>
      <c r="F273" s="9">
        <f>MAX((1-Parameters!$B$4)^Parameters!B$65*F272+C272*Parameters!B$65-Parameters!$B$5*C272^2/F272*Parameters!B$65,0.0001)</f>
        <v>0.14851939973081602</v>
      </c>
      <c r="G273" s="7">
        <f>MAX((1-Parameters!$B$4)^Parameters!B$65*G272+D272*Parameters!B$65-Parameters!$B$5*D272^2/G272*Parameters!B$65,0.0001)</f>
        <v>4.3878779364968263</v>
      </c>
      <c r="I273" s="7">
        <f>I272*(1+Parameters!$B$51)^Parameters!B$65</f>
        <v>17.782506730416674</v>
      </c>
      <c r="J273" s="7">
        <f>J272*(1+Parameters!$B$53)^Parameters!B$65</f>
        <v>1863.0261553764769</v>
      </c>
      <c r="K273" s="7">
        <f>'6states'!$O$4</f>
        <v>0.98104277196026479</v>
      </c>
      <c r="L273" s="9">
        <f t="shared" si="109"/>
        <v>0.5</v>
      </c>
      <c r="N273" s="7">
        <f>(Parameters!$B$19*(E273+Parameters!$B$20)^L273+Parameters!$B$18*F273^L273)^(1/L273)</f>
        <v>0.53556370591858715</v>
      </c>
      <c r="O273" s="7">
        <f>(Parameters!$B$10*G273^Parameters!$B$9 + Parameters!$B$11*N273^Parameters!$B$9) ^ (Parameters!$B$7/Parameters!$B$9) * K273</f>
        <v>1.5032566487689694</v>
      </c>
      <c r="P273" s="7">
        <f t="shared" si="99"/>
        <v>1.145361675153846</v>
      </c>
      <c r="Q273" s="7">
        <f>EXP(-Parameters!$B$55*A273)</f>
        <v>1.7216277093797468E-2</v>
      </c>
      <c r="R273" s="7">
        <f>IF(P273&gt;0,P273^(1-Parameters!$B$52)/(1-Parameters!$B$52)*Q273,-10+P273*1000)</f>
        <v>-4.6907390465603889E-2</v>
      </c>
      <c r="S273" s="7"/>
      <c r="T273" s="7"/>
      <c r="U273" s="7"/>
      <c r="V273" s="7"/>
    </row>
    <row r="274" spans="1:22" x14ac:dyDescent="0.3">
      <c r="A274">
        <f>A273+Parameters!$B$65</f>
        <v>270</v>
      </c>
      <c r="B274" s="9">
        <f t="shared" ref="B274:D274" si="114">B273</f>
        <v>5.191758263687303E-2</v>
      </c>
      <c r="C274" s="9">
        <f t="shared" si="114"/>
        <v>1.0017548050425843E-2</v>
      </c>
      <c r="D274" s="7">
        <f t="shared" si="114"/>
        <v>0.2959598429278244</v>
      </c>
      <c r="E274" s="7">
        <f>MAX((1-Parameters!$B$4)^Parameters!B$65*E273+B273*Parameters!B$65-Parameters!$B$5*B273^2/E273*Parameters!B$65,0.0001)</f>
        <v>0.76972610144966269</v>
      </c>
      <c r="F274" s="9">
        <f>MAX((1-Parameters!$B$4)^Parameters!B$65*F273+C273*Parameters!B$65-Parameters!$B$5*C273^2/F273*Parameters!B$65,0.0001)</f>
        <v>0.14851939968649577</v>
      </c>
      <c r="G274" s="7">
        <f>MAX((1-Parameters!$B$4)^Parameters!B$65*G273+D273*Parameters!B$65-Parameters!$B$5*D273^2/G273*Parameters!B$65,0.0001)</f>
        <v>4.3878779360483717</v>
      </c>
      <c r="I274" s="7">
        <f>I273*(1+Parameters!$B$51)^Parameters!B$65</f>
        <v>17.834075999934882</v>
      </c>
      <c r="J274" s="7">
        <f>J273*(1+Parameters!$B$53)^Parameters!B$65</f>
        <v>1900.2866784840064</v>
      </c>
      <c r="K274" s="7">
        <f>'6states'!$O$4</f>
        <v>0.98104277196026479</v>
      </c>
      <c r="L274" s="9">
        <f t="shared" si="109"/>
        <v>0.5</v>
      </c>
      <c r="N274" s="7">
        <f>(Parameters!$B$19*(E274+Parameters!$B$20)^L274+Parameters!$B$18*F274^L274)^(1/L274)</f>
        <v>0.53556370575857426</v>
      </c>
      <c r="O274" s="7">
        <f>(Parameters!$B$10*G274^Parameters!$B$9 + Parameters!$B$11*N274^Parameters!$B$9) ^ (Parameters!$B$7/Parameters!$B$9) * K274</f>
        <v>1.5032566487050074</v>
      </c>
      <c r="P274" s="7">
        <f t="shared" si="99"/>
        <v>1.1453616750898843</v>
      </c>
      <c r="Q274" s="7">
        <f>EXP(-Parameters!$B$55*A274)</f>
        <v>1.6958264209399509E-2</v>
      </c>
      <c r="R274" s="7">
        <f>IF(P274&gt;0,P274^(1-Parameters!$B$52)/(1-Parameters!$B$52)*Q274,-10+P274*1000)</f>
        <v>-4.6204409732189443E-2</v>
      </c>
      <c r="S274" s="7"/>
      <c r="T274" s="7"/>
      <c r="U274" s="7"/>
      <c r="V274" s="7"/>
    </row>
    <row r="275" spans="1:22" x14ac:dyDescent="0.3">
      <c r="A275">
        <f>A274+Parameters!$B$65</f>
        <v>271</v>
      </c>
      <c r="B275" s="9">
        <f t="shared" ref="B275:D275" si="115">B274</f>
        <v>5.191758263687303E-2</v>
      </c>
      <c r="C275" s="9">
        <f t="shared" si="115"/>
        <v>1.0017548050425843E-2</v>
      </c>
      <c r="D275" s="7">
        <f t="shared" si="115"/>
        <v>0.2959598429278244</v>
      </c>
      <c r="E275" s="7">
        <f>MAX((1-Parameters!$B$4)^Parameters!B$65*E274+B274*Parameters!B$65-Parameters!$B$5*B274^2/E274*Parameters!B$65,0.0001)</f>
        <v>0.76972610123024354</v>
      </c>
      <c r="F275" s="9">
        <f>MAX((1-Parameters!$B$4)^Parameters!B$65*F274+C274*Parameters!B$65-Parameters!$B$5*C274^2/F274*Parameters!B$65,0.0001)</f>
        <v>0.14851939964476163</v>
      </c>
      <c r="G275" s="7">
        <f>MAX((1-Parameters!$B$4)^Parameters!B$65*G274+D274*Parameters!B$65-Parameters!$B$5*D274^2/G274*Parameters!B$65,0.0001)</f>
        <v>4.3878779356260855</v>
      </c>
      <c r="I275" s="7">
        <f>I274*(1+Parameters!$B$51)^Parameters!B$65</f>
        <v>17.885794820334691</v>
      </c>
      <c r="J275" s="7">
        <f>J274*(1+Parameters!$B$53)^Parameters!B$65</f>
        <v>1938.2924120536866</v>
      </c>
      <c r="K275" s="7">
        <f>'6states'!$O$4</f>
        <v>0.98104277196026479</v>
      </c>
      <c r="L275" s="9">
        <f t="shared" si="109"/>
        <v>0.5</v>
      </c>
      <c r="N275" s="7">
        <f>(Parameters!$B$19*(E275+Parameters!$B$20)^L275+Parameters!$B$18*F275^L275)^(1/L275)</f>
        <v>0.53556370560789823</v>
      </c>
      <c r="O275" s="7">
        <f>(Parameters!$B$10*G275^Parameters!$B$9 + Parameters!$B$11*N275^Parameters!$B$9) ^ (Parameters!$B$7/Parameters!$B$9) * K275</f>
        <v>1.5032566486447778</v>
      </c>
      <c r="P275" s="7">
        <f t="shared" si="99"/>
        <v>1.1453616750296547</v>
      </c>
      <c r="Q275" s="7">
        <f>EXP(-Parameters!$B$55*A275)</f>
        <v>1.6704118052294156E-2</v>
      </c>
      <c r="R275" s="7">
        <f>IF(P275&gt;0,P275^(1-Parameters!$B$52)/(1-Parameters!$B$52)*Q275,-10+P275*1000)</f>
        <v>-4.551196426633549E-2</v>
      </c>
      <c r="S275" s="7"/>
      <c r="T275" s="7"/>
      <c r="U275" s="7"/>
      <c r="V275" s="7"/>
    </row>
    <row r="276" spans="1:22" x14ac:dyDescent="0.3">
      <c r="A276">
        <f>A275+Parameters!$B$65</f>
        <v>272</v>
      </c>
      <c r="B276" s="9">
        <f t="shared" ref="B276:D276" si="116">B275</f>
        <v>5.191758263687303E-2</v>
      </c>
      <c r="C276" s="9">
        <f t="shared" si="116"/>
        <v>1.0017548050425843E-2</v>
      </c>
      <c r="D276" s="7">
        <f t="shared" si="116"/>
        <v>0.2959598429278244</v>
      </c>
      <c r="E276" s="7">
        <f>MAX((1-Parameters!$B$4)^Parameters!B$65*E275+B275*Parameters!B$65-Parameters!$B$5*B275^2/E275*Parameters!B$65,0.0001)</f>
        <v>0.76972610102362748</v>
      </c>
      <c r="F276" s="9">
        <f>MAX((1-Parameters!$B$4)^Parameters!B$65*F275+C275*Parameters!B$65-Parameters!$B$5*C275^2/F275*Parameters!B$65,0.0001)</f>
        <v>0.1485193996054627</v>
      </c>
      <c r="G276" s="7">
        <f>MAX((1-Parameters!$B$4)^Parameters!B$65*G275+D275*Parameters!B$65-Parameters!$B$5*D275^2/G275*Parameters!B$65,0.0001)</f>
        <v>4.3878779352284392</v>
      </c>
      <c r="I276" s="7">
        <f>I275*(1+Parameters!$B$51)^Parameters!B$65</f>
        <v>17.937663625313661</v>
      </c>
      <c r="J276" s="7">
        <f>J275*(1+Parameters!$B$53)^Parameters!B$65</f>
        <v>1977.0582602947604</v>
      </c>
      <c r="K276" s="7">
        <f>'6states'!$O$4</f>
        <v>0.98104277196026479</v>
      </c>
      <c r="L276" s="9">
        <f t="shared" si="109"/>
        <v>0.5</v>
      </c>
      <c r="N276" s="7">
        <f>(Parameters!$B$19*(E276+Parameters!$B$20)^L276+Parameters!$B$18*F276^L276)^(1/L276)</f>
        <v>0.53556370546601439</v>
      </c>
      <c r="O276" s="7">
        <f>(Parameters!$B$10*G276^Parameters!$B$9 + Parameters!$B$11*N276^Parameters!$B$9) ^ (Parameters!$B$7/Parameters!$B$9) * K276</f>
        <v>1.5032566485880625</v>
      </c>
      <c r="P276" s="7">
        <f t="shared" si="99"/>
        <v>1.1453616749729392</v>
      </c>
      <c r="Q276" s="7">
        <f>EXP(-Parameters!$B$55*A276)</f>
        <v>1.6453780673515026E-2</v>
      </c>
      <c r="R276" s="7">
        <f>IF(P276&gt;0,P276^(1-Parameters!$B$52)/(1-Parameters!$B$52)*Q276,-10+P276*1000)</f>
        <v>-4.4829896180557043E-2</v>
      </c>
      <c r="S276" s="7"/>
      <c r="T276" s="7"/>
      <c r="U276" s="7"/>
      <c r="V276" s="7"/>
    </row>
    <row r="277" spans="1:22" x14ac:dyDescent="0.3">
      <c r="A277">
        <f>A276+Parameters!$B$65</f>
        <v>273</v>
      </c>
      <c r="B277" s="9">
        <f t="shared" ref="B277:D277" si="117">B276</f>
        <v>5.191758263687303E-2</v>
      </c>
      <c r="C277" s="9">
        <f t="shared" si="117"/>
        <v>1.0017548050425843E-2</v>
      </c>
      <c r="D277" s="7">
        <f t="shared" si="117"/>
        <v>0.2959598429278244</v>
      </c>
      <c r="E277" s="7">
        <f>MAX((1-Parameters!$B$4)^Parameters!B$65*E276+B276*Parameters!B$65-Parameters!$B$5*B276^2/E276*Parameters!B$65,0.0001)</f>
        <v>0.76972610082906767</v>
      </c>
      <c r="F277" s="9">
        <f>MAX((1-Parameters!$B$4)^Parameters!B$65*F276+C276*Parameters!B$65-Parameters!$B$5*C276^2/F276*Parameters!B$65,0.0001)</f>
        <v>0.14851939956845689</v>
      </c>
      <c r="G277" s="7">
        <f>MAX((1-Parameters!$B$4)^Parameters!B$65*G276+D276*Parameters!B$65-Parameters!$B$5*D276^2/G276*Parameters!B$65,0.0001)</f>
        <v>4.3878779348539956</v>
      </c>
      <c r="I277" s="7">
        <f>I276*(1+Parameters!$B$51)^Parameters!B$65</f>
        <v>17.989682849827069</v>
      </c>
      <c r="J277" s="7">
        <f>J276*(1+Parameters!$B$53)^Parameters!B$65</f>
        <v>2016.5994255006556</v>
      </c>
      <c r="K277" s="7">
        <f>'6states'!$O$4</f>
        <v>0.98104277196026479</v>
      </c>
      <c r="L277" s="9">
        <f t="shared" si="109"/>
        <v>0.5</v>
      </c>
      <c r="N277" s="7">
        <f>(Parameters!$B$19*(E277+Parameters!$B$20)^L277+Parameters!$B$18*F277^L277)^(1/L277)</f>
        <v>0.53556370533240938</v>
      </c>
      <c r="O277" s="7">
        <f>(Parameters!$B$10*G277^Parameters!$B$9 + Parameters!$B$11*N277^Parameters!$B$9) ^ (Parameters!$B$7/Parameters!$B$9) * K277</f>
        <v>1.5032566485346566</v>
      </c>
      <c r="P277" s="7">
        <f t="shared" si="99"/>
        <v>1.1453616749195334</v>
      </c>
      <c r="Q277" s="7">
        <f>EXP(-Parameters!$B$55*A277)</f>
        <v>1.6207194992551837E-2</v>
      </c>
      <c r="R277" s="7">
        <f>IF(P277&gt;0,P277^(1-Parameters!$B$52)/(1-Parameters!$B$52)*Q277,-10+P277*1000)</f>
        <v>-4.4158049953560215E-2</v>
      </c>
      <c r="S277" s="7"/>
      <c r="T277" s="7"/>
      <c r="U277" s="7"/>
      <c r="V277" s="7"/>
    </row>
    <row r="278" spans="1:22" x14ac:dyDescent="0.3">
      <c r="A278">
        <f>A277+Parameters!$B$65</f>
        <v>274</v>
      </c>
      <c r="B278" s="9">
        <f t="shared" ref="B278:D278" si="118">B277</f>
        <v>5.191758263687303E-2</v>
      </c>
      <c r="C278" s="9">
        <f t="shared" si="118"/>
        <v>1.0017548050425843E-2</v>
      </c>
      <c r="D278" s="7">
        <f t="shared" si="118"/>
        <v>0.2959598429278244</v>
      </c>
      <c r="E278" s="7">
        <f>MAX((1-Parameters!$B$4)^Parameters!B$65*E277+B277*Parameters!B$65-Parameters!$B$5*B277^2/E277*Parameters!B$65,0.0001)</f>
        <v>0.76972610064586056</v>
      </c>
      <c r="F278" s="9">
        <f>MAX((1-Parameters!$B$4)^Parameters!B$65*F277+C277*Parameters!B$65-Parameters!$B$5*C277^2/F277*Parameters!B$65,0.0001)</f>
        <v>0.14851939953361037</v>
      </c>
      <c r="G278" s="7">
        <f>MAX((1-Parameters!$B$4)^Parameters!B$65*G277+D277*Parameters!B$65-Parameters!$B$5*D277^2/G277*Parameters!B$65,0.0001)</f>
        <v>4.3878779345014012</v>
      </c>
      <c r="I278" s="7">
        <f>I277*(1+Parameters!$B$51)^Parameters!B$65</f>
        <v>18.041852930091565</v>
      </c>
      <c r="J278" s="7">
        <f>J277*(1+Parameters!$B$53)^Parameters!B$65</f>
        <v>2056.9314140106685</v>
      </c>
      <c r="K278" s="7">
        <f>'6states'!$O$4</f>
        <v>0.98104277196026479</v>
      </c>
      <c r="L278" s="9">
        <f t="shared" si="109"/>
        <v>0.5</v>
      </c>
      <c r="N278" s="7">
        <f>(Parameters!$B$19*(E278+Parameters!$B$20)^L278+Parameters!$B$18*F278^L278)^(1/L278)</f>
        <v>0.53556370520660046</v>
      </c>
      <c r="O278" s="7">
        <f>(Parameters!$B$10*G278^Parameters!$B$9 + Parameters!$B$11*N278^Parameters!$B$9) ^ (Parameters!$B$7/Parameters!$B$9) * K278</f>
        <v>1.5032566484843672</v>
      </c>
      <c r="P278" s="7">
        <f t="shared" si="99"/>
        <v>1.1453616748692439</v>
      </c>
      <c r="Q278" s="7">
        <f>EXP(-Parameters!$B$55*A278)</f>
        <v>1.5964304784335175E-2</v>
      </c>
      <c r="R278" s="7">
        <f>IF(P278&gt;0,P278^(1-Parameters!$B$52)/(1-Parameters!$B$52)*Q278,-10+P278*1000)</f>
        <v>-4.3496272394781064E-2</v>
      </c>
      <c r="S278" s="7"/>
      <c r="T278" s="7"/>
      <c r="U278" s="7"/>
      <c r="V278" s="7"/>
    </row>
    <row r="279" spans="1:22" x14ac:dyDescent="0.3">
      <c r="A279">
        <f>A278+Parameters!$B$65</f>
        <v>275</v>
      </c>
      <c r="B279" s="9">
        <f t="shared" ref="B279:D279" si="119">B278</f>
        <v>5.191758263687303E-2</v>
      </c>
      <c r="C279" s="9">
        <f t="shared" si="119"/>
        <v>1.0017548050425843E-2</v>
      </c>
      <c r="D279" s="7">
        <f t="shared" si="119"/>
        <v>0.2959598429278244</v>
      </c>
      <c r="E279" s="7">
        <f>MAX((1-Parameters!$B$4)^Parameters!B$65*E278+B278*Parameters!B$65-Parameters!$B$5*B278^2/E278*Parameters!B$65,0.0001)</f>
        <v>0.76972610047334367</v>
      </c>
      <c r="F279" s="9">
        <f>MAX((1-Parameters!$B$4)^Parameters!B$65*F278+C278*Parameters!B$65-Parameters!$B$5*C278^2/F278*Parameters!B$65,0.0001)</f>
        <v>0.14851939950079721</v>
      </c>
      <c r="G279" s="7">
        <f>MAX((1-Parameters!$B$4)^Parameters!B$65*G278+D278*Parameters!B$65-Parameters!$B$5*D278^2/G278*Parameters!B$65,0.0001)</f>
        <v>4.3878779341693814</v>
      </c>
      <c r="I279" s="7">
        <f>I278*(1+Parameters!$B$51)^Parameters!B$65</f>
        <v>18.094174303588829</v>
      </c>
      <c r="J279" s="7">
        <f>J278*(1+Parameters!$B$53)^Parameters!B$65</f>
        <v>2098.0700422908817</v>
      </c>
      <c r="K279" s="7">
        <f>'6states'!$O$4</f>
        <v>0.98104277196026479</v>
      </c>
      <c r="L279" s="9">
        <f t="shared" si="109"/>
        <v>0.5</v>
      </c>
      <c r="N279" s="7">
        <f>(Parameters!$B$19*(E279+Parameters!$B$20)^L279+Parameters!$B$18*F279^L279)^(1/L279)</f>
        <v>0.53556370508813256</v>
      </c>
      <c r="O279" s="7">
        <f>(Parameters!$B$10*G279^Parameters!$B$9 + Parameters!$B$11*N279^Parameters!$B$9) ^ (Parameters!$B$7/Parameters!$B$9) * K279</f>
        <v>1.503256648437012</v>
      </c>
      <c r="P279" s="7">
        <f t="shared" si="99"/>
        <v>1.1453616748218889</v>
      </c>
      <c r="Q279" s="7">
        <f>EXP(-Parameters!$B$55*A279)</f>
        <v>1.5725054666416334E-2</v>
      </c>
      <c r="R279" s="7">
        <f>IF(P279&gt;0,P279^(1-Parameters!$B$52)/(1-Parameters!$B$52)*Q279,-10+P279*1000)</f>
        <v>-4.2844412609455804E-2</v>
      </c>
      <c r="S279" s="7"/>
      <c r="T279" s="7"/>
      <c r="U279" s="7"/>
      <c r="V279" s="7"/>
    </row>
    <row r="280" spans="1:22" x14ac:dyDescent="0.3">
      <c r="A280">
        <f>A279+Parameters!$B$65</f>
        <v>276</v>
      </c>
      <c r="B280" s="9">
        <f t="shared" ref="B280:D280" si="120">B279</f>
        <v>5.191758263687303E-2</v>
      </c>
      <c r="C280" s="9">
        <f t="shared" si="120"/>
        <v>1.0017548050425843E-2</v>
      </c>
      <c r="D280" s="7">
        <f t="shared" si="120"/>
        <v>0.2959598429278244</v>
      </c>
      <c r="E280" s="7">
        <f>MAX((1-Parameters!$B$4)^Parameters!B$65*E279+B279*Parameters!B$65-Parameters!$B$5*B279^2/E279*Parameters!B$65,0.0001)</f>
        <v>0.76972610031089328</v>
      </c>
      <c r="F280" s="9">
        <f>MAX((1-Parameters!$B$4)^Parameters!B$65*F279+C279*Parameters!B$65-Parameters!$B$5*C279^2/F279*Parameters!B$65,0.0001)</f>
        <v>0.14851939946989867</v>
      </c>
      <c r="G280" s="7">
        <f>MAX((1-Parameters!$B$4)^Parameters!B$65*G279+D279*Parameters!B$65-Parameters!$B$5*D279^2/G279*Parameters!B$65,0.0001)</f>
        <v>4.3878779338567355</v>
      </c>
      <c r="I280" s="7">
        <f>I279*(1+Parameters!$B$51)^Parameters!B$65</f>
        <v>18.146647409069235</v>
      </c>
      <c r="J280" s="7">
        <f>J279*(1+Parameters!$B$53)^Parameters!B$65</f>
        <v>2140.0314431366992</v>
      </c>
      <c r="K280" s="7">
        <f>'6states'!$O$4</f>
        <v>0.98104277196026479</v>
      </c>
      <c r="L280" s="9">
        <f t="shared" si="109"/>
        <v>0.5</v>
      </c>
      <c r="N280" s="7">
        <f>(Parameters!$B$19*(E280+Parameters!$B$20)^L280+Parameters!$B$18*F280^L280)^(1/L280)</f>
        <v>0.53556370497657724</v>
      </c>
      <c r="O280" s="7">
        <f>(Parameters!$B$10*G280^Parameters!$B$9 + Parameters!$B$11*N280^Parameters!$B$9) ^ (Parameters!$B$7/Parameters!$B$9) * K280</f>
        <v>1.5032566483924199</v>
      </c>
      <c r="P280" s="7">
        <f t="shared" si="99"/>
        <v>1.1453616747772966</v>
      </c>
      <c r="Q280" s="7">
        <f>EXP(-Parameters!$B$55*A280)</f>
        <v>1.5489390086339431E-2</v>
      </c>
      <c r="R280" s="7">
        <f>IF(P280&gt;0,P280^(1-Parameters!$B$52)/(1-Parameters!$B$52)*Q280,-10+P280*1000)</f>
        <v>-4.2202321964215021E-2</v>
      </c>
      <c r="S280" s="7"/>
      <c r="T280" s="7"/>
      <c r="U280" s="7"/>
      <c r="V280" s="7"/>
    </row>
    <row r="281" spans="1:22" x14ac:dyDescent="0.3">
      <c r="A281">
        <f>A280+Parameters!$B$65</f>
        <v>277</v>
      </c>
      <c r="B281" s="9">
        <f t="shared" ref="B281:D281" si="121">B280</f>
        <v>5.191758263687303E-2</v>
      </c>
      <c r="C281" s="9">
        <f t="shared" si="121"/>
        <v>1.0017548050425843E-2</v>
      </c>
      <c r="D281" s="7">
        <f t="shared" si="121"/>
        <v>0.2959598429278244</v>
      </c>
      <c r="E281" s="7">
        <f>MAX((1-Parameters!$B$4)^Parameters!B$65*E280+B280*Parameters!B$65-Parameters!$B$5*B280^2/E280*Parameters!B$65,0.0001)</f>
        <v>0.76972610015792198</v>
      </c>
      <c r="F281" s="9">
        <f>MAX((1-Parameters!$B$4)^Parameters!B$65*F280+C280*Parameters!B$65-Parameters!$B$5*C280^2/F280*Parameters!B$65,0.0001)</f>
        <v>0.14851939944080311</v>
      </c>
      <c r="G281" s="7">
        <f>MAX((1-Parameters!$B$4)^Parameters!B$65*G280+D280*Parameters!B$65-Parameters!$B$5*D280^2/G280*Parameters!B$65,0.0001)</f>
        <v>4.3878779335623319</v>
      </c>
      <c r="I281" s="7">
        <f>I280*(1+Parameters!$B$51)^Parameters!B$65</f>
        <v>18.199272686555535</v>
      </c>
      <c r="J281" s="7">
        <f>J280*(1+Parameters!$B$53)^Parameters!B$65</f>
        <v>2182.8320719994331</v>
      </c>
      <c r="K281" s="7">
        <f>'6states'!$O$4</f>
        <v>0.98104277196026479</v>
      </c>
      <c r="L281" s="9">
        <f t="shared" si="109"/>
        <v>0.5</v>
      </c>
      <c r="N281" s="7">
        <f>(Parameters!$B$19*(E281+Parameters!$B$20)^L281+Parameters!$B$18*F281^L281)^(1/L281)</f>
        <v>0.53556370487153127</v>
      </c>
      <c r="O281" s="7">
        <f>(Parameters!$B$10*G281^Parameters!$B$9 + Parameters!$B$11*N281^Parameters!$B$9) ^ (Parameters!$B$7/Parameters!$B$9) * K281</f>
        <v>1.5032566483504304</v>
      </c>
      <c r="P281" s="7">
        <f t="shared" si="99"/>
        <v>1.145361674735307</v>
      </c>
      <c r="Q281" s="7">
        <f>EXP(-Parameters!$B$55*A281)</f>
        <v>1.5257257309202531E-2</v>
      </c>
      <c r="R281" s="7">
        <f>IF(P281&gt;0,P281^(1-Parameters!$B$52)/(1-Parameters!$B$52)*Q281,-10+P281*1000)</f>
        <v>-4.1569854053192697E-2</v>
      </c>
      <c r="S281" s="7"/>
      <c r="T281" s="7"/>
      <c r="U281" s="7"/>
      <c r="V281" s="7"/>
    </row>
    <row r="282" spans="1:22" x14ac:dyDescent="0.3">
      <c r="A282">
        <f>A281+Parameters!$B$65</f>
        <v>278</v>
      </c>
      <c r="B282" s="9">
        <f t="shared" ref="B282:D282" si="122">B281</f>
        <v>5.191758263687303E-2</v>
      </c>
      <c r="C282" s="9">
        <f t="shared" si="122"/>
        <v>1.0017548050425843E-2</v>
      </c>
      <c r="D282" s="7">
        <f t="shared" si="122"/>
        <v>0.2959598429278244</v>
      </c>
      <c r="E282" s="7">
        <f>MAX((1-Parameters!$B$4)^Parameters!B$65*E281+B281*Parameters!B$65-Parameters!$B$5*B281^2/E281*Parameters!B$65,0.0001)</f>
        <v>0.76972610001387654</v>
      </c>
      <c r="F282" s="9">
        <f>MAX((1-Parameters!$B$4)^Parameters!B$65*F281+C281*Parameters!B$65-Parameters!$B$5*C281^2/F281*Parameters!B$65,0.0001)</f>
        <v>0.14851939941340528</v>
      </c>
      <c r="G282" s="7">
        <f>MAX((1-Parameters!$B$4)^Parameters!B$65*G281+D281*Parameters!B$65-Parameters!$B$5*D281^2/G281*Parameters!B$65,0.0001)</f>
        <v>4.3878779332851074</v>
      </c>
      <c r="I282" s="7">
        <f>I281*(1+Parameters!$B$51)^Parameters!B$65</f>
        <v>18.252050577346544</v>
      </c>
      <c r="J282" s="7">
        <f>J281*(1+Parameters!$B$53)^Parameters!B$65</f>
        <v>2226.4887134394216</v>
      </c>
      <c r="K282" s="7">
        <f>'6states'!$O$4</f>
        <v>0.98104277196026479</v>
      </c>
      <c r="L282" s="9">
        <f t="shared" si="109"/>
        <v>0.5</v>
      </c>
      <c r="N282" s="7">
        <f>(Parameters!$B$19*(E282+Parameters!$B$20)^L282+Parameters!$B$18*F282^L282)^(1/L282)</f>
        <v>0.53556370477261506</v>
      </c>
      <c r="O282" s="7">
        <f>(Parameters!$B$10*G282^Parameters!$B$9 + Parameters!$B$11*N282^Parameters!$B$9) ^ (Parameters!$B$7/Parameters!$B$9) * K282</f>
        <v>1.5032566483108905</v>
      </c>
      <c r="P282" s="7">
        <f t="shared" si="99"/>
        <v>1.1453616746957671</v>
      </c>
      <c r="Q282" s="7">
        <f>EXP(-Parameters!$B$55*A282)</f>
        <v>1.5028603405405443E-2</v>
      </c>
      <c r="R282" s="7">
        <f>IF(P282&gt;0,P282^(1-Parameters!$B$52)/(1-Parameters!$B$52)*Q282,-10+P282*1000)</f>
        <v>-4.0946864664644068E-2</v>
      </c>
      <c r="S282" s="7"/>
      <c r="T282" s="7"/>
      <c r="U282" s="7"/>
      <c r="V282" s="7"/>
    </row>
    <row r="283" spans="1:22" x14ac:dyDescent="0.3">
      <c r="A283">
        <f>A282+Parameters!$B$65</f>
        <v>279</v>
      </c>
      <c r="B283" s="9">
        <f t="shared" ref="B283:D283" si="123">B282</f>
        <v>5.191758263687303E-2</v>
      </c>
      <c r="C283" s="9">
        <f t="shared" si="123"/>
        <v>1.0017548050425843E-2</v>
      </c>
      <c r="D283" s="7">
        <f t="shared" si="123"/>
        <v>0.2959598429278244</v>
      </c>
      <c r="E283" s="7">
        <f>MAX((1-Parameters!$B$4)^Parameters!B$65*E282+B282*Parameters!B$65-Parameters!$B$5*B282^2/E282*Parameters!B$65,0.0001)</f>
        <v>0.76972609987823626</v>
      </c>
      <c r="F283" s="9">
        <f>MAX((1-Parameters!$B$4)^Parameters!B$65*F282+C282*Parameters!B$65-Parameters!$B$5*C282^2/F282*Parameters!B$65,0.0001)</f>
        <v>0.14851939938760614</v>
      </c>
      <c r="G283" s="7">
        <f>MAX((1-Parameters!$B$4)^Parameters!B$65*G282+D282*Parameters!B$65-Parameters!$B$5*D282^2/G282*Parameters!B$65,0.0001)</f>
        <v>4.3878779330240585</v>
      </c>
      <c r="I283" s="7">
        <f>I282*(1+Parameters!$B$51)^Parameters!B$65</f>
        <v>18.304981524020846</v>
      </c>
      <c r="J283" s="7">
        <f>J282*(1+Parameters!$B$53)^Parameters!B$65</f>
        <v>2271.0184877082102</v>
      </c>
      <c r="K283" s="7">
        <f>'6states'!$O$4</f>
        <v>0.98104277196026479</v>
      </c>
      <c r="L283" s="9">
        <f t="shared" si="109"/>
        <v>0.5</v>
      </c>
      <c r="N283" s="7">
        <f>(Parameters!$B$19*(E283+Parameters!$B$20)^L283+Parameters!$B$18*F283^L283)^(1/L283)</f>
        <v>0.53556370467947023</v>
      </c>
      <c r="O283" s="7">
        <f>(Parameters!$B$10*G283^Parameters!$B$9 + Parameters!$B$11*N283^Parameters!$B$9) ^ (Parameters!$B$7/Parameters!$B$9) * K283</f>
        <v>1.5032566482736576</v>
      </c>
      <c r="P283" s="7">
        <f t="shared" si="99"/>
        <v>1.1453616746585342</v>
      </c>
      <c r="Q283" s="7">
        <f>EXP(-Parameters!$B$55*A283)</f>
        <v>1.480337623858095E-2</v>
      </c>
      <c r="R283" s="7">
        <f>IF(P283&gt;0,P283^(1-Parameters!$B$52)/(1-Parameters!$B$52)*Q283,-10+P283*1000)</f>
        <v>-4.0333211748063001E-2</v>
      </c>
      <c r="S283" s="7"/>
      <c r="T283" s="7"/>
      <c r="U283" s="7"/>
      <c r="V283" s="7"/>
    </row>
    <row r="284" spans="1:22" x14ac:dyDescent="0.3">
      <c r="A284">
        <f>A283+Parameters!$B$65</f>
        <v>280</v>
      </c>
      <c r="B284" s="9">
        <f t="shared" ref="B284:D284" si="124">B283</f>
        <v>5.191758263687303E-2</v>
      </c>
      <c r="C284" s="9">
        <f t="shared" si="124"/>
        <v>1.0017548050425843E-2</v>
      </c>
      <c r="D284" s="7">
        <f t="shared" si="124"/>
        <v>0.2959598429278244</v>
      </c>
      <c r="E284" s="7">
        <f>MAX((1-Parameters!$B$4)^Parameters!B$65*E283+B283*Parameters!B$65-Parameters!$B$5*B283^2/E283*Parameters!B$65,0.0001)</f>
        <v>0.76972609975051065</v>
      </c>
      <c r="F284" s="9">
        <f>MAX((1-Parameters!$B$4)^Parameters!B$65*F283+C283*Parameters!B$65-Parameters!$B$5*C283^2/F283*Parameters!B$65,0.0001)</f>
        <v>0.14851939936331238</v>
      </c>
      <c r="G284" s="7">
        <f>MAX((1-Parameters!$B$4)^Parameters!B$65*G283+D283*Parameters!B$65-Parameters!$B$5*D283^2/G283*Parameters!B$65,0.0001)</f>
        <v>4.3878779327782427</v>
      </c>
      <c r="I284" s="7">
        <f>I283*(1+Parameters!$B$51)^Parameters!B$65</f>
        <v>18.358065970440503</v>
      </c>
      <c r="J284" s="7">
        <f>J283*(1+Parameters!$B$53)^Parameters!B$65</f>
        <v>2316.4388574623745</v>
      </c>
      <c r="K284" s="7">
        <f>'6states'!$O$4</f>
        <v>0.98104277196026479</v>
      </c>
      <c r="L284" s="9">
        <f t="shared" si="109"/>
        <v>0.5</v>
      </c>
      <c r="N284" s="7">
        <f>(Parameters!$B$19*(E284+Parameters!$B$20)^L284+Parameters!$B$18*F284^L284)^(1/L284)</f>
        <v>0.53556370459176061</v>
      </c>
      <c r="O284" s="7">
        <f>(Parameters!$B$10*G284^Parameters!$B$9 + Parameters!$B$11*N284^Parameters!$B$9) ^ (Parameters!$B$7/Parameters!$B$9) * K284</f>
        <v>1.5032566482385974</v>
      </c>
      <c r="P284" s="7">
        <f t="shared" si="99"/>
        <v>1.1453616746234743</v>
      </c>
      <c r="Q284" s="7">
        <f>EXP(-Parameters!$B$55*A284)</f>
        <v>1.4581524453706942E-2</v>
      </c>
      <c r="R284" s="7">
        <f>IF(P284&gt;0,P284^(1-Parameters!$B$52)/(1-Parameters!$B$52)*Q284,-10+P284*1000)</f>
        <v>-3.972875538179247E-2</v>
      </c>
      <c r="S284" s="7"/>
      <c r="T284" s="7"/>
      <c r="U284" s="7"/>
      <c r="V284" s="7"/>
    </row>
    <row r="285" spans="1:22" x14ac:dyDescent="0.3">
      <c r="A285">
        <f>A284+Parameters!$B$65</f>
        <v>281</v>
      </c>
      <c r="B285" s="9">
        <f t="shared" ref="B285:D285" si="125">B284</f>
        <v>5.191758263687303E-2</v>
      </c>
      <c r="C285" s="9">
        <f t="shared" si="125"/>
        <v>1.0017548050425843E-2</v>
      </c>
      <c r="D285" s="7">
        <f t="shared" si="125"/>
        <v>0.2959598429278244</v>
      </c>
      <c r="E285" s="7">
        <f>MAX((1-Parameters!$B$4)^Parameters!B$65*E284+B284*Parameters!B$65-Parameters!$B$5*B284^2/E284*Parameters!B$65,0.0001)</f>
        <v>0.76972609963023797</v>
      </c>
      <c r="F285" s="9">
        <f>MAX((1-Parameters!$B$4)^Parameters!B$65*F284+C284*Parameters!B$65-Parameters!$B$5*C284^2/F284*Parameters!B$65,0.0001)</f>
        <v>0.14851939934043618</v>
      </c>
      <c r="G285" s="7">
        <f>MAX((1-Parameters!$B$4)^Parameters!B$65*G284+D284*Parameters!B$65-Parameters!$B$5*D284^2/G284*Parameters!B$65,0.0001)</f>
        <v>4.3878779325467701</v>
      </c>
      <c r="I285" s="7">
        <f>I284*(1+Parameters!$B$51)^Parameters!B$65</f>
        <v>18.41130436175478</v>
      </c>
      <c r="J285" s="7">
        <f>J284*(1+Parameters!$B$53)^Parameters!B$65</f>
        <v>2362.7676346116218</v>
      </c>
      <c r="K285" s="7">
        <f>'6states'!$O$4</f>
        <v>0.98104277196026479</v>
      </c>
      <c r="L285" s="9">
        <f t="shared" si="109"/>
        <v>0.5</v>
      </c>
      <c r="N285" s="7">
        <f>(Parameters!$B$19*(E285+Parameters!$B$20)^L285+Parameters!$B$18*F285^L285)^(1/L285)</f>
        <v>0.5355637045091689</v>
      </c>
      <c r="O285" s="7">
        <f>(Parameters!$B$10*G285^Parameters!$B$9 + Parameters!$B$11*N285^Parameters!$B$9) ^ (Parameters!$B$7/Parameters!$B$9) * K285</f>
        <v>1.5032566482055829</v>
      </c>
      <c r="P285" s="7">
        <f t="shared" si="99"/>
        <v>1.1453616745904598</v>
      </c>
      <c r="Q285" s="7">
        <f>EXP(-Parameters!$B$55*A285)</f>
        <v>1.4362997465396809E-2</v>
      </c>
      <c r="R285" s="7">
        <f>IF(P285&gt;0,P285^(1-Parameters!$B$52)/(1-Parameters!$B$52)*Q285,-10+P285*1000)</f>
        <v>-3.9133357741120589E-2</v>
      </c>
      <c r="S285" s="7"/>
      <c r="T285" s="7"/>
      <c r="U285" s="7"/>
      <c r="V285" s="7"/>
    </row>
    <row r="286" spans="1:22" x14ac:dyDescent="0.3">
      <c r="A286">
        <f>A285+Parameters!$B$65</f>
        <v>282</v>
      </c>
      <c r="B286" s="9">
        <f t="shared" ref="B286:D286" si="126">B285</f>
        <v>5.191758263687303E-2</v>
      </c>
      <c r="C286" s="9">
        <f t="shared" si="126"/>
        <v>1.0017548050425843E-2</v>
      </c>
      <c r="D286" s="7">
        <f t="shared" si="126"/>
        <v>0.2959598429278244</v>
      </c>
      <c r="E286" s="7">
        <f>MAX((1-Parameters!$B$4)^Parameters!B$65*E285+B285*Parameters!B$65-Parameters!$B$5*B285^2/E285*Parameters!B$65,0.0001)</f>
        <v>0.76972609951698323</v>
      </c>
      <c r="F286" s="9">
        <f>MAX((1-Parameters!$B$4)^Parameters!B$65*F285+C285*Parameters!B$65-Parameters!$B$5*C285^2/F285*Parameters!B$65,0.0001)</f>
        <v>0.1485193993188948</v>
      </c>
      <c r="G286" s="7">
        <f>MAX((1-Parameters!$B$4)^Parameters!B$65*G285+D285*Parameters!B$65-Parameters!$B$5*D285^2/G285*Parameters!B$65,0.0001)</f>
        <v>4.387877932328804</v>
      </c>
      <c r="I286" s="7">
        <f>I285*(1+Parameters!$B$51)^Parameters!B$65</f>
        <v>18.464697144403868</v>
      </c>
      <c r="J286" s="7">
        <f>J285*(1+Parameters!$B$53)^Parameters!B$65</f>
        <v>2410.0229873038543</v>
      </c>
      <c r="K286" s="7">
        <f>'6states'!$O$4</f>
        <v>0.98104277196026479</v>
      </c>
      <c r="L286" s="9">
        <f t="shared" si="109"/>
        <v>0.5</v>
      </c>
      <c r="N286" s="7">
        <f>(Parameters!$B$19*(E286+Parameters!$B$20)^L286+Parameters!$B$18*F286^L286)^(1/L286)</f>
        <v>0.53556370443139656</v>
      </c>
      <c r="O286" s="7">
        <f>(Parameters!$B$10*G286^Parameters!$B$9 + Parameters!$B$11*N286^Parameters!$B$9) ^ (Parameters!$B$7/Parameters!$B$9) * K286</f>
        <v>1.5032566481744951</v>
      </c>
      <c r="P286" s="7">
        <f t="shared" si="99"/>
        <v>1.1453616745593718</v>
      </c>
      <c r="Q286" s="7">
        <f>EXP(-Parameters!$B$55*A286)</f>
        <v>1.4147745446365208E-2</v>
      </c>
      <c r="R286" s="7">
        <f>IF(P286&gt;0,P286^(1-Parameters!$B$52)/(1-Parameters!$B$52)*Q286,-10+P286*1000)</f>
        <v>-3.8546883066854554E-2</v>
      </c>
      <c r="S286" s="7"/>
      <c r="T286" s="7"/>
      <c r="U286" s="7"/>
      <c r="V286" s="7"/>
    </row>
    <row r="287" spans="1:22" x14ac:dyDescent="0.3">
      <c r="A287">
        <f>A286+Parameters!$B$65</f>
        <v>283</v>
      </c>
      <c r="B287" s="9">
        <f t="shared" ref="B287:D287" si="127">B286</f>
        <v>5.191758263687303E-2</v>
      </c>
      <c r="C287" s="9">
        <f t="shared" si="127"/>
        <v>1.0017548050425843E-2</v>
      </c>
      <c r="D287" s="7">
        <f t="shared" si="127"/>
        <v>0.2959598429278244</v>
      </c>
      <c r="E287" s="7">
        <f>MAX((1-Parameters!$B$4)^Parameters!B$65*E286+B286*Parameters!B$65-Parameters!$B$5*B286^2/E286*Parameters!B$65,0.0001)</f>
        <v>0.76972609941033698</v>
      </c>
      <c r="F287" s="9">
        <f>MAX((1-Parameters!$B$4)^Parameters!B$65*F286+C286*Parameters!B$65-Parameters!$B$5*C286^2/F286*Parameters!B$65,0.0001)</f>
        <v>0.14851939929861038</v>
      </c>
      <c r="G287" s="7">
        <f>MAX((1-Parameters!$B$4)^Parameters!B$65*G286+D286*Parameters!B$65-Parameters!$B$5*D286^2/G286*Parameters!B$65,0.0001)</f>
        <v>4.3878779321235566</v>
      </c>
      <c r="I287" s="7">
        <f>I286*(1+Parameters!$B$51)^Parameters!B$65</f>
        <v>18.518244766122638</v>
      </c>
      <c r="J287" s="7">
        <f>J286*(1+Parameters!$B$53)^Parameters!B$65</f>
        <v>2458.2234470499316</v>
      </c>
      <c r="K287" s="7">
        <f>'6states'!$O$4</f>
        <v>0.98104277196026479</v>
      </c>
      <c r="L287" s="9">
        <f t="shared" si="109"/>
        <v>0.5</v>
      </c>
      <c r="N287" s="7">
        <f>(Parameters!$B$19*(E287+Parameters!$B$20)^L287+Parameters!$B$18*F287^L287)^(1/L287)</f>
        <v>0.53556370435816214</v>
      </c>
      <c r="O287" s="7">
        <f>(Parameters!$B$10*G287^Parameters!$B$9 + Parameters!$B$11*N287^Parameters!$B$9) ^ (Parameters!$B$7/Parameters!$B$9) * K287</f>
        <v>1.5032566481452212</v>
      </c>
      <c r="P287" s="7">
        <f t="shared" si="99"/>
        <v>1.1453616745300979</v>
      </c>
      <c r="Q287" s="7">
        <f>EXP(-Parameters!$B$55*A287)</f>
        <v>1.3935719316066698E-2</v>
      </c>
      <c r="R287" s="7">
        <f>IF(P287&gt;0,P287^(1-Parameters!$B$52)/(1-Parameters!$B$52)*Q287,-10+P287*1000)</f>
        <v>-3.7969197634365473E-2</v>
      </c>
      <c r="S287" s="7"/>
      <c r="T287" s="7"/>
      <c r="U287" s="7"/>
      <c r="V287" s="7"/>
    </row>
    <row r="288" spans="1:22" x14ac:dyDescent="0.3">
      <c r="A288">
        <f>A287+Parameters!$B$65</f>
        <v>284</v>
      </c>
      <c r="B288" s="9">
        <f t="shared" ref="B288:D288" si="128">B287</f>
        <v>5.191758263687303E-2</v>
      </c>
      <c r="C288" s="9">
        <f t="shared" si="128"/>
        <v>1.0017548050425843E-2</v>
      </c>
      <c r="D288" s="7">
        <f t="shared" si="128"/>
        <v>0.2959598429278244</v>
      </c>
      <c r="E288" s="7">
        <f>MAX((1-Parameters!$B$4)^Parameters!B$65*E287+B287*Parameters!B$65-Parameters!$B$5*B287^2/E287*Parameters!B$65,0.0001)</f>
        <v>0.76972609930991365</v>
      </c>
      <c r="F288" s="9">
        <f>MAX((1-Parameters!$B$4)^Parameters!B$65*F287+C287*Parameters!B$65-Parameters!$B$5*C287^2/F287*Parameters!B$65,0.0001)</f>
        <v>0.14851939927950958</v>
      </c>
      <c r="G288" s="7">
        <f>MAX((1-Parameters!$B$4)^Parameters!B$65*G287+D287*Parameters!B$65-Parameters!$B$5*D287^2/G287*Parameters!B$65,0.0001)</f>
        <v>4.3878779319302854</v>
      </c>
      <c r="I288" s="7">
        <f>I287*(1+Parameters!$B$51)^Parameters!B$65</f>
        <v>18.571947675944394</v>
      </c>
      <c r="J288" s="7">
        <f>J287*(1+Parameters!$B$53)^Parameters!B$65</f>
        <v>2507.3879159909302</v>
      </c>
      <c r="K288" s="7">
        <f>'6states'!$O$4</f>
        <v>0.98104277196026479</v>
      </c>
      <c r="L288" s="9">
        <f t="shared" si="109"/>
        <v>0.5</v>
      </c>
      <c r="N288" s="7">
        <f>(Parameters!$B$19*(E288+Parameters!$B$20)^L288+Parameters!$B$18*F288^L288)^(1/L288)</f>
        <v>0.53556370428920119</v>
      </c>
      <c r="O288" s="7">
        <f>(Parameters!$B$10*G288^Parameters!$B$9 + Parameters!$B$11*N288^Parameters!$B$9) ^ (Parameters!$B$7/Parameters!$B$9) * K288</f>
        <v>1.5032566481176555</v>
      </c>
      <c r="P288" s="7">
        <f t="shared" si="99"/>
        <v>1.1453616745025323</v>
      </c>
      <c r="Q288" s="7">
        <f>EXP(-Parameters!$B$55*A288)</f>
        <v>1.3726870729504735E-2</v>
      </c>
      <c r="R288" s="7">
        <f>IF(P288&gt;0,P288^(1-Parameters!$B$52)/(1-Parameters!$B$52)*Q288,-10+P288*1000)</f>
        <v>-3.7400169723097461E-2</v>
      </c>
      <c r="S288" s="7"/>
      <c r="T288" s="7"/>
      <c r="U288" s="7"/>
      <c r="V288" s="7"/>
    </row>
    <row r="289" spans="1:22" x14ac:dyDescent="0.3">
      <c r="A289">
        <f>A288+Parameters!$B$65</f>
        <v>285</v>
      </c>
      <c r="B289" s="9">
        <f t="shared" ref="B289:D289" si="129">B288</f>
        <v>5.191758263687303E-2</v>
      </c>
      <c r="C289" s="9">
        <f t="shared" si="129"/>
        <v>1.0017548050425843E-2</v>
      </c>
      <c r="D289" s="7">
        <f t="shared" si="129"/>
        <v>0.2959598429278244</v>
      </c>
      <c r="E289" s="7">
        <f>MAX((1-Parameters!$B$4)^Parameters!B$65*E288+B288*Parameters!B$65-Parameters!$B$5*B288^2/E288*Parameters!B$65,0.0001)</f>
        <v>0.76972609921535007</v>
      </c>
      <c r="F289" s="9">
        <f>MAX((1-Parameters!$B$4)^Parameters!B$65*F288+C288*Parameters!B$65-Parameters!$B$5*C288^2/F288*Parameters!B$65,0.0001)</f>
        <v>0.14851939926152333</v>
      </c>
      <c r="G289" s="7">
        <f>MAX((1-Parameters!$B$4)^Parameters!B$65*G288+D288*Parameters!B$65-Parameters!$B$5*D288^2/G288*Parameters!B$65,0.0001)</f>
        <v>4.3878779317482923</v>
      </c>
      <c r="I289" s="7">
        <f>I288*(1+Parameters!$B$51)^Parameters!B$65</f>
        <v>18.625806324204632</v>
      </c>
      <c r="J289" s="7">
        <f>J288*(1+Parameters!$B$53)^Parameters!B$65</f>
        <v>2557.5356743107486</v>
      </c>
      <c r="K289" s="7">
        <f>'6states'!$O$4</f>
        <v>0.98104277196026479</v>
      </c>
      <c r="L289" s="9">
        <f t="shared" si="109"/>
        <v>0.5</v>
      </c>
      <c r="N289" s="7">
        <f>(Parameters!$B$19*(E289+Parameters!$B$20)^L289+Parameters!$B$18*F289^L289)^(1/L289)</f>
        <v>0.53556370422426414</v>
      </c>
      <c r="O289" s="7">
        <f>(Parameters!$B$10*G289^Parameters!$B$9 + Parameters!$B$11*N289^Parameters!$B$9) ^ (Parameters!$B$7/Parameters!$B$9) * K289</f>
        <v>1.5032566480916982</v>
      </c>
      <c r="P289" s="7">
        <f t="shared" si="99"/>
        <v>1.1453616744765749</v>
      </c>
      <c r="Q289" s="7">
        <f>EXP(-Parameters!$B$55*A289)</f>
        <v>1.3521152066208289E-2</v>
      </c>
      <c r="R289" s="7">
        <f>IF(P289&gt;0,P289^(1-Parameters!$B$52)/(1-Parameters!$B$52)*Q289,-10+P289*1000)</f>
        <v>-3.6839669586533397E-2</v>
      </c>
      <c r="S289" s="7"/>
      <c r="T289" s="7"/>
      <c r="U289" s="7"/>
      <c r="V289" s="7"/>
    </row>
    <row r="290" spans="1:22" x14ac:dyDescent="0.3">
      <c r="A290">
        <f>A289+Parameters!$B$65</f>
        <v>286</v>
      </c>
      <c r="B290" s="9">
        <f t="shared" ref="B290:D290" si="130">B289</f>
        <v>5.191758263687303E-2</v>
      </c>
      <c r="C290" s="9">
        <f t="shared" si="130"/>
        <v>1.0017548050425843E-2</v>
      </c>
      <c r="D290" s="7">
        <f t="shared" si="130"/>
        <v>0.2959598429278244</v>
      </c>
      <c r="E290" s="7">
        <f>MAX((1-Parameters!$B$4)^Parameters!B$65*E289+B289*Parameters!B$65-Parameters!$B$5*B289^2/E289*Parameters!B$65,0.0001)</f>
        <v>0.7697260991263043</v>
      </c>
      <c r="F290" s="9">
        <f>MAX((1-Parameters!$B$4)^Parameters!B$65*F289+C289*Parameters!B$65-Parameters!$B$5*C289^2/F289*Parameters!B$65,0.0001)</f>
        <v>0.14851939924458657</v>
      </c>
      <c r="G290" s="7">
        <f>MAX((1-Parameters!$B$4)^Parameters!B$65*G289+D289*Parameters!B$65-Parameters!$B$5*D289^2/G289*Parameters!B$65,0.0001)</f>
        <v>4.3878779315769174</v>
      </c>
      <c r="I290" s="7">
        <f>I289*(1+Parameters!$B$51)^Parameters!B$65</f>
        <v>18.679821162544822</v>
      </c>
      <c r="J290" s="7">
        <f>J289*(1+Parameters!$B$53)^Parameters!B$65</f>
        <v>2608.6863877969636</v>
      </c>
      <c r="K290" s="7">
        <f>'6states'!$O$4</f>
        <v>0.98104277196026479</v>
      </c>
      <c r="L290" s="9">
        <f t="shared" si="109"/>
        <v>0.5</v>
      </c>
      <c r="N290" s="7">
        <f>(Parameters!$B$19*(E290+Parameters!$B$20)^L290+Parameters!$B$18*F290^L290)^(1/L290)</f>
        <v>0.53556370416311594</v>
      </c>
      <c r="O290" s="7">
        <f>(Parameters!$B$10*G290^Parameters!$B$9 + Parameters!$B$11*N290^Parameters!$B$9) ^ (Parameters!$B$7/Parameters!$B$9) * K290</f>
        <v>1.5032566480672553</v>
      </c>
      <c r="P290" s="7">
        <f t="shared" si="99"/>
        <v>1.1453616744521322</v>
      </c>
      <c r="Q290" s="7">
        <f>EXP(-Parameters!$B$55*A290)</f>
        <v>1.3318516419373662E-2</v>
      </c>
      <c r="R290" s="7">
        <f>IF(P290&gt;0,P290^(1-Parameters!$B$52)/(1-Parameters!$B$52)*Q290,-10+P290*1000)</f>
        <v>-3.6287569422610765E-2</v>
      </c>
      <c r="S290" s="7"/>
      <c r="T290" s="7"/>
      <c r="U290" s="7"/>
      <c r="V290" s="7"/>
    </row>
    <row r="291" spans="1:22" x14ac:dyDescent="0.3">
      <c r="A291">
        <f>A290+Parameters!$B$65</f>
        <v>287</v>
      </c>
      <c r="B291" s="9">
        <f t="shared" ref="B291:D291" si="131">B290</f>
        <v>5.191758263687303E-2</v>
      </c>
      <c r="C291" s="9">
        <f t="shared" si="131"/>
        <v>1.0017548050425843E-2</v>
      </c>
      <c r="D291" s="7">
        <f t="shared" si="131"/>
        <v>0.2959598429278244</v>
      </c>
      <c r="E291" s="7">
        <f>MAX((1-Parameters!$B$4)^Parameters!B$65*E290+B290*Parameters!B$65-Parameters!$B$5*B290^2/E290*Parameters!B$65,0.0001)</f>
        <v>0.76972609904245437</v>
      </c>
      <c r="F291" s="9">
        <f>MAX((1-Parameters!$B$4)^Parameters!B$65*F290+C290*Parameters!B$65-Parameters!$B$5*C290^2/F290*Parameters!B$65,0.0001)</f>
        <v>0.1485193992286381</v>
      </c>
      <c r="G291" s="7">
        <f>MAX((1-Parameters!$B$4)^Parameters!B$65*G290+D290*Parameters!B$65-Parameters!$B$5*D290^2/G290*Parameters!B$65,0.0001)</f>
        <v>4.3878779314155434</v>
      </c>
      <c r="I291" s="7">
        <f>I290*(1+Parameters!$B$51)^Parameters!B$65</f>
        <v>18.733992643916199</v>
      </c>
      <c r="J291" s="7">
        <f>J290*(1+Parameters!$B$53)^Parameters!B$65</f>
        <v>2660.8601155529027</v>
      </c>
      <c r="K291" s="7">
        <f>'6states'!$O$4</f>
        <v>0.98104277196026479</v>
      </c>
      <c r="L291" s="9">
        <f t="shared" si="109"/>
        <v>0.5</v>
      </c>
      <c r="N291" s="7">
        <f>(Parameters!$B$19*(E291+Parameters!$B$20)^L291+Parameters!$B$18*F291^L291)^(1/L291)</f>
        <v>0.53556370410553589</v>
      </c>
      <c r="O291" s="7">
        <f>(Parameters!$B$10*G291^Parameters!$B$9 + Parameters!$B$11*N291^Parameters!$B$9) ^ (Parameters!$B$7/Parameters!$B$9) * K291</f>
        <v>1.5032566480442391</v>
      </c>
      <c r="P291" s="7">
        <f t="shared" si="99"/>
        <v>1.145361674429116</v>
      </c>
      <c r="Q291" s="7">
        <f>EXP(-Parameters!$B$55*A291)</f>
        <v>1.3118917585169141E-2</v>
      </c>
      <c r="R291" s="7">
        <f>IF(P291&gt;0,P291^(1-Parameters!$B$52)/(1-Parameters!$B$52)*Q291,-10+P291*1000)</f>
        <v>-3.5743743344581198E-2</v>
      </c>
      <c r="S291" s="7"/>
      <c r="T291" s="7"/>
      <c r="U291" s="7"/>
      <c r="V291" s="7"/>
    </row>
    <row r="292" spans="1:22" x14ac:dyDescent="0.3">
      <c r="A292">
        <f>A291+Parameters!$B$65</f>
        <v>288</v>
      </c>
      <c r="B292" s="9">
        <f t="shared" ref="B292:D292" si="132">B291</f>
        <v>5.191758263687303E-2</v>
      </c>
      <c r="C292" s="9">
        <f t="shared" si="132"/>
        <v>1.0017548050425843E-2</v>
      </c>
      <c r="D292" s="7">
        <f t="shared" si="132"/>
        <v>0.2959598429278244</v>
      </c>
      <c r="E292" s="7">
        <f>MAX((1-Parameters!$B$4)^Parameters!B$65*E291+B291*Parameters!B$65-Parameters!$B$5*B291^2/E291*Parameters!B$65,0.0001)</f>
        <v>0.76972609896349709</v>
      </c>
      <c r="F292" s="9">
        <f>MAX((1-Parameters!$B$4)^Parameters!B$65*F291+C291*Parameters!B$65-Parameters!$B$5*C291^2/F291*Parameters!B$65,0.0001)</f>
        <v>0.14851939921362023</v>
      </c>
      <c r="G292" s="7">
        <f>MAX((1-Parameters!$B$4)^Parameters!B$65*G291+D291*Parameters!B$65-Parameters!$B$5*D291^2/G291*Parameters!B$65,0.0001)</f>
        <v>4.3878779312635849</v>
      </c>
      <c r="I292" s="7">
        <f>I291*(1+Parameters!$B$51)^Parameters!B$65</f>
        <v>18.788321222583555</v>
      </c>
      <c r="J292" s="7">
        <f>J291*(1+Parameters!$B$53)^Parameters!B$65</f>
        <v>2714.0773178639606</v>
      </c>
      <c r="K292" s="7">
        <f>'6states'!$O$4</f>
        <v>0.98104277196026479</v>
      </c>
      <c r="L292" s="9">
        <f t="shared" si="109"/>
        <v>0.5</v>
      </c>
      <c r="N292" s="7">
        <f>(Parameters!$B$19*(E292+Parameters!$B$20)^L292+Parameters!$B$18*F292^L292)^(1/L292)</f>
        <v>0.53556370405131581</v>
      </c>
      <c r="O292" s="7">
        <f>(Parameters!$B$10*G292^Parameters!$B$9 + Parameters!$B$11*N292^Parameters!$B$9) ^ (Parameters!$B$7/Parameters!$B$9) * K292</f>
        <v>1.5032566480225655</v>
      </c>
      <c r="P292" s="7">
        <f t="shared" si="99"/>
        <v>1.1453616744074422</v>
      </c>
      <c r="Q292" s="7">
        <f>EXP(-Parameters!$B$55*A292)</f>
        <v>1.2922310052199772E-2</v>
      </c>
      <c r="R292" s="7">
        <f>IF(P292&gt;0,P292^(1-Parameters!$B$52)/(1-Parameters!$B$52)*Q292,-10+P292*1000)</f>
        <v>-3.5208067352306201E-2</v>
      </c>
      <c r="S292" s="7"/>
      <c r="T292" s="7"/>
      <c r="U292" s="7"/>
      <c r="V292" s="7"/>
    </row>
    <row r="293" spans="1:22" x14ac:dyDescent="0.3">
      <c r="A293">
        <f>A292+Parameters!$B$65</f>
        <v>289</v>
      </c>
      <c r="B293" s="9">
        <f t="shared" ref="B293:D293" si="133">B292</f>
        <v>5.191758263687303E-2</v>
      </c>
      <c r="C293" s="9">
        <f t="shared" si="133"/>
        <v>1.0017548050425843E-2</v>
      </c>
      <c r="D293" s="7">
        <f t="shared" si="133"/>
        <v>0.2959598429278244</v>
      </c>
      <c r="E293" s="7">
        <f>MAX((1-Parameters!$B$4)^Parameters!B$65*E292+B292*Parameters!B$65-Parameters!$B$5*B292^2/E292*Parameters!B$65,0.0001)</f>
        <v>0.76972609888914711</v>
      </c>
      <c r="F293" s="9">
        <f>MAX((1-Parameters!$B$4)^Parameters!B$65*F292+C292*Parameters!B$65-Parameters!$B$5*C292^2/F292*Parameters!B$65,0.0001)</f>
        <v>0.14851939919947865</v>
      </c>
      <c r="G293" s="7">
        <f>MAX((1-Parameters!$B$4)^Parameters!B$65*G292+D292*Parameters!B$65-Parameters!$B$5*D292^2/G292*Parameters!B$65,0.0001)</f>
        <v>4.3878779311204941</v>
      </c>
      <c r="I293" s="7">
        <f>I292*(1+Parameters!$B$51)^Parameters!B$65</f>
        <v>18.842807354129047</v>
      </c>
      <c r="J293" s="7">
        <f>J292*(1+Parameters!$B$53)^Parameters!B$65</f>
        <v>2768.3588642212399</v>
      </c>
      <c r="K293" s="7">
        <f>'6states'!$O$4</f>
        <v>0.98104277196026479</v>
      </c>
      <c r="L293" s="9">
        <f t="shared" si="109"/>
        <v>0.5</v>
      </c>
      <c r="N293" s="7">
        <f>(Parameters!$B$19*(E293+Parameters!$B$20)^L293+Parameters!$B$18*F293^L293)^(1/L293)</f>
        <v>0.53556370400025932</v>
      </c>
      <c r="O293" s="7">
        <f>(Parameters!$B$10*G293^Parameters!$B$9 + Parameters!$B$11*N293^Parameters!$B$9) ^ (Parameters!$B$7/Parameters!$B$9) * K293</f>
        <v>1.503256648002157</v>
      </c>
      <c r="P293" s="7">
        <f t="shared" si="99"/>
        <v>1.1453616743870336</v>
      </c>
      <c r="Q293" s="7">
        <f>EXP(-Parameters!$B$55*A293)</f>
        <v>1.2728648991130187E-2</v>
      </c>
      <c r="R293" s="7">
        <f>IF(P293&gt;0,P293^(1-Parameters!$B$52)/(1-Parameters!$B$52)*Q293,-10+P293*1000)</f>
        <v>-3.4680419303983641E-2</v>
      </c>
      <c r="S293" s="7"/>
      <c r="T293" s="7"/>
      <c r="U293" s="7"/>
      <c r="V293" s="7"/>
    </row>
    <row r="294" spans="1:22" x14ac:dyDescent="0.3">
      <c r="A294">
        <f>A293+Parameters!$B$65</f>
        <v>290</v>
      </c>
      <c r="B294" s="9">
        <f t="shared" ref="B294:D294" si="134">B293</f>
        <v>5.191758263687303E-2</v>
      </c>
      <c r="C294" s="9">
        <f t="shared" si="134"/>
        <v>1.0017548050425843E-2</v>
      </c>
      <c r="D294" s="7">
        <f t="shared" si="134"/>
        <v>0.2959598429278244</v>
      </c>
      <c r="E294" s="7">
        <f>MAX((1-Parameters!$B$4)^Parameters!B$65*E293+B293*Parameters!B$65-Parameters!$B$5*B293^2/E293*Parameters!B$65,0.0001)</f>
        <v>0.76972609881913545</v>
      </c>
      <c r="F294" s="9">
        <f>MAX((1-Parameters!$B$4)^Parameters!B$65*F293+C293*Parameters!B$65-Parameters!$B$5*C293^2/F293*Parameters!B$65,0.0001)</f>
        <v>0.14851939918616225</v>
      </c>
      <c r="G294" s="7">
        <f>MAX((1-Parameters!$B$4)^Parameters!B$65*G293+D293*Parameters!B$65-Parameters!$B$5*D293^2/G293*Parameters!B$65,0.0001)</f>
        <v>4.3878779309857521</v>
      </c>
      <c r="I294" s="7">
        <f>I293*(1+Parameters!$B$51)^Parameters!B$65</f>
        <v>18.897451495456018</v>
      </c>
      <c r="J294" s="7">
        <f>J293*(1+Parameters!$B$53)^Parameters!B$65</f>
        <v>2823.7260415056649</v>
      </c>
      <c r="K294" s="7">
        <f>'6states'!$O$4</f>
        <v>0.98104277196026479</v>
      </c>
      <c r="L294" s="9">
        <f t="shared" si="109"/>
        <v>0.5</v>
      </c>
      <c r="N294" s="7">
        <f>(Parameters!$B$19*(E294+Parameters!$B$20)^L294+Parameters!$B$18*F294^L294)^(1/L294)</f>
        <v>0.535563703952182</v>
      </c>
      <c r="O294" s="7">
        <f>(Parameters!$B$10*G294^Parameters!$B$9 + Parameters!$B$11*N294^Parameters!$B$9) ^ (Parameters!$B$7/Parameters!$B$9) * K294</f>
        <v>1.5032566479829388</v>
      </c>
      <c r="P294" s="7">
        <f t="shared" si="99"/>
        <v>1.1453616743678157</v>
      </c>
      <c r="Q294" s="7">
        <f>EXP(-Parameters!$B$55*A294)</f>
        <v>1.2537890244462845E-2</v>
      </c>
      <c r="R294" s="7">
        <f>IF(P294&gt;0,P294^(1-Parameters!$B$52)/(1-Parameters!$B$52)*Q294,-10+P294*1000)</f>
        <v>-3.416067888829756E-2</v>
      </c>
      <c r="S294" s="7"/>
      <c r="T294" s="7"/>
      <c r="U294" s="7"/>
      <c r="V294" s="7"/>
    </row>
    <row r="295" spans="1:22" x14ac:dyDescent="0.3">
      <c r="A295">
        <f>A294+Parameters!$B$65</f>
        <v>291</v>
      </c>
      <c r="B295" s="9">
        <f t="shared" ref="B295:D295" si="135">B294</f>
        <v>5.191758263687303E-2</v>
      </c>
      <c r="C295" s="9">
        <f t="shared" si="135"/>
        <v>1.0017548050425843E-2</v>
      </c>
      <c r="D295" s="7">
        <f t="shared" si="135"/>
        <v>0.2959598429278244</v>
      </c>
      <c r="E295" s="7">
        <f>MAX((1-Parameters!$B$4)^Parameters!B$65*E294+B294*Parameters!B$65-Parameters!$B$5*B294^2/E294*Parameters!B$65,0.0001)</f>
        <v>0.76972609875320896</v>
      </c>
      <c r="F295" s="9">
        <f>MAX((1-Parameters!$B$4)^Parameters!B$65*F294+C294*Parameters!B$65-Parameters!$B$5*C294^2/F294*Parameters!B$65,0.0001)</f>
        <v>0.14851939917362283</v>
      </c>
      <c r="G295" s="7">
        <f>MAX((1-Parameters!$B$4)^Parameters!B$65*G294+D294*Parameters!B$65-Parameters!$B$5*D294^2/G294*Parameters!B$65,0.0001)</f>
        <v>4.3878779308588722</v>
      </c>
      <c r="I295" s="7">
        <f>I294*(1+Parameters!$B$51)^Parameters!B$65</f>
        <v>18.952254104792839</v>
      </c>
      <c r="J295" s="7">
        <f>J294*(1+Parameters!$B$53)^Parameters!B$65</f>
        <v>2880.2005623357782</v>
      </c>
      <c r="K295" s="7">
        <f>'6states'!$O$4</f>
        <v>0.98104277196026479</v>
      </c>
      <c r="L295" s="9">
        <f t="shared" si="109"/>
        <v>0.5</v>
      </c>
      <c r="N295" s="7">
        <f>(Parameters!$B$19*(E295+Parameters!$B$20)^L295+Parameters!$B$18*F295^L295)^(1/L295)</f>
        <v>0.5355637039069101</v>
      </c>
      <c r="O295" s="7">
        <f>(Parameters!$B$10*G295^Parameters!$B$9 + Parameters!$B$11*N295^Parameters!$B$9) ^ (Parameters!$B$7/Parameters!$B$9) * K295</f>
        <v>1.5032566479648424</v>
      </c>
      <c r="P295" s="7">
        <f t="shared" si="99"/>
        <v>1.145361674349719</v>
      </c>
      <c r="Q295" s="7">
        <f>EXP(-Parameters!$B$55*A295)</f>
        <v>1.234999031646945E-2</v>
      </c>
      <c r="R295" s="7">
        <f>IF(P295&gt;0,P295^(1-Parameters!$B$52)/(1-Parameters!$B$52)*Q295,-10+P295*1000)</f>
        <v>-3.3648727596985339E-2</v>
      </c>
      <c r="S295" s="7"/>
      <c r="T295" s="7"/>
      <c r="U295" s="7"/>
      <c r="V295" s="7"/>
    </row>
    <row r="296" spans="1:22" x14ac:dyDescent="0.3">
      <c r="A296">
        <f>A295+Parameters!$B$65</f>
        <v>292</v>
      </c>
      <c r="B296" s="9">
        <f t="shared" ref="B296:D296" si="136">B295</f>
        <v>5.191758263687303E-2</v>
      </c>
      <c r="C296" s="9">
        <f t="shared" si="136"/>
        <v>1.0017548050425843E-2</v>
      </c>
      <c r="D296" s="7">
        <f t="shared" si="136"/>
        <v>0.2959598429278244</v>
      </c>
      <c r="E296" s="7">
        <f>MAX((1-Parameters!$B$4)^Parameters!B$65*E295+B295*Parameters!B$65-Parameters!$B$5*B295^2/E295*Parameters!B$65,0.0001)</f>
        <v>0.7697260986911294</v>
      </c>
      <c r="F296" s="9">
        <f>MAX((1-Parameters!$B$4)^Parameters!B$65*F295+C295*Parameters!B$65-Parameters!$B$5*C295^2/F295*Parameters!B$65,0.0001)</f>
        <v>0.14851939916181511</v>
      </c>
      <c r="G296" s="7">
        <f>MAX((1-Parameters!$B$4)^Parameters!B$65*G295+D295*Parameters!B$65-Parameters!$B$5*D295^2/G295*Parameters!B$65,0.0001)</f>
        <v>4.3878779307393962</v>
      </c>
      <c r="I296" s="7">
        <f>I295*(1+Parameters!$B$51)^Parameters!B$65</f>
        <v>19.007215641696735</v>
      </c>
      <c r="J296" s="7">
        <f>J295*(1+Parameters!$B$53)^Parameters!B$65</f>
        <v>2937.804573582494</v>
      </c>
      <c r="K296" s="7">
        <f>'6states'!$O$4</f>
        <v>0.98104277196026479</v>
      </c>
      <c r="L296" s="9">
        <f t="shared" si="109"/>
        <v>0.5</v>
      </c>
      <c r="N296" s="7">
        <f>(Parameters!$B$19*(E296+Parameters!$B$20)^L296+Parameters!$B$18*F296^L296)^(1/L296)</f>
        <v>0.53556370386427976</v>
      </c>
      <c r="O296" s="7">
        <f>(Parameters!$B$10*G296^Parameters!$B$9 + Parameters!$B$11*N296^Parameters!$B$9) ^ (Parameters!$B$7/Parameters!$B$9) * K296</f>
        <v>1.5032566479478018</v>
      </c>
      <c r="P296" s="7">
        <f t="shared" si="99"/>
        <v>1.1453616743326784</v>
      </c>
      <c r="Q296" s="7">
        <f>EXP(-Parameters!$B$55*A296)</f>
        <v>1.2164906363273381E-2</v>
      </c>
      <c r="R296" s="7">
        <f>IF(P296&gt;0,P296^(1-Parameters!$B$52)/(1-Parameters!$B$52)*Q296,-10+P296*1000)</f>
        <v>-3.3144448697816409E-2</v>
      </c>
      <c r="S296" s="7"/>
      <c r="T296" s="7"/>
      <c r="U296" s="7"/>
      <c r="V296" s="7"/>
    </row>
    <row r="297" spans="1:22" x14ac:dyDescent="0.3">
      <c r="A297">
        <f>A296+Parameters!$B$65</f>
        <v>293</v>
      </c>
      <c r="B297" s="9">
        <f t="shared" ref="B297:D297" si="137">B296</f>
        <v>5.191758263687303E-2</v>
      </c>
      <c r="C297" s="9">
        <f t="shared" si="137"/>
        <v>1.0017548050425843E-2</v>
      </c>
      <c r="D297" s="7">
        <f t="shared" si="137"/>
        <v>0.2959598429278244</v>
      </c>
      <c r="E297" s="7">
        <f>MAX((1-Parameters!$B$4)^Parameters!B$65*E296+B296*Parameters!B$65-Parameters!$B$5*B296^2/E296*Parameters!B$65,0.0001)</f>
        <v>0.76972609863267227</v>
      </c>
      <c r="F297" s="9">
        <f>MAX((1-Parameters!$B$4)^Parameters!B$65*F296+C296*Parameters!B$65-Parameters!$B$5*C296^2/F296*Parameters!B$65,0.0001)</f>
        <v>0.1485193991506964</v>
      </c>
      <c r="G297" s="7">
        <f>MAX((1-Parameters!$B$4)^Parameters!B$65*G296+D296*Parameters!B$65-Parameters!$B$5*D296^2/G296*Parameters!B$65,0.0001)</f>
        <v>4.3878779306268916</v>
      </c>
      <c r="I297" s="7">
        <f>I296*(1+Parameters!$B$51)^Parameters!B$65</f>
        <v>19.062336567057653</v>
      </c>
      <c r="J297" s="7">
        <f>J296*(1+Parameters!$B$53)^Parameters!B$65</f>
        <v>2996.560665054144</v>
      </c>
      <c r="K297" s="7">
        <f>'6states'!$O$4</f>
        <v>0.98104277196026479</v>
      </c>
      <c r="L297" s="9">
        <f t="shared" si="109"/>
        <v>0.5</v>
      </c>
      <c r="N297" s="7">
        <f>(Parameters!$B$19*(E297+Parameters!$B$20)^L297+Parameters!$B$18*F297^L297)^(1/L297)</f>
        <v>0.53556370382413709</v>
      </c>
      <c r="O297" s="7">
        <f>(Parameters!$B$10*G297^Parameters!$B$9 + Parameters!$B$11*N297^Parameters!$B$9) ^ (Parameters!$B$7/Parameters!$B$9) * K297</f>
        <v>1.5032566479317555</v>
      </c>
      <c r="P297" s="7">
        <f t="shared" si="99"/>
        <v>1.1453616743166322</v>
      </c>
      <c r="Q297" s="7">
        <f>EXP(-Parameters!$B$55*A297)</f>
        <v>1.198259618308059E-2</v>
      </c>
      <c r="R297" s="7">
        <f>IF(P297&gt;0,P297^(1-Parameters!$B$52)/(1-Parameters!$B$52)*Q297,-10+P297*1000)</f>
        <v>-3.2647727207975347E-2</v>
      </c>
      <c r="S297" s="7"/>
      <c r="T297" s="7"/>
      <c r="U297" s="7"/>
      <c r="V297" s="7"/>
    </row>
    <row r="298" spans="1:22" x14ac:dyDescent="0.3">
      <c r="A298">
        <f>A297+Parameters!$B$65</f>
        <v>294</v>
      </c>
      <c r="B298" s="9">
        <f t="shared" ref="B298:D298" si="138">B297</f>
        <v>5.191758263687303E-2</v>
      </c>
      <c r="C298" s="9">
        <f t="shared" si="138"/>
        <v>1.0017548050425843E-2</v>
      </c>
      <c r="D298" s="7">
        <f t="shared" si="138"/>
        <v>0.2959598429278244</v>
      </c>
      <c r="E298" s="7">
        <f>MAX((1-Parameters!$B$4)^Parameters!B$65*E297+B297*Parameters!B$65-Parameters!$B$5*B297^2/E297*Parameters!B$65,0.0001)</f>
        <v>0.76972609857762608</v>
      </c>
      <c r="F298" s="9">
        <f>MAX((1-Parameters!$B$4)^Parameters!B$65*F297+C297*Parameters!B$65-Parameters!$B$5*C297^2/F297*Parameters!B$65,0.0001)</f>
        <v>0.14851939914022647</v>
      </c>
      <c r="G298" s="7">
        <f>MAX((1-Parameters!$B$4)^Parameters!B$65*G297+D297*Parameters!B$65-Parameters!$B$5*D297^2/G297*Parameters!B$65,0.0001)</f>
        <v>4.3878779305209514</v>
      </c>
      <c r="I298" s="7">
        <f>I297*(1+Parameters!$B$51)^Parameters!B$65</f>
        <v>19.117617343102118</v>
      </c>
      <c r="J298" s="7">
        <f>J297*(1+Parameters!$B$53)^Parameters!B$65</f>
        <v>3056.4918783552271</v>
      </c>
      <c r="K298" s="7">
        <f>'6states'!$O$4</f>
        <v>0.98104277196026479</v>
      </c>
      <c r="L298" s="9">
        <f t="shared" si="109"/>
        <v>0.5</v>
      </c>
      <c r="N298" s="7">
        <f>(Parameters!$B$19*(E298+Parameters!$B$20)^L298+Parameters!$B$18*F298^L298)^(1/L298)</f>
        <v>0.53556370378633689</v>
      </c>
      <c r="O298" s="7">
        <f>(Parameters!$B$10*G298^Parameters!$B$9 + Parameters!$B$11*N298^Parameters!$B$9) ^ (Parameters!$B$7/Parameters!$B$9) * K298</f>
        <v>1.5032566479166456</v>
      </c>
      <c r="P298" s="7">
        <f t="shared" si="99"/>
        <v>1.1453616743015225</v>
      </c>
      <c r="Q298" s="7">
        <f>EXP(-Parameters!$B$55*A298)</f>
        <v>1.1803018206557056E-2</v>
      </c>
      <c r="R298" s="7">
        <f>IF(P298&gt;0,P298^(1-Parameters!$B$52)/(1-Parameters!$B$52)*Q298,-10+P298*1000)</f>
        <v>-3.2158449867844364E-2</v>
      </c>
      <c r="S298" s="7"/>
      <c r="T298" s="7"/>
      <c r="U298" s="7"/>
      <c r="V298" s="7"/>
    </row>
    <row r="299" spans="1:22" x14ac:dyDescent="0.3">
      <c r="A299">
        <f>A298+Parameters!$B$65</f>
        <v>295</v>
      </c>
      <c r="B299" s="9">
        <f t="shared" ref="B299:D299" si="139">B298</f>
        <v>5.191758263687303E-2</v>
      </c>
      <c r="C299" s="9">
        <f t="shared" si="139"/>
        <v>1.0017548050425843E-2</v>
      </c>
      <c r="D299" s="7">
        <f t="shared" si="139"/>
        <v>0.2959598429278244</v>
      </c>
      <c r="E299" s="7">
        <f>MAX((1-Parameters!$B$4)^Parameters!B$65*E298+B298*Parameters!B$65-Parameters!$B$5*B298^2/E298*Parameters!B$65,0.0001)</f>
        <v>0.76972609852579188</v>
      </c>
      <c r="F299" s="9">
        <f>MAX((1-Parameters!$B$4)^Parameters!B$65*F298+C298*Parameters!B$65-Parameters!$B$5*C298^2/F298*Parameters!B$65,0.0001)</f>
        <v>0.14851939913036746</v>
      </c>
      <c r="G299" s="7">
        <f>MAX((1-Parameters!$B$4)^Parameters!B$65*G298+D298*Parameters!B$65-Parameters!$B$5*D298^2/G298*Parameters!B$65,0.0001)</f>
        <v>4.3878779304211939</v>
      </c>
      <c r="I299" s="7">
        <f>I298*(1+Parameters!$B$51)^Parameters!B$65</f>
        <v>19.173058433397113</v>
      </c>
      <c r="J299" s="7">
        <f>J298*(1+Parameters!$B$53)^Parameters!B$65</f>
        <v>3117.6217159223315</v>
      </c>
      <c r="K299" s="7">
        <f>'6states'!$O$4</f>
        <v>0.98104277196026479</v>
      </c>
      <c r="L299" s="9">
        <f t="shared" si="109"/>
        <v>0.5</v>
      </c>
      <c r="N299" s="7">
        <f>(Parameters!$B$19*(E299+Parameters!$B$20)^L299+Parameters!$B$18*F299^L299)^(1/L299)</f>
        <v>0.53556370375074203</v>
      </c>
      <c r="O299" s="7">
        <f>(Parameters!$B$10*G299^Parameters!$B$9 + Parameters!$B$11*N299^Parameters!$B$9) ^ (Parameters!$B$7/Parameters!$B$9) * K299</f>
        <v>1.5032566479024174</v>
      </c>
      <c r="P299" s="7">
        <f t="shared" si="99"/>
        <v>1.1453616742872943</v>
      </c>
      <c r="Q299" s="7">
        <f>EXP(-Parameters!$B$55*A299)</f>
        <v>1.1626131487350361E-2</v>
      </c>
      <c r="R299" s="7">
        <f>IF(P299&gt;0,P299^(1-Parameters!$B$52)/(1-Parameters!$B$52)*Q299,-10+P299*1000)</f>
        <v>-3.1676505115178451E-2</v>
      </c>
      <c r="S299" s="7"/>
      <c r="T299" s="7"/>
      <c r="U299" s="7"/>
      <c r="V299" s="7"/>
    </row>
    <row r="300" spans="1:22" x14ac:dyDescent="0.3">
      <c r="A300">
        <f>A299+Parameters!$B$65</f>
        <v>296</v>
      </c>
      <c r="B300" s="9">
        <f t="shared" ref="B300:D300" si="140">B299</f>
        <v>5.191758263687303E-2</v>
      </c>
      <c r="C300" s="9">
        <f t="shared" si="140"/>
        <v>1.0017548050425843E-2</v>
      </c>
      <c r="D300" s="7">
        <f t="shared" si="140"/>
        <v>0.2959598429278244</v>
      </c>
      <c r="E300" s="7">
        <f>MAX((1-Parameters!$B$4)^Parameters!B$65*E299+B299*Parameters!B$65-Parameters!$B$5*B299^2/E299*Parameters!B$65,0.0001)</f>
        <v>0.76972609847698226</v>
      </c>
      <c r="F300" s="9">
        <f>MAX((1-Parameters!$B$4)^Parameters!B$65*F299+C299*Parameters!B$65-Parameters!$B$5*C299^2/F299*Parameters!B$65,0.0001)</f>
        <v>0.14851939912108372</v>
      </c>
      <c r="G300" s="7">
        <f>MAX((1-Parameters!$B$4)^Parameters!B$65*G299+D299*Parameters!B$65-Parameters!$B$5*D299^2/G299*Parameters!B$65,0.0001)</f>
        <v>4.3878779303272566</v>
      </c>
      <c r="I300" s="7">
        <f>I299*(1+Parameters!$B$51)^Parameters!B$65</f>
        <v>19.228660302853964</v>
      </c>
      <c r="J300" s="7">
        <f>J299*(1+Parameters!$B$53)^Parameters!B$65</f>
        <v>3179.9741502407783</v>
      </c>
      <c r="K300" s="7">
        <f>'6states'!$O$4</f>
        <v>0.98104277196026479</v>
      </c>
      <c r="L300" s="9">
        <f t="shared" si="109"/>
        <v>0.5</v>
      </c>
      <c r="N300" s="7">
        <f>(Parameters!$B$19*(E300+Parameters!$B$20)^L300+Parameters!$B$18*F300^L300)^(1/L300)</f>
        <v>0.53556370371722417</v>
      </c>
      <c r="O300" s="7">
        <f>(Parameters!$B$10*G300^Parameters!$B$9 + Parameters!$B$11*N300^Parameters!$B$9) ^ (Parameters!$B$7/Parameters!$B$9) * K300</f>
        <v>1.5032566478890192</v>
      </c>
      <c r="P300" s="7">
        <f t="shared" si="99"/>
        <v>1.1453616742738961</v>
      </c>
      <c r="Q300" s="7">
        <f>EXP(-Parameters!$B$55*A300)</f>
        <v>1.1451895692753287E-2</v>
      </c>
      <c r="R300" s="7">
        <f>IF(P300&gt;0,P300^(1-Parameters!$B$52)/(1-Parameters!$B$52)*Q300,-10+P300*1000)</f>
        <v>-3.1201783059667452E-2</v>
      </c>
      <c r="S300" s="7"/>
      <c r="T300" s="7"/>
      <c r="U300" s="7"/>
      <c r="V300" s="7"/>
    </row>
    <row r="301" spans="1:22" x14ac:dyDescent="0.3">
      <c r="A301">
        <f>A300+Parameters!$B$65</f>
        <v>297</v>
      </c>
      <c r="B301" s="9">
        <f t="shared" ref="B301:D301" si="141">B300</f>
        <v>5.191758263687303E-2</v>
      </c>
      <c r="C301" s="9">
        <f t="shared" si="141"/>
        <v>1.0017548050425843E-2</v>
      </c>
      <c r="D301" s="7">
        <f t="shared" si="141"/>
        <v>0.2959598429278244</v>
      </c>
      <c r="E301" s="7">
        <f>MAX((1-Parameters!$B$4)^Parameters!B$65*E300+B300*Parameters!B$65-Parameters!$B$5*B300^2/E300*Parameters!B$65,0.0001)</f>
        <v>0.76972609843102058</v>
      </c>
      <c r="F301" s="9">
        <f>MAX((1-Parameters!$B$4)^Parameters!B$65*F300+C300*Parameters!B$65-Parameters!$B$5*C300^2/F300*Parameters!B$65,0.0001)</f>
        <v>0.14851939911234169</v>
      </c>
      <c r="G301" s="7">
        <f>MAX((1-Parameters!$B$4)^Parameters!B$65*G300+D300*Parameters!B$65-Parameters!$B$5*D300^2/G300*Parameters!B$65,0.0001)</f>
        <v>4.3878779302388011</v>
      </c>
      <c r="I301" s="7">
        <f>I300*(1+Parameters!$B$51)^Parameters!B$65</f>
        <v>19.284423417732238</v>
      </c>
      <c r="J301" s="7">
        <f>J300*(1+Parameters!$B$53)^Parameters!B$65</f>
        <v>3243.573633245594</v>
      </c>
      <c r="K301" s="7">
        <f>'6states'!$O$4</f>
        <v>0.98104277196026479</v>
      </c>
      <c r="L301" s="9">
        <f t="shared" si="109"/>
        <v>0.5</v>
      </c>
      <c r="N301" s="7">
        <f>(Parameters!$B$19*(E301+Parameters!$B$20)^L301+Parameters!$B$18*F301^L301)^(1/L301)</f>
        <v>0.5355637036856622</v>
      </c>
      <c r="O301" s="7">
        <f>(Parameters!$B$10*G301^Parameters!$B$9 + Parameters!$B$11*N301^Parameters!$B$9) ^ (Parameters!$B$7/Parameters!$B$9) * K301</f>
        <v>1.5032566478764031</v>
      </c>
      <c r="P301" s="7">
        <f t="shared" si="99"/>
        <v>1.14536167426128</v>
      </c>
      <c r="Q301" s="7">
        <f>EXP(-Parameters!$B$55*A301)</f>
        <v>1.1280271094507461E-2</v>
      </c>
      <c r="R301" s="7">
        <f>IF(P301&gt;0,P301^(1-Parameters!$B$52)/(1-Parameters!$B$52)*Q301,-10+P301*1000)</f>
        <v>-3.0734175457879688E-2</v>
      </c>
      <c r="S301" s="7"/>
      <c r="T301" s="7"/>
      <c r="U301" s="7"/>
      <c r="V301" s="7"/>
    </row>
    <row r="302" spans="1:22" x14ac:dyDescent="0.3">
      <c r="A302">
        <f>A301+Parameters!$B$65</f>
        <v>298</v>
      </c>
      <c r="B302" s="9">
        <f t="shared" ref="B302:D302" si="142">B301</f>
        <v>5.191758263687303E-2</v>
      </c>
      <c r="C302" s="9">
        <f t="shared" si="142"/>
        <v>1.0017548050425843E-2</v>
      </c>
      <c r="D302" s="7">
        <f t="shared" si="142"/>
        <v>0.2959598429278244</v>
      </c>
      <c r="E302" s="7">
        <f>MAX((1-Parameters!$B$4)^Parameters!B$65*E301+B301*Parameters!B$65-Parameters!$B$5*B301^2/E301*Parameters!B$65,0.0001)</f>
        <v>0.76972609838774086</v>
      </c>
      <c r="F302" s="9">
        <f>MAX((1-Parameters!$B$4)^Parameters!B$65*F301+C301*Parameters!B$65-Parameters!$B$5*C301^2/F301*Parameters!B$65,0.0001)</f>
        <v>0.14851939910410974</v>
      </c>
      <c r="G302" s="7">
        <f>MAX((1-Parameters!$B$4)^Parameters!B$65*G301+D301*Parameters!B$65-Parameters!$B$5*D301^2/G301*Parameters!B$65,0.0001)</f>
        <v>4.387877930155506</v>
      </c>
      <c r="I302" s="7">
        <f>I301*(1+Parameters!$B$51)^Parameters!B$65</f>
        <v>19.340348245643661</v>
      </c>
      <c r="J302" s="7">
        <f>J301*(1+Parameters!$B$53)^Parameters!B$65</f>
        <v>3308.4451059105058</v>
      </c>
      <c r="K302" s="7">
        <f>'6states'!$O$4</f>
        <v>0.98104277196026479</v>
      </c>
      <c r="L302" s="9">
        <f t="shared" si="109"/>
        <v>0.5</v>
      </c>
      <c r="N302" s="7">
        <f>(Parameters!$B$19*(E302+Parameters!$B$20)^L302+Parameters!$B$18*F302^L302)^(1/L302)</f>
        <v>0.53556370365594186</v>
      </c>
      <c r="O302" s="7">
        <f>(Parameters!$B$10*G302^Parameters!$B$9 + Parameters!$B$11*N302^Parameters!$B$9) ^ (Parameters!$B$7/Parameters!$B$9) * K302</f>
        <v>1.5032566478645231</v>
      </c>
      <c r="P302" s="7">
        <f t="shared" si="99"/>
        <v>1.1453616742493997</v>
      </c>
      <c r="Q302" s="7">
        <f>EXP(-Parameters!$B$55*A302)</f>
        <v>1.1111218559744694E-2</v>
      </c>
      <c r="R302" s="7">
        <f>IF(P302&gt;0,P302^(1-Parameters!$B$52)/(1-Parameters!$B$52)*Q302,-10+P302*1000)</f>
        <v>-3.0273575688580853E-2</v>
      </c>
      <c r="S302" s="7"/>
      <c r="T302" s="7"/>
      <c r="U302" s="7"/>
      <c r="V302" s="7"/>
    </row>
    <row r="303" spans="1:22" x14ac:dyDescent="0.3">
      <c r="A303">
        <f>A302+Parameters!$B$65</f>
        <v>299</v>
      </c>
      <c r="B303" s="9">
        <f t="shared" ref="B303:D303" si="143">B302</f>
        <v>5.191758263687303E-2</v>
      </c>
      <c r="C303" s="9">
        <f t="shared" si="143"/>
        <v>1.0017548050425843E-2</v>
      </c>
      <c r="D303" s="7">
        <f t="shared" si="143"/>
        <v>0.2959598429278244</v>
      </c>
      <c r="E303" s="7">
        <f>MAX((1-Parameters!$B$4)^Parameters!B$65*E302+B302*Parameters!B$65-Parameters!$B$5*B302^2/E302*Parameters!B$65,0.0001)</f>
        <v>0.76972609834698658</v>
      </c>
      <c r="F303" s="9">
        <f>MAX((1-Parameters!$B$4)^Parameters!B$65*F302+C302*Parameters!B$65-Parameters!$B$5*C302^2/F302*Parameters!B$65,0.0001)</f>
        <v>0.14851939909635817</v>
      </c>
      <c r="G303" s="7">
        <f>MAX((1-Parameters!$B$4)^Parameters!B$65*G302+D302*Parameters!B$65-Parameters!$B$5*D302^2/G302*Parameters!B$65,0.0001)</f>
        <v>4.3878779300770718</v>
      </c>
      <c r="I303" s="7">
        <f>I302*(1+Parameters!$B$51)^Parameters!B$65</f>
        <v>19.396435255556025</v>
      </c>
      <c r="J303" s="7">
        <f>J302*(1+Parameters!$B$53)^Parameters!B$65</f>
        <v>3374.6140080287159</v>
      </c>
      <c r="K303" s="7">
        <f>'6states'!$O$4</f>
        <v>0.98104277196026479</v>
      </c>
      <c r="L303" s="9">
        <f t="shared" si="109"/>
        <v>0.5</v>
      </c>
      <c r="N303" s="7">
        <f>(Parameters!$B$19*(E303+Parameters!$B$20)^L303+Parameters!$B$18*F303^L303)^(1/L303)</f>
        <v>0.5355637036279558</v>
      </c>
      <c r="O303" s="7">
        <f>(Parameters!$B$10*G303^Parameters!$B$9 + Parameters!$B$11*N303^Parameters!$B$9) ^ (Parameters!$B$7/Parameters!$B$9) * K303</f>
        <v>1.503256647853336</v>
      </c>
      <c r="P303" s="7">
        <f t="shared" si="99"/>
        <v>1.1453616742382127</v>
      </c>
      <c r="Q303" s="7">
        <f>EXP(-Parameters!$B$55*A303)</f>
        <v>1.0944699542064111E-2</v>
      </c>
      <c r="R303" s="7">
        <f>IF(P303&gt;0,P303^(1-Parameters!$B$52)/(1-Parameters!$B$52)*Q303,-10+P303*1000)</f>
        <v>-2.9819878728422743E-2</v>
      </c>
      <c r="S303" s="7"/>
      <c r="T303" s="7"/>
      <c r="U303" s="7"/>
      <c r="V303" s="7"/>
    </row>
    <row r="304" spans="1:22" x14ac:dyDescent="0.3">
      <c r="A304">
        <f>A303+Parameters!$B$65</f>
        <v>300</v>
      </c>
      <c r="B304" s="9">
        <f t="shared" ref="B304:D304" si="144">B303</f>
        <v>5.191758263687303E-2</v>
      </c>
      <c r="C304" s="9">
        <f t="shared" si="144"/>
        <v>1.0017548050425843E-2</v>
      </c>
      <c r="D304" s="7">
        <f t="shared" si="144"/>
        <v>0.2959598429278244</v>
      </c>
      <c r="E304" s="7">
        <f>MAX((1-Parameters!$B$4)^Parameters!B$65*E303+B303*Parameters!B$65-Parameters!$B$5*B303^2/E303*Parameters!B$65,0.0001)</f>
        <v>0.76972609830861038</v>
      </c>
      <c r="F304" s="9">
        <f>MAX((1-Parameters!$B$4)^Parameters!B$65*F303+C303*Parameters!B$65-Parameters!$B$5*C303^2/F303*Parameters!B$65,0.0001)</f>
        <v>0.1485193990890589</v>
      </c>
      <c r="G304" s="7">
        <f>MAX((1-Parameters!$B$4)^Parameters!B$65*G303+D303*Parameters!B$65-Parameters!$B$5*D303^2/G303*Parameters!B$65,0.0001)</f>
        <v>4.3878779300032145</v>
      </c>
      <c r="I304" s="7">
        <f>I303*(1+Parameters!$B$51)^Parameters!B$65</f>
        <v>19.452684917797136</v>
      </c>
      <c r="J304" s="7">
        <f>J303*(1+Parameters!$B$53)^Parameters!B$65</f>
        <v>3442.1062881892904</v>
      </c>
      <c r="K304" s="7">
        <f>'6states'!$O$4</f>
        <v>0.98104277196026479</v>
      </c>
      <c r="L304" s="9">
        <f t="shared" si="109"/>
        <v>0.5</v>
      </c>
      <c r="N304" s="7">
        <f>(Parameters!$B$19*(E304+Parameters!$B$20)^L304+Parameters!$B$18*F304^L304)^(1/L304)</f>
        <v>0.53556370360160277</v>
      </c>
      <c r="O304" s="7">
        <f>(Parameters!$B$10*G304^Parameters!$B$9 + Parameters!$B$11*N304^Parameters!$B$9) ^ (Parameters!$B$7/Parameters!$B$9) * K304</f>
        <v>1.503256647842802</v>
      </c>
      <c r="P304" s="7">
        <f t="shared" si="99"/>
        <v>1.1453616742276789</v>
      </c>
      <c r="Q304" s="7">
        <f>EXP(-Parameters!$B$55*A304)</f>
        <v>1.0780676072743073E-2</v>
      </c>
      <c r="R304" s="7">
        <f>IF(P304&gt;0,P304^(1-Parameters!$B$52)/(1-Parameters!$B$52)*Q304/Parameters!$B$55,-10+P304*1000)</f>
        <v>-1.9452305382779191</v>
      </c>
      <c r="S304" s="7"/>
      <c r="T304" s="7"/>
      <c r="U304" s="7"/>
      <c r="V304" s="7"/>
    </row>
    <row r="305" spans="2:22" x14ac:dyDescent="0.3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  <c r="T305" s="7"/>
      <c r="U305" s="7"/>
      <c r="V305" s="7"/>
    </row>
    <row r="306" spans="2:22" x14ac:dyDescent="0.3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  <c r="T306" s="7"/>
      <c r="U306" s="7"/>
      <c r="V306" s="7"/>
    </row>
    <row r="307" spans="2:22" x14ac:dyDescent="0.3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  <c r="T307" s="7"/>
      <c r="U307" s="7"/>
      <c r="V307" s="7"/>
    </row>
    <row r="308" spans="2:22" x14ac:dyDescent="0.3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  <c r="T308" s="7"/>
      <c r="U308" s="7"/>
      <c r="V308" s="7"/>
    </row>
    <row r="309" spans="2:22" x14ac:dyDescent="0.3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  <c r="T309" s="7"/>
      <c r="U309" s="7"/>
      <c r="V309" s="7"/>
    </row>
    <row r="310" spans="2:22" x14ac:dyDescent="0.3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  <c r="T310" s="7"/>
      <c r="U310" s="7"/>
      <c r="V310" s="7"/>
    </row>
    <row r="311" spans="2:22" x14ac:dyDescent="0.3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  <c r="T311" s="7"/>
      <c r="U311" s="7"/>
      <c r="V311" s="7"/>
    </row>
    <row r="312" spans="2:22" x14ac:dyDescent="0.3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  <c r="T312" s="7"/>
      <c r="U312" s="7"/>
      <c r="V312" s="7"/>
    </row>
    <row r="313" spans="2:22" x14ac:dyDescent="0.3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  <c r="T313" s="7"/>
      <c r="U313" s="7"/>
      <c r="V313" s="7"/>
    </row>
    <row r="314" spans="2:22" x14ac:dyDescent="0.3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  <c r="T314" s="7"/>
      <c r="U314" s="7"/>
      <c r="V314" s="7"/>
    </row>
    <row r="315" spans="2:22" x14ac:dyDescent="0.3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  <c r="T315" s="7"/>
      <c r="U315" s="7"/>
      <c r="V315" s="7"/>
    </row>
    <row r="316" spans="2:22" x14ac:dyDescent="0.3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  <c r="T316" s="7"/>
      <c r="U316" s="7"/>
      <c r="V316" s="7"/>
    </row>
    <row r="317" spans="2:22" x14ac:dyDescent="0.3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  <c r="T317" s="7"/>
      <c r="U317" s="7"/>
      <c r="V317" s="7"/>
    </row>
    <row r="318" spans="2:22" x14ac:dyDescent="0.3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  <c r="T318" s="7"/>
      <c r="U318" s="7"/>
      <c r="V318" s="7"/>
    </row>
    <row r="319" spans="2:22" x14ac:dyDescent="0.3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  <c r="T319" s="7"/>
      <c r="U319" s="7"/>
      <c r="V319" s="7"/>
    </row>
    <row r="320" spans="2:22" x14ac:dyDescent="0.3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  <c r="T320" s="7"/>
      <c r="U320" s="7"/>
      <c r="V320" s="7"/>
    </row>
    <row r="321" spans="2:22" x14ac:dyDescent="0.3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  <c r="T321" s="7"/>
      <c r="U321" s="7"/>
      <c r="V321" s="7"/>
    </row>
    <row r="322" spans="2:22" x14ac:dyDescent="0.3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  <c r="T322" s="7"/>
      <c r="U322" s="7"/>
      <c r="V322" s="7"/>
    </row>
    <row r="323" spans="2:22" x14ac:dyDescent="0.3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  <c r="T323" s="7"/>
      <c r="U323" s="7"/>
      <c r="V323" s="7"/>
    </row>
    <row r="324" spans="2:22" x14ac:dyDescent="0.3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  <c r="T324" s="7"/>
      <c r="U324" s="7"/>
      <c r="V324" s="7"/>
    </row>
    <row r="325" spans="2:22" x14ac:dyDescent="0.3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  <c r="T325" s="7"/>
      <c r="U325" s="7"/>
      <c r="V325" s="7"/>
    </row>
    <row r="326" spans="2:22" x14ac:dyDescent="0.3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  <c r="T326" s="7"/>
      <c r="U326" s="7"/>
      <c r="V326" s="7"/>
    </row>
    <row r="327" spans="2:22" x14ac:dyDescent="0.3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  <c r="T327" s="7"/>
      <c r="U327" s="7"/>
      <c r="V327" s="7"/>
    </row>
    <row r="328" spans="2:22" x14ac:dyDescent="0.3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  <c r="T328" s="7"/>
      <c r="U328" s="7"/>
      <c r="V328" s="7"/>
    </row>
    <row r="329" spans="2:22" x14ac:dyDescent="0.3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  <c r="T329" s="7"/>
      <c r="U329" s="7"/>
      <c r="V329" s="7"/>
    </row>
    <row r="330" spans="2:22" x14ac:dyDescent="0.3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  <c r="T330" s="7"/>
      <c r="U330" s="7"/>
      <c r="V330" s="7"/>
    </row>
    <row r="331" spans="2:22" x14ac:dyDescent="0.3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  <c r="T331" s="7"/>
      <c r="U331" s="7"/>
      <c r="V331" s="7"/>
    </row>
    <row r="332" spans="2:22" x14ac:dyDescent="0.3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  <c r="T332" s="7"/>
      <c r="U332" s="7"/>
      <c r="V332" s="7"/>
    </row>
    <row r="333" spans="2:22" x14ac:dyDescent="0.3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  <c r="T333" s="7"/>
      <c r="U333" s="7"/>
      <c r="V333" s="7"/>
    </row>
    <row r="334" spans="2:22" x14ac:dyDescent="0.3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  <c r="T334" s="7"/>
      <c r="U334" s="7"/>
      <c r="V334" s="7"/>
    </row>
    <row r="335" spans="2:22" x14ac:dyDescent="0.3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  <c r="T335" s="7"/>
      <c r="U335" s="7"/>
      <c r="V335" s="7"/>
    </row>
    <row r="336" spans="2:22" x14ac:dyDescent="0.3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  <c r="T336" s="7"/>
      <c r="U336" s="7"/>
      <c r="V336" s="7"/>
    </row>
    <row r="337" spans="2:22" x14ac:dyDescent="0.3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  <c r="T337" s="7"/>
      <c r="U337" s="7"/>
      <c r="V337" s="7"/>
    </row>
    <row r="338" spans="2:22" x14ac:dyDescent="0.3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  <c r="T338" s="7"/>
      <c r="U338" s="7"/>
      <c r="V338" s="7"/>
    </row>
    <row r="339" spans="2:22" x14ac:dyDescent="0.3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  <c r="T339" s="7"/>
      <c r="U339" s="7"/>
      <c r="V339" s="7"/>
    </row>
    <row r="340" spans="2:22" x14ac:dyDescent="0.3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  <c r="T340" s="7"/>
      <c r="U340" s="7"/>
      <c r="V340" s="7"/>
    </row>
    <row r="341" spans="2:22" x14ac:dyDescent="0.3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  <c r="T341" s="7"/>
      <c r="U341" s="7"/>
      <c r="V341" s="7"/>
    </row>
    <row r="342" spans="2:22" x14ac:dyDescent="0.3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  <c r="T342" s="7"/>
      <c r="U342" s="7"/>
      <c r="V342" s="7"/>
    </row>
    <row r="343" spans="2:22" x14ac:dyDescent="0.3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  <c r="T343" s="7"/>
      <c r="U343" s="7"/>
      <c r="V343" s="7"/>
    </row>
    <row r="344" spans="2:22" x14ac:dyDescent="0.3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  <c r="T344" s="7"/>
      <c r="U344" s="7"/>
      <c r="V344" s="7"/>
    </row>
    <row r="345" spans="2:22" x14ac:dyDescent="0.3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  <c r="T345" s="7"/>
      <c r="U345" s="7"/>
      <c r="V345" s="7"/>
    </row>
    <row r="346" spans="2:22" x14ac:dyDescent="0.3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  <c r="T346" s="7"/>
      <c r="U346" s="7"/>
      <c r="V346" s="7"/>
    </row>
    <row r="347" spans="2:22" x14ac:dyDescent="0.3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  <c r="T347" s="7"/>
      <c r="U347" s="7"/>
      <c r="V347" s="7"/>
    </row>
    <row r="348" spans="2:22" x14ac:dyDescent="0.3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  <c r="T348" s="7"/>
      <c r="U348" s="7"/>
      <c r="V348" s="7"/>
    </row>
    <row r="349" spans="2:22" x14ac:dyDescent="0.3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  <c r="T349" s="7"/>
      <c r="U349" s="7"/>
      <c r="V349" s="7"/>
    </row>
    <row r="350" spans="2:22" x14ac:dyDescent="0.3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  <c r="T350" s="7"/>
      <c r="U350" s="7"/>
      <c r="V350" s="7"/>
    </row>
    <row r="351" spans="2:22" x14ac:dyDescent="0.3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  <c r="T351" s="7"/>
      <c r="U351" s="7"/>
      <c r="V351" s="7"/>
    </row>
    <row r="352" spans="2:22" x14ac:dyDescent="0.3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  <c r="T352" s="7"/>
      <c r="U352" s="7"/>
      <c r="V352" s="7"/>
    </row>
    <row r="353" spans="2:22" x14ac:dyDescent="0.3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  <c r="T353" s="7"/>
      <c r="U353" s="7"/>
      <c r="V35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9</vt:i4>
      </vt:variant>
    </vt:vector>
  </HeadingPairs>
  <TitlesOfParts>
    <vt:vector size="14" baseType="lpstr">
      <vt:lpstr>Parameters</vt:lpstr>
      <vt:lpstr>6states</vt:lpstr>
      <vt:lpstr>6states,BAU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Energy capital per AL</vt:lpstr>
      <vt:lpstr>Adjustment costs</vt:lpstr>
      <vt:lpstr>Final energy</vt:lpstr>
      <vt:lpstr>Growth (levels)</vt:lpstr>
      <vt:lpstr>Growth (rates)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2026-03-08T13:22:09Z</dcterms:modified>
</cp:coreProperties>
</file>