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Q\Desktop\Revisão_Victor\Confiabilidade\Confiabilidade\Livro\Material\Confiabilidade\HPP_Exp\Dicas\"/>
    </mc:Choice>
  </mc:AlternateContent>
  <xr:revisionPtr revIDLastSave="0" documentId="13_ncr:1_{C4E766DC-890B-42FE-B96A-7A0212FD1891}" xr6:coauthVersionLast="36" xr6:coauthVersionMax="36" xr10:uidLastSave="{00000000-0000-0000-0000-000000000000}"/>
  <bookViews>
    <workbookView xWindow="0" yWindow="0" windowWidth="28800" windowHeight="13620" activeTab="4" xr2:uid="{FF27BC12-82DD-451E-B7ED-E607EE140C4A}"/>
  </bookViews>
  <sheets>
    <sheet name="Renovar_Expoencial" sheetId="3" r:id="rId1"/>
    <sheet name="Renovar_Weibull" sheetId="2" r:id="rId2"/>
    <sheet name="MR" sheetId="1" r:id="rId3"/>
    <sheet name="Trabalho_Dados_Enrico" sheetId="4" r:id="rId4"/>
    <sheet name="MR_Enrico" sheetId="5" r:id="rId5"/>
    <sheet name="Renovar_Enrico_Expo" sheetId="6" r:id="rId6"/>
    <sheet name="Renovar_Enrico_Weibull" sheetId="7" r:id="rId7"/>
  </sheets>
  <definedNames>
    <definedName name="solver_adj" localSheetId="2" hidden="1">MR!$H$2:$I$2</definedName>
    <definedName name="solver_adj" localSheetId="4" hidden="1">MR_Enrico!$AC$2</definedName>
    <definedName name="solver_adj" localSheetId="5" hidden="1">Renovar_Enrico_Expo!$G$2</definedName>
    <definedName name="solver_adj" localSheetId="6" hidden="1">Renovar_Enrico_Weibull!$G$2:$H$2</definedName>
    <definedName name="solver_adj" localSheetId="0" hidden="1">Renovar_Expoencial!$G$2</definedName>
    <definedName name="solver_adj" localSheetId="1" hidden="1">Renovar_Weibull!$G$2:$H$2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opt" localSheetId="2" hidden="1">MR!$G$2</definedName>
    <definedName name="solver_opt" localSheetId="4" hidden="1">MR_Enrico!$AA$2</definedName>
    <definedName name="solver_opt" localSheetId="5" hidden="1">Renovar_Enrico_Expo!$F$2</definedName>
    <definedName name="solver_opt" localSheetId="6" hidden="1">Renovar_Enrico_Weibull!$F$2</definedName>
    <definedName name="solver_opt" localSheetId="0" hidden="1">Renovar_Expoencial!$F$2</definedName>
    <definedName name="solver_opt" localSheetId="1" hidden="1">Renovar_Weibull!$F$2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4" hidden="1">2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5" l="1"/>
  <c r="R2" i="5"/>
  <c r="R7" i="6" l="1"/>
  <c r="R6" i="6"/>
  <c r="R8" i="6" s="1"/>
  <c r="D37" i="7"/>
  <c r="D36" i="7"/>
  <c r="D35" i="7"/>
  <c r="D41" i="7"/>
  <c r="D52" i="7" l="1"/>
  <c r="D51" i="7"/>
  <c r="D49" i="7"/>
  <c r="D48" i="7"/>
  <c r="D47" i="7"/>
  <c r="D46" i="7"/>
  <c r="D43" i="7"/>
  <c r="D42" i="7"/>
  <c r="D40" i="7"/>
  <c r="D32" i="7"/>
  <c r="D31" i="7"/>
  <c r="D30" i="7"/>
  <c r="D29" i="7"/>
  <c r="D26" i="7"/>
  <c r="D27" i="7"/>
  <c r="D25" i="7"/>
  <c r="D24" i="7"/>
  <c r="D23" i="7"/>
  <c r="D22" i="7"/>
  <c r="D21" i="7"/>
  <c r="D20" i="7"/>
  <c r="D19" i="7"/>
  <c r="D18" i="7"/>
  <c r="D17" i="7"/>
  <c r="D15" i="7"/>
  <c r="D16" i="7"/>
  <c r="D14" i="7"/>
  <c r="D13" i="7"/>
  <c r="D12" i="7"/>
  <c r="D11" i="7"/>
  <c r="D10" i="7"/>
  <c r="D9" i="7"/>
  <c r="D8" i="7"/>
  <c r="D7" i="7"/>
  <c r="D6" i="7"/>
  <c r="D5" i="7"/>
  <c r="D4" i="7"/>
  <c r="D3" i="7"/>
  <c r="D5" i="2"/>
  <c r="D4" i="2"/>
  <c r="D3" i="2"/>
  <c r="D62" i="7" l="1"/>
  <c r="D61" i="7"/>
  <c r="D60" i="7"/>
  <c r="D59" i="7"/>
  <c r="D58" i="7"/>
  <c r="D57" i="7"/>
  <c r="D56" i="7"/>
  <c r="D55" i="7"/>
  <c r="D54" i="7"/>
  <c r="D53" i="7"/>
  <c r="E52" i="7"/>
  <c r="E51" i="7"/>
  <c r="D50" i="7"/>
  <c r="E49" i="7"/>
  <c r="E48" i="7"/>
  <c r="E47" i="7"/>
  <c r="E46" i="7"/>
  <c r="D45" i="7"/>
  <c r="D44" i="7"/>
  <c r="E43" i="7"/>
  <c r="E42" i="7"/>
  <c r="E41" i="7"/>
  <c r="E40" i="7"/>
  <c r="D39" i="7"/>
  <c r="D38" i="7"/>
  <c r="E37" i="7"/>
  <c r="E36" i="7"/>
  <c r="E35" i="7"/>
  <c r="D34" i="7"/>
  <c r="D33" i="7"/>
  <c r="E32" i="7"/>
  <c r="E31" i="7"/>
  <c r="E30" i="7"/>
  <c r="E29" i="7"/>
  <c r="D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2" i="7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AA2" i="5"/>
  <c r="R3" i="5"/>
  <c r="S2" i="5" s="1"/>
  <c r="T2" i="5" s="1"/>
  <c r="U2" i="5" s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3" i="5"/>
  <c r="E3" i="5" s="1"/>
  <c r="D2" i="5"/>
  <c r="E2" i="5" s="1"/>
  <c r="D4" i="5"/>
  <c r="E4" i="5" s="1"/>
  <c r="E39" i="7" l="1"/>
  <c r="E55" i="7"/>
  <c r="E56" i="7"/>
  <c r="E33" i="7"/>
  <c r="E57" i="7"/>
  <c r="E2" i="7"/>
  <c r="E34" i="7"/>
  <c r="E50" i="7"/>
  <c r="E58" i="7"/>
  <c r="E59" i="7"/>
  <c r="E28" i="7"/>
  <c r="E44" i="7"/>
  <c r="E60" i="7"/>
  <c r="E45" i="7"/>
  <c r="E53" i="7"/>
  <c r="E61" i="7"/>
  <c r="E38" i="7"/>
  <c r="E54" i="7"/>
  <c r="E62" i="7"/>
  <c r="F2" i="6"/>
  <c r="I2" i="6" s="1"/>
  <c r="F2" i="5"/>
  <c r="I2" i="5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D37" i="3"/>
  <c r="D38" i="3"/>
  <c r="D39" i="3"/>
  <c r="D36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4" i="3"/>
  <c r="I2" i="3"/>
  <c r="B9" i="3"/>
  <c r="F2" i="7" l="1"/>
  <c r="I2" i="7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J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F2" i="3" l="1"/>
  <c r="J13" i="1"/>
  <c r="J14" i="1"/>
  <c r="J15" i="1"/>
  <c r="J12" i="1"/>
  <c r="D7" i="2" l="1"/>
  <c r="E7" i="2" s="1"/>
  <c r="E5" i="2"/>
  <c r="E4" i="2"/>
  <c r="D6" i="2"/>
  <c r="E6" i="2" s="1"/>
  <c r="E3" i="2"/>
  <c r="D2" i="2"/>
  <c r="E2" i="2" s="1"/>
  <c r="F2" i="2" l="1"/>
  <c r="I2" i="2" s="1"/>
  <c r="E5" i="1"/>
  <c r="F5" i="1" s="1"/>
  <c r="E2" i="1"/>
  <c r="F2" i="1" s="1"/>
  <c r="E7" i="1"/>
  <c r="F7" i="1" s="1"/>
  <c r="E4" i="1"/>
  <c r="F4" i="1" s="1"/>
  <c r="E3" i="1"/>
  <c r="F3" i="1" s="1"/>
  <c r="E6" i="1"/>
  <c r="F6" i="1" s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RCQ</author>
  </authors>
  <commentList>
    <comment ref="G1" authorId="0" shapeId="0" xr:uid="{18C7027E-1E2F-42F5-B8CC-F2CA6E1B3524}">
      <text>
        <r>
          <rPr>
            <b/>
            <sz val="9"/>
            <color indexed="81"/>
            <rFont val="Segoe UI"/>
            <family val="2"/>
          </rPr>
          <t>RCQ:</t>
        </r>
        <r>
          <rPr>
            <sz val="9"/>
            <color indexed="81"/>
            <rFont val="Segoe UI"/>
            <family val="2"/>
          </rPr>
          <t xml:space="preserve">
Usando o Solver</t>
        </r>
      </text>
    </comment>
    <comment ref="H1" authorId="0" shapeId="0" xr:uid="{64F6234B-19C7-4F06-A61F-92038AB00DB4}">
      <text>
        <r>
          <rPr>
            <b/>
            <sz val="9"/>
            <color indexed="81"/>
            <rFont val="Segoe UI"/>
            <family val="2"/>
          </rPr>
          <t>RCQ:</t>
        </r>
        <r>
          <rPr>
            <sz val="9"/>
            <color indexed="81"/>
            <rFont val="Segoe UI"/>
            <family val="2"/>
          </rPr>
          <t xml:space="preserve">
Usando o Solver</t>
        </r>
      </text>
    </comment>
    <comment ref="AC1" authorId="0" shapeId="0" xr:uid="{A1071C8D-002E-403F-8F4F-8FD63216CF05}">
      <text>
        <r>
          <rPr>
            <b/>
            <sz val="9"/>
            <color indexed="81"/>
            <rFont val="Segoe UI"/>
            <family val="2"/>
          </rPr>
          <t>RCQ:</t>
        </r>
        <r>
          <rPr>
            <sz val="9"/>
            <color indexed="81"/>
            <rFont val="Segoe UI"/>
            <family val="2"/>
          </rPr>
          <t xml:space="preserve">
Usando o Solver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RCQ</author>
  </authors>
  <commentList>
    <comment ref="G1" authorId="0" shapeId="0" xr:uid="{3E05DE36-FBAB-4C64-9C75-868B02F32C77}">
      <text>
        <r>
          <rPr>
            <b/>
            <sz val="9"/>
            <color indexed="81"/>
            <rFont val="Segoe UI"/>
            <family val="2"/>
          </rPr>
          <t>RCQ:</t>
        </r>
        <r>
          <rPr>
            <sz val="9"/>
            <color indexed="81"/>
            <rFont val="Segoe UI"/>
            <family val="2"/>
          </rPr>
          <t xml:space="preserve">
Usando o Solver</t>
        </r>
      </text>
    </comment>
    <comment ref="H1" authorId="0" shapeId="0" xr:uid="{96D9CE47-7063-416C-A5D8-518277D664BA}">
      <text>
        <r>
          <rPr>
            <b/>
            <sz val="9"/>
            <color indexed="81"/>
            <rFont val="Segoe UI"/>
            <family val="2"/>
          </rPr>
          <t>RCQ
Fixei em 1 para indicar a Expo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RCQ</author>
  </authors>
  <commentList>
    <comment ref="G1" authorId="0" shapeId="0" xr:uid="{55F2BF43-AFE3-4A1E-A246-4CE094964019}">
      <text>
        <r>
          <rPr>
            <b/>
            <sz val="9"/>
            <color indexed="81"/>
            <rFont val="Segoe UI"/>
            <family val="2"/>
          </rPr>
          <t>RCQ:</t>
        </r>
        <r>
          <rPr>
            <sz val="9"/>
            <color indexed="81"/>
            <rFont val="Segoe UI"/>
            <family val="2"/>
          </rPr>
          <t xml:space="preserve">
Usando o Solver</t>
        </r>
      </text>
    </comment>
    <comment ref="H1" authorId="0" shapeId="0" xr:uid="{F2269B79-7B61-4C1D-A13A-97E68458A4BD}">
      <text>
        <r>
          <rPr>
            <b/>
            <sz val="9"/>
            <color indexed="81"/>
            <rFont val="Segoe UI"/>
            <family val="2"/>
          </rPr>
          <t>RCQ
Fixei em 1 para indicar a Expo</t>
        </r>
      </text>
    </comment>
  </commentList>
</comments>
</file>

<file path=xl/sharedStrings.xml><?xml version="1.0" encoding="utf-8"?>
<sst xmlns="http://schemas.openxmlformats.org/spreadsheetml/2006/main" count="124" uniqueCount="51">
  <si>
    <t>Instante de Falha/Censura</t>
  </si>
  <si>
    <t>Sistema</t>
  </si>
  <si>
    <t>Censura</t>
  </si>
  <si>
    <t>L</t>
  </si>
  <si>
    <t>Escala</t>
  </si>
  <si>
    <t>Forma</t>
  </si>
  <si>
    <t>Ln</t>
  </si>
  <si>
    <t>SLn</t>
  </si>
  <si>
    <t>1|3</t>
  </si>
  <si>
    <t>1|2</t>
  </si>
  <si>
    <t>Nelson_Alen</t>
  </si>
  <si>
    <t>Nelson_Alen x Paramétrico</t>
  </si>
  <si>
    <t>Weibull_MR</t>
  </si>
  <si>
    <t>Manutenção Preventiva</t>
  </si>
  <si>
    <t>Tempo</t>
  </si>
  <si>
    <t>Custo p/ Unidade de Tempo</t>
  </si>
  <si>
    <t>MR</t>
  </si>
  <si>
    <t>1$</t>
  </si>
  <si>
    <t>MP</t>
  </si>
  <si>
    <t>5$</t>
  </si>
  <si>
    <t>AIC</t>
  </si>
  <si>
    <t>Renovação Corretiva</t>
  </si>
  <si>
    <t>Renovação Preventiva</t>
  </si>
  <si>
    <t>Expo</t>
  </si>
  <si>
    <t xml:space="preserve">Decisão: </t>
  </si>
  <si>
    <t>Fazer PM de 10 e 10 mil horas</t>
  </si>
  <si>
    <t>Decisão</t>
  </si>
  <si>
    <t>Não Fazer Manutenção Preventiva</t>
  </si>
  <si>
    <t>Weibull (Simulação de Monte Carlo)</t>
  </si>
  <si>
    <t>Falhas com Renovaçãoes (Monte Carlo)</t>
  </si>
  <si>
    <t>Equi</t>
  </si>
  <si>
    <t>Failure Time</t>
  </si>
  <si>
    <t>Considere os dados de falhas de Transformadores disponível no paper do Gustavo&amp;Enrico (disponível no Moodle). Considere que após acada falha é realizado um MR. Os valores entre parênteses indicam censura e "*" indica renovação. a)Encontre os parâmetros da Weibull que pode ser usada neste processo. O modelo parece adequado? b) Se o $MR=15 e $MP=1, qual a política ótima de manutenção?</t>
  </si>
  <si>
    <t>Custo MR</t>
  </si>
  <si>
    <t>Custo RP</t>
  </si>
  <si>
    <t>Custo por unidade de Tempo</t>
  </si>
  <si>
    <t>Mínimo</t>
  </si>
  <si>
    <t>Refe</t>
  </si>
  <si>
    <t>Ordem</t>
  </si>
  <si>
    <t>Usando o Solver</t>
  </si>
  <si>
    <t>T</t>
  </si>
  <si>
    <t>O modelo é pior do que o MR com Weibull: Gráfico Nelson-Alen e AIC maior.</t>
  </si>
  <si>
    <t>Método Alternativo para estimar o parâmetro de escala</t>
  </si>
  <si>
    <t>Tempo de Funcionamento</t>
  </si>
  <si>
    <t>Número de Falhas</t>
  </si>
  <si>
    <t>Estimativa Escala</t>
  </si>
  <si>
    <t>Valor Tempo Ótimo PM</t>
  </si>
  <si>
    <t>Para Elaborar a Linha Vermelha Paramétrica basta usar MCF=(T/Escala)^Forma</t>
  </si>
  <si>
    <t>Para Elaborar a Linha Vermelha Paramétrica basta usar MCF=(T/Escala)</t>
  </si>
  <si>
    <t>Para Elaborar a Linha Vermelha Paramétrica é preciso usar Simulação de Monte Carlo</t>
  </si>
  <si>
    <t>Usando o Wolfram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</si>
</sst>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Renovar_Expoencial!$L$3</c:f>
              <c:strCache>
                <c:ptCount val="1"/>
                <c:pt idx="0">
                  <c:v>Custo p/ Unidade de 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Renovar_Expoencial!$K$4:$K$25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Renovar_Expoencial!$L$4:$L$25</c:f>
              <c:numCache>
                <c:formatCode>General</c:formatCode>
                <c:ptCount val="22"/>
                <c:pt idx="0">
                  <c:v>5.1481478265020248</c:v>
                </c:pt>
                <c:pt idx="1">
                  <c:v>2.6481478265020248</c:v>
                </c:pt>
                <c:pt idx="2">
                  <c:v>1.8148144931686916</c:v>
                </c:pt>
                <c:pt idx="3">
                  <c:v>1.3981478265020248</c:v>
                </c:pt>
                <c:pt idx="4">
                  <c:v>1.1481478265020248</c:v>
                </c:pt>
                <c:pt idx="5">
                  <c:v>0.98148115983535822</c:v>
                </c:pt>
                <c:pt idx="6">
                  <c:v>0.86243354078773915</c:v>
                </c:pt>
                <c:pt idx="7">
                  <c:v>0.77314782650202485</c:v>
                </c:pt>
                <c:pt idx="8">
                  <c:v>0.70370338205758043</c:v>
                </c:pt>
                <c:pt idx="9">
                  <c:v>0.64814782650202485</c:v>
                </c:pt>
                <c:pt idx="10">
                  <c:v>0.60269328104747943</c:v>
                </c:pt>
                <c:pt idx="11">
                  <c:v>0.56481449316869148</c:v>
                </c:pt>
                <c:pt idx="12">
                  <c:v>0.53276321111740943</c:v>
                </c:pt>
                <c:pt idx="13">
                  <c:v>0.50529068364488194</c:v>
                </c:pt>
                <c:pt idx="14">
                  <c:v>0.48148115983535816</c:v>
                </c:pt>
                <c:pt idx="15">
                  <c:v>0.46064782650202485</c:v>
                </c:pt>
                <c:pt idx="16">
                  <c:v>0.44226547356084839</c:v>
                </c:pt>
                <c:pt idx="17">
                  <c:v>0.42592560427980264</c:v>
                </c:pt>
                <c:pt idx="18">
                  <c:v>0.41130572123886694</c:v>
                </c:pt>
                <c:pt idx="19">
                  <c:v>0.39814782650202485</c:v>
                </c:pt>
                <c:pt idx="20">
                  <c:v>0.38624306459726299</c:v>
                </c:pt>
                <c:pt idx="21">
                  <c:v>0.37542055377475214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7-4770-AA0F-92C5A2CE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66703"/>
        <c:axId val="1996687807"/>
      </c:scatterChart>
      <c:valAx>
        <c:axId val="19951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87807"/>
        <c:crosses val="autoZero"/>
        <c:crossBetween val="midCat"/>
      </c:valAx>
      <c:valAx>
        <c:axId val="19966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16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Renovar_Weibull!$N$3</c:f>
              <c:strCache>
                <c:ptCount val="1"/>
                <c:pt idx="0">
                  <c:v>Custo p/ Unidade de 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Renovar_Weibull!$M$4:$M$25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Renovar_Weibull!$N$4:$N$25</c:f>
              <c:numCache>
                <c:formatCode>General</c:formatCode>
                <c:ptCount val="22"/>
                <c:pt idx="0">
                  <c:v>5.0350000000000001</c:v>
                </c:pt>
                <c:pt idx="1">
                  <c:v>2.5605000000000002</c:v>
                </c:pt>
                <c:pt idx="2">
                  <c:v>1.7482</c:v>
                </c:pt>
                <c:pt idx="3">
                  <c:v>1.34945</c:v>
                </c:pt>
                <c:pt idx="4">
                  <c:v>1.1107200000000002</c:v>
                </c:pt>
                <c:pt idx="5">
                  <c:v>0.95666666666666667</c:v>
                </c:pt>
                <c:pt idx="6">
                  <c:v>0.8466285714285714</c:v>
                </c:pt>
                <c:pt idx="7">
                  <c:v>0.76290000000000002</c:v>
                </c:pt>
                <c:pt idx="8">
                  <c:v>0.69873333333333332</c:v>
                </c:pt>
                <c:pt idx="9">
                  <c:v>0.64779999999999993</c:v>
                </c:pt>
                <c:pt idx="10">
                  <c:v>0.60530909090909091</c:v>
                </c:pt>
                <c:pt idx="11">
                  <c:v>0.56831666666666669</c:v>
                </c:pt>
                <c:pt idx="12">
                  <c:v>0.53941538461538463</c:v>
                </c:pt>
                <c:pt idx="13">
                  <c:v>0.51365714285714292</c:v>
                </c:pt>
                <c:pt idx="14">
                  <c:v>0.49229333333333331</c:v>
                </c:pt>
                <c:pt idx="15">
                  <c:v>0.47333749999999997</c:v>
                </c:pt>
                <c:pt idx="16">
                  <c:v>0.45425882352941177</c:v>
                </c:pt>
                <c:pt idx="17">
                  <c:v>0.44107777777777779</c:v>
                </c:pt>
                <c:pt idx="18">
                  <c:v>0.42364210526315782</c:v>
                </c:pt>
                <c:pt idx="19">
                  <c:v>0.41141000000000005</c:v>
                </c:pt>
                <c:pt idx="20">
                  <c:v>0.40209523809523806</c:v>
                </c:pt>
                <c:pt idx="21">
                  <c:v>0.39281818181818179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4-4B11-B546-0219DD3F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66703"/>
        <c:axId val="1996687807"/>
      </c:scatterChart>
      <c:valAx>
        <c:axId val="199516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87807"/>
        <c:crosses val="autoZero"/>
        <c:crossBetween val="midCat"/>
      </c:valAx>
      <c:valAx>
        <c:axId val="19966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16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MCF versus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Renovar_Weibull!$C$28</c:f>
              <c:strCache>
                <c:ptCount val="1"/>
                <c:pt idx="0">
                  <c:v>Nelson_Alen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Renovar_Weibull!$B$29:$B$32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Renovar_Weibull!$C$29:$C$32</c:f>
              <c:numCache>
                <c:formatCode>General</c:formatCode>
                <c:ptCount val="4"/>
                <c:pt idx="0">
                  <c:v>0.33333000000000002</c:v>
                </c:pt>
                <c:pt idx="1">
                  <c:v>0.66666999999999998</c:v>
                </c:pt>
                <c:pt idx="2">
                  <c:v>1.1666700000000001</c:v>
                </c:pt>
                <c:pt idx="3">
                  <c:v>1.6666700000000001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D-4433-A8A1-14E69A607ED6}"/>
            </c:ext>
          </c:extLst>
        </c:ser>
        <c:ser>
          <c:idx val="1"/>
          <c:order val="1"/>
          <c:tx>
            <c:strRef>
              <c:f>Renovar_Weibull!$D$28</c:f>
              <c:strCache>
                <c:ptCount val="1"/>
                <c:pt idx="0">
                  <c:v>Weibull (Simulação de Monte Carlo)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Renovar_Weibull!$B$29:$B$32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Renovar_Weibull!$D$29:$D$32</c:f>
              <c:numCache>
                <c:formatCode>0.00000</c:formatCode>
                <c:ptCount val="4"/>
                <c:pt idx="0">
                  <c:v>0.56059999999999999</c:v>
                </c:pt>
                <c:pt idx="1">
                  <c:v>0.92100000000000004</c:v>
                </c:pt>
                <c:pt idx="2">
                  <c:v>1.1126</c:v>
                </c:pt>
                <c:pt idx="3">
                  <c:v>1.4732000000000001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D-4433-A8A1-14E69A60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567"/>
        <c:axId val="1996684479"/>
      </c:scatterChart>
      <c:valAx>
        <c:axId val="721415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84479"/>
        <c:crosses val="autoZero"/>
        <c:crossBetween val="midCat"/>
      </c:valAx>
      <c:valAx>
        <c:axId val="19966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MCF versus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MR!$I$11</c:f>
              <c:strCache>
                <c:ptCount val="1"/>
                <c:pt idx="0">
                  <c:v>Nelson_Alen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MR!$H$12:$H$15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MR!$I$12:$I$15</c:f>
              <c:numCache>
                <c:formatCode>General</c:formatCode>
                <c:ptCount val="4"/>
                <c:pt idx="0">
                  <c:v>0.33333000000000002</c:v>
                </c:pt>
                <c:pt idx="1">
                  <c:v>0.66666999999999998</c:v>
                </c:pt>
                <c:pt idx="2">
                  <c:v>1.1666700000000001</c:v>
                </c:pt>
                <c:pt idx="3">
                  <c:v>1.6666700000000001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4F3-AEB7-91F5676609A6}"/>
            </c:ext>
          </c:extLst>
        </c:ser>
        <c:ser>
          <c:idx val="1"/>
          <c:order val="1"/>
          <c:tx>
            <c:strRef>
              <c:f>MR!$J$11</c:f>
              <c:strCache>
                <c:ptCount val="1"/>
                <c:pt idx="0">
                  <c:v>Weibull_MR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MR!$H$12:$H$15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MR!$J$12:$J$15</c:f>
              <c:numCache>
                <c:formatCode>General</c:formatCode>
                <c:ptCount val="4"/>
                <c:pt idx="0">
                  <c:v>0.14186106804804552</c:v>
                </c:pt>
                <c:pt idx="1">
                  <c:v>0.48156634398682208</c:v>
                </c:pt>
                <c:pt idx="2">
                  <c:v>0.78217702167480829</c:v>
                </c:pt>
                <c:pt idx="3">
                  <c:v>1.7592164482336525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8-44F3-AEB7-91F56766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567"/>
        <c:axId val="1996684479"/>
      </c:scatterChart>
      <c:valAx>
        <c:axId val="721415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84479"/>
        <c:crosses val="autoZero"/>
        <c:crossBetween val="midCat"/>
      </c:valAx>
      <c:valAx>
        <c:axId val="19966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4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MR!$O$3</c:f>
              <c:strCache>
                <c:ptCount val="1"/>
                <c:pt idx="0">
                  <c:v>Custo p/ Unidade de 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MR!$N$4:$N$25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MR!$O$4:$O$25</c:f>
              <c:numCache>
                <c:formatCode>General</c:formatCode>
                <c:ptCount val="22"/>
                <c:pt idx="0">
                  <c:v>5.000410144505949</c:v>
                </c:pt>
                <c:pt idx="1">
                  <c:v>2.5025430971687537</c:v>
                </c:pt>
                <c:pt idx="2">
                  <c:v>1.6740610588635292</c:v>
                </c:pt>
                <c:pt idx="3">
                  <c:v>1.2657684501825852</c:v>
                </c:pt>
                <c:pt idx="4">
                  <c:v>1.0283722136096092</c:v>
                </c:pt>
                <c:pt idx="5">
                  <c:v>0.87918219291264144</c:v>
                </c:pt>
                <c:pt idx="6">
                  <c:v>0.78308090628383176</c:v>
                </c:pt>
                <c:pt idx="7">
                  <c:v>0.72277212770935106</c:v>
                </c:pt>
                <c:pt idx="8">
                  <c:v>0.68886719369261895</c:v>
                </c:pt>
                <c:pt idx="9">
                  <c:v>0.67592164482336525</c:v>
                </c:pt>
                <c:pt idx="10">
                  <c:v>0.68063508913099058</c:v>
                </c:pt>
                <c:pt idx="11">
                  <c:v>0.70095209118270319</c:v>
                </c:pt>
                <c:pt idx="12">
                  <c:v>0.73557872076043596</c:v>
                </c:pt>
                <c:pt idx="13">
                  <c:v>0.78370680096390388</c:v>
                </c:pt>
                <c:pt idx="14">
                  <c:v>0.84484884037887087</c:v>
                </c:pt>
                <c:pt idx="15">
                  <c:v>0.9187351623732235</c:v>
                </c:pt>
                <c:pt idx="16">
                  <c:v>1.0052475756135357</c:v>
                </c:pt>
                <c:pt idx="17">
                  <c:v>1.1043753417840834</c:v>
                </c:pt>
                <c:pt idx="18">
                  <c:v>1.2161852004300318</c:v>
                </c:pt>
                <c:pt idx="19">
                  <c:v>1.3408005114862329</c:v>
                </c:pt>
                <c:pt idx="20">
                  <c:v>1.4783864610999198</c:v>
                </c:pt>
                <c:pt idx="21">
                  <c:v>1.6291393895316921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5-4897-BCD3-54824534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4799"/>
        <c:axId val="1996681983"/>
      </c:scatterChart>
      <c:valAx>
        <c:axId val="2365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81983"/>
        <c:crosses val="autoZero"/>
        <c:crossBetween val="midCat"/>
      </c:valAx>
      <c:valAx>
        <c:axId val="19966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Ótimo</a:t>
            </a:r>
            <a:r>
              <a:rPr lang="en-US" baseline="0"/>
              <a:t> 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MR_Enrico!$R$1</c:f>
              <c:strCache>
                <c:ptCount val="1"/>
                <c:pt idx="0">
                  <c:v>Custo por unidade de Tempo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MR_Enrico!$Q$2:$Q$111</c:f>
              <c:numCache>
                <c:formatCode>General</c:formatCode>
                <c:ptCount val="110"/>
                <c:pt idx="0">
                  <c:v>6241</c:v>
                </c:pt>
                <c:pt idx="1">
                  <c:v>6242</c:v>
                </c:pt>
                <c:pt idx="2">
                  <c:v>6243</c:v>
                </c:pt>
                <c:pt idx="3">
                  <c:v>6244</c:v>
                </c:pt>
                <c:pt idx="4">
                  <c:v>6245</c:v>
                </c:pt>
                <c:pt idx="5">
                  <c:v>6246</c:v>
                </c:pt>
                <c:pt idx="6">
                  <c:v>6247</c:v>
                </c:pt>
                <c:pt idx="7">
                  <c:v>6248</c:v>
                </c:pt>
                <c:pt idx="8">
                  <c:v>6249</c:v>
                </c:pt>
                <c:pt idx="9">
                  <c:v>6250</c:v>
                </c:pt>
                <c:pt idx="10">
                  <c:v>6251</c:v>
                </c:pt>
                <c:pt idx="11">
                  <c:v>6252</c:v>
                </c:pt>
                <c:pt idx="12">
                  <c:v>6253</c:v>
                </c:pt>
                <c:pt idx="13">
                  <c:v>6254</c:v>
                </c:pt>
                <c:pt idx="14">
                  <c:v>6255</c:v>
                </c:pt>
                <c:pt idx="15">
                  <c:v>6256</c:v>
                </c:pt>
                <c:pt idx="16">
                  <c:v>6257</c:v>
                </c:pt>
                <c:pt idx="17">
                  <c:v>6258</c:v>
                </c:pt>
                <c:pt idx="18">
                  <c:v>6259</c:v>
                </c:pt>
                <c:pt idx="19">
                  <c:v>6260</c:v>
                </c:pt>
                <c:pt idx="20">
                  <c:v>6261</c:v>
                </c:pt>
                <c:pt idx="21">
                  <c:v>6262</c:v>
                </c:pt>
                <c:pt idx="22">
                  <c:v>6263</c:v>
                </c:pt>
                <c:pt idx="23">
                  <c:v>6264</c:v>
                </c:pt>
                <c:pt idx="24">
                  <c:v>6265</c:v>
                </c:pt>
                <c:pt idx="25">
                  <c:v>6266</c:v>
                </c:pt>
                <c:pt idx="26">
                  <c:v>6267</c:v>
                </c:pt>
                <c:pt idx="27">
                  <c:v>6268</c:v>
                </c:pt>
                <c:pt idx="28">
                  <c:v>6269</c:v>
                </c:pt>
                <c:pt idx="29">
                  <c:v>6270</c:v>
                </c:pt>
                <c:pt idx="30">
                  <c:v>6271</c:v>
                </c:pt>
                <c:pt idx="31">
                  <c:v>6272</c:v>
                </c:pt>
                <c:pt idx="32">
                  <c:v>6273</c:v>
                </c:pt>
                <c:pt idx="33">
                  <c:v>6274</c:v>
                </c:pt>
                <c:pt idx="34">
                  <c:v>6275</c:v>
                </c:pt>
                <c:pt idx="35">
                  <c:v>6276</c:v>
                </c:pt>
                <c:pt idx="36">
                  <c:v>6277</c:v>
                </c:pt>
                <c:pt idx="37">
                  <c:v>6278</c:v>
                </c:pt>
                <c:pt idx="38">
                  <c:v>6279</c:v>
                </c:pt>
                <c:pt idx="39">
                  <c:v>6280</c:v>
                </c:pt>
                <c:pt idx="40">
                  <c:v>6281</c:v>
                </c:pt>
                <c:pt idx="41">
                  <c:v>6282</c:v>
                </c:pt>
                <c:pt idx="42">
                  <c:v>6283</c:v>
                </c:pt>
                <c:pt idx="43">
                  <c:v>6284</c:v>
                </c:pt>
                <c:pt idx="44">
                  <c:v>6285</c:v>
                </c:pt>
                <c:pt idx="45">
                  <c:v>6286</c:v>
                </c:pt>
                <c:pt idx="46">
                  <c:v>6287</c:v>
                </c:pt>
                <c:pt idx="47">
                  <c:v>6288</c:v>
                </c:pt>
                <c:pt idx="48">
                  <c:v>6289</c:v>
                </c:pt>
                <c:pt idx="49">
                  <c:v>6290</c:v>
                </c:pt>
                <c:pt idx="50">
                  <c:v>6291</c:v>
                </c:pt>
                <c:pt idx="51">
                  <c:v>6292</c:v>
                </c:pt>
                <c:pt idx="52">
                  <c:v>6293</c:v>
                </c:pt>
                <c:pt idx="53">
                  <c:v>6294</c:v>
                </c:pt>
                <c:pt idx="54">
                  <c:v>6295</c:v>
                </c:pt>
                <c:pt idx="55">
                  <c:v>6296</c:v>
                </c:pt>
                <c:pt idx="56">
                  <c:v>6297</c:v>
                </c:pt>
                <c:pt idx="57">
                  <c:v>6298</c:v>
                </c:pt>
                <c:pt idx="58">
                  <c:v>6299</c:v>
                </c:pt>
                <c:pt idx="59">
                  <c:v>6300</c:v>
                </c:pt>
                <c:pt idx="60">
                  <c:v>6301</c:v>
                </c:pt>
                <c:pt idx="61">
                  <c:v>6302</c:v>
                </c:pt>
                <c:pt idx="62">
                  <c:v>6303</c:v>
                </c:pt>
                <c:pt idx="63">
                  <c:v>6304</c:v>
                </c:pt>
                <c:pt idx="64">
                  <c:v>6305</c:v>
                </c:pt>
                <c:pt idx="65">
                  <c:v>6306</c:v>
                </c:pt>
                <c:pt idx="66">
                  <c:v>6307</c:v>
                </c:pt>
                <c:pt idx="67">
                  <c:v>6308</c:v>
                </c:pt>
                <c:pt idx="68">
                  <c:v>6309</c:v>
                </c:pt>
                <c:pt idx="69">
                  <c:v>6310</c:v>
                </c:pt>
                <c:pt idx="70">
                  <c:v>6311</c:v>
                </c:pt>
                <c:pt idx="71">
                  <c:v>6312</c:v>
                </c:pt>
                <c:pt idx="72">
                  <c:v>6313</c:v>
                </c:pt>
                <c:pt idx="73">
                  <c:v>6314</c:v>
                </c:pt>
                <c:pt idx="74">
                  <c:v>6315</c:v>
                </c:pt>
                <c:pt idx="75">
                  <c:v>6316</c:v>
                </c:pt>
                <c:pt idx="76">
                  <c:v>6317</c:v>
                </c:pt>
                <c:pt idx="77">
                  <c:v>6318</c:v>
                </c:pt>
                <c:pt idx="78">
                  <c:v>6319</c:v>
                </c:pt>
                <c:pt idx="79">
                  <c:v>6320</c:v>
                </c:pt>
                <c:pt idx="80">
                  <c:v>6321</c:v>
                </c:pt>
                <c:pt idx="81">
                  <c:v>6322</c:v>
                </c:pt>
                <c:pt idx="82">
                  <c:v>6323</c:v>
                </c:pt>
                <c:pt idx="83">
                  <c:v>6324</c:v>
                </c:pt>
                <c:pt idx="84">
                  <c:v>6325</c:v>
                </c:pt>
                <c:pt idx="85">
                  <c:v>6326</c:v>
                </c:pt>
                <c:pt idx="86">
                  <c:v>6327</c:v>
                </c:pt>
                <c:pt idx="87">
                  <c:v>6328</c:v>
                </c:pt>
                <c:pt idx="88">
                  <c:v>6329</c:v>
                </c:pt>
                <c:pt idx="89">
                  <c:v>6330</c:v>
                </c:pt>
                <c:pt idx="90">
                  <c:v>6331</c:v>
                </c:pt>
                <c:pt idx="91">
                  <c:v>6332</c:v>
                </c:pt>
                <c:pt idx="92">
                  <c:v>6333</c:v>
                </c:pt>
                <c:pt idx="93">
                  <c:v>6334</c:v>
                </c:pt>
                <c:pt idx="94">
                  <c:v>6335</c:v>
                </c:pt>
                <c:pt idx="95">
                  <c:v>6336</c:v>
                </c:pt>
                <c:pt idx="96">
                  <c:v>6337</c:v>
                </c:pt>
                <c:pt idx="97">
                  <c:v>6338</c:v>
                </c:pt>
                <c:pt idx="98">
                  <c:v>6339</c:v>
                </c:pt>
                <c:pt idx="99">
                  <c:v>6340</c:v>
                </c:pt>
                <c:pt idx="100">
                  <c:v>6341</c:v>
                </c:pt>
                <c:pt idx="101">
                  <c:v>6342</c:v>
                </c:pt>
                <c:pt idx="102">
                  <c:v>6343</c:v>
                </c:pt>
                <c:pt idx="103">
                  <c:v>6344</c:v>
                </c:pt>
                <c:pt idx="104">
                  <c:v>6345</c:v>
                </c:pt>
                <c:pt idx="105">
                  <c:v>6346</c:v>
                </c:pt>
                <c:pt idx="106">
                  <c:v>6347</c:v>
                </c:pt>
                <c:pt idx="107">
                  <c:v>6348</c:v>
                </c:pt>
                <c:pt idx="108">
                  <c:v>6349</c:v>
                </c:pt>
                <c:pt idx="109">
                  <c:v>6350</c:v>
                </c:pt>
              </c:numCache>
            </c:numRef>
          </c:xVal>
          <c:yVal>
            <c:numRef>
              <c:f>MR_Enrico!$R$2:$R$111</c:f>
              <c:numCache>
                <c:formatCode>General</c:formatCode>
                <c:ptCount val="110"/>
                <c:pt idx="0">
                  <c:v>3.189361284458228E-4</c:v>
                </c:pt>
                <c:pt idx="1">
                  <c:v>3.1893576769469103E-4</c:v>
                </c:pt>
                <c:pt idx="2">
                  <c:v>3.1893541514789209E-4</c:v>
                </c:pt>
                <c:pt idx="3">
                  <c:v>3.1893507080147846E-4</c:v>
                </c:pt>
                <c:pt idx="4">
                  <c:v>3.1893473465150428E-4</c:v>
                </c:pt>
                <c:pt idx="5">
                  <c:v>3.1893440669402692E-4</c:v>
                </c:pt>
                <c:pt idx="6">
                  <c:v>3.1893408692510572E-4</c:v>
                </c:pt>
                <c:pt idx="7">
                  <c:v>3.1893377534080282E-4</c:v>
                </c:pt>
                <c:pt idx="8">
                  <c:v>3.1893347193718299E-4</c:v>
                </c:pt>
                <c:pt idx="9">
                  <c:v>3.1893317671031324E-4</c:v>
                </c:pt>
                <c:pt idx="10">
                  <c:v>3.1893288965626339E-4</c:v>
                </c:pt>
                <c:pt idx="11">
                  <c:v>3.1893261077110542E-4</c:v>
                </c:pt>
                <c:pt idx="12">
                  <c:v>3.1893234005091425E-4</c:v>
                </c:pt>
                <c:pt idx="13">
                  <c:v>3.1893207749176682E-4</c:v>
                </c:pt>
                <c:pt idx="14">
                  <c:v>3.1893182308974312E-4</c:v>
                </c:pt>
                <c:pt idx="15">
                  <c:v>3.1893157684092512E-4</c:v>
                </c:pt>
                <c:pt idx="16">
                  <c:v>3.1893133874139772E-4</c:v>
                </c:pt>
                <c:pt idx="17">
                  <c:v>3.1893110878724814E-4</c:v>
                </c:pt>
                <c:pt idx="18">
                  <c:v>3.1893088697456588E-4</c:v>
                </c:pt>
                <c:pt idx="19">
                  <c:v>3.1893067329944353E-4</c:v>
                </c:pt>
                <c:pt idx="20">
                  <c:v>3.1893046775797573E-4</c:v>
                </c:pt>
                <c:pt idx="21">
                  <c:v>3.1893027034625947E-4</c:v>
                </c:pt>
                <c:pt idx="22">
                  <c:v>3.1893008106039465E-4</c:v>
                </c:pt>
                <c:pt idx="23">
                  <c:v>3.1892989989648363E-4</c:v>
                </c:pt>
                <c:pt idx="24">
                  <c:v>3.1892972685063081E-4</c:v>
                </c:pt>
                <c:pt idx="25">
                  <c:v>3.1892956191894353E-4</c:v>
                </c:pt>
                <c:pt idx="26">
                  <c:v>3.1892940509753139E-4</c:v>
                </c:pt>
                <c:pt idx="27">
                  <c:v>3.1892925638250672E-4</c:v>
                </c:pt>
                <c:pt idx="28">
                  <c:v>3.1892911576998401E-4</c:v>
                </c:pt>
                <c:pt idx="29">
                  <c:v>3.1892898325608035E-4</c:v>
                </c:pt>
                <c:pt idx="30">
                  <c:v>3.1892885883691549E-4</c:v>
                </c:pt>
                <c:pt idx="31">
                  <c:v>3.1892874250861135E-4</c:v>
                </c:pt>
                <c:pt idx="32">
                  <c:v>3.189286342672925E-4</c:v>
                </c:pt>
                <c:pt idx="33">
                  <c:v>3.1892853410908601E-4</c:v>
                </c:pt>
                <c:pt idx="34">
                  <c:v>3.1892844203012155E-4</c:v>
                </c:pt>
                <c:pt idx="35">
                  <c:v>3.1892835802653068E-4</c:v>
                </c:pt>
                <c:pt idx="36">
                  <c:v>3.1892828209444807E-4</c:v>
                </c:pt>
                <c:pt idx="37">
                  <c:v>3.1892821423001058E-4</c:v>
                </c:pt>
                <c:pt idx="38">
                  <c:v>3.1892815442935755E-4</c:v>
                </c:pt>
                <c:pt idx="39">
                  <c:v>3.1892810268863072E-4</c:v>
                </c:pt>
                <c:pt idx="40">
                  <c:v>3.1892805900397446E-4</c:v>
                </c:pt>
                <c:pt idx="41">
                  <c:v>3.189280233715354E-4</c:v>
                </c:pt>
                <c:pt idx="42">
                  <c:v>3.1892799578746279E-4</c:v>
                </c:pt>
                <c:pt idx="43">
                  <c:v>3.189279762479083E-4</c:v>
                </c:pt>
                <c:pt idx="44">
                  <c:v>3.1892796474902577E-4</c:v>
                </c:pt>
                <c:pt idx="45">
                  <c:v>3.1892796128697194E-4</c:v>
                </c:pt>
                <c:pt idx="46">
                  <c:v>3.189279658579058E-4</c:v>
                </c:pt>
                <c:pt idx="47">
                  <c:v>3.1892797845798861E-4</c:v>
                </c:pt>
                <c:pt idx="48">
                  <c:v>3.1892799908338448E-4</c:v>
                </c:pt>
                <c:pt idx="49">
                  <c:v>3.1892802773025939E-4</c:v>
                </c:pt>
                <c:pt idx="50">
                  <c:v>3.1892806439478226E-4</c:v>
                </c:pt>
                <c:pt idx="51">
                  <c:v>3.1892810907312435E-4</c:v>
                </c:pt>
                <c:pt idx="52">
                  <c:v>3.18928161761459E-4</c:v>
                </c:pt>
                <c:pt idx="53">
                  <c:v>3.1892822245596257E-4</c:v>
                </c:pt>
                <c:pt idx="54">
                  <c:v>3.1892829115281335E-4</c:v>
                </c:pt>
                <c:pt idx="55">
                  <c:v>3.1892836784819218E-4</c:v>
                </c:pt>
                <c:pt idx="56">
                  <c:v>3.1892845253828257E-4</c:v>
                </c:pt>
                <c:pt idx="57">
                  <c:v>3.1892854521927007E-4</c:v>
                </c:pt>
                <c:pt idx="58">
                  <c:v>3.1892864588734307E-4</c:v>
                </c:pt>
                <c:pt idx="59">
                  <c:v>3.1892875453869206E-4</c:v>
                </c:pt>
                <c:pt idx="60">
                  <c:v>3.1892887116951013E-4</c:v>
                </c:pt>
                <c:pt idx="61">
                  <c:v>3.1892899577599254E-4</c:v>
                </c:pt>
                <c:pt idx="62">
                  <c:v>3.1892912835433733E-4</c:v>
                </c:pt>
                <c:pt idx="63">
                  <c:v>3.1892926890074452E-4</c:v>
                </c:pt>
                <c:pt idx="64">
                  <c:v>3.1892941741141714E-4</c:v>
                </c:pt>
                <c:pt idx="65">
                  <c:v>3.1892957388256009E-4</c:v>
                </c:pt>
                <c:pt idx="66">
                  <c:v>3.1892973831038079E-4</c:v>
                </c:pt>
                <c:pt idx="67">
                  <c:v>3.1892991069108908E-4</c:v>
                </c:pt>
                <c:pt idx="68">
                  <c:v>3.1893009102089756E-4</c:v>
                </c:pt>
                <c:pt idx="69">
                  <c:v>3.1893027929602076E-4</c:v>
                </c:pt>
                <c:pt idx="70">
                  <c:v>3.1893047551267577E-4</c:v>
                </c:pt>
                <c:pt idx="71">
                  <c:v>3.1893067966708215E-4</c:v>
                </c:pt>
                <c:pt idx="72">
                  <c:v>3.1893089175546156E-4</c:v>
                </c:pt>
                <c:pt idx="73">
                  <c:v>3.189311117740387E-4</c:v>
                </c:pt>
                <c:pt idx="74">
                  <c:v>3.1893133971904006E-4</c:v>
                </c:pt>
                <c:pt idx="75">
                  <c:v>3.1893157558669468E-4</c:v>
                </c:pt>
                <c:pt idx="76">
                  <c:v>3.1893181937323398E-4</c:v>
                </c:pt>
                <c:pt idx="77">
                  <c:v>3.1893207107489197E-4</c:v>
                </c:pt>
                <c:pt idx="78">
                  <c:v>3.1893233068790475E-4</c:v>
                </c:pt>
                <c:pt idx="79">
                  <c:v>3.1893259820851106E-4</c:v>
                </c:pt>
                <c:pt idx="80">
                  <c:v>3.1893287363295175E-4</c:v>
                </c:pt>
                <c:pt idx="81">
                  <c:v>3.1893315695747033E-4</c:v>
                </c:pt>
                <c:pt idx="82">
                  <c:v>3.1893344817831264E-4</c:v>
                </c:pt>
                <c:pt idx="83">
                  <c:v>3.1893374729172658E-4</c:v>
                </c:pt>
                <c:pt idx="84">
                  <c:v>3.1893405429396276E-4</c:v>
                </c:pt>
                <c:pt idx="85">
                  <c:v>3.1893436918127403E-4</c:v>
                </c:pt>
                <c:pt idx="86">
                  <c:v>3.1893469194991576E-4</c:v>
                </c:pt>
                <c:pt idx="87">
                  <c:v>3.1893502259614545E-4</c:v>
                </c:pt>
                <c:pt idx="88">
                  <c:v>3.189353611162232E-4</c:v>
                </c:pt>
                <c:pt idx="89">
                  <c:v>3.189357075064111E-4</c:v>
                </c:pt>
                <c:pt idx="90">
                  <c:v>3.189360617629741E-4</c:v>
                </c:pt>
                <c:pt idx="91">
                  <c:v>3.1893642388217933E-4</c:v>
                </c:pt>
                <c:pt idx="92">
                  <c:v>3.1893679386029599E-4</c:v>
                </c:pt>
                <c:pt idx="93">
                  <c:v>3.1893717169359596E-4</c:v>
                </c:pt>
                <c:pt idx="94">
                  <c:v>3.1893755737835353E-4</c:v>
                </c:pt>
                <c:pt idx="95">
                  <c:v>3.1893795091084495E-4</c:v>
                </c:pt>
                <c:pt idx="96">
                  <c:v>3.1893835228734925E-4</c:v>
                </c:pt>
                <c:pt idx="97">
                  <c:v>3.189387615041475E-4</c:v>
                </c:pt>
                <c:pt idx="98">
                  <c:v>3.1893917855752338E-4</c:v>
                </c:pt>
                <c:pt idx="99">
                  <c:v>3.1893960344376259E-4</c:v>
                </c:pt>
                <c:pt idx="100">
                  <c:v>3.189400361591535E-4</c:v>
                </c:pt>
                <c:pt idx="101">
                  <c:v>3.1894047669998659E-4</c:v>
                </c:pt>
                <c:pt idx="102">
                  <c:v>3.1894092506255496E-4</c:v>
                </c:pt>
                <c:pt idx="103">
                  <c:v>3.1894138124315363E-4</c:v>
                </c:pt>
                <c:pt idx="104">
                  <c:v>3.1894184523808037E-4</c:v>
                </c:pt>
                <c:pt idx="105">
                  <c:v>3.1894231704363512E-4</c:v>
                </c:pt>
                <c:pt idx="106">
                  <c:v>3.1894279665611983E-4</c:v>
                </c:pt>
                <c:pt idx="107">
                  <c:v>3.1894328407183943E-4</c:v>
                </c:pt>
                <c:pt idx="108">
                  <c:v>3.1894377928710075E-4</c:v>
                </c:pt>
                <c:pt idx="109">
                  <c:v>3.1894428229821295E-4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0-49E7-9429-3748C0BE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36288"/>
        <c:axId val="730001376"/>
      </c:scatterChart>
      <c:valAx>
        <c:axId val="9352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001376"/>
        <c:crosses val="autoZero"/>
        <c:crossBetween val="midCat"/>
      </c:valAx>
      <c:valAx>
        <c:axId val="730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por Unidade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2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emf"/><Relationship Id="rId1" Type="http://schemas.openxmlformats.org/officeDocument/2006/relationships/chart" Target="../charts/chart6.xml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4</xdr:row>
      <xdr:rowOff>104775</xdr:rowOff>
    </xdr:from>
    <xdr:to>
      <xdr:col>21</xdr:col>
      <xdr:colOff>190500</xdr:colOff>
      <xdr:row>18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1FFCA2-BA20-42A1-B8E4-CC390D4A5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257175</xdr:colOff>
      <xdr:row>12</xdr:row>
      <xdr:rowOff>19050</xdr:rowOff>
    </xdr:from>
    <xdr:to>
      <xdr:col>7</xdr:col>
      <xdr:colOff>447675</xdr:colOff>
      <xdr:row>31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CE3939-CCB0-48F0-82BF-1ED6615F1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050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19</xdr:col>
      <xdr:colOff>334187</xdr:colOff>
      <xdr:row>68</xdr:row>
      <xdr:rowOff>134485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1CC1CE-6819-4B68-A9C7-1652140E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4953000"/>
          <a:ext cx="5820587" cy="813548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24</xdr:col>
      <xdr:colOff>95604</xdr:colOff>
      <xdr:row>28</xdr:row>
      <xdr:rowOff>114396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6CFA22-5BC9-4E10-9A56-1C0DA0146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0" y="4762500"/>
          <a:ext cx="2534004" cy="685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4</xdr:row>
      <xdr:rowOff>95250</xdr:rowOff>
    </xdr:from>
    <xdr:to>
      <xdr:col>22</xdr:col>
      <xdr:colOff>552450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724D3-C832-41A8-B6E7-41F0D6D9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1333500</xdr:colOff>
      <xdr:row>8</xdr:row>
      <xdr:rowOff>133350</xdr:rowOff>
    </xdr:from>
    <xdr:to>
      <xdr:col>8</xdr:col>
      <xdr:colOff>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493DBB-159E-43C5-871F-DAD9E7507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96088</xdr:colOff>
      <xdr:row>77</xdr:row>
      <xdr:rowOff>172591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D3DD75-9917-4ABA-B604-8CCE9C9B9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0"/>
          <a:ext cx="6001588" cy="81735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13</xdr:col>
      <xdr:colOff>152762</xdr:colOff>
      <xdr:row>38</xdr:row>
      <xdr:rowOff>95343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CADC04-6E6E-4CE4-885A-7713EE30F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100" y="6667500"/>
          <a:ext cx="2591162" cy="666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18</xdr:row>
      <xdr:rowOff>171450</xdr:rowOff>
    </xdr:from>
    <xdr:to>
      <xdr:col>7</xdr:col>
      <xdr:colOff>42862</xdr:colOff>
      <xdr:row>33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A48B87-9D50-4EE4-AC86-23F39476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5</xdr:row>
      <xdr:rowOff>57150</xdr:rowOff>
    </xdr:from>
    <xdr:to>
      <xdr:col>23</xdr:col>
      <xdr:colOff>323850</xdr:colOff>
      <xdr:row>19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5E4BD0-66E9-4CA9-8A06-F26237A4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36</xdr:row>
      <xdr:rowOff>0</xdr:rowOff>
    </xdr:from>
    <xdr:to>
      <xdr:col>8</xdr:col>
      <xdr:colOff>190500</xdr:colOff>
      <xdr:row>55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90BABE3-4DEC-4674-AB3E-C7BB4EC90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21</xdr:col>
      <xdr:colOff>48482</xdr:colOff>
      <xdr:row>77</xdr:row>
      <xdr:rowOff>115406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DBED6A-A463-4A04-BD7A-60486516F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6858000"/>
          <a:ext cx="6144482" cy="792590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25</xdr:col>
      <xdr:colOff>581361</xdr:colOff>
      <xdr:row>39</xdr:row>
      <xdr:rowOff>66791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D73D4E1-3EB7-4BC7-ADAA-259BB027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39900" y="6667500"/>
          <a:ext cx="2410161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17</xdr:col>
      <xdr:colOff>105640</xdr:colOff>
      <xdr:row>43</xdr:row>
      <xdr:rowOff>10643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D5CB30-650E-4E3D-A8C0-6C352B040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"/>
          <a:ext cx="6201640" cy="8011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8</xdr:row>
      <xdr:rowOff>23812</xdr:rowOff>
    </xdr:from>
    <xdr:to>
      <xdr:col>25</xdr:col>
      <xdr:colOff>476250</xdr:colOff>
      <xdr:row>22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C1594-3DFB-4C65-8761-A6D7D909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533400</xdr:colOff>
      <xdr:row>35</xdr:row>
      <xdr:rowOff>0</xdr:rowOff>
    </xdr:from>
    <xdr:to>
      <xdr:col>14</xdr:col>
      <xdr:colOff>533400</xdr:colOff>
      <xdr:row>54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CE6370-2221-4339-80CF-8459BCAFB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6675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40</xdr:col>
      <xdr:colOff>182048</xdr:colOff>
      <xdr:row>27</xdr:row>
      <xdr:rowOff>67163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13D22D-AEA2-4D67-8886-8BBB334CD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59375" y="1714500"/>
          <a:ext cx="7687748" cy="349616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39</xdr:col>
      <xdr:colOff>229594</xdr:colOff>
      <xdr:row>63</xdr:row>
      <xdr:rowOff>39009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EC2FA1-E673-4D19-A27A-7B4B7AB4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59375" y="5524500"/>
          <a:ext cx="7125694" cy="6516009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9</xdr:row>
      <xdr:rowOff>76200</xdr:rowOff>
    </xdr:from>
    <xdr:to>
      <xdr:col>14</xdr:col>
      <xdr:colOff>581796</xdr:colOff>
      <xdr:row>20</xdr:row>
      <xdr:rowOff>19335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B9E2363-2B18-4E7D-8D29-2D46AB2C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81425" y="1790700"/>
          <a:ext cx="5525271" cy="2038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15</xdr:col>
      <xdr:colOff>0</xdr:colOff>
      <xdr:row>23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65F139-0B45-4926-B053-26625751B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7620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14</xdr:col>
      <xdr:colOff>609600</xdr:colOff>
      <xdr:row>25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AC5086-CD9C-45BD-8AC5-C00534491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1430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1E96-EE1C-4057-B581-1A62907AC55E}">
  <dimension ref="A1:P39"/>
  <sheetViews>
    <sheetView workbookViewId="0">
      <selection activeCell="Z3" sqref="Z3"/>
    </sheetView>
  </sheetViews>
  <sheetFormatPr defaultRowHeight="15" x14ac:dyDescent="0.25"/>
  <cols>
    <col min="1" max="1" width="24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s="1" t="s">
        <v>4</v>
      </c>
      <c r="H1" s="1" t="s">
        <v>5</v>
      </c>
      <c r="I1" t="s">
        <v>20</v>
      </c>
      <c r="K1" t="s">
        <v>13</v>
      </c>
      <c r="N1" t="s">
        <v>21</v>
      </c>
      <c r="O1" t="s">
        <v>17</v>
      </c>
    </row>
    <row r="2" spans="1:15" x14ac:dyDescent="0.25">
      <c r="A2">
        <v>7</v>
      </c>
      <c r="B2">
        <v>1</v>
      </c>
      <c r="C2">
        <v>0</v>
      </c>
      <c r="D2" s="2">
        <f>1-_xlfn.WEIBULL.DIST(A2,H2,G2,1)</f>
        <v>0.35450430631340968</v>
      </c>
      <c r="E2">
        <f>LN(D2)</f>
        <v>-1.0370347855141742</v>
      </c>
      <c r="F2">
        <f>SUM(E2:E7)</f>
        <v>-11.638170019547182</v>
      </c>
      <c r="G2" s="1">
        <v>6.7500146550333104</v>
      </c>
      <c r="H2" s="1">
        <v>1</v>
      </c>
      <c r="I2">
        <f>-2*F2+2</f>
        <v>25.276340039094364</v>
      </c>
      <c r="N2" t="s">
        <v>22</v>
      </c>
      <c r="O2" t="s">
        <v>19</v>
      </c>
    </row>
    <row r="3" spans="1:15" x14ac:dyDescent="0.25">
      <c r="A3">
        <v>5</v>
      </c>
      <c r="B3">
        <v>2</v>
      </c>
      <c r="C3">
        <v>1</v>
      </c>
      <c r="D3">
        <f>_xlfn.WEIBULL.DIST(A3,H2,G2,0)</f>
        <v>7.0631164490156703E-2</v>
      </c>
      <c r="E3">
        <f t="shared" ref="E3:E7" si="0">LN(D3)</f>
        <v>-2.6502838085082518</v>
      </c>
      <c r="K3" t="s">
        <v>14</v>
      </c>
      <c r="L3" t="s">
        <v>15</v>
      </c>
    </row>
    <row r="4" spans="1:15" x14ac:dyDescent="0.25">
      <c r="A4">
        <v>7</v>
      </c>
      <c r="B4">
        <v>2</v>
      </c>
      <c r="C4">
        <v>1</v>
      </c>
      <c r="D4">
        <f>_xlfn.WEIBULL.DIST(7-5,H2,G2,0)</f>
        <v>0.11015791750652543</v>
      </c>
      <c r="E4">
        <f t="shared" si="0"/>
        <v>-2.2058403290021773</v>
      </c>
      <c r="K4">
        <v>1</v>
      </c>
      <c r="L4">
        <f>((K4/$G$2)*1+5)/K4</f>
        <v>5.1481478265020248</v>
      </c>
    </row>
    <row r="5" spans="1:15" x14ac:dyDescent="0.25">
      <c r="A5">
        <v>10</v>
      </c>
      <c r="B5">
        <v>2</v>
      </c>
      <c r="C5">
        <v>0</v>
      </c>
      <c r="D5">
        <f>(1-_xlfn.WEIBULL.DIST(3,H2,G2,1))</f>
        <v>0.64118100712981185</v>
      </c>
      <c r="E5">
        <f t="shared" si="0"/>
        <v>-0.44444347950607466</v>
      </c>
      <c r="K5">
        <v>2</v>
      </c>
      <c r="L5">
        <f t="shared" ref="L5:L25" si="1">((K5/$G$2)*1+5)/K5</f>
        <v>2.6481478265020248</v>
      </c>
    </row>
    <row r="6" spans="1:15" x14ac:dyDescent="0.25">
      <c r="A6">
        <v>8</v>
      </c>
      <c r="B6">
        <v>3</v>
      </c>
      <c r="C6">
        <v>1</v>
      </c>
      <c r="D6">
        <f>_xlfn.WEIBULL.DIST(A6,H2,G2,0)</f>
        <v>4.5287361182550084E-2</v>
      </c>
      <c r="E6">
        <f t="shared" si="0"/>
        <v>-3.0947272880143264</v>
      </c>
      <c r="K6">
        <v>3</v>
      </c>
      <c r="L6">
        <f t="shared" si="1"/>
        <v>1.8148144931686916</v>
      </c>
    </row>
    <row r="7" spans="1:15" x14ac:dyDescent="0.25">
      <c r="A7">
        <v>10</v>
      </c>
      <c r="B7">
        <v>3</v>
      </c>
      <c r="C7">
        <v>1</v>
      </c>
      <c r="D7">
        <f>_xlfn.WEIBULL.DIST(2,H2,G2,0)</f>
        <v>0.11015791750652543</v>
      </c>
      <c r="E7">
        <f t="shared" si="0"/>
        <v>-2.2058403290021773</v>
      </c>
      <c r="K7">
        <v>4</v>
      </c>
      <c r="L7">
        <f t="shared" si="1"/>
        <v>1.3981478265020248</v>
      </c>
    </row>
    <row r="8" spans="1:15" x14ac:dyDescent="0.25">
      <c r="K8">
        <v>5</v>
      </c>
      <c r="L8">
        <f t="shared" si="1"/>
        <v>1.1481478265020248</v>
      </c>
    </row>
    <row r="9" spans="1:15" x14ac:dyDescent="0.25">
      <c r="A9" t="s">
        <v>4</v>
      </c>
      <c r="B9">
        <f>(7+10+10)/4</f>
        <v>6.75</v>
      </c>
      <c r="K9">
        <v>6</v>
      </c>
      <c r="L9">
        <f t="shared" si="1"/>
        <v>0.98148115983535822</v>
      </c>
    </row>
    <row r="10" spans="1:15" x14ac:dyDescent="0.25">
      <c r="K10">
        <v>7</v>
      </c>
      <c r="L10">
        <f t="shared" si="1"/>
        <v>0.86243354078773915</v>
      </c>
    </row>
    <row r="11" spans="1:15" x14ac:dyDescent="0.25">
      <c r="E11" s="3"/>
      <c r="K11">
        <v>8</v>
      </c>
      <c r="L11">
        <f t="shared" si="1"/>
        <v>0.77314782650202485</v>
      </c>
    </row>
    <row r="12" spans="1:15" x14ac:dyDescent="0.25">
      <c r="K12">
        <v>9</v>
      </c>
      <c r="L12">
        <f t="shared" si="1"/>
        <v>0.70370338205758043</v>
      </c>
    </row>
    <row r="13" spans="1:15" x14ac:dyDescent="0.25">
      <c r="K13">
        <v>10</v>
      </c>
      <c r="L13">
        <f t="shared" si="1"/>
        <v>0.64814782650202485</v>
      </c>
    </row>
    <row r="14" spans="1:15" x14ac:dyDescent="0.25">
      <c r="K14">
        <v>11</v>
      </c>
      <c r="L14">
        <f t="shared" si="1"/>
        <v>0.60269328104747943</v>
      </c>
    </row>
    <row r="15" spans="1:15" x14ac:dyDescent="0.25">
      <c r="K15">
        <v>12</v>
      </c>
      <c r="L15">
        <f t="shared" si="1"/>
        <v>0.56481449316869148</v>
      </c>
    </row>
    <row r="16" spans="1:15" x14ac:dyDescent="0.25">
      <c r="K16">
        <v>13</v>
      </c>
      <c r="L16">
        <f t="shared" si="1"/>
        <v>0.53276321111740943</v>
      </c>
    </row>
    <row r="17" spans="11:16" x14ac:dyDescent="0.25">
      <c r="K17">
        <v>14</v>
      </c>
      <c r="L17">
        <f t="shared" si="1"/>
        <v>0.50529068364488194</v>
      </c>
    </row>
    <row r="18" spans="11:16" x14ac:dyDescent="0.25">
      <c r="K18">
        <v>15</v>
      </c>
      <c r="L18">
        <f t="shared" si="1"/>
        <v>0.48148115983535816</v>
      </c>
    </row>
    <row r="19" spans="11:16" x14ac:dyDescent="0.25">
      <c r="K19">
        <v>16</v>
      </c>
      <c r="L19">
        <f t="shared" si="1"/>
        <v>0.46064782650202485</v>
      </c>
    </row>
    <row r="20" spans="11:16" x14ac:dyDescent="0.25">
      <c r="K20">
        <v>17</v>
      </c>
      <c r="L20">
        <f t="shared" si="1"/>
        <v>0.44226547356084839</v>
      </c>
    </row>
    <row r="21" spans="11:16" x14ac:dyDescent="0.25">
      <c r="K21">
        <v>18</v>
      </c>
      <c r="L21">
        <f t="shared" si="1"/>
        <v>0.42592560427980264</v>
      </c>
      <c r="O21" t="s">
        <v>26</v>
      </c>
      <c r="P21" t="s">
        <v>27</v>
      </c>
    </row>
    <row r="22" spans="11:16" x14ac:dyDescent="0.25">
      <c r="K22">
        <v>19</v>
      </c>
      <c r="L22">
        <f t="shared" si="1"/>
        <v>0.41130572123886694</v>
      </c>
    </row>
    <row r="23" spans="11:16" x14ac:dyDescent="0.25">
      <c r="K23">
        <v>20</v>
      </c>
      <c r="L23">
        <f t="shared" si="1"/>
        <v>0.39814782650202485</v>
      </c>
    </row>
    <row r="24" spans="11:16" x14ac:dyDescent="0.25">
      <c r="K24">
        <v>21</v>
      </c>
      <c r="L24">
        <f t="shared" si="1"/>
        <v>0.38624306459726299</v>
      </c>
    </row>
    <row r="25" spans="11:16" x14ac:dyDescent="0.25">
      <c r="K25">
        <v>22</v>
      </c>
      <c r="L25">
        <f t="shared" si="1"/>
        <v>0.37542055377475214</v>
      </c>
    </row>
    <row r="34" spans="2:4" x14ac:dyDescent="0.25">
      <c r="B34" s="14" t="s">
        <v>11</v>
      </c>
      <c r="C34" s="14"/>
      <c r="D34" s="14"/>
    </row>
    <row r="35" spans="2:4" x14ac:dyDescent="0.25">
      <c r="B35" s="1"/>
      <c r="C35" s="1" t="s">
        <v>10</v>
      </c>
      <c r="D35" s="1" t="s">
        <v>23</v>
      </c>
    </row>
    <row r="36" spans="2:4" x14ac:dyDescent="0.25">
      <c r="B36">
        <v>5</v>
      </c>
      <c r="C36">
        <v>0.33333000000000002</v>
      </c>
      <c r="D36">
        <f>(B36/$G$2)</f>
        <v>0.74073913251012424</v>
      </c>
    </row>
    <row r="37" spans="2:4" x14ac:dyDescent="0.25">
      <c r="B37">
        <v>7</v>
      </c>
      <c r="C37">
        <v>0.66666999999999998</v>
      </c>
      <c r="D37">
        <f t="shared" ref="D37:D39" si="2">(B37/$G$2)</f>
        <v>1.0370347855141739</v>
      </c>
    </row>
    <row r="38" spans="2:4" x14ac:dyDescent="0.25">
      <c r="B38">
        <v>8</v>
      </c>
      <c r="C38">
        <v>1.1666700000000001</v>
      </c>
      <c r="D38">
        <f t="shared" si="2"/>
        <v>1.1851826120161988</v>
      </c>
    </row>
    <row r="39" spans="2:4" x14ac:dyDescent="0.25">
      <c r="B39">
        <v>10</v>
      </c>
      <c r="C39">
        <v>1.6666700000000001</v>
      </c>
      <c r="D39">
        <f t="shared" si="2"/>
        <v>1.4814782650202485</v>
      </c>
    </row>
  </sheetData>
  <mergeCells count="1">
    <mergeCell ref="B34:D3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1740-CA2A-4CA6-B480-BC269798B6C8}">
  <dimension ref="A1:Q54"/>
  <sheetViews>
    <sheetView workbookViewId="0">
      <selection activeCell="L41" sqref="L41"/>
    </sheetView>
  </sheetViews>
  <sheetFormatPr defaultRowHeight="15" x14ac:dyDescent="0.25"/>
  <cols>
    <col min="1" max="1" width="2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s="1" t="s">
        <v>4</v>
      </c>
      <c r="H1" s="1" t="s">
        <v>5</v>
      </c>
      <c r="I1" t="s">
        <v>20</v>
      </c>
      <c r="K1" t="s">
        <v>13</v>
      </c>
      <c r="O1" t="s">
        <v>21</v>
      </c>
      <c r="P1" t="s">
        <v>17</v>
      </c>
    </row>
    <row r="2" spans="1:16" x14ac:dyDescent="0.25">
      <c r="A2">
        <v>7</v>
      </c>
      <c r="B2">
        <v>1</v>
      </c>
      <c r="C2">
        <v>0</v>
      </c>
      <c r="D2" s="2">
        <f>1-_xlfn.WEIBULL.DIST(A2,H2,G2,1)</f>
        <v>0.28924262924588406</v>
      </c>
      <c r="E2">
        <f>LN(D2)</f>
        <v>-1.2404893955290233</v>
      </c>
      <c r="F2">
        <f>SUM(E2:E7)</f>
        <v>-10.760426509399149</v>
      </c>
      <c r="G2" s="1">
        <v>6.2283568412976598</v>
      </c>
      <c r="H2" s="1">
        <v>1.8451233138865679</v>
      </c>
      <c r="I2">
        <f>-2*F2+4</f>
        <v>25.520853018798299</v>
      </c>
      <c r="O2" t="s">
        <v>22</v>
      </c>
      <c r="P2" t="s">
        <v>19</v>
      </c>
    </row>
    <row r="3" spans="1:16" x14ac:dyDescent="0.25">
      <c r="A3">
        <v>5</v>
      </c>
      <c r="B3">
        <v>2</v>
      </c>
      <c r="C3">
        <v>1</v>
      </c>
      <c r="D3">
        <f>_xlfn.WEIBULL.DIST(A3,H2,G2,0)</f>
        <v>0.12631487563491606</v>
      </c>
      <c r="E3">
        <f t="shared" ref="E3:E7" si="0">LN(D3)</f>
        <v>-2.0689774763956246</v>
      </c>
      <c r="K3" t="s">
        <v>14</v>
      </c>
      <c r="L3" t="s">
        <v>29</v>
      </c>
      <c r="M3" t="s">
        <v>14</v>
      </c>
      <c r="N3" t="s">
        <v>15</v>
      </c>
    </row>
    <row r="4" spans="1:16" x14ac:dyDescent="0.25">
      <c r="A4">
        <v>7</v>
      </c>
      <c r="B4">
        <v>2</v>
      </c>
      <c r="C4">
        <v>1</v>
      </c>
      <c r="D4">
        <f>_xlfn.WEIBULL.DIST(7-5,H2,G2,0)</f>
        <v>0.10030447619650407</v>
      </c>
      <c r="E4">
        <f t="shared" si="0"/>
        <v>-2.2995449569292523</v>
      </c>
      <c r="K4">
        <v>1</v>
      </c>
      <c r="L4">
        <v>3.5000000000000003E-2</v>
      </c>
      <c r="M4">
        <v>1</v>
      </c>
      <c r="N4">
        <f>(L4*1+5)/K4</f>
        <v>5.0350000000000001</v>
      </c>
    </row>
    <row r="5" spans="1:16" x14ac:dyDescent="0.25">
      <c r="A5">
        <v>10</v>
      </c>
      <c r="B5">
        <v>2</v>
      </c>
      <c r="C5">
        <v>0</v>
      </c>
      <c r="D5">
        <f>(1-_xlfn.WEIBULL.DIST(3,H2,G2,1))</f>
        <v>0.77120979579650317</v>
      </c>
      <c r="E5">
        <f t="shared" si="0"/>
        <v>-0.25979483374818385</v>
      </c>
      <c r="K5">
        <v>2</v>
      </c>
      <c r="L5">
        <v>0.121</v>
      </c>
      <c r="M5">
        <v>2</v>
      </c>
      <c r="N5">
        <f t="shared" ref="N5:N25" si="1">(L5*1+5)/K5</f>
        <v>2.5605000000000002</v>
      </c>
    </row>
    <row r="6" spans="1:16" x14ac:dyDescent="0.25">
      <c r="A6">
        <v>8</v>
      </c>
      <c r="B6">
        <v>3</v>
      </c>
      <c r="C6">
        <v>1</v>
      </c>
      <c r="D6">
        <f>_xlfn.WEIBULL.DIST(A6,H2,G2,0)</f>
        <v>7.4864543139576273E-2</v>
      </c>
      <c r="E6">
        <f t="shared" si="0"/>
        <v>-2.5920748898678134</v>
      </c>
      <c r="K6">
        <v>3</v>
      </c>
      <c r="L6">
        <v>0.24460000000000001</v>
      </c>
      <c r="M6">
        <v>3</v>
      </c>
      <c r="N6">
        <f t="shared" si="1"/>
        <v>1.7482</v>
      </c>
    </row>
    <row r="7" spans="1:16" x14ac:dyDescent="0.25">
      <c r="A7">
        <v>10</v>
      </c>
      <c r="B7">
        <v>3</v>
      </c>
      <c r="C7">
        <v>1</v>
      </c>
      <c r="D7">
        <f>_xlfn.WEIBULL.DIST(2,H2,G2,0)</f>
        <v>0.10030447619650407</v>
      </c>
      <c r="E7">
        <f t="shared" si="0"/>
        <v>-2.2995449569292523</v>
      </c>
      <c r="K7">
        <v>4</v>
      </c>
      <c r="L7">
        <v>0.39779999999999999</v>
      </c>
      <c r="M7">
        <v>4</v>
      </c>
      <c r="N7">
        <f t="shared" si="1"/>
        <v>1.34945</v>
      </c>
    </row>
    <row r="8" spans="1:16" x14ac:dyDescent="0.25">
      <c r="K8">
        <v>5</v>
      </c>
      <c r="L8">
        <v>0.55359999999999998</v>
      </c>
      <c r="M8">
        <v>5</v>
      </c>
      <c r="N8">
        <f t="shared" si="1"/>
        <v>1.1107200000000002</v>
      </c>
    </row>
    <row r="9" spans="1:16" x14ac:dyDescent="0.25">
      <c r="K9">
        <v>6</v>
      </c>
      <c r="L9">
        <v>0.74</v>
      </c>
      <c r="M9">
        <v>6</v>
      </c>
      <c r="N9">
        <f t="shared" si="1"/>
        <v>0.95666666666666667</v>
      </c>
    </row>
    <row r="10" spans="1:16" x14ac:dyDescent="0.25">
      <c r="K10">
        <v>7</v>
      </c>
      <c r="L10">
        <v>0.9264</v>
      </c>
      <c r="M10">
        <v>7</v>
      </c>
      <c r="N10">
        <f t="shared" si="1"/>
        <v>0.8466285714285714</v>
      </c>
    </row>
    <row r="11" spans="1:16" x14ac:dyDescent="0.25">
      <c r="E11" s="3"/>
      <c r="K11">
        <v>8</v>
      </c>
      <c r="L11">
        <v>1.1032</v>
      </c>
      <c r="M11">
        <v>8</v>
      </c>
      <c r="N11">
        <f t="shared" si="1"/>
        <v>0.76290000000000002</v>
      </c>
    </row>
    <row r="12" spans="1:16" x14ac:dyDescent="0.25">
      <c r="K12">
        <v>9</v>
      </c>
      <c r="L12">
        <v>1.2886</v>
      </c>
      <c r="M12">
        <v>9</v>
      </c>
      <c r="N12">
        <f t="shared" si="1"/>
        <v>0.69873333333333332</v>
      </c>
    </row>
    <row r="13" spans="1:16" x14ac:dyDescent="0.25">
      <c r="K13">
        <v>10</v>
      </c>
      <c r="L13">
        <v>1.478</v>
      </c>
      <c r="M13">
        <v>10</v>
      </c>
      <c r="N13">
        <f t="shared" si="1"/>
        <v>0.64779999999999993</v>
      </c>
    </row>
    <row r="14" spans="1:16" x14ac:dyDescent="0.25">
      <c r="K14">
        <v>11</v>
      </c>
      <c r="L14">
        <v>1.6584000000000001</v>
      </c>
      <c r="M14">
        <v>11</v>
      </c>
      <c r="N14">
        <f t="shared" si="1"/>
        <v>0.60530909090909091</v>
      </c>
    </row>
    <row r="15" spans="1:16" x14ac:dyDescent="0.25">
      <c r="K15">
        <v>12</v>
      </c>
      <c r="L15">
        <v>1.8198000000000001</v>
      </c>
      <c r="M15">
        <v>12</v>
      </c>
      <c r="N15">
        <f t="shared" si="1"/>
        <v>0.56831666666666669</v>
      </c>
    </row>
    <row r="16" spans="1:16" x14ac:dyDescent="0.25">
      <c r="K16">
        <v>13</v>
      </c>
      <c r="L16">
        <v>2.0124</v>
      </c>
      <c r="M16">
        <v>13</v>
      </c>
      <c r="N16">
        <f t="shared" si="1"/>
        <v>0.53941538461538463</v>
      </c>
    </row>
    <row r="17" spans="2:17" x14ac:dyDescent="0.25">
      <c r="K17">
        <v>14</v>
      </c>
      <c r="L17">
        <v>2.1911999999999998</v>
      </c>
      <c r="M17">
        <v>14</v>
      </c>
      <c r="N17">
        <f t="shared" si="1"/>
        <v>0.51365714285714292</v>
      </c>
    </row>
    <row r="18" spans="2:17" x14ac:dyDescent="0.25">
      <c r="K18">
        <v>15</v>
      </c>
      <c r="L18">
        <v>2.3843999999999999</v>
      </c>
      <c r="M18">
        <v>15</v>
      </c>
      <c r="N18">
        <f t="shared" si="1"/>
        <v>0.49229333333333331</v>
      </c>
    </row>
    <row r="19" spans="2:17" x14ac:dyDescent="0.25">
      <c r="K19">
        <v>16</v>
      </c>
      <c r="L19">
        <v>2.5733999999999999</v>
      </c>
      <c r="M19">
        <v>16</v>
      </c>
      <c r="N19">
        <f t="shared" si="1"/>
        <v>0.47333749999999997</v>
      </c>
    </row>
    <row r="20" spans="2:17" x14ac:dyDescent="0.25">
      <c r="K20">
        <v>17</v>
      </c>
      <c r="L20">
        <v>2.7223999999999999</v>
      </c>
      <c r="M20">
        <v>17</v>
      </c>
      <c r="N20">
        <f t="shared" si="1"/>
        <v>0.45425882352941177</v>
      </c>
    </row>
    <row r="21" spans="2:17" x14ac:dyDescent="0.25">
      <c r="K21">
        <v>18</v>
      </c>
      <c r="L21">
        <v>2.9394</v>
      </c>
      <c r="M21">
        <v>18</v>
      </c>
      <c r="N21">
        <f t="shared" si="1"/>
        <v>0.44107777777777779</v>
      </c>
    </row>
    <row r="22" spans="2:17" x14ac:dyDescent="0.25">
      <c r="K22">
        <v>19</v>
      </c>
      <c r="L22">
        <v>3.0491999999999999</v>
      </c>
      <c r="M22">
        <v>19</v>
      </c>
      <c r="N22">
        <f t="shared" si="1"/>
        <v>0.42364210526315782</v>
      </c>
      <c r="P22" t="s">
        <v>26</v>
      </c>
      <c r="Q22" t="s">
        <v>27</v>
      </c>
    </row>
    <row r="23" spans="2:17" x14ac:dyDescent="0.25">
      <c r="K23">
        <v>20</v>
      </c>
      <c r="L23">
        <v>3.2282000000000002</v>
      </c>
      <c r="M23">
        <v>20</v>
      </c>
      <c r="N23">
        <f t="shared" si="1"/>
        <v>0.41141000000000005</v>
      </c>
    </row>
    <row r="24" spans="2:17" x14ac:dyDescent="0.25">
      <c r="K24">
        <v>21</v>
      </c>
      <c r="L24">
        <v>3.444</v>
      </c>
      <c r="M24">
        <v>21</v>
      </c>
      <c r="N24">
        <f t="shared" si="1"/>
        <v>0.40209523809523806</v>
      </c>
    </row>
    <row r="25" spans="2:17" x14ac:dyDescent="0.25">
      <c r="K25">
        <v>22</v>
      </c>
      <c r="L25">
        <v>3.6419999999999999</v>
      </c>
      <c r="M25">
        <v>22</v>
      </c>
      <c r="N25">
        <f t="shared" si="1"/>
        <v>0.39281818181818179</v>
      </c>
    </row>
    <row r="27" spans="2:17" x14ac:dyDescent="0.25">
      <c r="B27" s="14" t="s">
        <v>11</v>
      </c>
      <c r="C27" s="14"/>
      <c r="D27" s="14"/>
    </row>
    <row r="28" spans="2:17" x14ac:dyDescent="0.25">
      <c r="B28" s="1"/>
      <c r="C28" s="1" t="s">
        <v>10</v>
      </c>
      <c r="D28" s="4" t="s">
        <v>28</v>
      </c>
    </row>
    <row r="29" spans="2:17" x14ac:dyDescent="0.25">
      <c r="B29">
        <v>5</v>
      </c>
      <c r="C29">
        <v>0.33333000000000002</v>
      </c>
      <c r="D29" s="5">
        <v>0.56059999999999999</v>
      </c>
    </row>
    <row r="30" spans="2:17" x14ac:dyDescent="0.25">
      <c r="B30">
        <v>7</v>
      </c>
      <c r="C30">
        <v>0.66666999999999998</v>
      </c>
      <c r="D30" s="5">
        <v>0.92100000000000004</v>
      </c>
    </row>
    <row r="31" spans="2:17" x14ac:dyDescent="0.25">
      <c r="B31">
        <v>8</v>
      </c>
      <c r="C31">
        <v>1.1666700000000001</v>
      </c>
      <c r="D31" s="5">
        <v>1.1126</v>
      </c>
    </row>
    <row r="32" spans="2:17" x14ac:dyDescent="0.25">
      <c r="B32">
        <v>10</v>
      </c>
      <c r="C32">
        <v>1.6666700000000001</v>
      </c>
      <c r="D32" s="5">
        <v>1.4732000000000001</v>
      </c>
    </row>
    <row r="34" spans="1:9" x14ac:dyDescent="0.25">
      <c r="A34" s="13"/>
      <c r="B34" s="13"/>
      <c r="C34" s="13"/>
      <c r="D34" s="13"/>
      <c r="E34" s="13"/>
      <c r="F34" s="13"/>
      <c r="G34" s="13"/>
      <c r="H34" s="13"/>
      <c r="I34" s="13"/>
    </row>
    <row r="35" spans="1:9" x14ac:dyDescent="0.25">
      <c r="A35" s="13"/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9" x14ac:dyDescent="0.25">
      <c r="A38" s="13"/>
      <c r="B38" s="13"/>
      <c r="C38" s="13"/>
      <c r="D38" s="13"/>
      <c r="E38" s="13"/>
      <c r="F38" s="13"/>
      <c r="G38" s="13"/>
      <c r="H38" s="13"/>
      <c r="I38" s="13"/>
    </row>
    <row r="39" spans="1:9" x14ac:dyDescent="0.25">
      <c r="A39" s="13"/>
      <c r="B39" s="13"/>
      <c r="C39" s="13"/>
      <c r="D39" s="13"/>
      <c r="E39" s="13"/>
      <c r="F39" s="13"/>
      <c r="G39" s="13"/>
      <c r="H39" s="13"/>
      <c r="I39" s="13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13"/>
      <c r="B41" s="13"/>
      <c r="C41" s="13"/>
      <c r="D41" s="13"/>
      <c r="E41" s="13"/>
      <c r="F41" s="13"/>
      <c r="G41" s="13"/>
      <c r="H41" s="13"/>
      <c r="I41" s="13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13"/>
      <c r="B43" s="13"/>
      <c r="C43" s="13"/>
      <c r="D43" s="13"/>
      <c r="E43" s="13"/>
      <c r="F43" s="13"/>
      <c r="G43" s="13"/>
      <c r="H43" s="13"/>
      <c r="I43" s="13"/>
    </row>
    <row r="44" spans="1:9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</sheetData>
  <mergeCells count="1">
    <mergeCell ref="B27:D2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3830-AA0B-47C0-BAE1-2CD3667EFAF6}">
  <dimension ref="B1:R25"/>
  <sheetViews>
    <sheetView workbookViewId="0">
      <selection activeCell="W36" sqref="W36"/>
    </sheetView>
  </sheetViews>
  <sheetFormatPr defaultRowHeight="15" x14ac:dyDescent="0.25"/>
  <cols>
    <col min="2" max="2" width="24.5703125" bestFit="1" customWidth="1"/>
  </cols>
  <sheetData>
    <row r="1" spans="2:1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s="1" t="s">
        <v>4</v>
      </c>
      <c r="I1" s="1" t="s">
        <v>5</v>
      </c>
      <c r="J1" t="s">
        <v>20</v>
      </c>
      <c r="N1" t="s">
        <v>13</v>
      </c>
      <c r="Q1" t="s">
        <v>16</v>
      </c>
      <c r="R1" t="s">
        <v>17</v>
      </c>
    </row>
    <row r="2" spans="2:18" x14ac:dyDescent="0.25">
      <c r="B2">
        <v>7</v>
      </c>
      <c r="C2">
        <v>1</v>
      </c>
      <c r="D2">
        <v>0</v>
      </c>
      <c r="E2" s="2">
        <f>1-_xlfn.WEIBULL.DIST(B2,I2,H2,1)</f>
        <v>0.61781492283701933</v>
      </c>
      <c r="F2">
        <f>LN(E2)</f>
        <v>-0.48156634398682191</v>
      </c>
      <c r="G2">
        <f>SUM(F2:F7)</f>
        <v>-9.1422430431887669</v>
      </c>
      <c r="H2" s="1">
        <v>8.5597928854020449</v>
      </c>
      <c r="I2" s="1">
        <v>3.6323823785398357</v>
      </c>
      <c r="J2">
        <f>-2*G2+2*2</f>
        <v>22.284486086377534</v>
      </c>
      <c r="Q2" t="s">
        <v>18</v>
      </c>
      <c r="R2" t="s">
        <v>19</v>
      </c>
    </row>
    <row r="3" spans="2:18" x14ac:dyDescent="0.25">
      <c r="B3">
        <v>5</v>
      </c>
      <c r="C3">
        <v>2</v>
      </c>
      <c r="D3">
        <v>1</v>
      </c>
      <c r="E3">
        <f>_xlfn.WEIBULL.DIST(B3,I2,H2,0)</f>
        <v>8.9428367329468073E-2</v>
      </c>
      <c r="F3">
        <f t="shared" ref="F3:F7" si="0">LN(E3)</f>
        <v>-2.4143173391983006</v>
      </c>
      <c r="N3" t="s">
        <v>14</v>
      </c>
      <c r="O3" t="s">
        <v>15</v>
      </c>
    </row>
    <row r="4" spans="2:18" x14ac:dyDescent="0.25">
      <c r="B4">
        <v>7</v>
      </c>
      <c r="C4">
        <v>2</v>
      </c>
      <c r="D4">
        <v>1</v>
      </c>
      <c r="E4">
        <f>_xlfn.WEIBULL.DIST(7,I2,H2,0)/(1-_xlfn.WEIBULL.DIST(B3,I2,H2,1))</f>
        <v>0.17791703007391849</v>
      </c>
      <c r="F4">
        <f t="shared" si="0"/>
        <v>-1.7264379605394649</v>
      </c>
      <c r="N4">
        <v>1</v>
      </c>
      <c r="O4">
        <f>((N4/$H$2)^$I$2*1+5)/N4</f>
        <v>5.000410144505949</v>
      </c>
    </row>
    <row r="5" spans="2:18" x14ac:dyDescent="0.25">
      <c r="B5">
        <v>10</v>
      </c>
      <c r="C5">
        <v>2</v>
      </c>
      <c r="D5">
        <v>0</v>
      </c>
      <c r="E5">
        <f>(1-_xlfn.WEIBULL.DIST(10,I2,H2,1))/(1-_xlfn.WEIBULL.DIST(B4,I2,H2,1))</f>
        <v>0.27869142738879782</v>
      </c>
      <c r="F5">
        <f t="shared" si="0"/>
        <v>-1.2776501042468307</v>
      </c>
      <c r="N5">
        <v>2</v>
      </c>
      <c r="O5">
        <f t="shared" ref="O5:O25" si="1">((N5/$H$2)^$I$2*1+5)/N5</f>
        <v>2.5025430971687537</v>
      </c>
    </row>
    <row r="6" spans="2:18" x14ac:dyDescent="0.25">
      <c r="B6">
        <v>8</v>
      </c>
      <c r="C6">
        <v>3</v>
      </c>
      <c r="D6">
        <v>1</v>
      </c>
      <c r="E6">
        <f>_xlfn.WEIBULL.DIST(B6,I2,H2,0)</f>
        <v>0.16244691275126888</v>
      </c>
      <c r="F6">
        <f t="shared" si="0"/>
        <v>-1.817404021348819</v>
      </c>
      <c r="N6">
        <v>3</v>
      </c>
      <c r="O6">
        <f t="shared" si="1"/>
        <v>1.6740610588635292</v>
      </c>
    </row>
    <row r="7" spans="2:18" x14ac:dyDescent="0.25">
      <c r="B7">
        <v>10</v>
      </c>
      <c r="C7">
        <v>3</v>
      </c>
      <c r="D7">
        <v>1</v>
      </c>
      <c r="E7">
        <f>_xlfn.WEIBULL.DIST(10,I2,H2,0)/(1-_xlfn.WEIBULL.DIST(B6,I2,H2,1))</f>
        <v>0.2405403870847693</v>
      </c>
      <c r="F7">
        <f t="shared" si="0"/>
        <v>-1.4248672738685288</v>
      </c>
      <c r="N7">
        <v>4</v>
      </c>
      <c r="O7">
        <f t="shared" si="1"/>
        <v>1.2657684501825852</v>
      </c>
    </row>
    <row r="8" spans="2:18" x14ac:dyDescent="0.25">
      <c r="N8">
        <v>5</v>
      </c>
      <c r="O8">
        <f t="shared" si="1"/>
        <v>1.0283722136096092</v>
      </c>
    </row>
    <row r="9" spans="2:18" x14ac:dyDescent="0.25">
      <c r="N9">
        <v>6</v>
      </c>
      <c r="O9">
        <f t="shared" si="1"/>
        <v>0.87918219291264144</v>
      </c>
    </row>
    <row r="10" spans="2:18" x14ac:dyDescent="0.25">
      <c r="H10" s="14" t="s">
        <v>11</v>
      </c>
      <c r="I10" s="14"/>
      <c r="J10" s="14"/>
      <c r="N10">
        <v>7</v>
      </c>
      <c r="O10">
        <f t="shared" si="1"/>
        <v>0.78308090628383176</v>
      </c>
    </row>
    <row r="11" spans="2:18" x14ac:dyDescent="0.25">
      <c r="B11" t="s">
        <v>10</v>
      </c>
      <c r="C11">
        <v>5</v>
      </c>
      <c r="D11">
        <v>0.33333000000000002</v>
      </c>
      <c r="E11" s="3" t="s">
        <v>8</v>
      </c>
      <c r="H11" s="1"/>
      <c r="I11" s="1" t="s">
        <v>10</v>
      </c>
      <c r="J11" s="1" t="s">
        <v>12</v>
      </c>
      <c r="N11">
        <v>8</v>
      </c>
      <c r="O11">
        <f t="shared" si="1"/>
        <v>0.72277212770935106</v>
      </c>
    </row>
    <row r="12" spans="2:18" x14ac:dyDescent="0.25">
      <c r="C12">
        <v>7</v>
      </c>
      <c r="D12">
        <v>0.66666999999999998</v>
      </c>
      <c r="E12" t="s">
        <v>8</v>
      </c>
      <c r="H12">
        <v>5</v>
      </c>
      <c r="I12">
        <v>0.33333000000000002</v>
      </c>
      <c r="J12">
        <f>(H12/$H$2)^$I$2</f>
        <v>0.14186106804804552</v>
      </c>
      <c r="N12">
        <v>9</v>
      </c>
      <c r="O12">
        <f t="shared" si="1"/>
        <v>0.68886719369261895</v>
      </c>
    </row>
    <row r="13" spans="2:18" x14ac:dyDescent="0.25">
      <c r="C13">
        <v>8</v>
      </c>
      <c r="D13">
        <v>1.1666700000000001</v>
      </c>
      <c r="E13" t="s">
        <v>9</v>
      </c>
      <c r="H13">
        <v>7</v>
      </c>
      <c r="I13">
        <v>0.66666999999999998</v>
      </c>
      <c r="J13">
        <f t="shared" ref="J13:J15" si="2">(H13/$H$2)^$I$2</f>
        <v>0.48156634398682208</v>
      </c>
      <c r="N13">
        <v>10</v>
      </c>
      <c r="O13">
        <f t="shared" si="1"/>
        <v>0.67592164482336525</v>
      </c>
    </row>
    <row r="14" spans="2:18" x14ac:dyDescent="0.25">
      <c r="C14">
        <v>10</v>
      </c>
      <c r="D14">
        <v>1.6666700000000001</v>
      </c>
      <c r="E14" t="s">
        <v>9</v>
      </c>
      <c r="H14">
        <v>8</v>
      </c>
      <c r="I14">
        <v>1.1666700000000001</v>
      </c>
      <c r="J14">
        <f t="shared" si="2"/>
        <v>0.78217702167480829</v>
      </c>
      <c r="N14">
        <v>11</v>
      </c>
      <c r="O14">
        <f t="shared" si="1"/>
        <v>0.68063508913099058</v>
      </c>
    </row>
    <row r="15" spans="2:18" x14ac:dyDescent="0.25">
      <c r="H15">
        <v>10</v>
      </c>
      <c r="I15">
        <v>1.6666700000000001</v>
      </c>
      <c r="J15">
        <f t="shared" si="2"/>
        <v>1.7592164482336525</v>
      </c>
      <c r="N15">
        <v>12</v>
      </c>
      <c r="O15">
        <f t="shared" si="1"/>
        <v>0.70095209118270319</v>
      </c>
    </row>
    <row r="16" spans="2:18" x14ac:dyDescent="0.25">
      <c r="N16">
        <v>13</v>
      </c>
      <c r="O16">
        <f t="shared" si="1"/>
        <v>0.73557872076043596</v>
      </c>
    </row>
    <row r="17" spans="14:18" x14ac:dyDescent="0.25">
      <c r="N17">
        <v>14</v>
      </c>
      <c r="O17">
        <f t="shared" si="1"/>
        <v>0.78370680096390388</v>
      </c>
    </row>
    <row r="18" spans="14:18" x14ac:dyDescent="0.25">
      <c r="N18">
        <v>15</v>
      </c>
      <c r="O18">
        <f t="shared" si="1"/>
        <v>0.84484884037887087</v>
      </c>
    </row>
    <row r="19" spans="14:18" x14ac:dyDescent="0.25">
      <c r="N19">
        <v>16</v>
      </c>
      <c r="O19">
        <f t="shared" si="1"/>
        <v>0.9187351623732235</v>
      </c>
    </row>
    <row r="20" spans="14:18" x14ac:dyDescent="0.25">
      <c r="N20">
        <v>17</v>
      </c>
      <c r="O20">
        <f t="shared" si="1"/>
        <v>1.0052475756135357</v>
      </c>
    </row>
    <row r="21" spans="14:18" x14ac:dyDescent="0.25">
      <c r="N21">
        <v>18</v>
      </c>
      <c r="O21">
        <f t="shared" si="1"/>
        <v>1.1043753417840834</v>
      </c>
    </row>
    <row r="22" spans="14:18" x14ac:dyDescent="0.25">
      <c r="N22">
        <v>19</v>
      </c>
      <c r="O22">
        <f t="shared" si="1"/>
        <v>1.2161852004300318</v>
      </c>
    </row>
    <row r="23" spans="14:18" x14ac:dyDescent="0.25">
      <c r="N23">
        <v>20</v>
      </c>
      <c r="O23">
        <f t="shared" si="1"/>
        <v>1.3408005114862329</v>
      </c>
      <c r="Q23" t="s">
        <v>24</v>
      </c>
      <c r="R23" t="s">
        <v>25</v>
      </c>
    </row>
    <row r="24" spans="14:18" x14ac:dyDescent="0.25">
      <c r="N24">
        <v>21</v>
      </c>
      <c r="O24">
        <f t="shared" si="1"/>
        <v>1.4783864610999198</v>
      </c>
    </row>
    <row r="25" spans="14:18" x14ac:dyDescent="0.25">
      <c r="N25">
        <v>22</v>
      </c>
      <c r="O25">
        <f t="shared" si="1"/>
        <v>1.6291393895316921</v>
      </c>
    </row>
  </sheetData>
  <mergeCells count="1">
    <mergeCell ref="H10:J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F3F3-21FA-42B8-A540-0218DA6F8099}">
  <dimension ref="A1:AC62"/>
  <sheetViews>
    <sheetView workbookViewId="0">
      <selection sqref="A1:C1048576"/>
    </sheetView>
  </sheetViews>
  <sheetFormatPr defaultRowHeight="15" x14ac:dyDescent="0.25"/>
  <sheetData>
    <row r="1" spans="1:29" x14ac:dyDescent="0.25">
      <c r="A1" t="s">
        <v>30</v>
      </c>
      <c r="B1" t="s">
        <v>31</v>
      </c>
      <c r="C1" t="s">
        <v>2</v>
      </c>
    </row>
    <row r="2" spans="1:29" x14ac:dyDescent="0.25">
      <c r="A2">
        <v>1</v>
      </c>
      <c r="B2">
        <v>8839</v>
      </c>
      <c r="C2">
        <v>1</v>
      </c>
    </row>
    <row r="3" spans="1:29" x14ac:dyDescent="0.25">
      <c r="A3">
        <v>1</v>
      </c>
      <c r="B3">
        <v>17057</v>
      </c>
      <c r="C3">
        <v>1</v>
      </c>
    </row>
    <row r="4" spans="1:29" ht="15" customHeight="1" x14ac:dyDescent="0.25">
      <c r="A4">
        <v>1</v>
      </c>
      <c r="B4">
        <v>21887</v>
      </c>
      <c r="C4">
        <v>0</v>
      </c>
      <c r="U4" s="15" t="s">
        <v>32</v>
      </c>
      <c r="V4" s="15"/>
      <c r="W4" s="15"/>
      <c r="X4" s="15"/>
      <c r="Y4" s="15"/>
      <c r="Z4" s="15"/>
      <c r="AA4" s="15"/>
      <c r="AB4" s="15"/>
      <c r="AC4" s="15"/>
    </row>
    <row r="5" spans="1:29" ht="15" customHeight="1" x14ac:dyDescent="0.25">
      <c r="A5">
        <v>2</v>
      </c>
      <c r="B5">
        <v>9280</v>
      </c>
      <c r="C5">
        <v>1</v>
      </c>
      <c r="U5" s="15"/>
      <c r="V5" s="15"/>
      <c r="W5" s="15"/>
      <c r="X5" s="15"/>
      <c r="Y5" s="15"/>
      <c r="Z5" s="15"/>
      <c r="AA5" s="15"/>
      <c r="AB5" s="15"/>
      <c r="AC5" s="15"/>
    </row>
    <row r="6" spans="1:29" ht="15" customHeight="1" x14ac:dyDescent="0.25">
      <c r="A6">
        <v>2</v>
      </c>
      <c r="B6">
        <v>16442</v>
      </c>
      <c r="C6">
        <v>1</v>
      </c>
      <c r="U6" s="15"/>
      <c r="V6" s="15"/>
      <c r="W6" s="15"/>
      <c r="X6" s="15"/>
      <c r="Y6" s="15"/>
      <c r="Z6" s="15"/>
      <c r="AA6" s="15"/>
      <c r="AB6" s="15"/>
      <c r="AC6" s="15"/>
    </row>
    <row r="7" spans="1:29" ht="15" customHeight="1" x14ac:dyDescent="0.25">
      <c r="A7">
        <v>2</v>
      </c>
      <c r="B7">
        <v>21887</v>
      </c>
      <c r="C7">
        <v>0</v>
      </c>
      <c r="U7" s="15"/>
      <c r="V7" s="15"/>
      <c r="W7" s="15"/>
      <c r="X7" s="15"/>
      <c r="Y7" s="15"/>
      <c r="Z7" s="15"/>
      <c r="AA7" s="15"/>
      <c r="AB7" s="15"/>
      <c r="AC7" s="15"/>
    </row>
    <row r="8" spans="1:29" ht="15" customHeight="1" x14ac:dyDescent="0.25">
      <c r="A8">
        <v>3</v>
      </c>
      <c r="B8">
        <v>10445</v>
      </c>
      <c r="C8">
        <v>1</v>
      </c>
      <c r="U8" s="15"/>
      <c r="V8" s="15"/>
      <c r="W8" s="15"/>
      <c r="X8" s="15"/>
      <c r="Y8" s="15"/>
      <c r="Z8" s="15"/>
      <c r="AA8" s="15"/>
      <c r="AB8" s="15"/>
      <c r="AC8" s="15"/>
    </row>
    <row r="9" spans="1:29" ht="15" customHeight="1" x14ac:dyDescent="0.25">
      <c r="A9">
        <v>3</v>
      </c>
      <c r="B9">
        <v>13533</v>
      </c>
      <c r="C9">
        <v>0</v>
      </c>
      <c r="U9" s="15"/>
      <c r="V9" s="15"/>
      <c r="W9" s="15"/>
      <c r="X9" s="15"/>
      <c r="Y9" s="15"/>
      <c r="Z9" s="15"/>
      <c r="AA9" s="15"/>
      <c r="AB9" s="15"/>
      <c r="AC9" s="15"/>
    </row>
    <row r="10" spans="1:29" ht="15" customHeight="1" x14ac:dyDescent="0.25">
      <c r="A10">
        <v>4</v>
      </c>
      <c r="B10">
        <v>7902</v>
      </c>
      <c r="C10">
        <v>0</v>
      </c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" customHeight="1" x14ac:dyDescent="0.25">
      <c r="A11">
        <v>5</v>
      </c>
      <c r="B11">
        <v>8414</v>
      </c>
      <c r="C11">
        <v>0</v>
      </c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" customHeight="1" x14ac:dyDescent="0.25">
      <c r="A12">
        <v>6</v>
      </c>
      <c r="B12">
        <v>13331</v>
      </c>
      <c r="C12">
        <v>0</v>
      </c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" customHeight="1" x14ac:dyDescent="0.25">
      <c r="A13">
        <v>7</v>
      </c>
      <c r="B13">
        <v>17156</v>
      </c>
      <c r="C13">
        <v>1</v>
      </c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" customHeight="1" x14ac:dyDescent="0.25">
      <c r="A14">
        <v>7</v>
      </c>
      <c r="B14">
        <v>21887</v>
      </c>
      <c r="C14">
        <v>0</v>
      </c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" customHeight="1" x14ac:dyDescent="0.25">
      <c r="A15">
        <v>8</v>
      </c>
      <c r="B15">
        <v>16305</v>
      </c>
      <c r="C15">
        <v>1</v>
      </c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" customHeight="1" x14ac:dyDescent="0.25">
      <c r="A16">
        <v>8</v>
      </c>
      <c r="B16">
        <v>21887</v>
      </c>
      <c r="C16">
        <v>0</v>
      </c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25">
      <c r="A17">
        <v>9</v>
      </c>
      <c r="B17">
        <v>16802</v>
      </c>
      <c r="C17">
        <v>1</v>
      </c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25">
      <c r="A18">
        <v>9</v>
      </c>
      <c r="B18">
        <v>21887</v>
      </c>
      <c r="C18">
        <v>0</v>
      </c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25">
      <c r="A19">
        <v>10</v>
      </c>
      <c r="B19">
        <v>4881</v>
      </c>
      <c r="C19">
        <v>0</v>
      </c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25">
      <c r="A20">
        <v>11</v>
      </c>
      <c r="B20">
        <v>16625</v>
      </c>
      <c r="C20">
        <v>0</v>
      </c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25">
      <c r="A21">
        <v>12</v>
      </c>
      <c r="B21">
        <v>7396</v>
      </c>
      <c r="C21">
        <v>1</v>
      </c>
    </row>
    <row r="22" spans="1:29" x14ac:dyDescent="0.25">
      <c r="A22">
        <v>12</v>
      </c>
      <c r="B22">
        <v>7541</v>
      </c>
      <c r="C22">
        <v>1</v>
      </c>
    </row>
    <row r="23" spans="1:29" x14ac:dyDescent="0.25">
      <c r="A23">
        <v>12</v>
      </c>
      <c r="B23">
        <v>19590</v>
      </c>
      <c r="C23">
        <v>0</v>
      </c>
    </row>
    <row r="24" spans="1:29" x14ac:dyDescent="0.25">
      <c r="A24">
        <v>13</v>
      </c>
      <c r="B24">
        <v>2211</v>
      </c>
      <c r="C24">
        <v>0</v>
      </c>
    </row>
    <row r="25" spans="1:29" x14ac:dyDescent="0.25">
      <c r="A25">
        <v>14</v>
      </c>
      <c r="B25">
        <v>15821</v>
      </c>
      <c r="C25">
        <v>1</v>
      </c>
    </row>
    <row r="26" spans="1:29" x14ac:dyDescent="0.25">
      <c r="A26">
        <v>14</v>
      </c>
      <c r="B26">
        <v>19746</v>
      </c>
      <c r="C26">
        <v>1</v>
      </c>
    </row>
    <row r="27" spans="1:29" x14ac:dyDescent="0.25">
      <c r="A27">
        <v>14</v>
      </c>
      <c r="B27">
        <v>19877</v>
      </c>
      <c r="C27">
        <v>0</v>
      </c>
    </row>
    <row r="28" spans="1:29" x14ac:dyDescent="0.25">
      <c r="A28">
        <v>15</v>
      </c>
      <c r="B28">
        <v>1927</v>
      </c>
      <c r="C28">
        <v>0</v>
      </c>
    </row>
    <row r="29" spans="1:29" x14ac:dyDescent="0.25">
      <c r="A29">
        <v>16</v>
      </c>
      <c r="B29">
        <v>15813</v>
      </c>
      <c r="C29">
        <v>1</v>
      </c>
    </row>
    <row r="30" spans="1:29" x14ac:dyDescent="0.25">
      <c r="A30">
        <v>16</v>
      </c>
      <c r="B30">
        <v>21886</v>
      </c>
      <c r="C30">
        <v>0</v>
      </c>
    </row>
    <row r="31" spans="1:29" x14ac:dyDescent="0.25">
      <c r="A31">
        <v>17</v>
      </c>
      <c r="B31">
        <v>15524</v>
      </c>
      <c r="C31">
        <v>1</v>
      </c>
    </row>
    <row r="32" spans="1:29" x14ac:dyDescent="0.25">
      <c r="A32">
        <v>17</v>
      </c>
      <c r="B32">
        <v>21886</v>
      </c>
      <c r="C32">
        <v>0</v>
      </c>
    </row>
    <row r="33" spans="1:3" x14ac:dyDescent="0.25">
      <c r="A33">
        <v>18</v>
      </c>
      <c r="B33">
        <v>21440</v>
      </c>
      <c r="C33">
        <v>0</v>
      </c>
    </row>
    <row r="34" spans="1:3" x14ac:dyDescent="0.25">
      <c r="A34">
        <v>19</v>
      </c>
      <c r="B34">
        <v>369</v>
      </c>
      <c r="C34">
        <v>0</v>
      </c>
    </row>
    <row r="35" spans="1:3" x14ac:dyDescent="0.25">
      <c r="A35">
        <v>20</v>
      </c>
      <c r="B35">
        <v>11664</v>
      </c>
      <c r="C35">
        <v>1</v>
      </c>
    </row>
    <row r="36" spans="1:3" x14ac:dyDescent="0.25">
      <c r="A36">
        <v>20</v>
      </c>
      <c r="B36">
        <v>17031</v>
      </c>
      <c r="C36">
        <v>1</v>
      </c>
    </row>
    <row r="37" spans="1:3" x14ac:dyDescent="0.25">
      <c r="A37">
        <v>20</v>
      </c>
      <c r="B37">
        <v>21857</v>
      </c>
      <c r="C37">
        <v>0</v>
      </c>
    </row>
    <row r="38" spans="1:3" x14ac:dyDescent="0.25">
      <c r="A38">
        <v>21</v>
      </c>
      <c r="B38">
        <v>7544</v>
      </c>
      <c r="C38">
        <v>0</v>
      </c>
    </row>
    <row r="39" spans="1:3" x14ac:dyDescent="0.25">
      <c r="A39">
        <v>22</v>
      </c>
      <c r="B39">
        <v>6039</v>
      </c>
      <c r="C39">
        <v>0</v>
      </c>
    </row>
    <row r="40" spans="1:3" x14ac:dyDescent="0.25">
      <c r="A40">
        <v>23</v>
      </c>
      <c r="B40">
        <v>2168</v>
      </c>
      <c r="C40">
        <v>1</v>
      </c>
    </row>
    <row r="41" spans="1:3" x14ac:dyDescent="0.25">
      <c r="A41">
        <v>23</v>
      </c>
      <c r="B41">
        <v>6698</v>
      </c>
      <c r="C41">
        <v>0</v>
      </c>
    </row>
    <row r="42" spans="1:3" x14ac:dyDescent="0.25">
      <c r="A42">
        <v>24</v>
      </c>
      <c r="B42">
        <v>18840</v>
      </c>
      <c r="C42">
        <v>1</v>
      </c>
    </row>
    <row r="43" spans="1:3" x14ac:dyDescent="0.25">
      <c r="A43">
        <v>24</v>
      </c>
      <c r="B43">
        <v>21879</v>
      </c>
      <c r="C43">
        <v>0</v>
      </c>
    </row>
    <row r="44" spans="1:3" x14ac:dyDescent="0.25">
      <c r="A44">
        <v>25</v>
      </c>
      <c r="B44">
        <v>2288</v>
      </c>
      <c r="C44">
        <v>0</v>
      </c>
    </row>
    <row r="45" spans="1:3" x14ac:dyDescent="0.25">
      <c r="A45">
        <v>26</v>
      </c>
      <c r="B45">
        <v>2499</v>
      </c>
      <c r="C45">
        <v>0</v>
      </c>
    </row>
    <row r="46" spans="1:3" x14ac:dyDescent="0.25">
      <c r="A46">
        <v>27</v>
      </c>
      <c r="B46">
        <v>10668</v>
      </c>
      <c r="C46">
        <v>1</v>
      </c>
    </row>
    <row r="47" spans="1:3" x14ac:dyDescent="0.25">
      <c r="A47">
        <v>27</v>
      </c>
      <c r="B47">
        <v>16838</v>
      </c>
      <c r="C47">
        <v>0</v>
      </c>
    </row>
    <row r="48" spans="1:3" x14ac:dyDescent="0.25">
      <c r="A48">
        <v>28</v>
      </c>
      <c r="B48">
        <v>15550</v>
      </c>
      <c r="C48">
        <v>1</v>
      </c>
    </row>
    <row r="49" spans="1:3" x14ac:dyDescent="0.25">
      <c r="A49">
        <v>28</v>
      </c>
      <c r="B49">
        <v>21887</v>
      </c>
      <c r="C49">
        <v>0</v>
      </c>
    </row>
    <row r="50" spans="1:3" x14ac:dyDescent="0.25">
      <c r="A50">
        <v>29</v>
      </c>
      <c r="B50">
        <v>1616</v>
      </c>
      <c r="C50">
        <v>0</v>
      </c>
    </row>
    <row r="51" spans="1:3" x14ac:dyDescent="0.25">
      <c r="A51">
        <v>30</v>
      </c>
      <c r="B51">
        <v>14041</v>
      </c>
      <c r="C51">
        <v>1</v>
      </c>
    </row>
    <row r="52" spans="1:3" x14ac:dyDescent="0.25">
      <c r="A52">
        <v>30</v>
      </c>
      <c r="B52">
        <v>20004</v>
      </c>
      <c r="C52">
        <v>0</v>
      </c>
    </row>
    <row r="53" spans="1:3" x14ac:dyDescent="0.25">
      <c r="A53">
        <v>31</v>
      </c>
      <c r="B53">
        <v>21888</v>
      </c>
      <c r="C53">
        <v>0</v>
      </c>
    </row>
    <row r="54" spans="1:3" x14ac:dyDescent="0.25">
      <c r="A54">
        <v>32</v>
      </c>
      <c r="B54">
        <v>21888</v>
      </c>
      <c r="C54">
        <v>0</v>
      </c>
    </row>
    <row r="55" spans="1:3" x14ac:dyDescent="0.25">
      <c r="A55">
        <v>33</v>
      </c>
      <c r="B55">
        <v>21888</v>
      </c>
      <c r="C55">
        <v>0</v>
      </c>
    </row>
    <row r="56" spans="1:3" x14ac:dyDescent="0.25">
      <c r="A56">
        <v>34</v>
      </c>
      <c r="B56">
        <v>21888</v>
      </c>
      <c r="C56">
        <v>0</v>
      </c>
    </row>
    <row r="57" spans="1:3" x14ac:dyDescent="0.25">
      <c r="A57">
        <v>35</v>
      </c>
      <c r="B57">
        <v>21888</v>
      </c>
      <c r="C57">
        <v>0</v>
      </c>
    </row>
    <row r="58" spans="1:3" x14ac:dyDescent="0.25">
      <c r="A58">
        <v>36</v>
      </c>
      <c r="B58">
        <v>21888</v>
      </c>
      <c r="C58">
        <v>0</v>
      </c>
    </row>
    <row r="59" spans="1:3" x14ac:dyDescent="0.25">
      <c r="A59">
        <v>37</v>
      </c>
      <c r="B59">
        <v>21888</v>
      </c>
      <c r="C59">
        <v>0</v>
      </c>
    </row>
    <row r="60" spans="1:3" x14ac:dyDescent="0.25">
      <c r="A60">
        <v>38</v>
      </c>
      <c r="B60">
        <v>21888</v>
      </c>
      <c r="C60">
        <v>0</v>
      </c>
    </row>
    <row r="61" spans="1:3" x14ac:dyDescent="0.25">
      <c r="A61">
        <v>39</v>
      </c>
      <c r="B61">
        <v>21888</v>
      </c>
      <c r="C61">
        <v>0</v>
      </c>
    </row>
    <row r="62" spans="1:3" x14ac:dyDescent="0.25">
      <c r="A62">
        <v>40</v>
      </c>
      <c r="B62">
        <v>21888</v>
      </c>
      <c r="C62">
        <v>0</v>
      </c>
    </row>
  </sheetData>
  <mergeCells count="1">
    <mergeCell ref="U4:AC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B820-62AB-4897-AB22-D6A6B9E7BD0D}">
  <dimension ref="A1:AC111"/>
  <sheetViews>
    <sheetView tabSelected="1" topLeftCell="R1" workbookViewId="0">
      <selection activeCell="AC6" sqref="AC6"/>
    </sheetView>
  </sheetViews>
  <sheetFormatPr defaultRowHeight="15" x14ac:dyDescent="0.25"/>
  <cols>
    <col min="4" max="4" width="12" bestFit="1" customWidth="1"/>
    <col min="18" max="18" width="12" bestFit="1" customWidth="1"/>
    <col min="27" max="27" width="15.28515625" bestFit="1" customWidth="1"/>
    <col min="29" max="29" width="12" bestFit="1" customWidth="1"/>
  </cols>
  <sheetData>
    <row r="1" spans="1:29" x14ac:dyDescent="0.25">
      <c r="A1" t="s">
        <v>30</v>
      </c>
      <c r="B1" t="s">
        <v>31</v>
      </c>
      <c r="C1" t="s">
        <v>2</v>
      </c>
      <c r="D1" t="s">
        <v>3</v>
      </c>
      <c r="E1" t="s">
        <v>6</v>
      </c>
      <c r="F1" t="s">
        <v>7</v>
      </c>
      <c r="G1" s="6" t="s">
        <v>4</v>
      </c>
      <c r="H1" s="6" t="s">
        <v>5</v>
      </c>
      <c r="I1" t="s">
        <v>20</v>
      </c>
      <c r="M1" s="17" t="s">
        <v>34</v>
      </c>
      <c r="N1" s="17" t="s">
        <v>33</v>
      </c>
      <c r="P1" t="s">
        <v>38</v>
      </c>
      <c r="Q1" t="s">
        <v>14</v>
      </c>
      <c r="R1" t="s">
        <v>35</v>
      </c>
      <c r="S1" t="s">
        <v>36</v>
      </c>
      <c r="T1" t="s">
        <v>37</v>
      </c>
      <c r="U1" t="s">
        <v>46</v>
      </c>
      <c r="AA1" s="6" t="s">
        <v>39</v>
      </c>
      <c r="AB1" s="6"/>
      <c r="AC1" s="6" t="s">
        <v>40</v>
      </c>
    </row>
    <row r="2" spans="1:29" x14ac:dyDescent="0.25">
      <c r="A2">
        <v>1</v>
      </c>
      <c r="B2">
        <v>8839</v>
      </c>
      <c r="C2">
        <v>1</v>
      </c>
      <c r="D2">
        <f>_xlfn.WEIBULL.DIST(B2,$H$2,$G$2,0)</f>
        <v>2.6152069663891907E-5</v>
      </c>
      <c r="E2">
        <f>LN(D2)</f>
        <v>-10.551582224738482</v>
      </c>
      <c r="F2">
        <f>SUM(E2:E62)</f>
        <v>-232.73439864435372</v>
      </c>
      <c r="G2" s="9">
        <v>24365.637286397145</v>
      </c>
      <c r="H2" s="9">
        <v>1.9952634150597479</v>
      </c>
      <c r="I2" s="12">
        <f>-2*F2+2*2</f>
        <v>469.46879728870744</v>
      </c>
      <c r="M2" s="8">
        <v>1</v>
      </c>
      <c r="N2" s="8">
        <v>15</v>
      </c>
      <c r="P2">
        <v>1</v>
      </c>
      <c r="Q2">
        <v>6241</v>
      </c>
      <c r="R2">
        <f>(((Q2/$G$2)^$H$2)*$N$2+$M$2)/Q2</f>
        <v>3.189361284458228E-4</v>
      </c>
      <c r="S2" s="6">
        <f>MIN(R2:R111)</f>
        <v>3.1892796128697194E-4</v>
      </c>
      <c r="T2" s="6">
        <f>MATCH(S2,$R$2:$R$111,0)</f>
        <v>46</v>
      </c>
      <c r="U2" s="7">
        <f ca="1">OFFSET(Q1,T2,0)</f>
        <v>6286</v>
      </c>
      <c r="AA2" s="6">
        <f>(((AC2/$G$2)^$H$2)*$N$2+$M$2)/AC2</f>
        <v>3.1892796126779452E-4</v>
      </c>
      <c r="AB2" s="6"/>
      <c r="AC2" s="7">
        <v>6285.931232273987</v>
      </c>
    </row>
    <row r="3" spans="1:29" x14ac:dyDescent="0.25">
      <c r="A3">
        <v>1</v>
      </c>
      <c r="B3">
        <v>17057</v>
      </c>
      <c r="C3">
        <v>1</v>
      </c>
      <c r="D3">
        <f>_xlfn.WEIBULL.DIST(B3,$H$2,$G$2,0)/(1-_xlfn.WEIBULL.DIST(B2,$H$2,$G$2,1))</f>
        <v>4.0116048867543902E-5</v>
      </c>
      <c r="E3">
        <f t="shared" ref="E3:E62" si="0">LN(D3)</f>
        <v>-10.123734082583109</v>
      </c>
      <c r="P3">
        <v>2</v>
      </c>
      <c r="Q3">
        <v>6242</v>
      </c>
      <c r="R3">
        <f t="shared" ref="R3:R25" si="1">(((Q3/$G$2)^$H$2)*$N$2+$M$2)/Q3</f>
        <v>3.1893576769469103E-4</v>
      </c>
    </row>
    <row r="4" spans="1:29" x14ac:dyDescent="0.25">
      <c r="A4">
        <v>1</v>
      </c>
      <c r="B4">
        <v>21887</v>
      </c>
      <c r="C4">
        <v>0</v>
      </c>
      <c r="D4">
        <f>(1-_xlfn.WEIBULL.DIST(B4,$H$2,$G$2,1))/(1-_xlfn.WEIBULL.DIST(B3,$H$2,$G$2,1))</f>
        <v>0.72875629011618825</v>
      </c>
      <c r="E4">
        <f t="shared" si="0"/>
        <v>-0.31641590997741126</v>
      </c>
      <c r="P4">
        <v>3</v>
      </c>
      <c r="Q4">
        <v>6243</v>
      </c>
      <c r="R4">
        <f t="shared" si="1"/>
        <v>3.1893541514789209E-4</v>
      </c>
    </row>
    <row r="5" spans="1:29" x14ac:dyDescent="0.25">
      <c r="A5">
        <v>2</v>
      </c>
      <c r="B5">
        <v>9280</v>
      </c>
      <c r="C5">
        <v>1</v>
      </c>
      <c r="D5">
        <f>_xlfn.WEIBULL.DIST(B5,$H$2,$G$2,0)</f>
        <v>2.7082701163023719E-5</v>
      </c>
      <c r="E5">
        <f t="shared" si="0"/>
        <v>-10.516615367367928</v>
      </c>
      <c r="P5">
        <v>4</v>
      </c>
      <c r="Q5">
        <v>6244</v>
      </c>
      <c r="R5">
        <f t="shared" si="1"/>
        <v>3.1893507080147846E-4</v>
      </c>
    </row>
    <row r="6" spans="1:29" x14ac:dyDescent="0.25">
      <c r="A6">
        <v>2</v>
      </c>
      <c r="B6">
        <v>16442</v>
      </c>
      <c r="C6">
        <v>1</v>
      </c>
      <c r="D6">
        <f>_xlfn.WEIBULL.DIST(B6,$H$2,$G$2,0)/(1-_xlfn.WEIBULL.DIST(B5,$H$2,$G$2,1))</f>
        <v>4.0585066233641339E-5</v>
      </c>
      <c r="E6">
        <f t="shared" si="0"/>
        <v>-10.112110385779044</v>
      </c>
      <c r="P6">
        <v>5</v>
      </c>
      <c r="Q6">
        <v>6245</v>
      </c>
      <c r="R6">
        <f t="shared" si="1"/>
        <v>3.1893473465150428E-4</v>
      </c>
      <c r="AC6" s="18" t="s">
        <v>50</v>
      </c>
    </row>
    <row r="7" spans="1:29" x14ac:dyDescent="0.25">
      <c r="A7">
        <v>2</v>
      </c>
      <c r="B7">
        <v>21887</v>
      </c>
      <c r="C7">
        <v>0</v>
      </c>
      <c r="D7">
        <f>(1-_xlfn.WEIBULL.DIST(B7,$H$2,$G$2,1))/(1-_xlfn.WEIBULL.DIST(B6,$H$2,$G$2,1))</f>
        <v>0.70391548194324727</v>
      </c>
      <c r="E7">
        <f t="shared" si="0"/>
        <v>-0.35109698408904727</v>
      </c>
      <c r="P7">
        <v>6</v>
      </c>
      <c r="Q7">
        <v>6246</v>
      </c>
      <c r="R7">
        <f t="shared" si="1"/>
        <v>3.1893440669402692E-4</v>
      </c>
      <c r="AC7" s="10">
        <f>(15*(G2^(-H2))*H2-15*G2^(-H2))^(-1/H2)</f>
        <v>6285.9309010725219</v>
      </c>
    </row>
    <row r="8" spans="1:29" x14ac:dyDescent="0.25">
      <c r="A8">
        <v>3</v>
      </c>
      <c r="B8">
        <v>10445</v>
      </c>
      <c r="C8">
        <v>1</v>
      </c>
      <c r="D8">
        <f>_xlfn.WEIBULL.DIST(B8,$H$2,$G$2,0)</f>
        <v>2.9306697306457171E-5</v>
      </c>
      <c r="E8">
        <f t="shared" si="0"/>
        <v>-10.437694491048807</v>
      </c>
      <c r="P8">
        <v>7</v>
      </c>
      <c r="Q8">
        <v>6247</v>
      </c>
      <c r="R8">
        <f t="shared" si="1"/>
        <v>3.1893408692510572E-4</v>
      </c>
    </row>
    <row r="9" spans="1:29" x14ac:dyDescent="0.25">
      <c r="A9">
        <v>3</v>
      </c>
      <c r="B9">
        <v>13533</v>
      </c>
      <c r="C9">
        <v>0</v>
      </c>
      <c r="D9">
        <f>(1-_xlfn.WEIBULL.DIST(B9,$H$2,$G$2,1))/(1-_xlfn.WEIBULL.DIST(B8,$H$2,$G$2,1))</f>
        <v>0.88263700811641466</v>
      </c>
      <c r="E9">
        <f t="shared" si="0"/>
        <v>-0.12484125223444623</v>
      </c>
      <c r="P9">
        <v>8</v>
      </c>
      <c r="Q9">
        <v>6248</v>
      </c>
      <c r="R9">
        <f t="shared" si="1"/>
        <v>3.1893377534080282E-4</v>
      </c>
    </row>
    <row r="10" spans="1:29" x14ac:dyDescent="0.25">
      <c r="A10">
        <v>4</v>
      </c>
      <c r="B10">
        <v>7902</v>
      </c>
      <c r="C10">
        <v>0</v>
      </c>
      <c r="D10">
        <f>(1-_xlfn.WEIBULL.DIST(B10,$H$2,$G$2,1))</f>
        <v>0.89965949752443242</v>
      </c>
      <c r="E10">
        <f t="shared" si="0"/>
        <v>-0.10573892332894307</v>
      </c>
      <c r="P10">
        <v>9</v>
      </c>
      <c r="Q10">
        <v>6249</v>
      </c>
      <c r="R10">
        <f t="shared" si="1"/>
        <v>3.1893347193718299E-4</v>
      </c>
    </row>
    <row r="11" spans="1:29" x14ac:dyDescent="0.25">
      <c r="A11">
        <v>5</v>
      </c>
      <c r="B11">
        <v>8414</v>
      </c>
      <c r="C11">
        <v>0</v>
      </c>
      <c r="D11">
        <f>(1-_xlfn.WEIBULL.DIST(B11,$H$2,$G$2,1))</f>
        <v>0.88705381156748497</v>
      </c>
      <c r="E11">
        <f t="shared" si="0"/>
        <v>-0.11984963158207315</v>
      </c>
      <c r="P11">
        <v>10</v>
      </c>
      <c r="Q11">
        <v>6250</v>
      </c>
      <c r="R11">
        <f t="shared" si="1"/>
        <v>3.1893317671031324E-4</v>
      </c>
    </row>
    <row r="12" spans="1:29" x14ac:dyDescent="0.25">
      <c r="A12">
        <v>6</v>
      </c>
      <c r="B12">
        <v>13331</v>
      </c>
      <c r="C12">
        <v>0</v>
      </c>
      <c r="D12">
        <f>(1-_xlfn.WEIBULL.DIST(B12,$H$2,$G$2,1))</f>
        <v>0.7406701732168286</v>
      </c>
      <c r="E12">
        <f t="shared" si="0"/>
        <v>-0.30019986314572805</v>
      </c>
      <c r="P12">
        <v>11</v>
      </c>
      <c r="Q12">
        <v>6251</v>
      </c>
      <c r="R12">
        <f t="shared" si="1"/>
        <v>3.1893288965626339E-4</v>
      </c>
    </row>
    <row r="13" spans="1:29" x14ac:dyDescent="0.25">
      <c r="A13">
        <v>7</v>
      </c>
      <c r="B13">
        <v>17156</v>
      </c>
      <c r="C13">
        <v>1</v>
      </c>
      <c r="D13">
        <f>_xlfn.WEIBULL.DIST(B13,$H$2,$G$2,0)</f>
        <v>3.5149244168772601E-5</v>
      </c>
      <c r="E13">
        <f t="shared" si="0"/>
        <v>-10.255907442960909</v>
      </c>
      <c r="P13">
        <v>12</v>
      </c>
      <c r="Q13">
        <v>6252</v>
      </c>
      <c r="R13">
        <f t="shared" si="1"/>
        <v>3.1893261077110542E-4</v>
      </c>
    </row>
    <row r="14" spans="1:29" x14ac:dyDescent="0.25">
      <c r="A14">
        <v>7</v>
      </c>
      <c r="B14">
        <v>21887</v>
      </c>
      <c r="C14">
        <v>0</v>
      </c>
      <c r="D14">
        <f>(1-_xlfn.WEIBULL.DIST(B14,$H$2,$G$2,1))/(1-_xlfn.WEIBULL.DIST(B13,$H$2,$G$2,1))</f>
        <v>0.73292296459352002</v>
      </c>
      <c r="E14">
        <f t="shared" si="0"/>
        <v>-0.3107146786709592</v>
      </c>
      <c r="P14">
        <v>13</v>
      </c>
      <c r="Q14">
        <v>6253</v>
      </c>
      <c r="R14">
        <f t="shared" si="1"/>
        <v>3.1893234005091425E-4</v>
      </c>
    </row>
    <row r="15" spans="1:29" x14ac:dyDescent="0.25">
      <c r="A15">
        <v>8</v>
      </c>
      <c r="B15">
        <v>16305</v>
      </c>
      <c r="C15">
        <v>1</v>
      </c>
      <c r="D15">
        <f>_xlfn.WEIBULL.DIST(B15,$H$2,$G$2,0)</f>
        <v>3.5054476719968439E-5</v>
      </c>
      <c r="E15">
        <f t="shared" si="0"/>
        <v>-10.258607228817459</v>
      </c>
      <c r="P15">
        <v>14</v>
      </c>
      <c r="Q15">
        <v>6254</v>
      </c>
      <c r="R15">
        <f t="shared" si="1"/>
        <v>3.1893207749176682E-4</v>
      </c>
    </row>
    <row r="16" spans="1:29" x14ac:dyDescent="0.25">
      <c r="A16">
        <v>8</v>
      </c>
      <c r="B16">
        <v>21887</v>
      </c>
      <c r="C16">
        <v>0</v>
      </c>
      <c r="D16">
        <f>(1-_xlfn.WEIBULL.DIST(B16,$H$2,$G$2,1))/(1-_xlfn.WEIBULL.DIST(B15,$H$2,$G$2,1))</f>
        <v>0.69861877556229623</v>
      </c>
      <c r="E16">
        <f t="shared" si="0"/>
        <v>-0.35865007098673884</v>
      </c>
      <c r="P16">
        <v>15</v>
      </c>
      <c r="Q16">
        <v>6255</v>
      </c>
      <c r="R16">
        <f t="shared" si="1"/>
        <v>3.1893182308974312E-4</v>
      </c>
    </row>
    <row r="17" spans="1:18" x14ac:dyDescent="0.25">
      <c r="A17">
        <v>9</v>
      </c>
      <c r="B17">
        <v>16802</v>
      </c>
      <c r="C17">
        <v>1</v>
      </c>
      <c r="D17">
        <f>_xlfn.WEIBULL.DIST(B17,$H$2,$G$2,0)</f>
        <v>3.5131101648160862E-5</v>
      </c>
      <c r="E17">
        <f t="shared" si="0"/>
        <v>-10.256423732993461</v>
      </c>
      <c r="P17">
        <v>16</v>
      </c>
      <c r="Q17">
        <v>6256</v>
      </c>
      <c r="R17">
        <f t="shared" si="1"/>
        <v>3.1893157684092512E-4</v>
      </c>
    </row>
    <row r="18" spans="1:18" x14ac:dyDescent="0.25">
      <c r="A18">
        <v>9</v>
      </c>
      <c r="B18">
        <v>21887</v>
      </c>
      <c r="C18">
        <v>0</v>
      </c>
      <c r="D18">
        <f>(1-_xlfn.WEIBULL.DIST(B18,$H$2,$G$2,1))/(1-_xlfn.WEIBULL.DIST(B17,$H$2,$G$2,1))</f>
        <v>0.71824131695330895</v>
      </c>
      <c r="E18">
        <f t="shared" si="0"/>
        <v>-0.33094967036628409</v>
      </c>
      <c r="P18">
        <v>17</v>
      </c>
      <c r="Q18">
        <v>6257</v>
      </c>
      <c r="R18">
        <f t="shared" si="1"/>
        <v>3.1893133874139772E-4</v>
      </c>
    </row>
    <row r="19" spans="1:18" x14ac:dyDescent="0.25">
      <c r="A19">
        <v>10</v>
      </c>
      <c r="B19">
        <v>4881</v>
      </c>
      <c r="C19">
        <v>0</v>
      </c>
      <c r="D19">
        <f>(1-_xlfn.WEIBULL.DIST(B19,$H$2,$G$2,1))</f>
        <v>0.96037051110128868</v>
      </c>
      <c r="E19">
        <f t="shared" si="0"/>
        <v>-4.0436119915595009E-2</v>
      </c>
      <c r="P19">
        <v>18</v>
      </c>
      <c r="Q19">
        <v>6258</v>
      </c>
      <c r="R19">
        <f t="shared" si="1"/>
        <v>3.1893110878724814E-4</v>
      </c>
    </row>
    <row r="20" spans="1:18" x14ac:dyDescent="0.25">
      <c r="A20">
        <v>11</v>
      </c>
      <c r="B20">
        <v>16625</v>
      </c>
      <c r="C20">
        <v>0</v>
      </c>
      <c r="D20">
        <f>(1-_xlfn.WEIBULL.DIST(B20,$H$2,$G$2,1))</f>
        <v>0.62725931826844761</v>
      </c>
      <c r="E20">
        <f t="shared" si="0"/>
        <v>-0.46639523809713052</v>
      </c>
      <c r="P20">
        <v>19</v>
      </c>
      <c r="Q20">
        <v>6259</v>
      </c>
      <c r="R20">
        <f t="shared" si="1"/>
        <v>3.1893088697456588E-4</v>
      </c>
    </row>
    <row r="21" spans="1:18" x14ac:dyDescent="0.25">
      <c r="A21">
        <v>12</v>
      </c>
      <c r="B21">
        <v>7396</v>
      </c>
      <c r="C21">
        <v>1</v>
      </c>
      <c r="D21">
        <f>_xlfn.WEIBULL.DIST(B21,$H$2,$G$2,0)</f>
        <v>2.2785182952784822E-5</v>
      </c>
      <c r="E21">
        <f t="shared" si="0"/>
        <v>-10.689400103753133</v>
      </c>
      <c r="P21">
        <v>20</v>
      </c>
      <c r="Q21">
        <v>6260</v>
      </c>
      <c r="R21">
        <f t="shared" si="1"/>
        <v>3.1893067329944353E-4</v>
      </c>
    </row>
    <row r="22" spans="1:18" x14ac:dyDescent="0.25">
      <c r="A22">
        <v>12</v>
      </c>
      <c r="B22">
        <v>7541</v>
      </c>
      <c r="C22">
        <v>1</v>
      </c>
      <c r="D22">
        <f>_xlfn.WEIBULL.DIST(B22,$H$2,$G$2,0)/(1-_xlfn.WEIBULL.DIST(B21,$H$2,$G$2,1))</f>
        <v>2.5391987531507321E-5</v>
      </c>
      <c r="E22">
        <f t="shared" si="0"/>
        <v>-10.581076885220538</v>
      </c>
      <c r="P22">
        <v>21</v>
      </c>
      <c r="Q22">
        <v>6261</v>
      </c>
      <c r="R22">
        <f t="shared" si="1"/>
        <v>3.1893046775797573E-4</v>
      </c>
    </row>
    <row r="23" spans="1:18" x14ac:dyDescent="0.25">
      <c r="A23">
        <v>12</v>
      </c>
      <c r="B23">
        <v>19590</v>
      </c>
      <c r="C23">
        <v>0</v>
      </c>
      <c r="D23">
        <f>(1-_xlfn.WEIBULL.DIST(B23,$H$2,$G$2,1))/(1-_xlfn.WEIBULL.DIST(B22,$H$2,$G$2,1))</f>
        <v>0.5765077682825871</v>
      </c>
      <c r="E23">
        <f t="shared" si="0"/>
        <v>-0.5507664644590613</v>
      </c>
      <c r="P23">
        <v>22</v>
      </c>
      <c r="Q23">
        <v>6262</v>
      </c>
      <c r="R23">
        <f t="shared" si="1"/>
        <v>3.1893027034625947E-4</v>
      </c>
    </row>
    <row r="24" spans="1:18" x14ac:dyDescent="0.25">
      <c r="A24">
        <v>13</v>
      </c>
      <c r="B24">
        <v>2211</v>
      </c>
      <c r="C24">
        <v>0</v>
      </c>
      <c r="D24">
        <f>(1-_xlfn.WEIBULL.DIST(B24,$H$2,$G$2,1))</f>
        <v>0.99170624634274407</v>
      </c>
      <c r="E24">
        <f t="shared" si="0"/>
        <v>-8.328338188593019E-3</v>
      </c>
      <c r="P24">
        <v>23</v>
      </c>
      <c r="Q24">
        <v>6263</v>
      </c>
      <c r="R24">
        <f t="shared" si="1"/>
        <v>3.1893008106039465E-4</v>
      </c>
    </row>
    <row r="25" spans="1:18" x14ac:dyDescent="0.25">
      <c r="A25">
        <v>14</v>
      </c>
      <c r="B25">
        <v>15821</v>
      </c>
      <c r="C25">
        <v>1</v>
      </c>
      <c r="D25">
        <f>_xlfn.WEIBULL.DIST(B25,$H$2,$G$2,0)</f>
        <v>3.4921150177807256E-5</v>
      </c>
      <c r="E25">
        <f t="shared" si="0"/>
        <v>-10.262417890026502</v>
      </c>
      <c r="P25">
        <v>24</v>
      </c>
      <c r="Q25">
        <v>6264</v>
      </c>
      <c r="R25">
        <f t="shared" si="1"/>
        <v>3.1892989989648363E-4</v>
      </c>
    </row>
    <row r="26" spans="1:18" x14ac:dyDescent="0.25">
      <c r="A26">
        <v>14</v>
      </c>
      <c r="B26">
        <v>19746</v>
      </c>
      <c r="C26">
        <v>1</v>
      </c>
      <c r="D26">
        <f>_xlfn.WEIBULL.DIST(B26,$H$2,$G$2,0)/(1-_xlfn.WEIBULL.DIST(B25,$H$2,$G$2,1))</f>
        <v>5.2520140922041186E-5</v>
      </c>
      <c r="E26">
        <f t="shared" si="0"/>
        <v>-9.8543138253260967</v>
      </c>
      <c r="P26">
        <v>25</v>
      </c>
      <c r="Q26">
        <v>6265</v>
      </c>
      <c r="R26">
        <f t="shared" ref="R26:R89" si="2">(((Q26/$G$2)^$H$2)*$N$2+$M$2)/Q26</f>
        <v>3.1892972685063081E-4</v>
      </c>
    </row>
    <row r="27" spans="1:18" x14ac:dyDescent="0.25">
      <c r="A27">
        <v>14</v>
      </c>
      <c r="B27">
        <v>19877</v>
      </c>
      <c r="C27">
        <v>0</v>
      </c>
      <c r="D27">
        <f>(1-_xlfn.WEIBULL.DIST(B27,$H$2,$G$2,1))/(1-_xlfn.WEIBULL.DIST(B26,$H$2,$G$2,1))</f>
        <v>0.99130710446528125</v>
      </c>
      <c r="E27">
        <f t="shared" si="0"/>
        <v>-8.7308991523812173E-3</v>
      </c>
      <c r="P27">
        <v>26</v>
      </c>
      <c r="Q27">
        <v>6266</v>
      </c>
      <c r="R27">
        <f t="shared" si="2"/>
        <v>3.1892956191894353E-4</v>
      </c>
    </row>
    <row r="28" spans="1:18" x14ac:dyDescent="0.25">
      <c r="A28">
        <v>15</v>
      </c>
      <c r="B28">
        <v>1927</v>
      </c>
      <c r="C28">
        <v>0</v>
      </c>
      <c r="D28">
        <f>(1-_xlfn.WEIBULL.DIST(B28,$H$2,$G$2,1))</f>
        <v>0.99368965341360505</v>
      </c>
      <c r="E28">
        <f t="shared" si="0"/>
        <v>-6.3303409821753231E-3</v>
      </c>
      <c r="G28" s="16" t="s">
        <v>47</v>
      </c>
      <c r="H28" s="16"/>
      <c r="I28" s="16"/>
      <c r="J28" s="16"/>
      <c r="K28" s="16"/>
      <c r="P28">
        <v>27</v>
      </c>
      <c r="Q28">
        <v>6267</v>
      </c>
      <c r="R28">
        <f t="shared" si="2"/>
        <v>3.1892940509753139E-4</v>
      </c>
    </row>
    <row r="29" spans="1:18" x14ac:dyDescent="0.25">
      <c r="A29">
        <v>16</v>
      </c>
      <c r="B29">
        <v>15813</v>
      </c>
      <c r="C29">
        <v>1</v>
      </c>
      <c r="D29">
        <f>_xlfn.WEIBULL.DIST(B29,$H$2,$G$2,0)</f>
        <v>3.4918452489848928E-5</v>
      </c>
      <c r="E29">
        <f t="shared" si="0"/>
        <v>-10.26249514384401</v>
      </c>
      <c r="G29" s="16"/>
      <c r="H29" s="16"/>
      <c r="I29" s="16"/>
      <c r="J29" s="16"/>
      <c r="K29" s="16"/>
      <c r="P29">
        <v>28</v>
      </c>
      <c r="Q29">
        <v>6268</v>
      </c>
      <c r="R29">
        <f t="shared" si="2"/>
        <v>3.1892925638250672E-4</v>
      </c>
    </row>
    <row r="30" spans="1:18" x14ac:dyDescent="0.25">
      <c r="A30">
        <v>16</v>
      </c>
      <c r="B30">
        <v>21886</v>
      </c>
      <c r="C30">
        <v>0</v>
      </c>
      <c r="D30">
        <f>(1-_xlfn.WEIBULL.DIST(B30,$H$2,$G$2,1))/(1-_xlfn.WEIBULL.DIST(B29,$H$2,$G$2,1))</f>
        <v>0.68032622136628473</v>
      </c>
      <c r="E30">
        <f t="shared" si="0"/>
        <v>-0.38518285854577461</v>
      </c>
      <c r="G30" s="16"/>
      <c r="H30" s="16"/>
      <c r="I30" s="16"/>
      <c r="J30" s="16"/>
      <c r="K30" s="16"/>
      <c r="P30">
        <v>29</v>
      </c>
      <c r="Q30">
        <v>6269</v>
      </c>
      <c r="R30">
        <f t="shared" si="2"/>
        <v>3.1892911576998401E-4</v>
      </c>
    </row>
    <row r="31" spans="1:18" x14ac:dyDescent="0.25">
      <c r="A31">
        <v>17</v>
      </c>
      <c r="B31">
        <v>15524</v>
      </c>
      <c r="C31">
        <v>1</v>
      </c>
      <c r="D31">
        <f>_xlfn.WEIBULL.DIST(B31,$H$2,$G$2,0)</f>
        <v>3.4810111345823248E-5</v>
      </c>
      <c r="E31">
        <f t="shared" si="0"/>
        <v>-10.265602657472579</v>
      </c>
      <c r="G31" s="16"/>
      <c r="H31" s="16"/>
      <c r="I31" s="16"/>
      <c r="J31" s="16"/>
      <c r="K31" s="16"/>
      <c r="P31">
        <v>30</v>
      </c>
      <c r="Q31">
        <v>6270</v>
      </c>
      <c r="R31">
        <f t="shared" si="2"/>
        <v>3.1892898325608035E-4</v>
      </c>
    </row>
    <row r="32" spans="1:18" x14ac:dyDescent="0.25">
      <c r="A32">
        <v>17</v>
      </c>
      <c r="B32">
        <v>21886</v>
      </c>
      <c r="C32">
        <v>0</v>
      </c>
      <c r="D32">
        <f>(1-_xlfn.WEIBULL.DIST(B32,$H$2,$G$2,1))/(1-_xlfn.WEIBULL.DIST(B31,$H$2,$G$2,1))</f>
        <v>0.67002975922960906</v>
      </c>
      <c r="E32">
        <f t="shared" si="0"/>
        <v>-0.40043315082290987</v>
      </c>
      <c r="G32" s="16"/>
      <c r="H32" s="16"/>
      <c r="I32" s="16"/>
      <c r="J32" s="16"/>
      <c r="K32" s="16"/>
      <c r="P32">
        <v>31</v>
      </c>
      <c r="Q32">
        <v>6271</v>
      </c>
      <c r="R32">
        <f t="shared" si="2"/>
        <v>3.1892885883691549E-4</v>
      </c>
    </row>
    <row r="33" spans="1:18" x14ac:dyDescent="0.25">
      <c r="A33">
        <v>18</v>
      </c>
      <c r="B33">
        <v>21440</v>
      </c>
      <c r="C33">
        <v>0</v>
      </c>
      <c r="D33">
        <f>(1-_xlfn.WEIBULL.DIST(B33,$H$2,$G$2,1))</f>
        <v>0.46082262229261084</v>
      </c>
      <c r="E33">
        <f t="shared" si="0"/>
        <v>-0.77474207728855227</v>
      </c>
      <c r="G33" s="16"/>
      <c r="H33" s="16"/>
      <c r="I33" s="16"/>
      <c r="J33" s="16"/>
      <c r="K33" s="16"/>
      <c r="P33">
        <v>32</v>
      </c>
      <c r="Q33">
        <v>6272</v>
      </c>
      <c r="R33">
        <f t="shared" si="2"/>
        <v>3.1892874250861135E-4</v>
      </c>
    </row>
    <row r="34" spans="1:18" x14ac:dyDescent="0.25">
      <c r="A34">
        <v>19</v>
      </c>
      <c r="B34">
        <v>369</v>
      </c>
      <c r="C34">
        <v>0</v>
      </c>
      <c r="D34">
        <f>(1-_xlfn.WEIBULL.DIST(B34,$H$2,$G$2,1))</f>
        <v>0.99976608084319929</v>
      </c>
      <c r="E34">
        <f t="shared" si="0"/>
        <v>-2.3394652015396112E-4</v>
      </c>
      <c r="P34">
        <v>33</v>
      </c>
      <c r="Q34">
        <v>6273</v>
      </c>
      <c r="R34">
        <f t="shared" si="2"/>
        <v>3.189286342672925E-4</v>
      </c>
    </row>
    <row r="35" spans="1:18" x14ac:dyDescent="0.25">
      <c r="A35">
        <v>20</v>
      </c>
      <c r="B35">
        <v>11664</v>
      </c>
      <c r="C35">
        <v>1</v>
      </c>
      <c r="D35">
        <f>_xlfn.WEIBULL.DIST(B35,$H$2,$G$2,0)</f>
        <v>3.1256232753903011E-5</v>
      </c>
      <c r="E35">
        <f t="shared" si="0"/>
        <v>-10.3732917535441</v>
      </c>
      <c r="P35">
        <v>34</v>
      </c>
      <c r="Q35">
        <v>6274</v>
      </c>
      <c r="R35">
        <f t="shared" si="2"/>
        <v>3.1892853410908601E-4</v>
      </c>
    </row>
    <row r="36" spans="1:18" x14ac:dyDescent="0.25">
      <c r="A36">
        <v>20</v>
      </c>
      <c r="B36">
        <v>17031</v>
      </c>
      <c r="C36">
        <v>1</v>
      </c>
      <c r="D36">
        <f>_xlfn.WEIBULL.DIST(B36,$H$2,$G$2,0)/(1-_xlfn.WEIBULL.DIST(B35,$H$2,$G$2,1))</f>
        <v>4.4233367637057185E-5</v>
      </c>
      <c r="E36">
        <f t="shared" si="0"/>
        <v>-10.026031129777028</v>
      </c>
      <c r="P36">
        <v>35</v>
      </c>
      <c r="Q36">
        <v>6275</v>
      </c>
      <c r="R36">
        <f t="shared" si="2"/>
        <v>3.1892844203012155E-4</v>
      </c>
    </row>
    <row r="37" spans="1:18" x14ac:dyDescent="0.25">
      <c r="A37">
        <v>20</v>
      </c>
      <c r="B37">
        <v>21857</v>
      </c>
      <c r="C37">
        <v>0</v>
      </c>
      <c r="D37">
        <f>(1-_xlfn.WEIBULL.DIST(B37,$H$2,$G$2,1))/(1-_xlfn.WEIBULL.DIST(B36,$H$2,$G$2,1))</f>
        <v>0.72927718156068</v>
      </c>
      <c r="E37">
        <f t="shared" si="0"/>
        <v>-0.31570139761981297</v>
      </c>
      <c r="P37">
        <v>36</v>
      </c>
      <c r="Q37">
        <v>6276</v>
      </c>
      <c r="R37">
        <f t="shared" si="2"/>
        <v>3.1892835802653068E-4</v>
      </c>
    </row>
    <row r="38" spans="1:18" x14ac:dyDescent="0.25">
      <c r="A38">
        <v>21</v>
      </c>
      <c r="B38">
        <v>7544</v>
      </c>
      <c r="C38">
        <v>0</v>
      </c>
      <c r="D38">
        <f>(1-_xlfn.WEIBULL.DIST(B38,$H$2,$G$2,1))</f>
        <v>0.90810422417962544</v>
      </c>
      <c r="E38">
        <f t="shared" si="0"/>
        <v>-9.6396122629267361E-2</v>
      </c>
      <c r="P38">
        <v>37</v>
      </c>
      <c r="Q38">
        <v>6277</v>
      </c>
      <c r="R38">
        <f t="shared" si="2"/>
        <v>3.1892828209444807E-4</v>
      </c>
    </row>
    <row r="39" spans="1:18" x14ac:dyDescent="0.25">
      <c r="A39">
        <v>22</v>
      </c>
      <c r="B39">
        <v>6039</v>
      </c>
      <c r="C39">
        <v>0</v>
      </c>
      <c r="D39">
        <f>(1-_xlfn.WEIBULL.DIST(B39,$H$2,$G$2,1))</f>
        <v>0.94003669163187586</v>
      </c>
      <c r="E39">
        <f t="shared" si="0"/>
        <v>-6.1836370828948828E-2</v>
      </c>
      <c r="P39">
        <v>38</v>
      </c>
      <c r="Q39">
        <v>6278</v>
      </c>
      <c r="R39">
        <f t="shared" si="2"/>
        <v>3.1892821423001058E-4</v>
      </c>
    </row>
    <row r="40" spans="1:18" x14ac:dyDescent="0.25">
      <c r="A40">
        <v>23</v>
      </c>
      <c r="B40">
        <v>2168</v>
      </c>
      <c r="C40">
        <v>1</v>
      </c>
      <c r="D40">
        <f>_xlfn.WEIBULL.DIST(B40,$H$2,$G$2,0)</f>
        <v>7.3114384535002005E-6</v>
      </c>
      <c r="E40">
        <f t="shared" si="0"/>
        <v>-11.826070524696412</v>
      </c>
      <c r="P40">
        <v>39</v>
      </c>
      <c r="Q40">
        <v>6279</v>
      </c>
      <c r="R40">
        <f t="shared" si="2"/>
        <v>3.1892815442935755E-4</v>
      </c>
    </row>
    <row r="41" spans="1:18" x14ac:dyDescent="0.25">
      <c r="A41">
        <v>23</v>
      </c>
      <c r="B41">
        <v>6698</v>
      </c>
      <c r="C41">
        <v>0</v>
      </c>
      <c r="D41">
        <f>(1-_xlfn.WEIBULL.DIST(B41,$H$2,$G$2,1))/(1-_xlfn.WEIBULL.DIST(B40,$H$2,$G$2,1))</f>
        <v>0.93423918118713023</v>
      </c>
      <c r="E41">
        <f t="shared" si="0"/>
        <v>-6.8022790895390262E-2</v>
      </c>
      <c r="P41">
        <v>40</v>
      </c>
      <c r="Q41">
        <v>6280</v>
      </c>
      <c r="R41">
        <f t="shared" si="2"/>
        <v>3.1892810268863072E-4</v>
      </c>
    </row>
    <row r="42" spans="1:18" x14ac:dyDescent="0.25">
      <c r="A42">
        <v>24</v>
      </c>
      <c r="B42">
        <v>18840</v>
      </c>
      <c r="C42">
        <v>1</v>
      </c>
      <c r="D42">
        <f>_xlfn.WEIBULL.DIST(B42,$H$2,$G$2,0)</f>
        <v>3.4840695281330528E-5</v>
      </c>
      <c r="E42">
        <f t="shared" si="0"/>
        <v>-10.264724449768922</v>
      </c>
      <c r="P42">
        <v>41</v>
      </c>
      <c r="Q42">
        <v>6281</v>
      </c>
      <c r="R42">
        <f t="shared" si="2"/>
        <v>3.1892805900397446E-4</v>
      </c>
    </row>
    <row r="43" spans="1:18" x14ac:dyDescent="0.25">
      <c r="A43">
        <v>24</v>
      </c>
      <c r="B43">
        <v>21879</v>
      </c>
      <c r="C43">
        <v>0</v>
      </c>
      <c r="D43">
        <f>(1-_xlfn.WEIBULL.DIST(B43,$H$2,$G$2,1))/(1-_xlfn.WEIBULL.DIST(B42,$H$2,$G$2,1))</f>
        <v>0.81211102423777382</v>
      </c>
      <c r="E43">
        <f t="shared" si="0"/>
        <v>-0.20811821881020134</v>
      </c>
      <c r="P43">
        <v>42</v>
      </c>
      <c r="Q43">
        <v>6282</v>
      </c>
      <c r="R43">
        <f t="shared" si="2"/>
        <v>3.189280233715354E-4</v>
      </c>
    </row>
    <row r="44" spans="1:18" x14ac:dyDescent="0.25">
      <c r="A44">
        <v>25</v>
      </c>
      <c r="B44">
        <v>2288</v>
      </c>
      <c r="C44">
        <v>0</v>
      </c>
      <c r="D44">
        <f>(1-_xlfn.WEIBULL.DIST(B44,$H$2,$G$2,1))</f>
        <v>0.99112256282470157</v>
      </c>
      <c r="E44">
        <f t="shared" si="0"/>
        <v>-8.9170763915112222E-3</v>
      </c>
      <c r="P44">
        <v>43</v>
      </c>
      <c r="Q44">
        <v>6283</v>
      </c>
      <c r="R44">
        <f t="shared" si="2"/>
        <v>3.1892799578746279E-4</v>
      </c>
    </row>
    <row r="45" spans="1:18" x14ac:dyDescent="0.25">
      <c r="A45">
        <v>26</v>
      </c>
      <c r="B45">
        <v>2499</v>
      </c>
      <c r="C45">
        <v>0</v>
      </c>
      <c r="D45">
        <f>(1-_xlfn.WEIBULL.DIST(B45,$H$2,$G$2,1))</f>
        <v>0.98942319278098001</v>
      </c>
      <c r="E45">
        <f t="shared" si="0"/>
        <v>-1.0633139204952652E-2</v>
      </c>
      <c r="P45">
        <v>44</v>
      </c>
      <c r="Q45">
        <v>6284</v>
      </c>
      <c r="R45">
        <f t="shared" si="2"/>
        <v>3.189279762479083E-4</v>
      </c>
    </row>
    <row r="46" spans="1:18" x14ac:dyDescent="0.25">
      <c r="A46">
        <v>27</v>
      </c>
      <c r="B46">
        <v>10668</v>
      </c>
      <c r="C46">
        <v>1</v>
      </c>
      <c r="D46">
        <f>_xlfn.WEIBULL.DIST(B46,$H$2,$G$2,0)</f>
        <v>2.9692607709934614E-5</v>
      </c>
      <c r="E46">
        <f t="shared" si="0"/>
        <v>-10.424612441791432</v>
      </c>
      <c r="P46">
        <v>45</v>
      </c>
      <c r="Q46">
        <v>6285</v>
      </c>
      <c r="R46">
        <f t="shared" si="2"/>
        <v>3.1892796474902577E-4</v>
      </c>
    </row>
    <row r="47" spans="1:18" x14ac:dyDescent="0.25">
      <c r="A47">
        <v>27</v>
      </c>
      <c r="B47">
        <v>16838</v>
      </c>
      <c r="C47">
        <v>0</v>
      </c>
      <c r="D47">
        <f>(1-_xlfn.WEIBULL.DIST(B47,$H$2,$G$2,1))/(1-_xlfn.WEIBULL.DIST(B46,$H$2,$G$2,1))</f>
        <v>0.75130195468539418</v>
      </c>
      <c r="E47">
        <f t="shared" si="0"/>
        <v>-0.28594763787289273</v>
      </c>
      <c r="P47">
        <v>46</v>
      </c>
      <c r="Q47">
        <v>6286</v>
      </c>
      <c r="R47">
        <f t="shared" si="2"/>
        <v>3.1892796128697194E-4</v>
      </c>
    </row>
    <row r="48" spans="1:18" x14ac:dyDescent="0.25">
      <c r="A48">
        <v>28</v>
      </c>
      <c r="B48">
        <v>15550</v>
      </c>
      <c r="C48">
        <v>1</v>
      </c>
      <c r="D48">
        <f>_xlfn.WEIBULL.DIST(B48,$H$2,$G$2,0)</f>
        <v>3.4820728672472894E-5</v>
      </c>
      <c r="E48">
        <f t="shared" si="0"/>
        <v>-10.265297697005948</v>
      </c>
      <c r="P48">
        <v>47</v>
      </c>
      <c r="Q48">
        <v>6287</v>
      </c>
      <c r="R48">
        <f t="shared" si="2"/>
        <v>3.189279658579058E-4</v>
      </c>
    </row>
    <row r="49" spans="1:18" x14ac:dyDescent="0.25">
      <c r="A49">
        <v>28</v>
      </c>
      <c r="B49">
        <v>21887</v>
      </c>
      <c r="C49">
        <v>0</v>
      </c>
      <c r="D49">
        <f>(1-_xlfn.WEIBULL.DIST(B49,$H$2,$G$2,1))/(1-_xlfn.WEIBULL.DIST(B48,$H$2,$G$2,1))</f>
        <v>0.67089260540493201</v>
      </c>
      <c r="E49">
        <f t="shared" si="0"/>
        <v>-0.39914620637755099</v>
      </c>
      <c r="P49">
        <v>48</v>
      </c>
      <c r="Q49">
        <v>6288</v>
      </c>
      <c r="R49">
        <f t="shared" si="2"/>
        <v>3.1892797845798861E-4</v>
      </c>
    </row>
    <row r="50" spans="1:18" x14ac:dyDescent="0.25">
      <c r="A50">
        <v>29</v>
      </c>
      <c r="B50">
        <v>1616</v>
      </c>
      <c r="C50">
        <v>0</v>
      </c>
      <c r="D50">
        <f>(1-_xlfn.WEIBULL.DIST(B50,$H$2,$G$2,1))</f>
        <v>0.99555428839335769</v>
      </c>
      <c r="E50">
        <f t="shared" si="0"/>
        <v>-4.4556231693622791E-3</v>
      </c>
      <c r="P50">
        <v>49</v>
      </c>
      <c r="Q50">
        <v>6289</v>
      </c>
      <c r="R50">
        <f t="shared" si="2"/>
        <v>3.1892799908338448E-4</v>
      </c>
    </row>
    <row r="51" spans="1:18" x14ac:dyDescent="0.25">
      <c r="A51">
        <v>30</v>
      </c>
      <c r="B51">
        <v>14041</v>
      </c>
      <c r="C51">
        <v>1</v>
      </c>
      <c r="D51">
        <f>_xlfn.WEIBULL.DIST(B51,$H$2,$G$2,0)</f>
        <v>3.3914058987383135E-5</v>
      </c>
      <c r="E51">
        <f t="shared" si="0"/>
        <v>-10.291680910158355</v>
      </c>
      <c r="P51">
        <v>50</v>
      </c>
      <c r="Q51">
        <v>6290</v>
      </c>
      <c r="R51">
        <f t="shared" si="2"/>
        <v>3.1892802773025939E-4</v>
      </c>
    </row>
    <row r="52" spans="1:18" x14ac:dyDescent="0.25">
      <c r="A52">
        <v>30</v>
      </c>
      <c r="B52">
        <v>20004</v>
      </c>
      <c r="C52">
        <v>0</v>
      </c>
      <c r="D52">
        <f>(1-_xlfn.WEIBULL.DIST(B52,$H$2,$G$2,1))/(1-_xlfn.WEIBULL.DIST(B51,$H$2,$G$2,1))</f>
        <v>0.71055289552684942</v>
      </c>
      <c r="E52">
        <f t="shared" si="0"/>
        <v>-0.34171188590246837</v>
      </c>
      <c r="P52">
        <v>51</v>
      </c>
      <c r="Q52">
        <v>6291</v>
      </c>
      <c r="R52">
        <f t="shared" si="2"/>
        <v>3.1892806439478226E-4</v>
      </c>
    </row>
    <row r="53" spans="1:18" x14ac:dyDescent="0.25">
      <c r="A53">
        <v>31</v>
      </c>
      <c r="B53">
        <v>21888</v>
      </c>
      <c r="C53">
        <v>0</v>
      </c>
      <c r="D53">
        <f>(1-_xlfn.WEIBULL.DIST(B53,$H$2,$G$2,1))</f>
        <v>0.44602577428180779</v>
      </c>
      <c r="E53">
        <f t="shared" si="0"/>
        <v>-0.80737853876231902</v>
      </c>
      <c r="P53">
        <v>52</v>
      </c>
      <c r="Q53">
        <v>6292</v>
      </c>
      <c r="R53">
        <f t="shared" si="2"/>
        <v>3.1892810907312435E-4</v>
      </c>
    </row>
    <row r="54" spans="1:18" x14ac:dyDescent="0.25">
      <c r="A54">
        <v>32</v>
      </c>
      <c r="B54">
        <v>21888</v>
      </c>
      <c r="C54">
        <v>0</v>
      </c>
      <c r="D54">
        <f t="shared" ref="D54:D62" si="3">(1-_xlfn.WEIBULL.DIST(B54,$H$2,$G$2,1))</f>
        <v>0.44602577428180779</v>
      </c>
      <c r="E54">
        <f t="shared" si="0"/>
        <v>-0.80737853876231902</v>
      </c>
      <c r="P54">
        <v>53</v>
      </c>
      <c r="Q54">
        <v>6293</v>
      </c>
      <c r="R54">
        <f t="shared" si="2"/>
        <v>3.18928161761459E-4</v>
      </c>
    </row>
    <row r="55" spans="1:18" x14ac:dyDescent="0.25">
      <c r="A55">
        <v>33</v>
      </c>
      <c r="B55">
        <v>21888</v>
      </c>
      <c r="C55">
        <v>0</v>
      </c>
      <c r="D55">
        <f t="shared" si="3"/>
        <v>0.44602577428180779</v>
      </c>
      <c r="E55">
        <f t="shared" si="0"/>
        <v>-0.80737853876231902</v>
      </c>
      <c r="P55">
        <v>54</v>
      </c>
      <c r="Q55">
        <v>6294</v>
      </c>
      <c r="R55">
        <f t="shared" si="2"/>
        <v>3.1892822245596257E-4</v>
      </c>
    </row>
    <row r="56" spans="1:18" x14ac:dyDescent="0.25">
      <c r="A56">
        <v>34</v>
      </c>
      <c r="B56">
        <v>21888</v>
      </c>
      <c r="C56">
        <v>0</v>
      </c>
      <c r="D56">
        <f t="shared" si="3"/>
        <v>0.44602577428180779</v>
      </c>
      <c r="E56">
        <f t="shared" si="0"/>
        <v>-0.80737853876231902</v>
      </c>
      <c r="P56">
        <v>55</v>
      </c>
      <c r="Q56">
        <v>6295</v>
      </c>
      <c r="R56">
        <f t="shared" si="2"/>
        <v>3.1892829115281335E-4</v>
      </c>
    </row>
    <row r="57" spans="1:18" x14ac:dyDescent="0.25">
      <c r="A57">
        <v>35</v>
      </c>
      <c r="B57">
        <v>21888</v>
      </c>
      <c r="C57">
        <v>0</v>
      </c>
      <c r="D57">
        <f t="shared" si="3"/>
        <v>0.44602577428180779</v>
      </c>
      <c r="E57">
        <f t="shared" si="0"/>
        <v>-0.80737853876231902</v>
      </c>
      <c r="P57">
        <v>56</v>
      </c>
      <c r="Q57">
        <v>6296</v>
      </c>
      <c r="R57">
        <f t="shared" si="2"/>
        <v>3.1892836784819218E-4</v>
      </c>
    </row>
    <row r="58" spans="1:18" x14ac:dyDescent="0.25">
      <c r="A58">
        <v>36</v>
      </c>
      <c r="B58">
        <v>21888</v>
      </c>
      <c r="C58">
        <v>0</v>
      </c>
      <c r="D58">
        <f t="shared" si="3"/>
        <v>0.44602577428180779</v>
      </c>
      <c r="E58">
        <f t="shared" si="0"/>
        <v>-0.80737853876231902</v>
      </c>
      <c r="P58">
        <v>57</v>
      </c>
      <c r="Q58">
        <v>6297</v>
      </c>
      <c r="R58">
        <f t="shared" si="2"/>
        <v>3.1892845253828257E-4</v>
      </c>
    </row>
    <row r="59" spans="1:18" x14ac:dyDescent="0.25">
      <c r="A59">
        <v>37</v>
      </c>
      <c r="B59">
        <v>21888</v>
      </c>
      <c r="C59">
        <v>0</v>
      </c>
      <c r="D59">
        <f t="shared" si="3"/>
        <v>0.44602577428180779</v>
      </c>
      <c r="E59">
        <f t="shared" si="0"/>
        <v>-0.80737853876231902</v>
      </c>
      <c r="P59">
        <v>58</v>
      </c>
      <c r="Q59">
        <v>6298</v>
      </c>
      <c r="R59">
        <f t="shared" si="2"/>
        <v>3.1892854521927007E-4</v>
      </c>
    </row>
    <row r="60" spans="1:18" x14ac:dyDescent="0.25">
      <c r="A60">
        <v>38</v>
      </c>
      <c r="B60">
        <v>21888</v>
      </c>
      <c r="C60">
        <v>0</v>
      </c>
      <c r="D60">
        <f t="shared" si="3"/>
        <v>0.44602577428180779</v>
      </c>
      <c r="E60">
        <f t="shared" si="0"/>
        <v>-0.80737853876231902</v>
      </c>
      <c r="P60">
        <v>59</v>
      </c>
      <c r="Q60">
        <v>6299</v>
      </c>
      <c r="R60">
        <f t="shared" si="2"/>
        <v>3.1892864588734307E-4</v>
      </c>
    </row>
    <row r="61" spans="1:18" x14ac:dyDescent="0.25">
      <c r="A61">
        <v>39</v>
      </c>
      <c r="B61">
        <v>21888</v>
      </c>
      <c r="C61">
        <v>0</v>
      </c>
      <c r="D61">
        <f t="shared" si="3"/>
        <v>0.44602577428180779</v>
      </c>
      <c r="E61">
        <f t="shared" si="0"/>
        <v>-0.80737853876231902</v>
      </c>
      <c r="P61">
        <v>60</v>
      </c>
      <c r="Q61">
        <v>6300</v>
      </c>
      <c r="R61">
        <f t="shared" si="2"/>
        <v>3.1892875453869206E-4</v>
      </c>
    </row>
    <row r="62" spans="1:18" x14ac:dyDescent="0.25">
      <c r="A62">
        <v>40</v>
      </c>
      <c r="B62">
        <v>21888</v>
      </c>
      <c r="C62">
        <v>0</v>
      </c>
      <c r="D62">
        <f t="shared" si="3"/>
        <v>0.44602577428180779</v>
      </c>
      <c r="E62">
        <f t="shared" si="0"/>
        <v>-0.80737853876231902</v>
      </c>
      <c r="P62">
        <v>61</v>
      </c>
      <c r="Q62">
        <v>6301</v>
      </c>
      <c r="R62">
        <f t="shared" si="2"/>
        <v>3.1892887116951013E-4</v>
      </c>
    </row>
    <row r="63" spans="1:18" x14ac:dyDescent="0.25">
      <c r="P63">
        <v>62</v>
      </c>
      <c r="Q63">
        <v>6302</v>
      </c>
      <c r="R63">
        <f t="shared" si="2"/>
        <v>3.1892899577599254E-4</v>
      </c>
    </row>
    <row r="64" spans="1:18" x14ac:dyDescent="0.25">
      <c r="P64">
        <v>63</v>
      </c>
      <c r="Q64">
        <v>6303</v>
      </c>
      <c r="R64">
        <f t="shared" si="2"/>
        <v>3.1892912835433733E-4</v>
      </c>
    </row>
    <row r="65" spans="16:18" x14ac:dyDescent="0.25">
      <c r="P65">
        <v>64</v>
      </c>
      <c r="Q65">
        <v>6304</v>
      </c>
      <c r="R65">
        <f t="shared" si="2"/>
        <v>3.1892926890074452E-4</v>
      </c>
    </row>
    <row r="66" spans="16:18" x14ac:dyDescent="0.25">
      <c r="P66">
        <v>65</v>
      </c>
      <c r="Q66">
        <v>6305</v>
      </c>
      <c r="R66">
        <f t="shared" si="2"/>
        <v>3.1892941741141714E-4</v>
      </c>
    </row>
    <row r="67" spans="16:18" x14ac:dyDescent="0.25">
      <c r="P67">
        <v>66</v>
      </c>
      <c r="Q67">
        <v>6306</v>
      </c>
      <c r="R67">
        <f t="shared" si="2"/>
        <v>3.1892957388256009E-4</v>
      </c>
    </row>
    <row r="68" spans="16:18" x14ac:dyDescent="0.25">
      <c r="P68">
        <v>67</v>
      </c>
      <c r="Q68">
        <v>6307</v>
      </c>
      <c r="R68">
        <f t="shared" si="2"/>
        <v>3.1892973831038079E-4</v>
      </c>
    </row>
    <row r="69" spans="16:18" x14ac:dyDescent="0.25">
      <c r="P69">
        <v>68</v>
      </c>
      <c r="Q69">
        <v>6308</v>
      </c>
      <c r="R69">
        <f t="shared" si="2"/>
        <v>3.1892991069108908E-4</v>
      </c>
    </row>
    <row r="70" spans="16:18" x14ac:dyDescent="0.25">
      <c r="P70">
        <v>69</v>
      </c>
      <c r="Q70">
        <v>6309</v>
      </c>
      <c r="R70">
        <f t="shared" si="2"/>
        <v>3.1893009102089756E-4</v>
      </c>
    </row>
    <row r="71" spans="16:18" x14ac:dyDescent="0.25">
      <c r="P71">
        <v>70</v>
      </c>
      <c r="Q71">
        <v>6310</v>
      </c>
      <c r="R71">
        <f t="shared" si="2"/>
        <v>3.1893027929602076E-4</v>
      </c>
    </row>
    <row r="72" spans="16:18" x14ac:dyDescent="0.25">
      <c r="P72">
        <v>71</v>
      </c>
      <c r="Q72">
        <v>6311</v>
      </c>
      <c r="R72">
        <f t="shared" si="2"/>
        <v>3.1893047551267577E-4</v>
      </c>
    </row>
    <row r="73" spans="16:18" x14ac:dyDescent="0.25">
      <c r="P73">
        <v>72</v>
      </c>
      <c r="Q73">
        <v>6312</v>
      </c>
      <c r="R73">
        <f t="shared" si="2"/>
        <v>3.1893067966708215E-4</v>
      </c>
    </row>
    <row r="74" spans="16:18" x14ac:dyDescent="0.25">
      <c r="P74">
        <v>73</v>
      </c>
      <c r="Q74">
        <v>6313</v>
      </c>
      <c r="R74">
        <f t="shared" si="2"/>
        <v>3.1893089175546156E-4</v>
      </c>
    </row>
    <row r="75" spans="16:18" x14ac:dyDescent="0.25">
      <c r="P75">
        <v>74</v>
      </c>
      <c r="Q75">
        <v>6314</v>
      </c>
      <c r="R75">
        <f t="shared" si="2"/>
        <v>3.189311117740387E-4</v>
      </c>
    </row>
    <row r="76" spans="16:18" x14ac:dyDescent="0.25">
      <c r="P76">
        <v>75</v>
      </c>
      <c r="Q76">
        <v>6315</v>
      </c>
      <c r="R76">
        <f t="shared" si="2"/>
        <v>3.1893133971904006E-4</v>
      </c>
    </row>
    <row r="77" spans="16:18" x14ac:dyDescent="0.25">
      <c r="P77">
        <v>76</v>
      </c>
      <c r="Q77">
        <v>6316</v>
      </c>
      <c r="R77">
        <f t="shared" si="2"/>
        <v>3.1893157558669468E-4</v>
      </c>
    </row>
    <row r="78" spans="16:18" x14ac:dyDescent="0.25">
      <c r="P78">
        <v>77</v>
      </c>
      <c r="Q78">
        <v>6317</v>
      </c>
      <c r="R78">
        <f t="shared" si="2"/>
        <v>3.1893181937323398E-4</v>
      </c>
    </row>
    <row r="79" spans="16:18" x14ac:dyDescent="0.25">
      <c r="P79">
        <v>78</v>
      </c>
      <c r="Q79">
        <v>6318</v>
      </c>
      <c r="R79">
        <f t="shared" si="2"/>
        <v>3.1893207107489197E-4</v>
      </c>
    </row>
    <row r="80" spans="16:18" x14ac:dyDescent="0.25">
      <c r="P80">
        <v>79</v>
      </c>
      <c r="Q80">
        <v>6319</v>
      </c>
      <c r="R80">
        <f t="shared" si="2"/>
        <v>3.1893233068790475E-4</v>
      </c>
    </row>
    <row r="81" spans="16:18" x14ac:dyDescent="0.25">
      <c r="P81">
        <v>80</v>
      </c>
      <c r="Q81">
        <v>6320</v>
      </c>
      <c r="R81">
        <f t="shared" si="2"/>
        <v>3.1893259820851106E-4</v>
      </c>
    </row>
    <row r="82" spans="16:18" x14ac:dyDescent="0.25">
      <c r="P82">
        <v>81</v>
      </c>
      <c r="Q82">
        <v>6321</v>
      </c>
      <c r="R82">
        <f t="shared" si="2"/>
        <v>3.1893287363295175E-4</v>
      </c>
    </row>
    <row r="83" spans="16:18" x14ac:dyDescent="0.25">
      <c r="P83">
        <v>82</v>
      </c>
      <c r="Q83">
        <v>6322</v>
      </c>
      <c r="R83">
        <f t="shared" si="2"/>
        <v>3.1893315695747033E-4</v>
      </c>
    </row>
    <row r="84" spans="16:18" x14ac:dyDescent="0.25">
      <c r="P84">
        <v>83</v>
      </c>
      <c r="Q84">
        <v>6323</v>
      </c>
      <c r="R84">
        <f t="shared" si="2"/>
        <v>3.1893344817831264E-4</v>
      </c>
    </row>
    <row r="85" spans="16:18" x14ac:dyDescent="0.25">
      <c r="P85">
        <v>84</v>
      </c>
      <c r="Q85">
        <v>6324</v>
      </c>
      <c r="R85">
        <f t="shared" si="2"/>
        <v>3.1893374729172658E-4</v>
      </c>
    </row>
    <row r="86" spans="16:18" x14ac:dyDescent="0.25">
      <c r="P86">
        <v>85</v>
      </c>
      <c r="Q86">
        <v>6325</v>
      </c>
      <c r="R86">
        <f t="shared" si="2"/>
        <v>3.1893405429396276E-4</v>
      </c>
    </row>
    <row r="87" spans="16:18" x14ac:dyDescent="0.25">
      <c r="P87">
        <v>86</v>
      </c>
      <c r="Q87">
        <v>6326</v>
      </c>
      <c r="R87">
        <f t="shared" si="2"/>
        <v>3.1893436918127403E-4</v>
      </c>
    </row>
    <row r="88" spans="16:18" x14ac:dyDescent="0.25">
      <c r="P88">
        <v>87</v>
      </c>
      <c r="Q88">
        <v>6327</v>
      </c>
      <c r="R88">
        <f t="shared" si="2"/>
        <v>3.1893469194991576E-4</v>
      </c>
    </row>
    <row r="89" spans="16:18" x14ac:dyDescent="0.25">
      <c r="P89">
        <v>88</v>
      </c>
      <c r="Q89">
        <v>6328</v>
      </c>
      <c r="R89">
        <f t="shared" si="2"/>
        <v>3.1893502259614545E-4</v>
      </c>
    </row>
    <row r="90" spans="16:18" x14ac:dyDescent="0.25">
      <c r="P90">
        <v>89</v>
      </c>
      <c r="Q90">
        <v>6329</v>
      </c>
      <c r="R90">
        <f t="shared" ref="R90:R111" si="4">(((Q90/$G$2)^$H$2)*$N$2+$M$2)/Q90</f>
        <v>3.189353611162232E-4</v>
      </c>
    </row>
    <row r="91" spans="16:18" x14ac:dyDescent="0.25">
      <c r="P91">
        <v>90</v>
      </c>
      <c r="Q91">
        <v>6330</v>
      </c>
      <c r="R91">
        <f t="shared" si="4"/>
        <v>3.189357075064111E-4</v>
      </c>
    </row>
    <row r="92" spans="16:18" x14ac:dyDescent="0.25">
      <c r="P92">
        <v>91</v>
      </c>
      <c r="Q92">
        <v>6331</v>
      </c>
      <c r="R92">
        <f t="shared" si="4"/>
        <v>3.189360617629741E-4</v>
      </c>
    </row>
    <row r="93" spans="16:18" x14ac:dyDescent="0.25">
      <c r="P93">
        <v>92</v>
      </c>
      <c r="Q93">
        <v>6332</v>
      </c>
      <c r="R93">
        <f t="shared" si="4"/>
        <v>3.1893642388217933E-4</v>
      </c>
    </row>
    <row r="94" spans="16:18" x14ac:dyDescent="0.25">
      <c r="P94">
        <v>93</v>
      </c>
      <c r="Q94">
        <v>6333</v>
      </c>
      <c r="R94">
        <f t="shared" si="4"/>
        <v>3.1893679386029599E-4</v>
      </c>
    </row>
    <row r="95" spans="16:18" x14ac:dyDescent="0.25">
      <c r="P95">
        <v>94</v>
      </c>
      <c r="Q95">
        <v>6334</v>
      </c>
      <c r="R95">
        <f t="shared" si="4"/>
        <v>3.1893717169359596E-4</v>
      </c>
    </row>
    <row r="96" spans="16:18" x14ac:dyDescent="0.25">
      <c r="P96">
        <v>95</v>
      </c>
      <c r="Q96">
        <v>6335</v>
      </c>
      <c r="R96">
        <f t="shared" si="4"/>
        <v>3.1893755737835353E-4</v>
      </c>
    </row>
    <row r="97" spans="16:18" x14ac:dyDescent="0.25">
      <c r="P97">
        <v>96</v>
      </c>
      <c r="Q97">
        <v>6336</v>
      </c>
      <c r="R97">
        <f t="shared" si="4"/>
        <v>3.1893795091084495E-4</v>
      </c>
    </row>
    <row r="98" spans="16:18" x14ac:dyDescent="0.25">
      <c r="P98">
        <v>97</v>
      </c>
      <c r="Q98">
        <v>6337</v>
      </c>
      <c r="R98">
        <f t="shared" si="4"/>
        <v>3.1893835228734925E-4</v>
      </c>
    </row>
    <row r="99" spans="16:18" x14ac:dyDescent="0.25">
      <c r="P99">
        <v>98</v>
      </c>
      <c r="Q99">
        <v>6338</v>
      </c>
      <c r="R99">
        <f t="shared" si="4"/>
        <v>3.189387615041475E-4</v>
      </c>
    </row>
    <row r="100" spans="16:18" x14ac:dyDescent="0.25">
      <c r="P100">
        <v>99</v>
      </c>
      <c r="Q100">
        <v>6339</v>
      </c>
      <c r="R100">
        <f t="shared" si="4"/>
        <v>3.1893917855752338E-4</v>
      </c>
    </row>
    <row r="101" spans="16:18" x14ac:dyDescent="0.25">
      <c r="P101">
        <v>100</v>
      </c>
      <c r="Q101">
        <v>6340</v>
      </c>
      <c r="R101">
        <f t="shared" si="4"/>
        <v>3.1893960344376259E-4</v>
      </c>
    </row>
    <row r="102" spans="16:18" x14ac:dyDescent="0.25">
      <c r="P102">
        <v>101</v>
      </c>
      <c r="Q102">
        <v>6341</v>
      </c>
      <c r="R102">
        <f t="shared" si="4"/>
        <v>3.189400361591535E-4</v>
      </c>
    </row>
    <row r="103" spans="16:18" x14ac:dyDescent="0.25">
      <c r="P103">
        <v>102</v>
      </c>
      <c r="Q103">
        <v>6342</v>
      </c>
      <c r="R103">
        <f t="shared" si="4"/>
        <v>3.1894047669998659E-4</v>
      </c>
    </row>
    <row r="104" spans="16:18" x14ac:dyDescent="0.25">
      <c r="P104">
        <v>103</v>
      </c>
      <c r="Q104">
        <v>6343</v>
      </c>
      <c r="R104">
        <f t="shared" si="4"/>
        <v>3.1894092506255496E-4</v>
      </c>
    </row>
    <row r="105" spans="16:18" x14ac:dyDescent="0.25">
      <c r="P105">
        <v>104</v>
      </c>
      <c r="Q105">
        <v>6344</v>
      </c>
      <c r="R105">
        <f t="shared" si="4"/>
        <v>3.1894138124315363E-4</v>
      </c>
    </row>
    <row r="106" spans="16:18" x14ac:dyDescent="0.25">
      <c r="P106">
        <v>105</v>
      </c>
      <c r="Q106">
        <v>6345</v>
      </c>
      <c r="R106">
        <f t="shared" si="4"/>
        <v>3.1894184523808037E-4</v>
      </c>
    </row>
    <row r="107" spans="16:18" x14ac:dyDescent="0.25">
      <c r="P107">
        <v>106</v>
      </c>
      <c r="Q107">
        <v>6346</v>
      </c>
      <c r="R107">
        <f t="shared" si="4"/>
        <v>3.1894231704363512E-4</v>
      </c>
    </row>
    <row r="108" spans="16:18" x14ac:dyDescent="0.25">
      <c r="P108">
        <v>107</v>
      </c>
      <c r="Q108">
        <v>6347</v>
      </c>
      <c r="R108">
        <f t="shared" si="4"/>
        <v>3.1894279665611983E-4</v>
      </c>
    </row>
    <row r="109" spans="16:18" x14ac:dyDescent="0.25">
      <c r="P109">
        <v>108</v>
      </c>
      <c r="Q109">
        <v>6348</v>
      </c>
      <c r="R109">
        <f t="shared" si="4"/>
        <v>3.1894328407183943E-4</v>
      </c>
    </row>
    <row r="110" spans="16:18" x14ac:dyDescent="0.25">
      <c r="P110">
        <v>109</v>
      </c>
      <c r="Q110">
        <v>6349</v>
      </c>
      <c r="R110">
        <f t="shared" si="4"/>
        <v>3.1894377928710075E-4</v>
      </c>
    </row>
    <row r="111" spans="16:18" x14ac:dyDescent="0.25">
      <c r="P111">
        <v>110</v>
      </c>
      <c r="Q111">
        <v>6350</v>
      </c>
      <c r="R111">
        <f t="shared" si="4"/>
        <v>3.1894428229821295E-4</v>
      </c>
    </row>
  </sheetData>
  <mergeCells count="1">
    <mergeCell ref="G28:K33"/>
  </mergeCells>
  <pageMargins left="0.511811024" right="0.511811024" top="0.78740157499999996" bottom="0.78740157499999996" header="0.31496062000000002" footer="0.31496062000000002"/>
  <ignoredErrors>
    <ignoredError sqref="D14 D16 D30 D41 D47 D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AB57-1046-4275-AEC4-BED4BFEDF1D3}">
  <dimension ref="A1:R62"/>
  <sheetViews>
    <sheetView workbookViewId="0">
      <selection activeCell="Q19" sqref="Q19"/>
    </sheetView>
  </sheetViews>
  <sheetFormatPr defaultRowHeight="15" x14ac:dyDescent="0.25"/>
  <cols>
    <col min="4" max="4" width="12" bestFit="1" customWidth="1"/>
    <col min="17" max="17" width="70.28515625" bestFit="1" customWidth="1"/>
  </cols>
  <sheetData>
    <row r="1" spans="1:18" x14ac:dyDescent="0.25">
      <c r="A1" t="s">
        <v>30</v>
      </c>
      <c r="B1" t="s">
        <v>31</v>
      </c>
      <c r="C1" t="s">
        <v>2</v>
      </c>
      <c r="D1" t="s">
        <v>3</v>
      </c>
      <c r="E1" t="s">
        <v>6</v>
      </c>
      <c r="F1" t="s">
        <v>7</v>
      </c>
      <c r="G1" s="6" t="s">
        <v>4</v>
      </c>
      <c r="H1" s="6" t="s">
        <v>5</v>
      </c>
      <c r="I1" t="s">
        <v>20</v>
      </c>
      <c r="Q1" t="s">
        <v>26</v>
      </c>
    </row>
    <row r="2" spans="1:18" x14ac:dyDescent="0.25">
      <c r="A2">
        <v>1</v>
      </c>
      <c r="B2">
        <v>8839</v>
      </c>
      <c r="C2">
        <v>1</v>
      </c>
      <c r="D2">
        <f>_xlfn.WEIBULL.DIST(B2,$H$2,$G$2,0)</f>
        <v>2.4789734914741245E-5</v>
      </c>
      <c r="E2">
        <f>LN(D2)</f>
        <v>-10.60508090520786</v>
      </c>
      <c r="F2">
        <f>SUM(E2:E62)</f>
        <v>-237.53249205404347</v>
      </c>
      <c r="G2" s="11">
        <v>30063.619440579456</v>
      </c>
      <c r="H2" s="6">
        <v>1</v>
      </c>
      <c r="I2" s="12">
        <f>-2*F2+2*1</f>
        <v>477.06498410808695</v>
      </c>
      <c r="Q2" t="s">
        <v>41</v>
      </c>
    </row>
    <row r="3" spans="1:18" x14ac:dyDescent="0.25">
      <c r="A3">
        <v>1</v>
      </c>
      <c r="B3">
        <v>17057</v>
      </c>
      <c r="C3">
        <v>1</v>
      </c>
      <c r="D3">
        <f>_xlfn.WEIBULL.DIST(B3,$H$2,$G$2,0)/(1-_xlfn.WEIBULL.DIST(B2,$H$2,$G$2,1))</f>
        <v>2.5307121750493832E-5</v>
      </c>
      <c r="E3">
        <f t="shared" ref="E3:E62" si="0">LN(D3)</f>
        <v>-10.584424709727891</v>
      </c>
    </row>
    <row r="4" spans="1:18" x14ac:dyDescent="0.25">
      <c r="A4">
        <v>1</v>
      </c>
      <c r="B4">
        <v>21887</v>
      </c>
      <c r="C4">
        <v>0</v>
      </c>
      <c r="D4">
        <f>(1-_xlfn.WEIBULL.DIST(B4,$H$2,$G$2,1))/(1-_xlfn.WEIBULL.DIST(B3,$H$2,$G$2,1))</f>
        <v>0.85158215728086506</v>
      </c>
      <c r="E4">
        <f t="shared" si="0"/>
        <v>-0.16065929817753533</v>
      </c>
    </row>
    <row r="5" spans="1:18" x14ac:dyDescent="0.25">
      <c r="A5">
        <v>2</v>
      </c>
      <c r="B5">
        <v>9280</v>
      </c>
      <c r="C5">
        <v>1</v>
      </c>
      <c r="D5">
        <f>_xlfn.WEIBULL.DIST(B5,$H$2,$G$2,0)</f>
        <v>2.4428751049262916E-5</v>
      </c>
      <c r="E5">
        <f t="shared" si="0"/>
        <v>-10.619749797650156</v>
      </c>
      <c r="Q5" t="s">
        <v>42</v>
      </c>
    </row>
    <row r="6" spans="1:18" x14ac:dyDescent="0.25">
      <c r="A6">
        <v>2</v>
      </c>
      <c r="B6">
        <v>16442</v>
      </c>
      <c r="C6">
        <v>1</v>
      </c>
      <c r="D6">
        <f>_xlfn.WEIBULL.DIST(B6,$H$2,$G$2,0)/(1-_xlfn.WEIBULL.DIST(B5,$H$2,$G$2,1))</f>
        <v>2.621184373011745E-5</v>
      </c>
      <c r="E6">
        <f t="shared" si="0"/>
        <v>-10.549299198573548</v>
      </c>
      <c r="Q6" t="s">
        <v>43</v>
      </c>
      <c r="R6">
        <f>SUMIF($C$2:$C$62,"=0",$B$2:$B$62)</f>
        <v>631336</v>
      </c>
    </row>
    <row r="7" spans="1:18" x14ac:dyDescent="0.25">
      <c r="A7">
        <v>2</v>
      </c>
      <c r="B7">
        <v>21887</v>
      </c>
      <c r="C7">
        <v>0</v>
      </c>
      <c r="D7">
        <f>(1-_xlfn.WEIBULL.DIST(B7,$H$2,$G$2,1))/(1-_xlfn.WEIBULL.DIST(B6,$H$2,$G$2,1))</f>
        <v>0.83433863915027529</v>
      </c>
      <c r="E7">
        <f t="shared" si="0"/>
        <v>-0.1811159168895817</v>
      </c>
      <c r="Q7" t="s">
        <v>44</v>
      </c>
      <c r="R7">
        <f>SUM(C2:C62)</f>
        <v>21</v>
      </c>
    </row>
    <row r="8" spans="1:18" x14ac:dyDescent="0.25">
      <c r="A8">
        <v>3</v>
      </c>
      <c r="B8">
        <v>10445</v>
      </c>
      <c r="C8">
        <v>1</v>
      </c>
      <c r="D8">
        <f>_xlfn.WEIBULL.DIST(B8,$H$2,$G$2,0)</f>
        <v>2.3500215810712439E-5</v>
      </c>
      <c r="E8">
        <f t="shared" si="0"/>
        <v>-10.658500953421756</v>
      </c>
      <c r="Q8" t="s">
        <v>45</v>
      </c>
      <c r="R8" s="10">
        <f>R6/R7</f>
        <v>30063.619047619046</v>
      </c>
    </row>
    <row r="9" spans="1:18" x14ac:dyDescent="0.25">
      <c r="A9">
        <v>3</v>
      </c>
      <c r="B9">
        <v>13533</v>
      </c>
      <c r="C9">
        <v>0</v>
      </c>
      <c r="D9">
        <f>(1-_xlfn.WEIBULL.DIST(B9,$H$2,$G$2,1))/(1-_xlfn.WEIBULL.DIST(B8,$H$2,$G$2,1))</f>
        <v>0.90238365619289207</v>
      </c>
      <c r="E9">
        <f t="shared" si="0"/>
        <v>-0.10271550989073074</v>
      </c>
    </row>
    <row r="10" spans="1:18" x14ac:dyDescent="0.25">
      <c r="A10">
        <v>4</v>
      </c>
      <c r="B10">
        <v>7902</v>
      </c>
      <c r="C10">
        <v>0</v>
      </c>
      <c r="D10">
        <f>(1-_xlfn.WEIBULL.DIST(B10,$H$2,$G$2,1))</f>
        <v>0.76886290423037762</v>
      </c>
      <c r="E10">
        <f t="shared" si="0"/>
        <v>-0.2628426033538061</v>
      </c>
    </row>
    <row r="11" spans="1:18" x14ac:dyDescent="0.25">
      <c r="A11">
        <v>5</v>
      </c>
      <c r="B11">
        <v>8414</v>
      </c>
      <c r="C11">
        <v>0</v>
      </c>
      <c r="D11">
        <f>(1-_xlfn.WEIBULL.DIST(B11,$H$2,$G$2,1))</f>
        <v>0.75587961551703509</v>
      </c>
      <c r="E11">
        <f t="shared" si="0"/>
        <v>-0.27987315421651793</v>
      </c>
    </row>
    <row r="12" spans="1:18" x14ac:dyDescent="0.25">
      <c r="A12">
        <v>6</v>
      </c>
      <c r="B12">
        <v>13331</v>
      </c>
      <c r="C12">
        <v>0</v>
      </c>
      <c r="D12">
        <f>(1-_xlfn.WEIBULL.DIST(B12,$H$2,$G$2,1))</f>
        <v>0.64183352515575098</v>
      </c>
      <c r="E12">
        <f t="shared" si="0"/>
        <v>-0.44342631552892797</v>
      </c>
    </row>
    <row r="13" spans="1:18" x14ac:dyDescent="0.25">
      <c r="A13">
        <v>7</v>
      </c>
      <c r="B13">
        <v>17156</v>
      </c>
      <c r="C13">
        <v>1</v>
      </c>
      <c r="D13">
        <f>_xlfn.WEIBULL.DIST(B13,$H$2,$G$2,0)</f>
        <v>1.8798611103272242E-5</v>
      </c>
      <c r="E13">
        <f t="shared" si="0"/>
        <v>-10.881727568342965</v>
      </c>
    </row>
    <row r="14" spans="1:18" x14ac:dyDescent="0.25">
      <c r="A14">
        <v>7</v>
      </c>
      <c r="B14">
        <v>21887</v>
      </c>
      <c r="C14">
        <v>0</v>
      </c>
      <c r="D14">
        <f>(1-_xlfn.WEIBULL.DIST(B14,$H$2,$G$2,1))/(1-_xlfn.WEIBULL.DIST(B13,$H$2,$G$2,1))</f>
        <v>0.8543910538546039</v>
      </c>
      <c r="E14">
        <f t="shared" si="0"/>
        <v>-0.15736628150681589</v>
      </c>
    </row>
    <row r="15" spans="1:18" x14ac:dyDescent="0.25">
      <c r="A15">
        <v>8</v>
      </c>
      <c r="B15">
        <v>16305</v>
      </c>
      <c r="C15">
        <v>1</v>
      </c>
      <c r="D15">
        <f>_xlfn.WEIBULL.DIST(B15,$H$2,$G$2,0)</f>
        <v>1.9338339497239271E-5</v>
      </c>
      <c r="E15">
        <f t="shared" si="0"/>
        <v>-10.853420930092637</v>
      </c>
    </row>
    <row r="16" spans="1:18" x14ac:dyDescent="0.25">
      <c r="A16">
        <v>8</v>
      </c>
      <c r="B16">
        <v>21887</v>
      </c>
      <c r="C16">
        <v>0</v>
      </c>
      <c r="D16">
        <f>(1-_xlfn.WEIBULL.DIST(B16,$H$2,$G$2,1))/(1-_xlfn.WEIBULL.DIST(B15,$H$2,$G$2,1))</f>
        <v>0.83054520548781041</v>
      </c>
      <c r="E16">
        <f t="shared" si="0"/>
        <v>-0.18567291975714348</v>
      </c>
    </row>
    <row r="17" spans="1:11" x14ac:dyDescent="0.25">
      <c r="A17">
        <v>9</v>
      </c>
      <c r="B17">
        <v>16802</v>
      </c>
      <c r="C17">
        <v>1</v>
      </c>
      <c r="D17">
        <f>_xlfn.WEIBULL.DIST(B17,$H$2,$G$2,0)</f>
        <v>1.902127365629716E-5</v>
      </c>
      <c r="E17">
        <f t="shared" si="0"/>
        <v>-10.869952539035543</v>
      </c>
    </row>
    <row r="18" spans="1:11" x14ac:dyDescent="0.25">
      <c r="A18">
        <v>9</v>
      </c>
      <c r="B18">
        <v>21887</v>
      </c>
      <c r="C18">
        <v>0</v>
      </c>
      <c r="D18">
        <f>(1-_xlfn.WEIBULL.DIST(B18,$H$2,$G$2,1))/(1-_xlfn.WEIBULL.DIST(B17,$H$2,$G$2,1))</f>
        <v>0.8443895735767607</v>
      </c>
      <c r="E18">
        <f t="shared" si="0"/>
        <v>-0.16914131081423769</v>
      </c>
    </row>
    <row r="19" spans="1:11" x14ac:dyDescent="0.25">
      <c r="A19">
        <v>10</v>
      </c>
      <c r="B19">
        <v>4881</v>
      </c>
      <c r="C19">
        <v>0</v>
      </c>
      <c r="D19">
        <f>(1-_xlfn.WEIBULL.DIST(B19,$H$2,$G$2,1))</f>
        <v>0.85013875579812703</v>
      </c>
      <c r="E19">
        <f t="shared" si="0"/>
        <v>-0.16235570070487562</v>
      </c>
    </row>
    <row r="20" spans="1:11" x14ac:dyDescent="0.25">
      <c r="A20">
        <v>11</v>
      </c>
      <c r="B20">
        <v>16625</v>
      </c>
      <c r="C20">
        <v>0</v>
      </c>
      <c r="D20">
        <f>(1-_xlfn.WEIBULL.DIST(B20,$H$2,$G$2,1))</f>
        <v>0.57522502833455613</v>
      </c>
      <c r="E20">
        <f t="shared" si="0"/>
        <v>-0.55299396111832788</v>
      </c>
    </row>
    <row r="21" spans="1:11" x14ac:dyDescent="0.25">
      <c r="A21">
        <v>12</v>
      </c>
      <c r="B21">
        <v>7396</v>
      </c>
      <c r="C21">
        <v>1</v>
      </c>
      <c r="D21">
        <f>_xlfn.WEIBULL.DIST(B21,$H$2,$G$2,0)</f>
        <v>2.6008615940196835E-5</v>
      </c>
      <c r="E21">
        <f t="shared" si="0"/>
        <v>-10.557082692522522</v>
      </c>
    </row>
    <row r="22" spans="1:11" x14ac:dyDescent="0.25">
      <c r="A22">
        <v>12</v>
      </c>
      <c r="B22">
        <v>7541</v>
      </c>
      <c r="C22">
        <v>1</v>
      </c>
      <c r="D22">
        <f>_xlfn.WEIBULL.DIST(B22,$H$2,$G$2,0)/(1-_xlfn.WEIBULL.DIST(B21,$H$2,$G$2,1))</f>
        <v>3.3102750959087519E-5</v>
      </c>
      <c r="E22">
        <f t="shared" si="0"/>
        <v>-10.315894168488295</v>
      </c>
    </row>
    <row r="23" spans="1:11" x14ac:dyDescent="0.25">
      <c r="A23">
        <v>12</v>
      </c>
      <c r="B23">
        <v>19590</v>
      </c>
      <c r="C23">
        <v>0</v>
      </c>
      <c r="D23">
        <f>(1-_xlfn.WEIBULL.DIST(B23,$H$2,$G$2,1))/(1-_xlfn.WEIBULL.DIST(B22,$H$2,$G$2,1))</f>
        <v>0.66979511438890893</v>
      </c>
      <c r="E23">
        <f t="shared" si="0"/>
        <v>-0.40078341278284102</v>
      </c>
    </row>
    <row r="24" spans="1:11" x14ac:dyDescent="0.25">
      <c r="A24">
        <v>13</v>
      </c>
      <c r="B24">
        <v>2211</v>
      </c>
      <c r="C24">
        <v>0</v>
      </c>
      <c r="D24">
        <f>(1-_xlfn.WEIBULL.DIST(B24,$H$2,$G$2,1))</f>
        <v>0.92909522848491433</v>
      </c>
      <c r="E24">
        <f t="shared" si="0"/>
        <v>-7.354403897940591E-2</v>
      </c>
    </row>
    <row r="25" spans="1:11" x14ac:dyDescent="0.25">
      <c r="A25">
        <v>14</v>
      </c>
      <c r="B25">
        <v>15821</v>
      </c>
      <c r="C25">
        <v>1</v>
      </c>
      <c r="D25">
        <f>_xlfn.WEIBULL.DIST(B25,$H$2,$G$2,0)</f>
        <v>1.9652190746728726E-5</v>
      </c>
      <c r="E25">
        <f t="shared" si="0"/>
        <v>-10.837321737480231</v>
      </c>
    </row>
    <row r="26" spans="1:11" x14ac:dyDescent="0.25">
      <c r="A26">
        <v>14</v>
      </c>
      <c r="B26">
        <v>19746</v>
      </c>
      <c r="C26">
        <v>1</v>
      </c>
      <c r="D26">
        <f>_xlfn.WEIBULL.DIST(B26,$H$2,$G$2,0)/(1-_xlfn.WEIBULL.DIST(B25,$H$2,$G$2,1))</f>
        <v>2.9191659230657505E-5</v>
      </c>
      <c r="E26">
        <f t="shared" si="0"/>
        <v>-10.44162753227941</v>
      </c>
      <c r="G26" s="16" t="s">
        <v>48</v>
      </c>
      <c r="H26" s="16"/>
      <c r="I26" s="16"/>
      <c r="J26" s="16"/>
      <c r="K26" s="16"/>
    </row>
    <row r="27" spans="1:11" x14ac:dyDescent="0.25">
      <c r="A27">
        <v>14</v>
      </c>
      <c r="B27">
        <v>19877</v>
      </c>
      <c r="C27">
        <v>0</v>
      </c>
      <c r="D27">
        <f>(1-_xlfn.WEIBULL.DIST(B27,$H$2,$G$2,1))/(1-_xlfn.WEIBULL.DIST(B26,$H$2,$G$2,1))</f>
        <v>0.9956520537072836</v>
      </c>
      <c r="E27">
        <f t="shared" si="0"/>
        <v>-4.3574260996388729E-3</v>
      </c>
      <c r="G27" s="16"/>
      <c r="H27" s="16"/>
      <c r="I27" s="16"/>
      <c r="J27" s="16"/>
      <c r="K27" s="16"/>
    </row>
    <row r="28" spans="1:11" x14ac:dyDescent="0.25">
      <c r="A28">
        <v>15</v>
      </c>
      <c r="B28">
        <v>1927</v>
      </c>
      <c r="C28">
        <v>0</v>
      </c>
      <c r="D28">
        <f>(1-_xlfn.WEIBULL.DIST(B28,$H$2,$G$2,1))</f>
        <v>0.93791363732411726</v>
      </c>
      <c r="E28">
        <f t="shared" si="0"/>
        <v>-6.4097405297745366E-2</v>
      </c>
      <c r="G28" s="16"/>
      <c r="H28" s="16"/>
      <c r="I28" s="16"/>
      <c r="J28" s="16"/>
      <c r="K28" s="16"/>
    </row>
    <row r="29" spans="1:11" x14ac:dyDescent="0.25">
      <c r="A29">
        <v>16</v>
      </c>
      <c r="B29">
        <v>15813</v>
      </c>
      <c r="C29">
        <v>1</v>
      </c>
      <c r="D29">
        <f>_xlfn.WEIBULL.DIST(B29,$H$2,$G$2,0)</f>
        <v>1.9657420936863262E-5</v>
      </c>
      <c r="E29">
        <f t="shared" si="0"/>
        <v>-10.837055635123001</v>
      </c>
      <c r="G29" s="16"/>
      <c r="H29" s="16"/>
      <c r="I29" s="16"/>
      <c r="J29" s="16"/>
      <c r="K29" s="16"/>
    </row>
    <row r="30" spans="1:11" x14ac:dyDescent="0.25">
      <c r="A30">
        <v>16</v>
      </c>
      <c r="B30">
        <v>21886</v>
      </c>
      <c r="C30">
        <v>0</v>
      </c>
      <c r="D30">
        <f>(1-_xlfn.WEIBULL.DIST(B30,$H$2,$G$2,1))/(1-_xlfn.WEIBULL.DIST(B29,$H$2,$G$2,1))</f>
        <v>0.81709088175363076</v>
      </c>
      <c r="E30">
        <f t="shared" si="0"/>
        <v>-0.20200495193212656</v>
      </c>
      <c r="G30" s="16"/>
      <c r="H30" s="16"/>
      <c r="I30" s="16"/>
      <c r="J30" s="16"/>
      <c r="K30" s="16"/>
    </row>
    <row r="31" spans="1:11" x14ac:dyDescent="0.25">
      <c r="A31">
        <v>17</v>
      </c>
      <c r="B31">
        <v>15524</v>
      </c>
      <c r="C31">
        <v>1</v>
      </c>
      <c r="D31">
        <f>_xlfn.WEIBULL.DIST(B31,$H$2,$G$2,0)</f>
        <v>1.9847297871689115E-5</v>
      </c>
      <c r="E31">
        <f t="shared" si="0"/>
        <v>-10.827442687468071</v>
      </c>
      <c r="G31" s="16"/>
      <c r="H31" s="16"/>
      <c r="I31" s="16"/>
      <c r="J31" s="16"/>
      <c r="K31" s="16"/>
    </row>
    <row r="32" spans="1:11" x14ac:dyDescent="0.25">
      <c r="A32">
        <v>17</v>
      </c>
      <c r="B32">
        <v>21886</v>
      </c>
      <c r="C32">
        <v>0</v>
      </c>
      <c r="D32">
        <f>(1-_xlfn.WEIBULL.DIST(B32,$H$2,$G$2,1))/(1-_xlfn.WEIBULL.DIST(B31,$H$2,$G$2,1))</f>
        <v>0.80927386237373622</v>
      </c>
      <c r="E32">
        <f t="shared" si="0"/>
        <v>-0.21161789958705554</v>
      </c>
    </row>
    <row r="33" spans="1:5" x14ac:dyDescent="0.25">
      <c r="A33">
        <v>18</v>
      </c>
      <c r="B33">
        <v>21440</v>
      </c>
      <c r="C33">
        <v>0</v>
      </c>
      <c r="D33">
        <f>(1-_xlfn.WEIBULL.DIST(B33,$H$2,$G$2,1))</f>
        <v>0.49009583891701691</v>
      </c>
      <c r="E33">
        <f t="shared" si="0"/>
        <v>-0.71315431737605695</v>
      </c>
    </row>
    <row r="34" spans="1:5" x14ac:dyDescent="0.25">
      <c r="A34">
        <v>19</v>
      </c>
      <c r="B34">
        <v>369</v>
      </c>
      <c r="C34">
        <v>0</v>
      </c>
      <c r="D34">
        <f>(1-_xlfn.WEIBULL.DIST(B34,$H$2,$G$2,1))</f>
        <v>0.98780104672122904</v>
      </c>
      <c r="E34">
        <f t="shared" si="0"/>
        <v>-1.2273971227227837E-2</v>
      </c>
    </row>
    <row r="35" spans="1:5" x14ac:dyDescent="0.25">
      <c r="A35">
        <v>20</v>
      </c>
      <c r="B35">
        <v>11664</v>
      </c>
      <c r="C35">
        <v>1</v>
      </c>
      <c r="D35">
        <f>_xlfn.WEIBULL.DIST(B35,$H$2,$G$2,0)</f>
        <v>2.2566404141347999E-5</v>
      </c>
      <c r="E35">
        <f t="shared" si="0"/>
        <v>-10.699048300104659</v>
      </c>
    </row>
    <row r="36" spans="1:5" x14ac:dyDescent="0.25">
      <c r="A36">
        <v>20</v>
      </c>
      <c r="B36">
        <v>17031</v>
      </c>
      <c r="C36">
        <v>1</v>
      </c>
      <c r="D36">
        <f>_xlfn.WEIBULL.DIST(B36,$H$2,$G$2,0)/(1-_xlfn.WEIBULL.DIST(B35,$H$2,$G$2,1))</f>
        <v>2.7824531949387913E-5</v>
      </c>
      <c r="E36">
        <f t="shared" si="0"/>
        <v>-10.489592482170096</v>
      </c>
    </row>
    <row r="37" spans="1:5" x14ac:dyDescent="0.25">
      <c r="A37">
        <v>20</v>
      </c>
      <c r="B37">
        <v>21857</v>
      </c>
      <c r="C37">
        <v>0</v>
      </c>
      <c r="D37">
        <f>(1-_xlfn.WEIBULL.DIST(B37,$H$2,$G$2,1))/(1-_xlfn.WEIBULL.DIST(B36,$H$2,$G$2,1))</f>
        <v>0.8516954688285292</v>
      </c>
      <c r="E37">
        <f t="shared" si="0"/>
        <v>-0.16052624699892021</v>
      </c>
    </row>
    <row r="38" spans="1:5" x14ac:dyDescent="0.25">
      <c r="A38">
        <v>21</v>
      </c>
      <c r="B38">
        <v>7544</v>
      </c>
      <c r="C38">
        <v>0</v>
      </c>
      <c r="D38">
        <f>(1-_xlfn.WEIBULL.DIST(B38,$H$2,$G$2,1))</f>
        <v>0.77807331590048479</v>
      </c>
      <c r="E38">
        <f t="shared" si="0"/>
        <v>-0.25093452286776935</v>
      </c>
    </row>
    <row r="39" spans="1:5" x14ac:dyDescent="0.25">
      <c r="A39">
        <v>22</v>
      </c>
      <c r="B39">
        <v>6039</v>
      </c>
      <c r="C39">
        <v>0</v>
      </c>
      <c r="D39">
        <f>(1-_xlfn.WEIBULL.DIST(B39,$H$2,$G$2,1))</f>
        <v>0.81801548117726486</v>
      </c>
      <c r="E39">
        <f t="shared" si="0"/>
        <v>-0.20087401691389969</v>
      </c>
    </row>
    <row r="40" spans="1:5" x14ac:dyDescent="0.25">
      <c r="A40">
        <v>23</v>
      </c>
      <c r="B40">
        <v>2168</v>
      </c>
      <c r="C40">
        <v>1</v>
      </c>
      <c r="D40">
        <f>_xlfn.WEIBULL.DIST(B40,$H$2,$G$2,0)</f>
        <v>3.0948537856287363E-5</v>
      </c>
      <c r="E40">
        <f t="shared" si="0"/>
        <v>-10.383184802072801</v>
      </c>
    </row>
    <row r="41" spans="1:5" x14ac:dyDescent="0.25">
      <c r="A41">
        <v>23</v>
      </c>
      <c r="B41">
        <v>6698</v>
      </c>
      <c r="C41">
        <v>0</v>
      </c>
      <c r="D41">
        <f>(1-_xlfn.WEIBULL.DIST(B41,$H$2,$G$2,1))/(1-_xlfn.WEIBULL.DIST(B40,$H$2,$G$2,1))</f>
        <v>0.86012249848324451</v>
      </c>
      <c r="E41">
        <f t="shared" si="0"/>
        <v>-0.15068045978141506</v>
      </c>
    </row>
    <row r="42" spans="1:5" x14ac:dyDescent="0.25">
      <c r="A42">
        <v>24</v>
      </c>
      <c r="B42">
        <v>18840</v>
      </c>
      <c r="C42">
        <v>1</v>
      </c>
      <c r="D42">
        <f>_xlfn.WEIBULL.DIST(B42,$H$2,$G$2,0)</f>
        <v>1.7774563944340431E-5</v>
      </c>
      <c r="E42">
        <f t="shared" si="0"/>
        <v>-10.937742114539853</v>
      </c>
    </row>
    <row r="43" spans="1:5" x14ac:dyDescent="0.25">
      <c r="A43">
        <v>24</v>
      </c>
      <c r="B43">
        <v>21879</v>
      </c>
      <c r="C43">
        <v>0</v>
      </c>
      <c r="D43">
        <f>(1-_xlfn.WEIBULL.DIST(B43,$H$2,$G$2,1))/(1-_xlfn.WEIBULL.DIST(B42,$H$2,$G$2,1))</f>
        <v>0.90385562974539424</v>
      </c>
      <c r="E43">
        <f t="shared" si="0"/>
        <v>-0.10108563295269757</v>
      </c>
    </row>
    <row r="44" spans="1:5" x14ac:dyDescent="0.25">
      <c r="A44">
        <v>25</v>
      </c>
      <c r="B44">
        <v>2288</v>
      </c>
      <c r="C44">
        <v>0</v>
      </c>
      <c r="D44">
        <f>(1-_xlfn.WEIBULL.DIST(B44,$H$2,$G$2,1))</f>
        <v>0.92671864189019537</v>
      </c>
      <c r="E44">
        <f t="shared" si="0"/>
        <v>-7.6105274167743417E-2</v>
      </c>
    </row>
    <row r="45" spans="1:5" x14ac:dyDescent="0.25">
      <c r="A45">
        <v>26</v>
      </c>
      <c r="B45">
        <v>2499</v>
      </c>
      <c r="C45">
        <v>0</v>
      </c>
      <c r="D45">
        <f>(1-_xlfn.WEIBULL.DIST(B45,$H$2,$G$2,1))</f>
        <v>0.92023728488622336</v>
      </c>
      <c r="E45">
        <f t="shared" si="0"/>
        <v>-8.3123723839681307E-2</v>
      </c>
    </row>
    <row r="46" spans="1:5" x14ac:dyDescent="0.25">
      <c r="A46">
        <v>27</v>
      </c>
      <c r="B46">
        <v>10668</v>
      </c>
      <c r="C46">
        <v>1</v>
      </c>
      <c r="D46">
        <f>_xlfn.WEIBULL.DIST(B46,$H$2,$G$2,0)</f>
        <v>2.3326545439771647E-5</v>
      </c>
      <c r="E46">
        <f t="shared" si="0"/>
        <v>-10.665918556629538</v>
      </c>
    </row>
    <row r="47" spans="1:5" x14ac:dyDescent="0.25">
      <c r="A47">
        <v>27</v>
      </c>
      <c r="B47">
        <v>16838</v>
      </c>
      <c r="C47">
        <v>0</v>
      </c>
      <c r="D47">
        <f>(1-_xlfn.WEIBULL.DIST(B47,$H$2,$G$2,1))/(1-_xlfn.WEIBULL.DIST(B46,$H$2,$G$2,1))</f>
        <v>0.8144587937984954</v>
      </c>
      <c r="E47">
        <f t="shared" si="0"/>
        <v>-0.20523144301353874</v>
      </c>
    </row>
    <row r="48" spans="1:5" x14ac:dyDescent="0.25">
      <c r="A48">
        <v>28</v>
      </c>
      <c r="B48">
        <v>15550</v>
      </c>
      <c r="C48">
        <v>1</v>
      </c>
      <c r="D48">
        <f>_xlfn.WEIBULL.DIST(B48,$H$2,$G$2,0)</f>
        <v>1.9830140700367577E-5</v>
      </c>
      <c r="E48">
        <f t="shared" si="0"/>
        <v>-10.828307520129069</v>
      </c>
    </row>
    <row r="49" spans="1:5" x14ac:dyDescent="0.25">
      <c r="A49">
        <v>28</v>
      </c>
      <c r="B49">
        <v>21887</v>
      </c>
      <c r="C49">
        <v>0</v>
      </c>
      <c r="D49">
        <f>(1-_xlfn.WEIBULL.DIST(B49,$H$2,$G$2,1))/(1-_xlfn.WEIBULL.DIST(B48,$H$2,$G$2,1))</f>
        <v>0.80994711001873598</v>
      </c>
      <c r="E49">
        <f t="shared" si="0"/>
        <v>-0.21078632972071251</v>
      </c>
    </row>
    <row r="50" spans="1:5" x14ac:dyDescent="0.25">
      <c r="A50">
        <v>29</v>
      </c>
      <c r="B50">
        <v>1616</v>
      </c>
      <c r="C50">
        <v>0</v>
      </c>
      <c r="D50">
        <f>(1-_xlfn.WEIBULL.DIST(B50,$H$2,$G$2,1))</f>
        <v>0.94766645802727123</v>
      </c>
      <c r="E50">
        <f t="shared" si="0"/>
        <v>-5.3752676160434158E-2</v>
      </c>
    </row>
    <row r="51" spans="1:5" x14ac:dyDescent="0.25">
      <c r="A51">
        <v>30</v>
      </c>
      <c r="B51">
        <v>14041</v>
      </c>
      <c r="C51">
        <v>1</v>
      </c>
      <c r="D51">
        <f>_xlfn.WEIBULL.DIST(B51,$H$2,$G$2,0)</f>
        <v>2.0850889203132704E-5</v>
      </c>
      <c r="E51">
        <f t="shared" si="0"/>
        <v>-10.778113962996583</v>
      </c>
    </row>
    <row r="52" spans="1:5" x14ac:dyDescent="0.25">
      <c r="A52">
        <v>30</v>
      </c>
      <c r="B52">
        <v>20004</v>
      </c>
      <c r="C52">
        <v>0</v>
      </c>
      <c r="D52">
        <f>(1-_xlfn.WEIBULL.DIST(B52,$H$2,$G$2,1))/(1-_xlfn.WEIBULL.DIST(B51,$H$2,$G$2,1))</f>
        <v>0.82008601775827372</v>
      </c>
      <c r="E52">
        <f t="shared" si="0"/>
        <v>-0.19834604452021573</v>
      </c>
    </row>
    <row r="53" spans="1:5" x14ac:dyDescent="0.25">
      <c r="A53">
        <v>31</v>
      </c>
      <c r="B53">
        <v>21888</v>
      </c>
      <c r="C53">
        <v>0</v>
      </c>
      <c r="D53">
        <f>(1-_xlfn.WEIBULL.DIST(B53,$H$2,$G$2,1))</f>
        <v>0.48284670851367983</v>
      </c>
      <c r="E53">
        <f t="shared" si="0"/>
        <v>-0.72805604938092994</v>
      </c>
    </row>
    <row r="54" spans="1:5" x14ac:dyDescent="0.25">
      <c r="A54">
        <v>32</v>
      </c>
      <c r="B54">
        <v>21888</v>
      </c>
      <c r="C54">
        <v>0</v>
      </c>
      <c r="D54">
        <f t="shared" ref="D54:D62" si="1">(1-_xlfn.WEIBULL.DIST(B54,$H$2,$G$2,1))</f>
        <v>0.48284670851367983</v>
      </c>
      <c r="E54">
        <f t="shared" si="0"/>
        <v>-0.72805604938092994</v>
      </c>
    </row>
    <row r="55" spans="1:5" x14ac:dyDescent="0.25">
      <c r="A55">
        <v>33</v>
      </c>
      <c r="B55">
        <v>21888</v>
      </c>
      <c r="C55">
        <v>0</v>
      </c>
      <c r="D55">
        <f t="shared" si="1"/>
        <v>0.48284670851367983</v>
      </c>
      <c r="E55">
        <f t="shared" si="0"/>
        <v>-0.72805604938092994</v>
      </c>
    </row>
    <row r="56" spans="1:5" x14ac:dyDescent="0.25">
      <c r="A56">
        <v>34</v>
      </c>
      <c r="B56">
        <v>21888</v>
      </c>
      <c r="C56">
        <v>0</v>
      </c>
      <c r="D56">
        <f t="shared" si="1"/>
        <v>0.48284670851367983</v>
      </c>
      <c r="E56">
        <f t="shared" si="0"/>
        <v>-0.72805604938092994</v>
      </c>
    </row>
    <row r="57" spans="1:5" x14ac:dyDescent="0.25">
      <c r="A57">
        <v>35</v>
      </c>
      <c r="B57">
        <v>21888</v>
      </c>
      <c r="C57">
        <v>0</v>
      </c>
      <c r="D57">
        <f t="shared" si="1"/>
        <v>0.48284670851367983</v>
      </c>
      <c r="E57">
        <f t="shared" si="0"/>
        <v>-0.72805604938092994</v>
      </c>
    </row>
    <row r="58" spans="1:5" x14ac:dyDescent="0.25">
      <c r="A58">
        <v>36</v>
      </c>
      <c r="B58">
        <v>21888</v>
      </c>
      <c r="C58">
        <v>0</v>
      </c>
      <c r="D58">
        <f t="shared" si="1"/>
        <v>0.48284670851367983</v>
      </c>
      <c r="E58">
        <f t="shared" si="0"/>
        <v>-0.72805604938092994</v>
      </c>
    </row>
    <row r="59" spans="1:5" x14ac:dyDescent="0.25">
      <c r="A59">
        <v>37</v>
      </c>
      <c r="B59">
        <v>21888</v>
      </c>
      <c r="C59">
        <v>0</v>
      </c>
      <c r="D59">
        <f t="shared" si="1"/>
        <v>0.48284670851367983</v>
      </c>
      <c r="E59">
        <f t="shared" si="0"/>
        <v>-0.72805604938092994</v>
      </c>
    </row>
    <row r="60" spans="1:5" x14ac:dyDescent="0.25">
      <c r="A60">
        <v>38</v>
      </c>
      <c r="B60">
        <v>21888</v>
      </c>
      <c r="C60">
        <v>0</v>
      </c>
      <c r="D60">
        <f t="shared" si="1"/>
        <v>0.48284670851367983</v>
      </c>
      <c r="E60">
        <f t="shared" si="0"/>
        <v>-0.72805604938092994</v>
      </c>
    </row>
    <row r="61" spans="1:5" x14ac:dyDescent="0.25">
      <c r="A61">
        <v>39</v>
      </c>
      <c r="B61">
        <v>21888</v>
      </c>
      <c r="C61">
        <v>0</v>
      </c>
      <c r="D61">
        <f t="shared" si="1"/>
        <v>0.48284670851367983</v>
      </c>
      <c r="E61">
        <f t="shared" si="0"/>
        <v>-0.72805604938092994</v>
      </c>
    </row>
    <row r="62" spans="1:5" x14ac:dyDescent="0.25">
      <c r="A62">
        <v>40</v>
      </c>
      <c r="B62">
        <v>21888</v>
      </c>
      <c r="C62">
        <v>0</v>
      </c>
      <c r="D62">
        <f t="shared" si="1"/>
        <v>0.48284670851367983</v>
      </c>
      <c r="E62">
        <f t="shared" si="0"/>
        <v>-0.72805604938092994</v>
      </c>
    </row>
  </sheetData>
  <mergeCells count="1">
    <mergeCell ref="G26:K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BD4C-3A17-4427-B77B-BACD0B349AF4}">
  <dimension ref="A1:Q62"/>
  <sheetViews>
    <sheetView workbookViewId="0">
      <selection activeCell="S13" sqref="S13"/>
    </sheetView>
  </sheetViews>
  <sheetFormatPr defaultRowHeight="15" x14ac:dyDescent="0.25"/>
  <cols>
    <col min="4" max="4" width="12" bestFit="1" customWidth="1"/>
    <col min="15" max="15" width="12" bestFit="1" customWidth="1"/>
  </cols>
  <sheetData>
    <row r="1" spans="1:17" x14ac:dyDescent="0.25">
      <c r="A1" t="s">
        <v>30</v>
      </c>
      <c r="B1" t="s">
        <v>31</v>
      </c>
      <c r="C1" t="s">
        <v>2</v>
      </c>
      <c r="D1" t="s">
        <v>3</v>
      </c>
      <c r="E1" t="s">
        <v>6</v>
      </c>
      <c r="F1" t="s">
        <v>7</v>
      </c>
      <c r="G1" s="6" t="s">
        <v>4</v>
      </c>
      <c r="H1" s="6" t="s">
        <v>5</v>
      </c>
      <c r="I1" t="s">
        <v>20</v>
      </c>
      <c r="Q1" t="s">
        <v>26</v>
      </c>
    </row>
    <row r="2" spans="1:17" x14ac:dyDescent="0.25">
      <c r="A2">
        <v>1</v>
      </c>
      <c r="B2">
        <v>8839</v>
      </c>
      <c r="C2">
        <v>1</v>
      </c>
      <c r="D2">
        <f>_xlfn.WEIBULL.DIST(B2,$H$2,$G$2,0)</f>
        <v>3.1646636627656104E-5</v>
      </c>
      <c r="E2">
        <f>LN(D2)</f>
        <v>-10.36087868270949</v>
      </c>
      <c r="F2">
        <f>SUM(E2:E62)</f>
        <v>-234.66450779833491</v>
      </c>
      <c r="G2" s="9">
        <v>22977.253569737994</v>
      </c>
      <c r="H2" s="9">
        <v>1.5880411402327637</v>
      </c>
      <c r="I2" s="12">
        <f>-2*F2+4</f>
        <v>473.32901559666982</v>
      </c>
      <c r="Q2" t="s">
        <v>41</v>
      </c>
    </row>
    <row r="3" spans="1:17" x14ac:dyDescent="0.25">
      <c r="A3">
        <v>1</v>
      </c>
      <c r="B3">
        <v>17057</v>
      </c>
      <c r="C3">
        <v>1</v>
      </c>
      <c r="D3">
        <f>_xlfn.WEIBULL.DIST(B3-B2,$H$2,$G$2,0)</f>
        <v>3.1054911359158602E-5</v>
      </c>
      <c r="E3">
        <f t="shared" ref="E3:E62" si="0">LN(D3)</f>
        <v>-10.379753586274949</v>
      </c>
    </row>
    <row r="4" spans="1:17" x14ac:dyDescent="0.25">
      <c r="A4">
        <v>1</v>
      </c>
      <c r="B4">
        <v>21887</v>
      </c>
      <c r="C4">
        <v>0</v>
      </c>
      <c r="D4">
        <f>(1-_xlfn.WEIBULL.DIST(B4-B3,$H$2,$G$2,1))</f>
        <v>0.91942067763224344</v>
      </c>
      <c r="E4">
        <f t="shared" si="0"/>
        <v>-8.4011505508069809E-2</v>
      </c>
    </row>
    <row r="5" spans="1:17" x14ac:dyDescent="0.25">
      <c r="A5">
        <v>2</v>
      </c>
      <c r="B5">
        <v>9280</v>
      </c>
      <c r="C5">
        <v>1</v>
      </c>
      <c r="D5">
        <f>_xlfn.WEIBULL.DIST(B5,$H$2,$G$2,0)</f>
        <v>3.1996611113982779E-5</v>
      </c>
      <c r="E5">
        <f t="shared" si="0"/>
        <v>-10.349880563460671</v>
      </c>
    </row>
    <row r="6" spans="1:17" x14ac:dyDescent="0.25">
      <c r="A6">
        <v>2</v>
      </c>
      <c r="B6">
        <v>16442</v>
      </c>
      <c r="C6">
        <v>1</v>
      </c>
      <c r="D6">
        <f>_xlfn.WEIBULL.DIST(B6-B5,$H$2,$G$2,0)</f>
        <v>2.9761487514984482E-5</v>
      </c>
      <c r="E6">
        <f t="shared" si="0"/>
        <v>-10.422295365546091</v>
      </c>
    </row>
    <row r="7" spans="1:17" x14ac:dyDescent="0.25">
      <c r="A7">
        <v>2</v>
      </c>
      <c r="B7">
        <v>21887</v>
      </c>
      <c r="C7">
        <v>0</v>
      </c>
      <c r="D7">
        <f>(1-_xlfn.WEIBULL.DIST(B7-B6,$H$2,$G$2,1))</f>
        <v>0.90336889671871368</v>
      </c>
      <c r="E7">
        <f t="shared" si="0"/>
        <v>-0.10162428549013466</v>
      </c>
    </row>
    <row r="8" spans="1:17" x14ac:dyDescent="0.25">
      <c r="A8">
        <v>3</v>
      </c>
      <c r="B8">
        <v>10445</v>
      </c>
      <c r="C8">
        <v>1</v>
      </c>
      <c r="D8">
        <f>_xlfn.WEIBULL.DIST(B8,$H$2,$G$2,0)</f>
        <v>3.2662042591400133E-5</v>
      </c>
      <c r="E8">
        <f t="shared" si="0"/>
        <v>-10.329296931305915</v>
      </c>
    </row>
    <row r="9" spans="1:17" x14ac:dyDescent="0.25">
      <c r="A9">
        <v>3</v>
      </c>
      <c r="B9">
        <v>13533</v>
      </c>
      <c r="C9">
        <v>0</v>
      </c>
      <c r="D9">
        <f>(1-_xlfn.WEIBULL.DIST(B9-B8,$H$2,$G$2,1))</f>
        <v>0.95955215287888485</v>
      </c>
      <c r="E9">
        <f t="shared" si="0"/>
        <v>-4.128861078652258E-2</v>
      </c>
    </row>
    <row r="10" spans="1:17" x14ac:dyDescent="0.25">
      <c r="A10">
        <v>4</v>
      </c>
      <c r="B10">
        <v>7902</v>
      </c>
      <c r="C10">
        <v>0</v>
      </c>
      <c r="D10">
        <f>(1-_xlfn.WEIBULL.DIST(B10,$H$2,$G$2,1))</f>
        <v>0.83227806036349317</v>
      </c>
      <c r="E10">
        <f t="shared" si="0"/>
        <v>-0.18358868682804394</v>
      </c>
    </row>
    <row r="11" spans="1:17" x14ac:dyDescent="0.25">
      <c r="A11">
        <v>5</v>
      </c>
      <c r="B11">
        <v>8414</v>
      </c>
      <c r="C11">
        <v>0</v>
      </c>
      <c r="D11">
        <f>(1-_xlfn.WEIBULL.DIST(B11,$H$2,$G$2,1))</f>
        <v>0.81641228005747779</v>
      </c>
      <c r="E11">
        <f t="shared" si="0"/>
        <v>-0.20283580644291702</v>
      </c>
    </row>
    <row r="12" spans="1:17" x14ac:dyDescent="0.25">
      <c r="A12">
        <v>6</v>
      </c>
      <c r="B12">
        <v>13331</v>
      </c>
      <c r="C12">
        <v>0</v>
      </c>
      <c r="D12">
        <f>(1-_xlfn.WEIBULL.DIST(B12,$H$2,$G$2,1))</f>
        <v>0.65623177716089831</v>
      </c>
      <c r="E12">
        <f t="shared" si="0"/>
        <v>-0.42124123359761939</v>
      </c>
    </row>
    <row r="13" spans="1:17" x14ac:dyDescent="0.25">
      <c r="A13">
        <v>7</v>
      </c>
      <c r="B13">
        <v>17156</v>
      </c>
      <c r="C13">
        <v>1</v>
      </c>
      <c r="D13">
        <f>_xlfn.WEIBULL.DIST(B13,$H$2,$G$2,0)</f>
        <v>3.1036408786269882E-5</v>
      </c>
      <c r="E13">
        <f t="shared" si="0"/>
        <v>-10.380349565661216</v>
      </c>
    </row>
    <row r="14" spans="1:17" x14ac:dyDescent="0.25">
      <c r="A14">
        <v>7</v>
      </c>
      <c r="B14">
        <v>21887</v>
      </c>
      <c r="C14">
        <v>0</v>
      </c>
      <c r="D14">
        <f>(1-_xlfn.WEIBULL.DIST(B14-B13,$H$2,$G$2,1))</f>
        <v>0.92192309953475204</v>
      </c>
      <c r="E14">
        <f t="shared" si="0"/>
        <v>-8.1293465048549673E-2</v>
      </c>
    </row>
    <row r="15" spans="1:17" x14ac:dyDescent="0.25">
      <c r="A15">
        <v>8</v>
      </c>
      <c r="B15">
        <v>16305</v>
      </c>
      <c r="C15">
        <v>1</v>
      </c>
      <c r="D15">
        <f>_xlfn.WEIBULL.DIST(B15,$H$2,$G$2,0)</f>
        <v>3.1628157974719998E-5</v>
      </c>
      <c r="E15">
        <f t="shared" si="0"/>
        <v>-10.361462758993817</v>
      </c>
    </row>
    <row r="16" spans="1:17" x14ac:dyDescent="0.25">
      <c r="A16">
        <v>8</v>
      </c>
      <c r="B16">
        <v>21887</v>
      </c>
      <c r="C16">
        <v>0</v>
      </c>
      <c r="D16">
        <f>(1-_xlfn.WEIBULL.DIST(B16-B15,$H$2,$G$2,1))</f>
        <v>0.89968125090674833</v>
      </c>
      <c r="E16">
        <f t="shared" si="0"/>
        <v>-0.10571474404846389</v>
      </c>
    </row>
    <row r="17" spans="1:11" x14ac:dyDescent="0.25">
      <c r="A17">
        <v>9</v>
      </c>
      <c r="B17">
        <v>16802</v>
      </c>
      <c r="C17">
        <v>1</v>
      </c>
      <c r="D17">
        <f>_xlfn.WEIBULL.DIST(B17,$H$2,$G$2,0)</f>
        <v>3.1292520776331263E-5</v>
      </c>
      <c r="E17">
        <f t="shared" si="0"/>
        <v>-10.372131441804811</v>
      </c>
    </row>
    <row r="18" spans="1:11" x14ac:dyDescent="0.25">
      <c r="A18">
        <v>9</v>
      </c>
      <c r="B18">
        <v>21887</v>
      </c>
      <c r="C18">
        <v>0</v>
      </c>
      <c r="D18">
        <f>(1-_xlfn.WEIBULL.DIST(B18-B17,$H$2,$G$2,1))</f>
        <v>0.91286831197605423</v>
      </c>
      <c r="E18">
        <f t="shared" si="0"/>
        <v>-9.1163645399190599E-2</v>
      </c>
    </row>
    <row r="19" spans="1:11" x14ac:dyDescent="0.25">
      <c r="A19">
        <v>10</v>
      </c>
      <c r="B19">
        <v>4881</v>
      </c>
      <c r="C19">
        <v>0</v>
      </c>
      <c r="D19">
        <f>(1-_xlfn.WEIBULL.DIST(B19,$H$2,$G$2,1))</f>
        <v>0.91812237695744525</v>
      </c>
      <c r="E19">
        <f t="shared" si="0"/>
        <v>-8.5424589013888247E-2</v>
      </c>
    </row>
    <row r="20" spans="1:11" x14ac:dyDescent="0.25">
      <c r="A20">
        <v>11</v>
      </c>
      <c r="B20">
        <v>16625</v>
      </c>
      <c r="C20">
        <v>0</v>
      </c>
      <c r="D20">
        <f>(1-_xlfn.WEIBULL.DIST(B20,$H$2,$G$2,1))</f>
        <v>0.54981863256351993</v>
      </c>
      <c r="E20">
        <f t="shared" si="0"/>
        <v>-0.59816681411348538</v>
      </c>
    </row>
    <row r="21" spans="1:11" x14ac:dyDescent="0.25">
      <c r="A21">
        <v>12</v>
      </c>
      <c r="B21">
        <v>7396</v>
      </c>
      <c r="C21">
        <v>1</v>
      </c>
      <c r="D21">
        <f>_xlfn.WEIBULL.DIST(B21,$H$2,$G$2,0)</f>
        <v>3.0081018242799709E-5</v>
      </c>
      <c r="E21">
        <f t="shared" si="0"/>
        <v>-10.411616208298668</v>
      </c>
    </row>
    <row r="22" spans="1:11" x14ac:dyDescent="0.25">
      <c r="A22">
        <v>12</v>
      </c>
      <c r="B22">
        <v>7541</v>
      </c>
      <c r="C22">
        <v>1</v>
      </c>
      <c r="D22">
        <f>_xlfn.WEIBULL.DIST(B22-B21,$H$2,$G$2,0)</f>
        <v>3.513782193532817E-6</v>
      </c>
      <c r="E22">
        <f t="shared" si="0"/>
        <v>-12.5588175526096</v>
      </c>
    </row>
    <row r="23" spans="1:11" x14ac:dyDescent="0.25">
      <c r="A23">
        <v>12</v>
      </c>
      <c r="B23">
        <v>19590</v>
      </c>
      <c r="C23">
        <v>0</v>
      </c>
      <c r="D23">
        <f>(1-_xlfn.WEIBULL.DIST(B23-B22,$H$2,$G$2,1))</f>
        <v>0.69854588429699627</v>
      </c>
      <c r="E23">
        <f t="shared" si="0"/>
        <v>-0.35875441268311903</v>
      </c>
    </row>
    <row r="24" spans="1:11" x14ac:dyDescent="0.25">
      <c r="A24">
        <v>13</v>
      </c>
      <c r="B24">
        <v>2211</v>
      </c>
      <c r="C24">
        <v>0</v>
      </c>
      <c r="D24">
        <f>(1-_xlfn.WEIBULL.DIST(B24,$H$2,$G$2,1))</f>
        <v>0.97600283696919998</v>
      </c>
      <c r="E24">
        <f t="shared" si="0"/>
        <v>-2.428978584253141E-2</v>
      </c>
    </row>
    <row r="25" spans="1:11" x14ac:dyDescent="0.25">
      <c r="A25">
        <v>14</v>
      </c>
      <c r="B25">
        <v>15821</v>
      </c>
      <c r="C25">
        <v>1</v>
      </c>
      <c r="D25">
        <f>_xlfn.WEIBULL.DIST(B25,$H$2,$G$2,0)</f>
        <v>3.1926255762302164E-5</v>
      </c>
      <c r="E25">
        <f t="shared" si="0"/>
        <v>-10.352081822056469</v>
      </c>
    </row>
    <row r="26" spans="1:11" x14ac:dyDescent="0.25">
      <c r="A26">
        <v>14</v>
      </c>
      <c r="B26">
        <v>19746</v>
      </c>
      <c r="C26">
        <v>1</v>
      </c>
      <c r="D26">
        <f>_xlfn.WEIBULL.DIST(B26-B25,$H$2,$G$2,0)</f>
        <v>2.3015614058487397E-5</v>
      </c>
      <c r="E26">
        <f t="shared" si="0"/>
        <v>-10.67933770025641</v>
      </c>
    </row>
    <row r="27" spans="1:11" x14ac:dyDescent="0.25">
      <c r="A27">
        <v>14</v>
      </c>
      <c r="B27">
        <v>19877</v>
      </c>
      <c r="C27">
        <v>0</v>
      </c>
      <c r="D27">
        <f>(1-_xlfn.WEIBULL.DIST(B27-B26,$H$2,$G$2,1))</f>
        <v>0.99972689240578294</v>
      </c>
      <c r="E27">
        <f t="shared" si="0"/>
        <v>-2.7314489488762078E-4</v>
      </c>
      <c r="G27" s="16" t="s">
        <v>49</v>
      </c>
      <c r="H27" s="16"/>
      <c r="I27" s="16"/>
      <c r="J27" s="16"/>
      <c r="K27" s="16"/>
    </row>
    <row r="28" spans="1:11" x14ac:dyDescent="0.25">
      <c r="A28">
        <v>15</v>
      </c>
      <c r="B28">
        <v>1927</v>
      </c>
      <c r="C28">
        <v>0</v>
      </c>
      <c r="D28">
        <f>(1-_xlfn.WEIBULL.DIST(B28,$H$2,$G$2,1))</f>
        <v>0.98066369812706178</v>
      </c>
      <c r="E28">
        <f t="shared" si="0"/>
        <v>-1.9525693556264878E-2</v>
      </c>
      <c r="G28" s="16"/>
      <c r="H28" s="16"/>
      <c r="I28" s="16"/>
      <c r="J28" s="16"/>
      <c r="K28" s="16"/>
    </row>
    <row r="29" spans="1:11" x14ac:dyDescent="0.25">
      <c r="A29">
        <v>16</v>
      </c>
      <c r="B29">
        <v>15813</v>
      </c>
      <c r="C29">
        <v>1</v>
      </c>
      <c r="D29">
        <f>_xlfn.WEIBULL.DIST(B29,$H$2,$G$2,0)</f>
        <v>3.1930932701744371E-5</v>
      </c>
      <c r="E29">
        <f t="shared" si="0"/>
        <v>-10.351935340836013</v>
      </c>
      <c r="G29" s="16"/>
      <c r="H29" s="16"/>
      <c r="I29" s="16"/>
      <c r="J29" s="16"/>
      <c r="K29" s="16"/>
    </row>
    <row r="30" spans="1:11" x14ac:dyDescent="0.25">
      <c r="A30">
        <v>16</v>
      </c>
      <c r="B30">
        <v>21886</v>
      </c>
      <c r="C30">
        <v>0</v>
      </c>
      <c r="D30">
        <f>(1-_xlfn.WEIBULL.DIST(B30-B29,$H$2,$G$2,1))</f>
        <v>0.88615884262786027</v>
      </c>
      <c r="E30">
        <f t="shared" si="0"/>
        <v>-0.1208590638275532</v>
      </c>
      <c r="G30" s="16"/>
      <c r="H30" s="16"/>
      <c r="I30" s="16"/>
      <c r="J30" s="16"/>
      <c r="K30" s="16"/>
    </row>
    <row r="31" spans="1:11" x14ac:dyDescent="0.25">
      <c r="A31">
        <v>17</v>
      </c>
      <c r="B31">
        <v>15524</v>
      </c>
      <c r="C31">
        <v>1</v>
      </c>
      <c r="D31">
        <f>_xlfn.WEIBULL.DIST(B31,$H$2,$G$2,0)</f>
        <v>3.2094220039774922E-5</v>
      </c>
      <c r="E31">
        <f t="shared" si="0"/>
        <v>-10.346834605107446</v>
      </c>
      <c r="G31" s="16"/>
      <c r="H31" s="16"/>
      <c r="I31" s="16"/>
      <c r="J31" s="16"/>
      <c r="K31" s="16"/>
    </row>
    <row r="32" spans="1:11" x14ac:dyDescent="0.25">
      <c r="A32">
        <v>17</v>
      </c>
      <c r="B32">
        <v>21886</v>
      </c>
      <c r="C32">
        <v>0</v>
      </c>
      <c r="D32">
        <f>(1-_xlfn.WEIBULL.DIST(B32-B31,$H$2,$G$2,1))</f>
        <v>0.87799050479266283</v>
      </c>
      <c r="E32">
        <f t="shared" si="0"/>
        <v>-0.13011949999244285</v>
      </c>
      <c r="G32" s="16"/>
      <c r="H32" s="16"/>
      <c r="I32" s="16"/>
      <c r="J32" s="16"/>
      <c r="K32" s="16"/>
    </row>
    <row r="33" spans="1:5" x14ac:dyDescent="0.25">
      <c r="A33">
        <v>18</v>
      </c>
      <c r="B33">
        <v>21440</v>
      </c>
      <c r="C33">
        <v>0</v>
      </c>
      <c r="D33">
        <f>(1-_xlfn.WEIBULL.DIST(B33,$H$2,$G$2,1))</f>
        <v>0.40825452864452805</v>
      </c>
      <c r="E33">
        <f t="shared" si="0"/>
        <v>-0.89586445437121842</v>
      </c>
    </row>
    <row r="34" spans="1:5" x14ac:dyDescent="0.25">
      <c r="A34">
        <v>19</v>
      </c>
      <c r="B34">
        <v>369</v>
      </c>
      <c r="C34">
        <v>0</v>
      </c>
      <c r="D34">
        <f>(1-_xlfn.WEIBULL.DIST(B34,$H$2,$G$2,1))</f>
        <v>0.99858643588875284</v>
      </c>
      <c r="E34">
        <f t="shared" si="0"/>
        <v>-1.4145641355054895E-3</v>
      </c>
    </row>
    <row r="35" spans="1:5" x14ac:dyDescent="0.25">
      <c r="A35">
        <v>20</v>
      </c>
      <c r="B35">
        <v>11664</v>
      </c>
      <c r="C35">
        <v>1</v>
      </c>
      <c r="D35">
        <f>_xlfn.WEIBULL.DIST(B35,$H$2,$G$2,0)</f>
        <v>3.2994444989056849E-5</v>
      </c>
      <c r="E35">
        <f t="shared" si="0"/>
        <v>-10.319171344332439</v>
      </c>
    </row>
    <row r="36" spans="1:5" x14ac:dyDescent="0.25">
      <c r="A36">
        <v>20</v>
      </c>
      <c r="B36">
        <v>17031</v>
      </c>
      <c r="C36">
        <v>1</v>
      </c>
      <c r="D36">
        <f>_xlfn.WEIBULL.DIST(B36-B35,$H$2,$G$2,0)</f>
        <v>2.6609789943052532E-5</v>
      </c>
      <c r="E36">
        <f t="shared" si="0"/>
        <v>-10.534231366915922</v>
      </c>
    </row>
    <row r="37" spans="1:5" x14ac:dyDescent="0.25">
      <c r="A37">
        <v>20</v>
      </c>
      <c r="B37">
        <v>21857</v>
      </c>
      <c r="C37">
        <v>0</v>
      </c>
      <c r="D37">
        <f>(1-_xlfn.WEIBULL.DIST(B37-B36,$H$2,$G$2,1))</f>
        <v>0.91952224304944896</v>
      </c>
      <c r="E37">
        <f t="shared" si="0"/>
        <v>-8.3901044855739029E-2</v>
      </c>
    </row>
    <row r="38" spans="1:5" x14ac:dyDescent="0.25">
      <c r="A38">
        <v>21</v>
      </c>
      <c r="B38">
        <v>7544</v>
      </c>
      <c r="C38">
        <v>0</v>
      </c>
      <c r="D38">
        <f>(1-_xlfn.WEIBULL.DIST(B38,$H$2,$G$2,1))</f>
        <v>0.84319482421351355</v>
      </c>
      <c r="E38">
        <f t="shared" si="0"/>
        <v>-0.17055723948058435</v>
      </c>
    </row>
    <row r="39" spans="1:5" x14ac:dyDescent="0.25">
      <c r="A39">
        <v>22</v>
      </c>
      <c r="B39">
        <v>6039</v>
      </c>
      <c r="C39">
        <v>0</v>
      </c>
      <c r="D39">
        <f>(1-_xlfn.WEIBULL.DIST(B39,$H$2,$G$2,1))</f>
        <v>0.88710998411456554</v>
      </c>
      <c r="E39">
        <f t="shared" si="0"/>
        <v>-0.11978630873980115</v>
      </c>
    </row>
    <row r="40" spans="1:5" x14ac:dyDescent="0.25">
      <c r="A40">
        <v>23</v>
      </c>
      <c r="B40">
        <v>2168</v>
      </c>
      <c r="C40">
        <v>1</v>
      </c>
      <c r="D40">
        <f>_xlfn.WEIBULL.DIST(B40,$H$2,$G$2,0)</f>
        <v>1.6844418659237401E-5</v>
      </c>
      <c r="E40">
        <f t="shared" si="0"/>
        <v>-10.991491192877453</v>
      </c>
    </row>
    <row r="41" spans="1:5" x14ac:dyDescent="0.25">
      <c r="A41">
        <v>23</v>
      </c>
      <c r="B41">
        <v>6698</v>
      </c>
      <c r="C41">
        <v>0</v>
      </c>
      <c r="D41">
        <f>(1-_xlfn.WEIBULL.DIST(B41-B40,$H$2,$G$2,1))</f>
        <v>0.92692966598409099</v>
      </c>
      <c r="E41">
        <f t="shared" si="0"/>
        <v>-7.5877589019583622E-2</v>
      </c>
    </row>
    <row r="42" spans="1:5" x14ac:dyDescent="0.25">
      <c r="A42">
        <v>24</v>
      </c>
      <c r="B42">
        <v>18840</v>
      </c>
      <c r="C42">
        <v>1</v>
      </c>
      <c r="D42">
        <f>_xlfn.WEIBULL.DIST(B42,$H$2,$G$2,0)</f>
        <v>2.964859149907034E-5</v>
      </c>
      <c r="E42">
        <f t="shared" si="0"/>
        <v>-10.426095937896108</v>
      </c>
    </row>
    <row r="43" spans="1:5" x14ac:dyDescent="0.25">
      <c r="A43">
        <v>24</v>
      </c>
      <c r="B43">
        <v>21879</v>
      </c>
      <c r="C43">
        <v>0</v>
      </c>
      <c r="D43">
        <f>(1-_xlfn.WEIBULL.DIST(B43-B42,$H$2,$G$2,1))</f>
        <v>0.96054634172340037</v>
      </c>
      <c r="E43">
        <f t="shared" si="0"/>
        <v>-4.0253050437762901E-2</v>
      </c>
    </row>
    <row r="44" spans="1:5" x14ac:dyDescent="0.25">
      <c r="A44">
        <v>25</v>
      </c>
      <c r="B44">
        <v>2288</v>
      </c>
      <c r="C44">
        <v>0</v>
      </c>
      <c r="D44">
        <f>(1-_xlfn.WEIBULL.DIST(B44,$H$2,$G$2,1))</f>
        <v>0.97467926545309735</v>
      </c>
      <c r="E44">
        <f t="shared" si="0"/>
        <v>-2.5646820612653016E-2</v>
      </c>
    </row>
    <row r="45" spans="1:5" x14ac:dyDescent="0.25">
      <c r="A45">
        <v>26</v>
      </c>
      <c r="B45">
        <v>2499</v>
      </c>
      <c r="C45">
        <v>0</v>
      </c>
      <c r="D45">
        <f>(1-_xlfn.WEIBULL.DIST(B45,$H$2,$G$2,1))</f>
        <v>0.97092759642631588</v>
      </c>
      <c r="E45">
        <f t="shared" si="0"/>
        <v>-2.9503379458309876E-2</v>
      </c>
    </row>
    <row r="46" spans="1:5" x14ac:dyDescent="0.25">
      <c r="A46">
        <v>27</v>
      </c>
      <c r="B46">
        <v>10668</v>
      </c>
      <c r="C46">
        <v>1</v>
      </c>
      <c r="D46">
        <f>_xlfn.WEIBULL.DIST(B46,$H$2,$G$2,0)</f>
        <v>3.2749275993669339E-5</v>
      </c>
      <c r="E46">
        <f t="shared" si="0"/>
        <v>-10.326629703190909</v>
      </c>
    </row>
    <row r="47" spans="1:5" x14ac:dyDescent="0.25">
      <c r="A47">
        <v>27</v>
      </c>
      <c r="B47">
        <v>16838</v>
      </c>
      <c r="C47">
        <v>0</v>
      </c>
      <c r="D47">
        <f>(1-_xlfn.WEIBULL.DIST(B47-B46,$H$2,$G$2,1))</f>
        <v>0.88343374096389515</v>
      </c>
      <c r="E47">
        <f t="shared" si="0"/>
        <v>-0.12393898611408154</v>
      </c>
    </row>
    <row r="48" spans="1:5" x14ac:dyDescent="0.25">
      <c r="A48">
        <v>28</v>
      </c>
      <c r="B48">
        <v>15550</v>
      </c>
      <c r="C48">
        <v>1</v>
      </c>
      <c r="D48">
        <f>_xlfn.WEIBULL.DIST(B48,$H$2,$G$2,0)</f>
        <v>3.2079987148718225E-5</v>
      </c>
      <c r="E48">
        <f t="shared" si="0"/>
        <v>-10.347278175567093</v>
      </c>
    </row>
    <row r="49" spans="1:5" x14ac:dyDescent="0.25">
      <c r="A49">
        <v>28</v>
      </c>
      <c r="B49">
        <v>21887</v>
      </c>
      <c r="C49">
        <v>0</v>
      </c>
      <c r="D49">
        <f>(1-_xlfn.WEIBULL.DIST(B49-B48,$H$2,$G$2,1))</f>
        <v>0.87870288868582225</v>
      </c>
      <c r="E49">
        <f t="shared" si="0"/>
        <v>-0.12930844903175182</v>
      </c>
    </row>
    <row r="50" spans="1:5" x14ac:dyDescent="0.25">
      <c r="A50">
        <v>29</v>
      </c>
      <c r="B50">
        <v>1616</v>
      </c>
      <c r="C50">
        <v>0</v>
      </c>
      <c r="D50">
        <f>(1-_xlfn.WEIBULL.DIST(B50,$H$2,$G$2,1))</f>
        <v>0.98534405152206417</v>
      </c>
      <c r="E50">
        <f t="shared" si="0"/>
        <v>-1.4764407912563874E-2</v>
      </c>
    </row>
    <row r="51" spans="1:5" x14ac:dyDescent="0.25">
      <c r="A51">
        <v>30</v>
      </c>
      <c r="B51">
        <v>14041</v>
      </c>
      <c r="C51">
        <v>1</v>
      </c>
      <c r="D51">
        <f>_xlfn.WEIBULL.DIST(B51,$H$2,$G$2,0)</f>
        <v>3.2743519398835893E-5</v>
      </c>
      <c r="E51">
        <f t="shared" si="0"/>
        <v>-10.326805496415608</v>
      </c>
    </row>
    <row r="52" spans="1:5" x14ac:dyDescent="0.25">
      <c r="A52">
        <v>30</v>
      </c>
      <c r="B52">
        <v>20004</v>
      </c>
      <c r="C52">
        <v>0</v>
      </c>
      <c r="D52">
        <f>(1-_xlfn.WEIBULL.DIST(B52-B51,$H$2,$G$2,1))</f>
        <v>0.88922834631800107</v>
      </c>
      <c r="E52">
        <f t="shared" si="0"/>
        <v>-0.11740121894990893</v>
      </c>
    </row>
    <row r="53" spans="1:5" x14ac:dyDescent="0.25">
      <c r="A53">
        <v>31</v>
      </c>
      <c r="B53">
        <v>21888</v>
      </c>
      <c r="C53">
        <v>0</v>
      </c>
      <c r="D53">
        <f>(1-_xlfn.WEIBULL.DIST(B53,$H$2,$G$2,1))</f>
        <v>0.39622462424463389</v>
      </c>
      <c r="E53">
        <f t="shared" si="0"/>
        <v>-0.92577399560245599</v>
      </c>
    </row>
    <row r="54" spans="1:5" x14ac:dyDescent="0.25">
      <c r="A54">
        <v>32</v>
      </c>
      <c r="B54">
        <v>21888</v>
      </c>
      <c r="C54">
        <v>0</v>
      </c>
      <c r="D54">
        <f t="shared" ref="D54:D62" si="1">(1-_xlfn.WEIBULL.DIST(B54,$H$2,$G$2,1))</f>
        <v>0.39622462424463389</v>
      </c>
      <c r="E54">
        <f t="shared" si="0"/>
        <v>-0.92577399560245599</v>
      </c>
    </row>
    <row r="55" spans="1:5" x14ac:dyDescent="0.25">
      <c r="A55">
        <v>33</v>
      </c>
      <c r="B55">
        <v>21888</v>
      </c>
      <c r="C55">
        <v>0</v>
      </c>
      <c r="D55">
        <f t="shared" si="1"/>
        <v>0.39622462424463389</v>
      </c>
      <c r="E55">
        <f t="shared" si="0"/>
        <v>-0.92577399560245599</v>
      </c>
    </row>
    <row r="56" spans="1:5" x14ac:dyDescent="0.25">
      <c r="A56">
        <v>34</v>
      </c>
      <c r="B56">
        <v>21888</v>
      </c>
      <c r="C56">
        <v>0</v>
      </c>
      <c r="D56">
        <f t="shared" si="1"/>
        <v>0.39622462424463389</v>
      </c>
      <c r="E56">
        <f t="shared" si="0"/>
        <v>-0.92577399560245599</v>
      </c>
    </row>
    <row r="57" spans="1:5" x14ac:dyDescent="0.25">
      <c r="A57">
        <v>35</v>
      </c>
      <c r="B57">
        <v>21888</v>
      </c>
      <c r="C57">
        <v>0</v>
      </c>
      <c r="D57">
        <f t="shared" si="1"/>
        <v>0.39622462424463389</v>
      </c>
      <c r="E57">
        <f t="shared" si="0"/>
        <v>-0.92577399560245599</v>
      </c>
    </row>
    <row r="58" spans="1:5" x14ac:dyDescent="0.25">
      <c r="A58">
        <v>36</v>
      </c>
      <c r="B58">
        <v>21888</v>
      </c>
      <c r="C58">
        <v>0</v>
      </c>
      <c r="D58">
        <f t="shared" si="1"/>
        <v>0.39622462424463389</v>
      </c>
      <c r="E58">
        <f t="shared" si="0"/>
        <v>-0.92577399560245599</v>
      </c>
    </row>
    <row r="59" spans="1:5" x14ac:dyDescent="0.25">
      <c r="A59">
        <v>37</v>
      </c>
      <c r="B59">
        <v>21888</v>
      </c>
      <c r="C59">
        <v>0</v>
      </c>
      <c r="D59">
        <f t="shared" si="1"/>
        <v>0.39622462424463389</v>
      </c>
      <c r="E59">
        <f t="shared" si="0"/>
        <v>-0.92577399560245599</v>
      </c>
    </row>
    <row r="60" spans="1:5" x14ac:dyDescent="0.25">
      <c r="A60">
        <v>38</v>
      </c>
      <c r="B60">
        <v>21888</v>
      </c>
      <c r="C60">
        <v>0</v>
      </c>
      <c r="D60">
        <f t="shared" si="1"/>
        <v>0.39622462424463389</v>
      </c>
      <c r="E60">
        <f t="shared" si="0"/>
        <v>-0.92577399560245599</v>
      </c>
    </row>
    <row r="61" spans="1:5" x14ac:dyDescent="0.25">
      <c r="A61">
        <v>39</v>
      </c>
      <c r="B61">
        <v>21888</v>
      </c>
      <c r="C61">
        <v>0</v>
      </c>
      <c r="D61">
        <f t="shared" si="1"/>
        <v>0.39622462424463389</v>
      </c>
      <c r="E61">
        <f t="shared" si="0"/>
        <v>-0.92577399560245599</v>
      </c>
    </row>
    <row r="62" spans="1:5" x14ac:dyDescent="0.25">
      <c r="A62">
        <v>40</v>
      </c>
      <c r="B62">
        <v>21888</v>
      </c>
      <c r="C62">
        <v>0</v>
      </c>
      <c r="D62">
        <f t="shared" si="1"/>
        <v>0.39622462424463389</v>
      </c>
      <c r="E62">
        <f t="shared" si="0"/>
        <v>-0.92577399560245599</v>
      </c>
    </row>
  </sheetData>
  <mergeCells count="1">
    <mergeCell ref="G27:K3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Renovar_Expoencial</vt:lpstr>
      <vt:lpstr>Renovar_Weibull</vt:lpstr>
      <vt:lpstr>MR</vt:lpstr>
      <vt:lpstr>Trabalho_Dados_Enrico</vt:lpstr>
      <vt:lpstr>MR_Enrico</vt:lpstr>
      <vt:lpstr>Renovar_Enrico_Expo</vt:lpstr>
      <vt:lpstr>Renovar_Enrico_Weibull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Quinino</dc:creator>
  <cp:lastModifiedBy>Roberto Quinino</cp:lastModifiedBy>
  <dcterms:created xsi:type="dcterms:W3CDTF">2025-05-08T01:46:45Z</dcterms:created>
  <dcterms:modified xsi:type="dcterms:W3CDTF">2025-05-25T16:44:06Z</dcterms:modified>
</cp:coreProperties>
</file>