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iasclavijo.6\Documents\"/>
    </mc:Choice>
  </mc:AlternateContent>
  <xr:revisionPtr revIDLastSave="0" documentId="13_ncr:1_{F50B4FAB-B875-4C54-B630-81C9EDBBA10B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PARAMETROS" sheetId="1" r:id="rId1"/>
    <sheet name="MUESTRA" sheetId="4" r:id="rId2"/>
    <sheet name="PUNTO DE EQUILIBRIO" sheetId="2" r:id="rId3"/>
    <sheet name="DEMANDA" sheetId="5" r:id="rId4"/>
  </sheets>
  <definedNames>
    <definedName name="_xlnm.Print_Area" localSheetId="0">PARAMETROS!$A$1:$H$87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5" l="1"/>
  <c r="P4" i="5" s="1"/>
  <c r="N4" i="5"/>
  <c r="H5" i="5"/>
  <c r="H6" i="5"/>
  <c r="J5" i="5" s="1"/>
  <c r="H4" i="5"/>
  <c r="H3" i="5"/>
  <c r="J4" i="5" s="1"/>
  <c r="L4" i="5" l="1"/>
  <c r="F9" i="4"/>
  <c r="F10" i="4"/>
  <c r="H9" i="4" l="1"/>
  <c r="D72" i="1" l="1"/>
  <c r="D73" i="1"/>
  <c r="D71" i="1"/>
  <c r="D45" i="1"/>
  <c r="D74" i="1" l="1"/>
  <c r="H52" i="1" l="1"/>
  <c r="H53" i="1"/>
  <c r="D33" i="1" s="1"/>
  <c r="D46" i="1" l="1"/>
  <c r="D29" i="1"/>
  <c r="D30" i="1"/>
  <c r="D13" i="1"/>
  <c r="D14" i="1"/>
  <c r="C8" i="1" l="1"/>
  <c r="D68" i="1" l="1"/>
  <c r="E86" i="1"/>
  <c r="C17" i="1"/>
  <c r="C25" i="1"/>
  <c r="H62" i="1"/>
  <c r="D35" i="1" s="1"/>
  <c r="E35" i="1" s="1"/>
  <c r="H61" i="1"/>
  <c r="D23" i="1" s="1"/>
  <c r="E23" i="1" s="1"/>
  <c r="H58" i="1"/>
  <c r="H57" i="1"/>
  <c r="D22" i="1" s="1"/>
  <c r="E22" i="1" s="1"/>
  <c r="E33" i="1"/>
  <c r="D21" i="1"/>
  <c r="E21" i="1" s="1"/>
  <c r="E24" i="1"/>
  <c r="E30" i="1"/>
  <c r="E14" i="1"/>
  <c r="C49" i="1"/>
  <c r="C64" i="1"/>
  <c r="D16" i="1" s="1"/>
  <c r="E16" i="1" s="1"/>
  <c r="C57" i="1"/>
  <c r="E46" i="1"/>
  <c r="C40" i="1"/>
  <c r="E29" i="1"/>
  <c r="E13" i="1"/>
  <c r="E39" i="1"/>
  <c r="E37" i="1"/>
  <c r="E36" i="1"/>
  <c r="D8" i="1"/>
  <c r="E7" i="1"/>
  <c r="F7" i="1" s="1"/>
  <c r="E6" i="1"/>
  <c r="F6" i="1" s="1"/>
  <c r="E5" i="1"/>
  <c r="F5" i="1" s="1"/>
  <c r="D34" i="1" l="1"/>
  <c r="E34" i="1" s="1"/>
  <c r="D31" i="1"/>
  <c r="E31" i="1" s="1"/>
  <c r="D48" i="1"/>
  <c r="E48" i="1" s="1"/>
  <c r="E25" i="1"/>
  <c r="D25" i="1"/>
  <c r="D77" i="1" s="1"/>
  <c r="F8" i="1"/>
  <c r="D78" i="1" s="1"/>
  <c r="E8" i="1"/>
  <c r="D32" i="1"/>
  <c r="E32" i="1" s="1"/>
  <c r="D15" i="1"/>
  <c r="E15" i="1" s="1"/>
  <c r="E17" i="1" s="1"/>
  <c r="E45" i="1"/>
  <c r="D47" i="1"/>
  <c r="E47" i="1" s="1"/>
  <c r="E40" i="1" l="1"/>
  <c r="D17" i="1"/>
  <c r="D76" i="1" s="1"/>
  <c r="D40" i="1"/>
  <c r="D49" i="1"/>
  <c r="E49" i="1"/>
  <c r="E51" i="1" l="1"/>
  <c r="D51" i="1"/>
  <c r="C20" i="2" s="1"/>
  <c r="D80" i="1"/>
  <c r="D81" i="1" l="1"/>
  <c r="D83" i="1"/>
  <c r="C8" i="2"/>
  <c r="D86" i="1" l="1"/>
  <c r="C3" i="2" s="1"/>
  <c r="D87" i="1" l="1"/>
  <c r="C15" i="2"/>
  <c r="D85" i="1"/>
  <c r="B15" i="2" l="1"/>
  <c r="D15" i="2" s="1"/>
  <c r="B3" i="2"/>
  <c r="D3" i="2" s="1"/>
  <c r="D16" i="2" l="1"/>
  <c r="D4" i="2"/>
  <c r="E15" i="2" l="1"/>
  <c r="F15" i="2" s="1"/>
  <c r="E3" i="2"/>
  <c r="F3" i="2" s="1"/>
  <c r="E16" i="2" l="1"/>
  <c r="F16" i="2"/>
  <c r="C21" i="2" s="1"/>
  <c r="E20" i="2" s="1"/>
  <c r="F4" i="2"/>
  <c r="C9" i="2" s="1"/>
  <c r="E8" i="2" s="1"/>
  <c r="G3" i="2" s="1"/>
  <c r="E4" i="2"/>
  <c r="H3" i="2" l="1"/>
  <c r="G15" i="2"/>
  <c r="H15" i="2" s="1"/>
  <c r="G16" i="2" l="1"/>
  <c r="H16" i="2"/>
  <c r="I15" i="2"/>
  <c r="J15" i="2" s="1"/>
  <c r="G4" i="2"/>
  <c r="I3" i="2"/>
  <c r="J3" i="2" s="1"/>
  <c r="J16" i="2" l="1"/>
  <c r="I16" i="2"/>
  <c r="J4" i="2"/>
</calcChain>
</file>

<file path=xl/sharedStrings.xml><?xml version="1.0" encoding="utf-8"?>
<sst xmlns="http://schemas.openxmlformats.org/spreadsheetml/2006/main" count="130" uniqueCount="81">
  <si>
    <t>MAQUINARIA Y EQUIPO</t>
  </si>
  <si>
    <t>DESCRIPCION</t>
  </si>
  <si>
    <t>CANTIDAD</t>
  </si>
  <si>
    <t>COSTO UNITARIO</t>
  </si>
  <si>
    <t>COSTO TOTAL</t>
  </si>
  <si>
    <t>DEPRECIACION</t>
  </si>
  <si>
    <t>NEVERA</t>
  </si>
  <si>
    <t>HORNOS</t>
  </si>
  <si>
    <t>MOLDES PLASTICAS</t>
  </si>
  <si>
    <t>COSTO TOTAL DE MAQU Y EQUIP</t>
  </si>
  <si>
    <t>MANO DE OBRA DIRECTA</t>
  </si>
  <si>
    <t>COSTO MENSUAL</t>
  </si>
  <si>
    <t>COSTO ANUAL</t>
  </si>
  <si>
    <t>OPERARIOS</t>
  </si>
  <si>
    <t>AUXILIO DE TRANSPORTE</t>
  </si>
  <si>
    <t>PRESTACIONES SOCIALES</t>
  </si>
  <si>
    <t>SEGURIDAD SOCIAL</t>
  </si>
  <si>
    <t>TOTAL</t>
  </si>
  <si>
    <t>CIF</t>
  </si>
  <si>
    <t>ARRENDAMIENTO</t>
  </si>
  <si>
    <t>ACUEDUCTO Y ALCANTARILLADO</t>
  </si>
  <si>
    <t>ENERGIA ELECTRICA</t>
  </si>
  <si>
    <t>GAS</t>
  </si>
  <si>
    <t>GASTOS ADMINISTRATIVOS</t>
  </si>
  <si>
    <t>ADMINISTRADOR</t>
  </si>
  <si>
    <t>ASEO</t>
  </si>
  <si>
    <t>PAPELERIA</t>
  </si>
  <si>
    <t>REGISTRO MERCANTIL</t>
  </si>
  <si>
    <t>OTROS</t>
  </si>
  <si>
    <t>GASTOS DE VENTAS</t>
  </si>
  <si>
    <t>VENDEDORES</t>
  </si>
  <si>
    <t>ADMINISTRATIVO</t>
  </si>
  <si>
    <t>CESANTIAS</t>
  </si>
  <si>
    <t>INTERESES DE CESANTIAS</t>
  </si>
  <si>
    <t>PRIMA</t>
  </si>
  <si>
    <t>VACACIONES</t>
  </si>
  <si>
    <t>PENSION</t>
  </si>
  <si>
    <t>ARL</t>
  </si>
  <si>
    <t>CAJA DE COMPENSACION</t>
  </si>
  <si>
    <t>GLICERINA 25KG</t>
  </si>
  <si>
    <t>ACEITE ESENCIAL 30ML</t>
  </si>
  <si>
    <t>COLORANTE 5ML</t>
  </si>
  <si>
    <t>Ventas al mes /und</t>
  </si>
  <si>
    <t>DIARIAS</t>
  </si>
  <si>
    <t>JABON</t>
  </si>
  <si>
    <t>GLICERINA</t>
  </si>
  <si>
    <t>125 GR</t>
  </si>
  <si>
    <t>ACEITE ESCENCIAL</t>
  </si>
  <si>
    <t>1 Miltrs</t>
  </si>
  <si>
    <t>COLORANTE NATURAL</t>
  </si>
  <si>
    <t>COSTO DE FACBRICAR 2288 JABONES</t>
  </si>
  <si>
    <t>MANO DE JABONES</t>
  </si>
  <si>
    <t>CIF 1 JABON</t>
  </si>
  <si>
    <t>DEPRECIACIÓN 1</t>
  </si>
  <si>
    <t>COSTO TOTAL DE VENDER 1 JABON</t>
  </si>
  <si>
    <t>COSTO UNITARIO POR JABON</t>
  </si>
  <si>
    <t>Precio de Venta</t>
  </si>
  <si>
    <t xml:space="preserve">Costo </t>
  </si>
  <si>
    <t>Utilidad Bruta</t>
  </si>
  <si>
    <t>Z=% de fiabilidad deseado para la media muestral</t>
  </si>
  <si>
    <t>E=error máximo permitido para la media muestra</t>
  </si>
  <si>
    <r>
      <t>N</t>
    </r>
    <r>
      <rPr>
        <sz val="11"/>
        <color rgb="FF333333"/>
        <rFont val="Verdana"/>
        <family val="2"/>
      </rPr>
      <t>=tamaño de la población</t>
    </r>
  </si>
  <si>
    <r>
      <t>P</t>
    </r>
    <r>
      <rPr>
        <sz val="11"/>
        <color rgb="FF333333"/>
        <rFont val="Verdana"/>
        <family val="2"/>
      </rPr>
      <t>=% probabilidad de que compren el producto</t>
    </r>
  </si>
  <si>
    <r>
      <t>P</t>
    </r>
    <r>
      <rPr>
        <sz val="11"/>
        <color rgb="FF333333"/>
        <rFont val="Verdana"/>
        <family val="2"/>
      </rPr>
      <t>=% probabilidad de que no compren el producto</t>
    </r>
  </si>
  <si>
    <t>PRODUCTO</t>
  </si>
  <si>
    <t>PV</t>
  </si>
  <si>
    <t>CV</t>
  </si>
  <si>
    <t>UT(PV-CV)</t>
  </si>
  <si>
    <t xml:space="preserve">% PART UT. </t>
  </si>
  <si>
    <t>MANGEN CONT</t>
  </si>
  <si>
    <t>UNIDADES MINIMAS</t>
  </si>
  <si>
    <t>VENTAS</t>
  </si>
  <si>
    <t>COSTOS</t>
  </si>
  <si>
    <t xml:space="preserve">UTILIDAD </t>
  </si>
  <si>
    <t>JABON SOAP KIDS</t>
  </si>
  <si>
    <t>Elasticidad precio de la demanda</t>
  </si>
  <si>
    <t>Empresa</t>
  </si>
  <si>
    <t>Precio</t>
  </si>
  <si>
    <t>Cantidad</t>
  </si>
  <si>
    <t xml:space="preserve">Jhonson </t>
  </si>
  <si>
    <t>Soap Kids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</si>
</sst>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\ _€_-;\-* #,##0.00\ _€_-;_-* &quot;-&quot;??\ _€_-;_-@_-"/>
    <numFmt numFmtId="164" formatCode="_(* #,##0.00_);_(* \(#,##0.00\);_(* &quot;-&quot;??_);_(@_)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0.000%"/>
    <numFmt numFmtId="168" formatCode="0.0"/>
    <numFmt numFmtId="169" formatCode="_-* #,##0_-;\-* #,##0_-;_-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Verdana"/>
      <family val="2"/>
    </font>
    <font>
      <b/>
      <sz val="11"/>
      <color rgb="FF333333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2">
    <xf numFmtId="0" fontId="0" fillId="0" borderId="0" xfId="0"/>
    <xf numFmtId="165" fontId="0" fillId="0" borderId="0" xfId="1" applyFont="1"/>
    <xf numFmtId="0" fontId="0" fillId="0" borderId="1" xfId="0" applyBorder="1" applyAlignment="1">
      <alignment horizontal="center"/>
    </xf>
    <xf numFmtId="0" fontId="0" fillId="0" borderId="1" xfId="0" applyBorder="1"/>
    <xf numFmtId="165" fontId="0" fillId="0" borderId="1" xfId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5" fontId="2" fillId="0" borderId="1" xfId="1" applyFont="1" applyBorder="1"/>
    <xf numFmtId="165" fontId="0" fillId="0" borderId="0" xfId="0" applyNumberFormat="1"/>
    <xf numFmtId="0" fontId="2" fillId="0" borderId="1" xfId="0" applyFont="1" applyBorder="1" applyAlignment="1">
      <alignment horizontal="center" wrapText="1"/>
    </xf>
    <xf numFmtId="165" fontId="2" fillId="0" borderId="1" xfId="0" applyNumberFormat="1" applyFont="1" applyBorder="1"/>
    <xf numFmtId="165" fontId="0" fillId="0" borderId="1" xfId="0" applyNumberFormat="1" applyBorder="1"/>
    <xf numFmtId="165" fontId="2" fillId="0" borderId="1" xfId="1" applyFont="1" applyBorder="1" applyAlignment="1">
      <alignment horizontal="center"/>
    </xf>
    <xf numFmtId="0" fontId="0" fillId="0" borderId="5" xfId="0" applyBorder="1"/>
    <xf numFmtId="165" fontId="0" fillId="0" borderId="0" xfId="1" applyFont="1" applyBorder="1"/>
    <xf numFmtId="0" fontId="0" fillId="0" borderId="6" xfId="0" applyBorder="1"/>
    <xf numFmtId="165" fontId="0" fillId="0" borderId="6" xfId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43" fontId="0" fillId="0" borderId="3" xfId="0" applyNumberFormat="1" applyBorder="1"/>
    <xf numFmtId="0" fontId="0" fillId="0" borderId="4" xfId="0" applyBorder="1"/>
    <xf numFmtId="43" fontId="0" fillId="0" borderId="0" xfId="0" applyNumberFormat="1"/>
    <xf numFmtId="43" fontId="0" fillId="0" borderId="8" xfId="0" applyNumberFormat="1" applyBorder="1"/>
    <xf numFmtId="43" fontId="2" fillId="5" borderId="3" xfId="0" applyNumberFormat="1" applyFont="1" applyFill="1" applyBorder="1"/>
    <xf numFmtId="0" fontId="3" fillId="0" borderId="2" xfId="0" applyFont="1" applyBorder="1"/>
    <xf numFmtId="0" fontId="3" fillId="0" borderId="7" xfId="0" applyFont="1" applyBorder="1"/>
    <xf numFmtId="9" fontId="0" fillId="0" borderId="6" xfId="0" applyNumberFormat="1" applyBorder="1"/>
    <xf numFmtId="9" fontId="0" fillId="0" borderId="9" xfId="0" applyNumberFormat="1" applyBorder="1"/>
    <xf numFmtId="3" fontId="2" fillId="0" borderId="7" xfId="0" applyNumberFormat="1" applyFont="1" applyBorder="1"/>
    <xf numFmtId="2" fontId="0" fillId="0" borderId="0" xfId="0" applyNumberFormat="1"/>
    <xf numFmtId="9" fontId="0" fillId="0" borderId="0" xfId="3" applyFont="1"/>
    <xf numFmtId="166" fontId="0" fillId="0" borderId="0" xfId="0" applyNumberFormat="1"/>
    <xf numFmtId="166" fontId="0" fillId="0" borderId="0" xfId="2" applyFont="1"/>
    <xf numFmtId="169" fontId="0" fillId="0" borderId="0" xfId="2" applyNumberFormat="1" applyFont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9" fontId="0" fillId="0" borderId="20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0" fillId="0" borderId="15" xfId="0" applyBorder="1"/>
    <xf numFmtId="10" fontId="0" fillId="0" borderId="16" xfId="0" applyNumberFormat="1" applyBorder="1"/>
    <xf numFmtId="9" fontId="0" fillId="0" borderId="16" xfId="0" applyNumberFormat="1" applyBorder="1"/>
    <xf numFmtId="0" fontId="0" fillId="0" borderId="16" xfId="0" applyBorder="1"/>
    <xf numFmtId="167" fontId="0" fillId="0" borderId="16" xfId="0" applyNumberFormat="1" applyBorder="1"/>
    <xf numFmtId="0" fontId="0" fillId="0" borderId="17" xfId="0" applyBorder="1"/>
    <xf numFmtId="0" fontId="0" fillId="0" borderId="18" xfId="0" applyBorder="1"/>
    <xf numFmtId="0" fontId="4" fillId="2" borderId="1" xfId="0" applyFont="1" applyFill="1" applyBorder="1" applyAlignment="1">
      <alignment horizontal="center" wrapText="1"/>
    </xf>
    <xf numFmtId="0" fontId="2" fillId="3" borderId="1" xfId="0" applyFont="1" applyFill="1" applyBorder="1"/>
    <xf numFmtId="166" fontId="2" fillId="3" borderId="1" xfId="2" applyFont="1" applyFill="1" applyBorder="1"/>
    <xf numFmtId="168" fontId="2" fillId="8" borderId="1" xfId="0" applyNumberFormat="1" applyFont="1" applyFill="1" applyBorder="1"/>
    <xf numFmtId="0" fontId="2" fillId="8" borderId="1" xfId="0" applyFont="1" applyFill="1" applyBorder="1"/>
    <xf numFmtId="43" fontId="2" fillId="4" borderId="8" xfId="0" applyNumberFormat="1" applyFont="1" applyFill="1" applyBorder="1"/>
    <xf numFmtId="0" fontId="3" fillId="0" borderId="5" xfId="0" applyFont="1" applyBorder="1"/>
    <xf numFmtId="43" fontId="2" fillId="5" borderId="0" xfId="0" applyNumberFormat="1" applyFont="1" applyFill="1"/>
    <xf numFmtId="43" fontId="2" fillId="7" borderId="0" xfId="0" applyNumberFormat="1" applyFont="1" applyFill="1"/>
    <xf numFmtId="43" fontId="2" fillId="6" borderId="3" xfId="0" applyNumberFormat="1" applyFont="1" applyFill="1" applyBorder="1"/>
    <xf numFmtId="0" fontId="0" fillId="3" borderId="15" xfId="0" applyFill="1" applyBorder="1" applyAlignment="1">
      <alignment horizontal="left"/>
    </xf>
    <xf numFmtId="165" fontId="0" fillId="3" borderId="0" xfId="1" applyFont="1" applyFill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9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65" fontId="0" fillId="3" borderId="16" xfId="0" applyNumberFormat="1" applyFill="1" applyBorder="1" applyAlignment="1">
      <alignment horizontal="center"/>
    </xf>
    <xf numFmtId="0" fontId="2" fillId="0" borderId="0" xfId="0" applyFont="1"/>
    <xf numFmtId="164" fontId="0" fillId="0" borderId="8" xfId="0" applyNumberFormat="1" applyBorder="1" applyAlignment="1">
      <alignment vertical="center"/>
    </xf>
    <xf numFmtId="169" fontId="0" fillId="0" borderId="0" xfId="0" applyNumberFormat="1" applyAlignment="1">
      <alignment vertical="center"/>
    </xf>
    <xf numFmtId="169" fontId="2" fillId="3" borderId="0" xfId="0" applyNumberFormat="1" applyFont="1" applyFill="1"/>
    <xf numFmtId="0" fontId="0" fillId="0" borderId="22" xfId="0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8" xfId="2" applyFont="1" applyBorder="1"/>
    <xf numFmtId="0" fontId="6" fillId="0" borderId="1" xfId="0" applyFont="1" applyBorder="1"/>
    <xf numFmtId="9" fontId="0" fillId="0" borderId="1" xfId="3" applyFont="1" applyFill="1" applyBorder="1"/>
    <xf numFmtId="0" fontId="7" fillId="0" borderId="1" xfId="0" applyFont="1" applyBorder="1"/>
    <xf numFmtId="166" fontId="0" fillId="0" borderId="1" xfId="2" applyFont="1" applyFill="1" applyBorder="1"/>
    <xf numFmtId="166" fontId="0" fillId="0" borderId="23" xfId="2" applyFont="1" applyBorder="1"/>
    <xf numFmtId="0" fontId="4" fillId="2" borderId="10" xfId="0" applyFont="1" applyFill="1" applyBorder="1" applyAlignment="1">
      <alignment horizontal="center" wrapText="1"/>
    </xf>
    <xf numFmtId="0" fontId="4" fillId="2" borderId="11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5" fillId="2" borderId="13" xfId="0" applyFont="1" applyFill="1" applyBorder="1" applyAlignment="1">
      <alignment horizontal="center" wrapText="1"/>
    </xf>
    <xf numFmtId="0" fontId="5" fillId="2" borderId="14" xfId="0" applyFont="1" applyFill="1" applyBorder="1" applyAlignment="1">
      <alignment horizontal="center" wrapText="1"/>
    </xf>
    <xf numFmtId="0" fontId="5" fillId="2" borderId="15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Porcentaj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9525</xdr:rowOff>
    </xdr:from>
    <xdr:to>
      <xdr:col>1</xdr:col>
      <xdr:colOff>2571430</xdr:colOff>
      <xdr:row>5</xdr:row>
      <xdr:rowOff>161811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200025"/>
          <a:ext cx="2561905" cy="9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3:H92"/>
  <sheetViews>
    <sheetView showGridLines="0" tabSelected="1" topLeftCell="A3" zoomScale="85" zoomScaleNormal="85" zoomScaleSheetLayoutView="85" workbookViewId="0">
      <selection activeCell="E5" sqref="E5"/>
    </sheetView>
  </sheetViews>
  <sheetFormatPr defaultColWidth="11.42578125" defaultRowHeight="15"/>
  <cols>
    <col min="2" max="2" width="45" customWidth="1"/>
    <col min="3" max="3" width="10.7109375" bestFit="1" customWidth="1"/>
    <col min="4" max="4" width="16.7109375" bestFit="1" customWidth="1"/>
    <col min="5" max="5" width="16" bestFit="1" customWidth="1"/>
    <col min="6" max="6" width="14.28515625" bestFit="1" customWidth="1"/>
    <col min="7" max="7" width="31.28515625" bestFit="1" customWidth="1"/>
    <col min="8" max="8" width="15" bestFit="1" customWidth="1"/>
    <col min="9" max="9" width="37.42578125" bestFit="1" customWidth="1"/>
    <col min="10" max="10" width="11.28515625" bestFit="1" customWidth="1"/>
    <col min="11" max="11" width="15.5703125" bestFit="1" customWidth="1"/>
    <col min="12" max="12" width="15.140625" bestFit="1" customWidth="1"/>
  </cols>
  <sheetData>
    <row r="3" spans="2:8" ht="15" customHeight="1">
      <c r="B3" s="87" t="s">
        <v>0</v>
      </c>
      <c r="C3" s="87"/>
      <c r="D3" s="87"/>
      <c r="E3" s="87"/>
      <c r="F3" s="87"/>
    </row>
    <row r="4" spans="2:8">
      <c r="B4" s="44" t="s">
        <v>1</v>
      </c>
      <c r="C4" s="44" t="s">
        <v>2</v>
      </c>
      <c r="D4" s="44" t="s">
        <v>3</v>
      </c>
      <c r="E4" s="44" t="s">
        <v>4</v>
      </c>
      <c r="F4" s="44" t="s">
        <v>5</v>
      </c>
    </row>
    <row r="5" spans="2:8">
      <c r="B5" s="3" t="s">
        <v>6</v>
      </c>
      <c r="C5" s="2">
        <v>1</v>
      </c>
      <c r="D5" s="4">
        <v>1000000</v>
      </c>
      <c r="E5" s="4">
        <f t="shared" ref="E5:E7" si="0">+D5*C5</f>
        <v>1000000</v>
      </c>
      <c r="F5" s="4">
        <f>((+E5/10)/12)</f>
        <v>8333.3333333333339</v>
      </c>
      <c r="G5" s="1"/>
    </row>
    <row r="6" spans="2:8">
      <c r="B6" s="3" t="s">
        <v>7</v>
      </c>
      <c r="C6" s="2">
        <v>2</v>
      </c>
      <c r="D6" s="4">
        <v>2500000</v>
      </c>
      <c r="E6" s="4">
        <f t="shared" si="0"/>
        <v>5000000</v>
      </c>
      <c r="F6" s="4">
        <f>((+E6/10)/12)</f>
        <v>41666.666666666664</v>
      </c>
    </row>
    <row r="7" spans="2:8">
      <c r="B7" s="3" t="s">
        <v>8</v>
      </c>
      <c r="C7" s="2">
        <v>15</v>
      </c>
      <c r="D7" s="4">
        <v>100000</v>
      </c>
      <c r="E7" s="4">
        <f t="shared" si="0"/>
        <v>1500000</v>
      </c>
      <c r="F7" s="4">
        <f>((+E7/5)/12)</f>
        <v>25000</v>
      </c>
    </row>
    <row r="8" spans="2:8">
      <c r="B8" s="5" t="s">
        <v>9</v>
      </c>
      <c r="C8" s="6">
        <f>SUM(C5:C7)</f>
        <v>18</v>
      </c>
      <c r="D8" s="7">
        <f>SUM(D5:D7)</f>
        <v>3600000</v>
      </c>
      <c r="E8" s="7">
        <f>SUM(E5:E7)</f>
        <v>7500000</v>
      </c>
      <c r="F8" s="10">
        <f>SUM(F5:F7)</f>
        <v>75000</v>
      </c>
    </row>
    <row r="9" spans="2:8">
      <c r="D9" s="1"/>
      <c r="E9" s="1"/>
    </row>
    <row r="10" spans="2:8">
      <c r="D10" s="1"/>
      <c r="E10" s="1"/>
    </row>
    <row r="11" spans="2:8">
      <c r="B11" s="87" t="s">
        <v>10</v>
      </c>
      <c r="C11" s="87"/>
      <c r="D11" s="87"/>
      <c r="E11" s="87"/>
    </row>
    <row r="12" spans="2:8">
      <c r="B12" s="53" t="s">
        <v>1</v>
      </c>
      <c r="C12" s="53" t="s">
        <v>2</v>
      </c>
      <c r="D12" s="53" t="s">
        <v>11</v>
      </c>
      <c r="E12" s="53" t="s">
        <v>12</v>
      </c>
    </row>
    <row r="13" spans="2:8">
      <c r="B13" s="3" t="s">
        <v>13</v>
      </c>
      <c r="C13" s="2">
        <v>2</v>
      </c>
      <c r="D13" s="4">
        <f>737717*C13</f>
        <v>1475434</v>
      </c>
      <c r="E13" s="4">
        <f>+D13*12</f>
        <v>17705208</v>
      </c>
    </row>
    <row r="14" spans="2:8">
      <c r="B14" s="3" t="s">
        <v>14</v>
      </c>
      <c r="C14" s="2">
        <v>2</v>
      </c>
      <c r="D14" s="4">
        <f>83140*C14</f>
        <v>166280</v>
      </c>
      <c r="E14" s="4">
        <f>+D14*12</f>
        <v>1995360</v>
      </c>
    </row>
    <row r="15" spans="2:8">
      <c r="B15" s="3" t="s">
        <v>15</v>
      </c>
      <c r="C15" s="2">
        <v>2</v>
      </c>
      <c r="D15" s="11">
        <f>((D13+D14)*C57)+(D13*C58)</f>
        <v>351452.29019999993</v>
      </c>
      <c r="E15" s="4">
        <f>+D15*12</f>
        <v>4217427.4823999992</v>
      </c>
    </row>
    <row r="16" spans="2:8">
      <c r="B16" s="3" t="s">
        <v>16</v>
      </c>
      <c r="C16" s="2">
        <v>2</v>
      </c>
      <c r="D16" s="4">
        <f>+D13*C64</f>
        <v>251472.97096000001</v>
      </c>
      <c r="E16" s="4">
        <f>+D16*12</f>
        <v>3017675.6515199998</v>
      </c>
      <c r="H16" s="8"/>
    </row>
    <row r="17" spans="2:7">
      <c r="B17" s="5" t="s">
        <v>17</v>
      </c>
      <c r="C17" s="9">
        <f>SUM(C13:C16)</f>
        <v>8</v>
      </c>
      <c r="D17" s="7">
        <f>SUM(D13:D16)</f>
        <v>2244639.2611599998</v>
      </c>
      <c r="E17" s="7">
        <f>SUM(E13:E16)</f>
        <v>26935671.133919999</v>
      </c>
    </row>
    <row r="18" spans="2:7">
      <c r="G18" s="35"/>
    </row>
    <row r="19" spans="2:7">
      <c r="B19" s="87" t="s">
        <v>18</v>
      </c>
      <c r="C19" s="87"/>
      <c r="D19" s="87"/>
      <c r="E19" s="87"/>
    </row>
    <row r="20" spans="2:7">
      <c r="B20" s="53" t="s">
        <v>1</v>
      </c>
      <c r="C20" s="53" t="s">
        <v>2</v>
      </c>
      <c r="D20" s="53" t="s">
        <v>11</v>
      </c>
      <c r="E20" s="53" t="s">
        <v>12</v>
      </c>
      <c r="G20" s="35"/>
    </row>
    <row r="21" spans="2:7">
      <c r="B21" s="3" t="s">
        <v>19</v>
      </c>
      <c r="C21" s="9">
        <v>1</v>
      </c>
      <c r="D21" s="4">
        <f>+H52</f>
        <v>210000</v>
      </c>
      <c r="E21" s="4">
        <f>+D21*12</f>
        <v>2520000</v>
      </c>
    </row>
    <row r="22" spans="2:7">
      <c r="B22" s="3" t="s">
        <v>20</v>
      </c>
      <c r="C22" s="9">
        <v>1</v>
      </c>
      <c r="D22" s="4">
        <f>+H57</f>
        <v>15000</v>
      </c>
      <c r="E22" s="4">
        <f>+D22*12</f>
        <v>180000</v>
      </c>
    </row>
    <row r="23" spans="2:7">
      <c r="B23" s="3" t="s">
        <v>21</v>
      </c>
      <c r="C23" s="9">
        <v>1</v>
      </c>
      <c r="D23" s="4">
        <f>+H61</f>
        <v>21000</v>
      </c>
      <c r="E23" s="4">
        <f>+D23*12</f>
        <v>252000</v>
      </c>
    </row>
    <row r="24" spans="2:7">
      <c r="B24" s="3" t="s">
        <v>22</v>
      </c>
      <c r="C24" s="9">
        <v>1</v>
      </c>
      <c r="D24" s="4">
        <v>180000</v>
      </c>
      <c r="E24" s="4">
        <f>+D24*12</f>
        <v>2160000</v>
      </c>
    </row>
    <row r="25" spans="2:7">
      <c r="B25" s="5" t="s">
        <v>17</v>
      </c>
      <c r="C25" s="9">
        <f>SUM(C21:C24)</f>
        <v>4</v>
      </c>
      <c r="D25" s="7">
        <f>SUM(D21:D24)</f>
        <v>426000</v>
      </c>
      <c r="E25" s="7">
        <f>SUM(E21:E24)</f>
        <v>5112000</v>
      </c>
    </row>
    <row r="27" spans="2:7" ht="16.5" customHeight="1">
      <c r="B27" s="87" t="s">
        <v>23</v>
      </c>
      <c r="C27" s="87"/>
      <c r="D27" s="87"/>
      <c r="E27" s="87"/>
    </row>
    <row r="28" spans="2:7" ht="16.5" customHeight="1">
      <c r="B28" s="53" t="s">
        <v>1</v>
      </c>
      <c r="C28" s="53" t="s">
        <v>2</v>
      </c>
      <c r="D28" s="53" t="s">
        <v>11</v>
      </c>
      <c r="E28" s="53" t="s">
        <v>12</v>
      </c>
    </row>
    <row r="29" spans="2:7" ht="16.5" customHeight="1">
      <c r="B29" s="3" t="s">
        <v>24</v>
      </c>
      <c r="C29" s="9">
        <v>2</v>
      </c>
      <c r="D29" s="4">
        <f>1000000*C29</f>
        <v>2000000</v>
      </c>
      <c r="E29" s="4">
        <f t="shared" ref="E29:E37" si="1">+D29*12</f>
        <v>24000000</v>
      </c>
    </row>
    <row r="30" spans="2:7" ht="16.5" customHeight="1">
      <c r="B30" s="3" t="s">
        <v>14</v>
      </c>
      <c r="C30" s="2">
        <v>2</v>
      </c>
      <c r="D30" s="4">
        <f>83140*C30</f>
        <v>166280</v>
      </c>
      <c r="E30" s="4">
        <f t="shared" si="1"/>
        <v>1995360</v>
      </c>
    </row>
    <row r="31" spans="2:7" ht="16.5" customHeight="1">
      <c r="B31" s="3" t="s">
        <v>15</v>
      </c>
      <c r="C31" s="9">
        <v>1</v>
      </c>
      <c r="D31" s="4">
        <f>(+D29+D30)*C57+D29*C58</f>
        <v>465965.04799999995</v>
      </c>
      <c r="E31" s="4">
        <f t="shared" si="1"/>
        <v>5591580.5759999994</v>
      </c>
      <c r="F31" s="8"/>
    </row>
    <row r="32" spans="2:7" ht="16.5" customHeight="1">
      <c r="B32" s="3" t="s">
        <v>16</v>
      </c>
      <c r="C32" s="9">
        <v>1</v>
      </c>
      <c r="D32" s="4">
        <f>+D29*C64</f>
        <v>340880</v>
      </c>
      <c r="E32" s="4">
        <f t="shared" si="1"/>
        <v>4090560</v>
      </c>
    </row>
    <row r="33" spans="2:6">
      <c r="B33" s="3" t="s">
        <v>19</v>
      </c>
      <c r="C33" s="9">
        <v>1</v>
      </c>
      <c r="D33" s="4">
        <f>+H53</f>
        <v>489999.99999999994</v>
      </c>
      <c r="E33" s="4">
        <f t="shared" si="1"/>
        <v>5879999.9999999991</v>
      </c>
    </row>
    <row r="34" spans="2:6">
      <c r="B34" s="3" t="s">
        <v>20</v>
      </c>
      <c r="C34" s="9">
        <v>1</v>
      </c>
      <c r="D34" s="4">
        <f>+H58</f>
        <v>35000</v>
      </c>
      <c r="E34" s="4">
        <f t="shared" si="1"/>
        <v>420000</v>
      </c>
    </row>
    <row r="35" spans="2:6">
      <c r="B35" s="3" t="s">
        <v>21</v>
      </c>
      <c r="C35" s="9">
        <v>1</v>
      </c>
      <c r="D35" s="4">
        <f>+H62</f>
        <v>49000</v>
      </c>
      <c r="E35" s="4">
        <f t="shared" si="1"/>
        <v>588000</v>
      </c>
    </row>
    <row r="36" spans="2:6">
      <c r="B36" s="3" t="s">
        <v>25</v>
      </c>
      <c r="C36" s="9">
        <v>1</v>
      </c>
      <c r="D36" s="4">
        <v>10000</v>
      </c>
      <c r="E36" s="4">
        <f t="shared" si="1"/>
        <v>120000</v>
      </c>
    </row>
    <row r="37" spans="2:6">
      <c r="B37" s="3" t="s">
        <v>26</v>
      </c>
      <c r="C37" s="9">
        <v>1</v>
      </c>
      <c r="D37" s="4">
        <v>10000</v>
      </c>
      <c r="E37" s="4">
        <f t="shared" si="1"/>
        <v>120000</v>
      </c>
    </row>
    <row r="38" spans="2:6">
      <c r="B38" s="3" t="s">
        <v>27</v>
      </c>
      <c r="C38" s="9">
        <v>1</v>
      </c>
      <c r="D38" s="3"/>
      <c r="E38" s="4">
        <v>1300000</v>
      </c>
    </row>
    <row r="39" spans="2:6">
      <c r="B39" s="3" t="s">
        <v>28</v>
      </c>
      <c r="C39" s="9">
        <v>1</v>
      </c>
      <c r="D39" s="4">
        <v>10000</v>
      </c>
      <c r="E39" s="4">
        <f>+D39*12</f>
        <v>120000</v>
      </c>
    </row>
    <row r="40" spans="2:6">
      <c r="B40" s="3" t="s">
        <v>17</v>
      </c>
      <c r="C40" s="6">
        <f>SUM(C29:C39)</f>
        <v>13</v>
      </c>
      <c r="D40" s="10">
        <f>SUM(D29:D39)</f>
        <v>3577125.048</v>
      </c>
      <c r="E40" s="10">
        <f>SUM(E29:E39)</f>
        <v>44225500.575999998</v>
      </c>
    </row>
    <row r="43" spans="2:6">
      <c r="B43" s="87" t="s">
        <v>29</v>
      </c>
      <c r="C43" s="87"/>
      <c r="D43" s="87"/>
      <c r="E43" s="87"/>
    </row>
    <row r="44" spans="2:6">
      <c r="B44" s="53" t="s">
        <v>1</v>
      </c>
      <c r="C44" s="53" t="s">
        <v>2</v>
      </c>
      <c r="D44" s="53" t="s">
        <v>11</v>
      </c>
      <c r="E44" s="53" t="s">
        <v>12</v>
      </c>
    </row>
    <row r="45" spans="2:6">
      <c r="B45" s="3" t="s">
        <v>30</v>
      </c>
      <c r="C45" s="2">
        <v>1</v>
      </c>
      <c r="D45" s="4">
        <f>737717*C45</f>
        <v>737717</v>
      </c>
      <c r="E45" s="4">
        <f>+D45*12</f>
        <v>8852604</v>
      </c>
    </row>
    <row r="46" spans="2:6">
      <c r="B46" s="3" t="s">
        <v>14</v>
      </c>
      <c r="C46" s="2">
        <v>1</v>
      </c>
      <c r="D46" s="4">
        <f>83140*C46</f>
        <v>83140</v>
      </c>
      <c r="E46" s="4">
        <f>+D46*12</f>
        <v>997680</v>
      </c>
    </row>
    <row r="47" spans="2:6">
      <c r="B47" s="3" t="s">
        <v>15</v>
      </c>
      <c r="C47" s="2">
        <v>1</v>
      </c>
      <c r="D47" s="11">
        <f>((D45+D46)*C57)+(D45*C58)</f>
        <v>175726.14509999997</v>
      </c>
      <c r="E47" s="4">
        <f>+D47*12</f>
        <v>2108713.7411999996</v>
      </c>
      <c r="F47" s="8"/>
    </row>
    <row r="48" spans="2:6">
      <c r="B48" s="3" t="s">
        <v>16</v>
      </c>
      <c r="C48" s="2">
        <v>1</v>
      </c>
      <c r="D48" s="4">
        <f>+D45*C64</f>
        <v>125736.48548</v>
      </c>
      <c r="E48" s="4">
        <f>+D48*12</f>
        <v>1508837.8257599999</v>
      </c>
    </row>
    <row r="49" spans="2:8">
      <c r="B49" s="3" t="s">
        <v>17</v>
      </c>
      <c r="C49" s="6">
        <f>SUM(C45:C48)</f>
        <v>4</v>
      </c>
      <c r="D49" s="12">
        <f t="shared" ref="D49:E49" si="2">SUM(D45:D48)</f>
        <v>1122319.6305799999</v>
      </c>
      <c r="E49" s="12">
        <f t="shared" si="2"/>
        <v>13467835.56696</v>
      </c>
    </row>
    <row r="51" spans="2:8">
      <c r="D51" s="8">
        <f>+D40+D49</f>
        <v>4699444.6785800001</v>
      </c>
      <c r="E51" s="8">
        <f>+E40+E49</f>
        <v>57693336.142959997</v>
      </c>
      <c r="G51" t="s">
        <v>19</v>
      </c>
      <c r="H51" s="1">
        <v>700000</v>
      </c>
    </row>
    <row r="52" spans="2:8">
      <c r="G52" t="s">
        <v>18</v>
      </c>
      <c r="H52" s="1">
        <f>+H51*30%</f>
        <v>210000</v>
      </c>
    </row>
    <row r="53" spans="2:8">
      <c r="B53" s="88" t="s">
        <v>15</v>
      </c>
      <c r="C53" s="89"/>
      <c r="G53" t="s">
        <v>31</v>
      </c>
      <c r="H53" s="1">
        <f>+H51*70%</f>
        <v>489999.99999999994</v>
      </c>
    </row>
    <row r="54" spans="2:8">
      <c r="B54" s="46" t="s">
        <v>32</v>
      </c>
      <c r="C54" s="47">
        <v>8.3299999999999999E-2</v>
      </c>
    </row>
    <row r="55" spans="2:8">
      <c r="B55" s="46" t="s">
        <v>33</v>
      </c>
      <c r="C55" s="48">
        <v>0.01</v>
      </c>
    </row>
    <row r="56" spans="2:8">
      <c r="B56" s="46" t="s">
        <v>34</v>
      </c>
      <c r="C56" s="47">
        <v>8.3299999999999999E-2</v>
      </c>
      <c r="G56" t="s">
        <v>20</v>
      </c>
      <c r="H56" s="1">
        <v>50000</v>
      </c>
    </row>
    <row r="57" spans="2:8">
      <c r="B57" s="46"/>
      <c r="C57" s="47">
        <f>SUM(C54:C56)</f>
        <v>0.17659999999999998</v>
      </c>
      <c r="G57" t="s">
        <v>18</v>
      </c>
      <c r="H57" s="1">
        <f>+H56*30%</f>
        <v>15000</v>
      </c>
    </row>
    <row r="58" spans="2:8">
      <c r="B58" s="46" t="s">
        <v>35</v>
      </c>
      <c r="C58" s="47">
        <v>4.1700000000000001E-2</v>
      </c>
      <c r="G58" t="s">
        <v>31</v>
      </c>
      <c r="H58" s="1">
        <f>+H56*70%</f>
        <v>35000</v>
      </c>
    </row>
    <row r="59" spans="2:8">
      <c r="B59" s="46"/>
      <c r="C59" s="49"/>
    </row>
    <row r="60" spans="2:8">
      <c r="B60" s="90" t="s">
        <v>16</v>
      </c>
      <c r="C60" s="91"/>
      <c r="G60" t="s">
        <v>21</v>
      </c>
      <c r="H60" s="1">
        <v>70000</v>
      </c>
    </row>
    <row r="61" spans="2:8">
      <c r="B61" s="46" t="s">
        <v>36</v>
      </c>
      <c r="C61" s="48">
        <v>0.12</v>
      </c>
      <c r="G61" t="s">
        <v>18</v>
      </c>
      <c r="H61" s="1">
        <f>+H60*30%</f>
        <v>21000</v>
      </c>
    </row>
    <row r="62" spans="2:8">
      <c r="B62" s="46" t="s">
        <v>37</v>
      </c>
      <c r="C62" s="50">
        <v>1.044E-2</v>
      </c>
      <c r="G62" t="s">
        <v>31</v>
      </c>
      <c r="H62" s="1">
        <f>+H60*70%</f>
        <v>49000</v>
      </c>
    </row>
    <row r="63" spans="2:8">
      <c r="B63" s="46" t="s">
        <v>38</v>
      </c>
      <c r="C63" s="48">
        <v>0.04</v>
      </c>
    </row>
    <row r="64" spans="2:8">
      <c r="B64" s="46"/>
      <c r="C64" s="48">
        <f>SUM(C61:C63)</f>
        <v>0.17044000000000001</v>
      </c>
      <c r="G64" t="s">
        <v>39</v>
      </c>
      <c r="H64" s="35">
        <v>17000</v>
      </c>
    </row>
    <row r="65" spans="2:8">
      <c r="B65" s="51"/>
      <c r="C65" s="52"/>
      <c r="G65" t="s">
        <v>40</v>
      </c>
      <c r="H65" s="35">
        <v>30000</v>
      </c>
    </row>
    <row r="66" spans="2:8">
      <c r="G66" t="s">
        <v>41</v>
      </c>
      <c r="H66" s="35">
        <v>2000</v>
      </c>
    </row>
    <row r="68" spans="2:8">
      <c r="B68" s="54" t="s">
        <v>42</v>
      </c>
      <c r="C68" s="55">
        <v>2288</v>
      </c>
      <c r="D68" s="56">
        <f>+C68/30</f>
        <v>76.266666666666666</v>
      </c>
      <c r="E68" s="57" t="s">
        <v>43</v>
      </c>
    </row>
    <row r="69" spans="2:8" ht="15.75" thickBot="1"/>
    <row r="70" spans="2:8" ht="15.75" thickBot="1">
      <c r="B70" s="84" t="s">
        <v>44</v>
      </c>
      <c r="C70" s="85"/>
      <c r="D70" s="85"/>
      <c r="E70" s="86"/>
    </row>
    <row r="71" spans="2:8">
      <c r="B71" s="13" t="s">
        <v>45</v>
      </c>
      <c r="C71" t="s">
        <v>46</v>
      </c>
      <c r="D71" s="14">
        <f>136*C$68</f>
        <v>311168</v>
      </c>
      <c r="E71" s="16"/>
    </row>
    <row r="72" spans="2:8">
      <c r="B72" s="13" t="s">
        <v>47</v>
      </c>
      <c r="C72" t="s">
        <v>48</v>
      </c>
      <c r="D72" s="14">
        <f t="shared" ref="D72:D73" si="3">136*C$68</f>
        <v>311168</v>
      </c>
      <c r="E72" s="15"/>
    </row>
    <row r="73" spans="2:8" ht="15.75" thickBot="1">
      <c r="B73" s="13" t="s">
        <v>49</v>
      </c>
      <c r="C73" t="s">
        <v>48</v>
      </c>
      <c r="D73" s="14">
        <f t="shared" si="3"/>
        <v>311168</v>
      </c>
      <c r="E73" s="15"/>
    </row>
    <row r="74" spans="2:8">
      <c r="B74" s="27" t="s">
        <v>50</v>
      </c>
      <c r="C74" s="21"/>
      <c r="D74" s="26">
        <f>SUM(D71:D73)</f>
        <v>933504</v>
      </c>
      <c r="E74" s="23"/>
    </row>
    <row r="75" spans="2:8" ht="15.75" thickBot="1">
      <c r="B75" s="17"/>
      <c r="C75" s="18"/>
      <c r="D75" s="18"/>
      <c r="E75" s="19"/>
    </row>
    <row r="76" spans="2:8">
      <c r="B76" s="20" t="s">
        <v>51</v>
      </c>
      <c r="C76" s="21"/>
      <c r="D76" s="22">
        <f>D17</f>
        <v>2244639.2611599998</v>
      </c>
      <c r="E76" s="23"/>
    </row>
    <row r="77" spans="2:8">
      <c r="B77" s="13" t="s">
        <v>52</v>
      </c>
      <c r="D77" s="24">
        <f>D25</f>
        <v>426000</v>
      </c>
      <c r="E77" s="15"/>
    </row>
    <row r="78" spans="2:8">
      <c r="B78" s="13" t="s">
        <v>53</v>
      </c>
      <c r="D78" s="24">
        <f>F8</f>
        <v>75000</v>
      </c>
      <c r="E78" s="15"/>
    </row>
    <row r="79" spans="2:8">
      <c r="B79" s="13"/>
      <c r="E79" s="15"/>
    </row>
    <row r="80" spans="2:8" ht="15.75" thickBot="1">
      <c r="B80" s="28" t="s">
        <v>54</v>
      </c>
      <c r="C80" s="18"/>
      <c r="D80" s="58">
        <f>SUM(D74,D76:D78)</f>
        <v>3679143.2611599998</v>
      </c>
      <c r="E80" s="19"/>
    </row>
    <row r="81" spans="2:5">
      <c r="B81" s="59" t="s">
        <v>55</v>
      </c>
      <c r="D81" s="60">
        <f>+D80/C68</f>
        <v>1608.017159597902</v>
      </c>
      <c r="E81" s="15"/>
    </row>
    <row r="82" spans="2:5" ht="15.75" thickBot="1">
      <c r="B82" s="13"/>
      <c r="E82" s="15"/>
    </row>
    <row r="83" spans="2:5">
      <c r="B83" s="27" t="s">
        <v>55</v>
      </c>
      <c r="C83" s="21"/>
      <c r="D83" s="62">
        <f>+D80/C68</f>
        <v>1608.017159597902</v>
      </c>
      <c r="E83" s="23"/>
    </row>
    <row r="84" spans="2:5" ht="15.75" thickBot="1">
      <c r="B84" s="17"/>
      <c r="C84" s="18"/>
      <c r="D84" s="18"/>
      <c r="E84" s="19"/>
    </row>
    <row r="85" spans="2:5">
      <c r="B85" s="13" t="s">
        <v>56</v>
      </c>
      <c r="D85" s="61">
        <f>D86*E85/E86</f>
        <v>2400.0256113401524</v>
      </c>
      <c r="E85" s="29">
        <v>1</v>
      </c>
    </row>
    <row r="86" spans="2:5">
      <c r="B86" s="13" t="s">
        <v>57</v>
      </c>
      <c r="D86" s="24">
        <f>D83</f>
        <v>1608.017159597902</v>
      </c>
      <c r="E86" s="29">
        <f>E85-E87</f>
        <v>0.66999999999999993</v>
      </c>
    </row>
    <row r="87" spans="2:5" ht="15.75" thickBot="1">
      <c r="B87" s="31" t="s">
        <v>58</v>
      </c>
      <c r="C87" s="18"/>
      <c r="D87" s="25">
        <f>D86*E87/E86</f>
        <v>792.00845174225026</v>
      </c>
      <c r="E87" s="30">
        <v>0.33</v>
      </c>
    </row>
    <row r="89" spans="2:5">
      <c r="D89" s="34"/>
      <c r="E89" s="1"/>
    </row>
    <row r="90" spans="2:5">
      <c r="D90" s="34"/>
      <c r="E90" s="1"/>
    </row>
    <row r="92" spans="2:5">
      <c r="D92" s="34"/>
    </row>
  </sheetData>
  <mergeCells count="8">
    <mergeCell ref="B70:E70"/>
    <mergeCell ref="B3:F3"/>
    <mergeCell ref="B27:E27"/>
    <mergeCell ref="B43:E43"/>
    <mergeCell ref="B19:E19"/>
    <mergeCell ref="B11:E11"/>
    <mergeCell ref="B53:C53"/>
    <mergeCell ref="B60:C60"/>
  </mergeCells>
  <pageMargins left="0.7" right="0.7" top="0.75" bottom="0.75" header="0.3" footer="0.3"/>
  <pageSetup scale="53" fitToWidth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8:H12"/>
  <sheetViews>
    <sheetView workbookViewId="0">
      <selection activeCell="E6" sqref="E6"/>
    </sheetView>
  </sheetViews>
  <sheetFormatPr defaultColWidth="9.140625" defaultRowHeight="15"/>
  <cols>
    <col min="2" max="2" width="78.85546875" bestFit="1" customWidth="1"/>
    <col min="3" max="3" width="10.5703125" bestFit="1" customWidth="1"/>
    <col min="6" max="6" width="15.28515625" customWidth="1"/>
  </cols>
  <sheetData>
    <row r="8" spans="2:8">
      <c r="B8" s="79" t="s">
        <v>59</v>
      </c>
      <c r="C8" s="80">
        <v>0.95</v>
      </c>
      <c r="D8" s="70"/>
    </row>
    <row r="9" spans="2:8" ht="15.75" thickBot="1">
      <c r="B9" s="79" t="s">
        <v>60</v>
      </c>
      <c r="C9" s="80">
        <v>7.0000000000000007E-2</v>
      </c>
      <c r="F9" s="71">
        <f>+(C8^2)*C11*C12*C10</f>
        <v>2256.25</v>
      </c>
      <c r="H9" s="73">
        <f>+F9/F10</f>
        <v>45.839430443172049</v>
      </c>
    </row>
    <row r="10" spans="2:8">
      <c r="B10" s="81" t="s">
        <v>61</v>
      </c>
      <c r="C10" s="82">
        <v>10000</v>
      </c>
      <c r="F10" s="72">
        <f>+(C9^2)*(C10-1)+(C8^2)*C11*C12</f>
        <v>49.220725000000009</v>
      </c>
    </row>
    <row r="11" spans="2:8">
      <c r="B11" s="81" t="s">
        <v>62</v>
      </c>
      <c r="C11" s="80">
        <v>0.5</v>
      </c>
    </row>
    <row r="12" spans="2:8">
      <c r="B12" s="81" t="s">
        <v>63</v>
      </c>
      <c r="C12" s="80">
        <v>0.5</v>
      </c>
    </row>
  </sheetData>
  <pageMargins left="0.7" right="0.7" top="0.75" bottom="0.75" header="0.3" footer="0.3"/>
  <pageSetup scale="6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21"/>
  <sheetViews>
    <sheetView showGridLines="0" zoomScale="90" zoomScaleNormal="90" workbookViewId="0">
      <selection activeCell="A3" sqref="A3"/>
    </sheetView>
  </sheetViews>
  <sheetFormatPr defaultColWidth="11.42578125" defaultRowHeight="15"/>
  <cols>
    <col min="1" max="1" width="30.85546875" bestFit="1" customWidth="1"/>
    <col min="2" max="2" width="11.140625" bestFit="1" customWidth="1"/>
    <col min="3" max="3" width="14.85546875" bestFit="1" customWidth="1"/>
    <col min="4" max="4" width="11.140625" bestFit="1" customWidth="1"/>
    <col min="5" max="5" width="11.28515625" bestFit="1" customWidth="1"/>
    <col min="6" max="6" width="14.5703125" bestFit="1" customWidth="1"/>
    <col min="7" max="7" width="19" bestFit="1" customWidth="1"/>
    <col min="8" max="9" width="16" bestFit="1" customWidth="1"/>
    <col min="10" max="10" width="14.85546875" bestFit="1" customWidth="1"/>
    <col min="12" max="12" width="12.140625" bestFit="1" customWidth="1"/>
  </cols>
  <sheetData>
    <row r="2" spans="1:10">
      <c r="A2" s="44" t="s">
        <v>64</v>
      </c>
      <c r="B2" s="44" t="s">
        <v>65</v>
      </c>
      <c r="C2" s="44" t="s">
        <v>66</v>
      </c>
      <c r="D2" s="44" t="s">
        <v>67</v>
      </c>
      <c r="E2" s="44" t="s">
        <v>68</v>
      </c>
      <c r="F2" s="44" t="s">
        <v>69</v>
      </c>
      <c r="G2" s="44" t="s">
        <v>70</v>
      </c>
      <c r="H2" s="44" t="s">
        <v>71</v>
      </c>
      <c r="I2" s="44" t="s">
        <v>72</v>
      </c>
      <c r="J2" s="45" t="s">
        <v>73</v>
      </c>
    </row>
    <row r="3" spans="1:10">
      <c r="A3" s="63" t="s">
        <v>74</v>
      </c>
      <c r="B3" s="64">
        <f>+PARAMETROS!$D$85</f>
        <v>2400.0256113401524</v>
      </c>
      <c r="C3" s="64">
        <f>+PARAMETROS!$D$86</f>
        <v>1608.017159597902</v>
      </c>
      <c r="D3" s="65">
        <f>+B3-C3</f>
        <v>792.00845174225037</v>
      </c>
      <c r="E3" s="66">
        <f>+D3/$D$4</f>
        <v>1</v>
      </c>
      <c r="F3" s="67">
        <f t="shared" ref="F3" si="0">+D3*E3</f>
        <v>792.00845174225037</v>
      </c>
      <c r="G3" s="68">
        <f>+$E$8*E3</f>
        <v>5933.5789513889904</v>
      </c>
      <c r="H3" s="64">
        <f t="shared" ref="H3" si="1">+B3*G3</f>
        <v>14240741.450242423</v>
      </c>
      <c r="I3" s="64">
        <f t="shared" ref="I3" si="2">+C3*G3</f>
        <v>9541296.7716624215</v>
      </c>
      <c r="J3" s="69">
        <f t="shared" ref="J3" si="3">+H3-I3</f>
        <v>4699444.678580001</v>
      </c>
    </row>
    <row r="4" spans="1:10">
      <c r="A4" s="37"/>
      <c r="B4" s="38"/>
      <c r="C4" s="38"/>
      <c r="D4" s="39">
        <f>SUM(D3:D3)</f>
        <v>792.00845174225037</v>
      </c>
      <c r="E4" s="40">
        <f>SUM(E3:E3)</f>
        <v>1</v>
      </c>
      <c r="F4" s="41">
        <f>SUM(F3:F3)</f>
        <v>792.00845174225037</v>
      </c>
      <c r="G4" s="42">
        <f>SUM(G3:G3)</f>
        <v>5933.5789513889904</v>
      </c>
      <c r="H4" s="38"/>
      <c r="I4" s="38"/>
      <c r="J4" s="43">
        <f>SUM(J3:J3)</f>
        <v>4699444.678580001</v>
      </c>
    </row>
    <row r="8" spans="1:10">
      <c r="C8" s="8">
        <f>+PARAMETROS!$D$51</f>
        <v>4699444.6785800001</v>
      </c>
      <c r="E8" s="36">
        <f>+C8/C9</f>
        <v>5933.5789513889904</v>
      </c>
    </row>
    <row r="9" spans="1:10">
      <c r="C9" s="32">
        <f>+F4</f>
        <v>792.00845174225037</v>
      </c>
    </row>
    <row r="13" spans="1:10">
      <c r="F13" s="33"/>
    </row>
    <row r="14" spans="1:10">
      <c r="A14" s="44" t="s">
        <v>64</v>
      </c>
      <c r="B14" s="44" t="s">
        <v>65</v>
      </c>
      <c r="C14" s="44" t="s">
        <v>66</v>
      </c>
      <c r="D14" s="44" t="s">
        <v>67</v>
      </c>
      <c r="E14" s="44" t="s">
        <v>68</v>
      </c>
      <c r="F14" s="44" t="s">
        <v>69</v>
      </c>
      <c r="G14" s="44" t="s">
        <v>70</v>
      </c>
      <c r="H14" s="44" t="s">
        <v>71</v>
      </c>
      <c r="I14" s="44" t="s">
        <v>72</v>
      </c>
      <c r="J14" s="44" t="s">
        <v>73</v>
      </c>
    </row>
    <row r="15" spans="1:10">
      <c r="A15" s="63" t="s">
        <v>74</v>
      </c>
      <c r="B15" s="64">
        <f>+PARAMETROS!$D$85</f>
        <v>2400.0256113401524</v>
      </c>
      <c r="C15" s="64">
        <f>+PARAMETROS!$D$86</f>
        <v>1608.017159597902</v>
      </c>
      <c r="D15" s="65">
        <f>+B15-C15</f>
        <v>792.00845174225037</v>
      </c>
      <c r="E15" s="66">
        <f>+D15/$D$4</f>
        <v>1</v>
      </c>
      <c r="F15" s="67">
        <f t="shared" ref="F15" si="4">+D15*E15</f>
        <v>792.00845174225037</v>
      </c>
      <c r="G15" s="68">
        <f>+$E$20*E15</f>
        <v>7827.4981345748756</v>
      </c>
      <c r="H15" s="64">
        <f t="shared" ref="H15" si="5">+B15*G15</f>
        <v>18786195.995696969</v>
      </c>
      <c r="I15" s="64">
        <f t="shared" ref="I15" si="6">+C15*G15</f>
        <v>12586751.317116968</v>
      </c>
      <c r="J15" s="69">
        <f t="shared" ref="J15" si="7">+H15-I15</f>
        <v>6199444.678580001</v>
      </c>
    </row>
    <row r="16" spans="1:10">
      <c r="A16" s="37"/>
      <c r="B16" s="38"/>
      <c r="C16" s="38"/>
      <c r="D16" s="39">
        <f t="shared" ref="D16:J16" si="8">SUM(D15:D15)</f>
        <v>792.00845174225037</v>
      </c>
      <c r="E16" s="40">
        <f t="shared" si="8"/>
        <v>1</v>
      </c>
      <c r="F16" s="41">
        <f t="shared" si="8"/>
        <v>792.00845174225037</v>
      </c>
      <c r="G16" s="42">
        <f t="shared" si="8"/>
        <v>7827.4981345748756</v>
      </c>
      <c r="H16" s="39">
        <f t="shared" si="8"/>
        <v>18786195.995696969</v>
      </c>
      <c r="I16" s="39">
        <f t="shared" si="8"/>
        <v>12586751.317116968</v>
      </c>
      <c r="J16" s="43">
        <f t="shared" si="8"/>
        <v>6199444.678580001</v>
      </c>
    </row>
    <row r="20" spans="3:5">
      <c r="C20" s="8">
        <f>+PARAMETROS!$D$51+1500000</f>
        <v>6199444.6785800001</v>
      </c>
      <c r="E20" s="36">
        <f>+C20/C21</f>
        <v>7827.4981345748756</v>
      </c>
    </row>
    <row r="21" spans="3:5">
      <c r="C21" s="32">
        <f>+F16</f>
        <v>792.00845174225037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P21"/>
  <sheetViews>
    <sheetView workbookViewId="0">
      <selection activeCell="G10" sqref="G10"/>
    </sheetView>
  </sheetViews>
  <sheetFormatPr defaultColWidth="9.140625" defaultRowHeight="15"/>
  <sheetData>
    <row r="2" spans="2:16">
      <c r="B2" t="s">
        <v>75</v>
      </c>
      <c r="J2" s="35"/>
      <c r="K2" s="35"/>
      <c r="L2" s="35"/>
    </row>
    <row r="3" spans="2:16" ht="15.75" thickBot="1">
      <c r="H3" s="76">
        <f>+D6-D7</f>
        <v>-10</v>
      </c>
      <c r="J3" s="35"/>
      <c r="K3" s="35"/>
      <c r="L3" s="35"/>
    </row>
    <row r="4" spans="2:16" ht="15.75" thickBot="1">
      <c r="H4" s="76">
        <f>+D7</f>
        <v>100</v>
      </c>
      <c r="J4" s="78">
        <f>+H3/H4</f>
        <v>-0.1</v>
      </c>
      <c r="K4" s="35"/>
      <c r="L4" s="78">
        <f>+J4/J5</f>
        <v>-2.4000000000000004</v>
      </c>
      <c r="N4" s="18">
        <f>31/36</f>
        <v>0.86111111111111116</v>
      </c>
      <c r="P4" s="83">
        <f>+N4/N5</f>
        <v>2.8703703703703702</v>
      </c>
    </row>
    <row r="5" spans="2:16" ht="15.75" thickBot="1">
      <c r="B5" s="3" t="s">
        <v>76</v>
      </c>
      <c r="C5" s="3" t="s">
        <v>77</v>
      </c>
      <c r="D5" s="3" t="s">
        <v>78</v>
      </c>
      <c r="H5" s="77">
        <f>+C6-C7</f>
        <v>100</v>
      </c>
      <c r="J5" s="35">
        <f>+H5/H6</f>
        <v>4.1666666666666664E-2</v>
      </c>
      <c r="K5" s="35"/>
      <c r="L5" s="35"/>
      <c r="N5">
        <f>35.7/119</f>
        <v>0.30000000000000004</v>
      </c>
    </row>
    <row r="6" spans="2:16">
      <c r="B6" s="3" t="s">
        <v>79</v>
      </c>
      <c r="C6" s="3">
        <v>2500</v>
      </c>
      <c r="D6" s="3">
        <v>90</v>
      </c>
      <c r="H6" s="75">
        <f>+C7</f>
        <v>2400</v>
      </c>
      <c r="J6" s="35"/>
      <c r="K6" s="35"/>
      <c r="L6" s="35"/>
    </row>
    <row r="7" spans="2:16">
      <c r="B7" s="3" t="s">
        <v>80</v>
      </c>
      <c r="C7" s="3">
        <v>2400</v>
      </c>
      <c r="D7" s="3">
        <v>100</v>
      </c>
    </row>
    <row r="10" spans="2:16" ht="17.25" customHeight="1">
      <c r="C10" s="46"/>
    </row>
    <row r="11" spans="2:16" ht="17.25" customHeight="1">
      <c r="B11">
        <v>5000</v>
      </c>
      <c r="C11" s="46"/>
    </row>
    <row r="12" spans="2:16" ht="17.25" customHeight="1">
      <c r="C12" s="46"/>
    </row>
    <row r="13" spans="2:16" ht="17.25" customHeight="1">
      <c r="B13">
        <v>4000</v>
      </c>
      <c r="C13" s="46"/>
    </row>
    <row r="14" spans="2:16" ht="17.25" customHeight="1">
      <c r="C14" s="46"/>
    </row>
    <row r="15" spans="2:16" ht="17.25" customHeight="1">
      <c r="B15">
        <v>3000</v>
      </c>
      <c r="C15" s="46"/>
    </row>
    <row r="16" spans="2:16" ht="17.25" customHeight="1">
      <c r="C16" s="46"/>
    </row>
    <row r="17" spans="2:8" ht="17.25" customHeight="1">
      <c r="B17">
        <v>2000</v>
      </c>
      <c r="C17" s="46"/>
    </row>
    <row r="18" spans="2:8" ht="17.25" customHeight="1">
      <c r="C18" s="46"/>
    </row>
    <row r="19" spans="2:8" ht="17.25" customHeight="1">
      <c r="B19">
        <v>1000</v>
      </c>
      <c r="C19" s="46"/>
    </row>
    <row r="20" spans="2:8" ht="17.25" customHeight="1">
      <c r="C20" s="51"/>
      <c r="D20" s="74"/>
      <c r="E20" s="74"/>
      <c r="F20" s="74"/>
      <c r="G20" s="74"/>
      <c r="H20" s="74"/>
    </row>
    <row r="21" spans="2:8">
      <c r="C21">
        <v>50</v>
      </c>
      <c r="D21">
        <v>100</v>
      </c>
      <c r="E21">
        <v>150</v>
      </c>
      <c r="F21">
        <v>200</v>
      </c>
      <c r="G21">
        <v>250</v>
      </c>
    </row>
  </sheetData>
  <pageMargins left="0.7" right="0.7" top="0.75" bottom="0.75" header="0.3" footer="0.3"/>
  <pageSetup scale="6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nancy</dc:creator>
  <cp:keywords/>
  <dc:description/>
  <cp:lastModifiedBy>Estefani Katherine Arias Clavijo</cp:lastModifiedBy>
  <cp:revision/>
  <dcterms:created xsi:type="dcterms:W3CDTF">2016-11-06T23:57:55Z</dcterms:created>
  <dcterms:modified xsi:type="dcterms:W3CDTF">2021-11-04T01:18:53Z</dcterms:modified>
  <cp:category/>
  <cp:contentStatus/>
</cp:coreProperties>
</file>