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628"/>
  <workbookPr/>
  <mc:AlternateContent xmlns:mc="http://schemas.openxmlformats.org/markup-compatibility/2006">
    <mc:Choice Requires="x15">
      <x15ac:absPath xmlns:x15ac="http://schemas.microsoft.com/office/spreadsheetml/2010/11/ac" url="D:\Users\LUCILA\Documents\"/>
    </mc:Choice>
  </mc:AlternateContent>
  <xr:revisionPtr revIDLastSave="54" documentId="11_57E5C374FAC0C4902C09A1C82FE597068A93A069" xr6:coauthVersionLast="47" xr6:coauthVersionMax="47" xr10:uidLastSave="{878B0327-67B1-4128-80A6-DD360E8AD30A}"/>
  <bookViews>
    <workbookView xWindow="0" yWindow="0" windowWidth="20490" windowHeight="7650" firstSheet="3" activeTab="7" xr2:uid="{00000000-000D-0000-FFFF-FFFF00000000}"/>
  </bookViews>
  <sheets>
    <sheet name="Inicio" sheetId="1" r:id="rId1"/>
    <sheet name="Ventas" sheetId="3" r:id="rId2"/>
    <sheet name="Costos" sheetId="4" r:id="rId3"/>
    <sheet name="Descripcion Costos" sheetId="10" r:id="rId4"/>
    <sheet name="Inversión" sheetId="7" r:id="rId5"/>
    <sheet name="Estado Financiero" sheetId="8" r:id="rId6"/>
    <sheet name="Flujo de caja" sheetId="6" r:id="rId7"/>
    <sheet name="Evaluación financiera" sheetId="9" r:id="rId8"/>
    <sheet name="lista" sheetId="2" state="hidden" r:id="rId9"/>
  </sheets>
  <externalReferences>
    <externalReference r:id="rId10"/>
  </externalReferences>
  <definedNames>
    <definedName name="_xlnm.Criteria" localSheetId="0">[1]Inicio!$C$42:$C$45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4" l="1"/>
  <c r="D13" i="4"/>
  <c r="E13" i="4"/>
  <c r="F13" i="4"/>
  <c r="D14" i="4"/>
  <c r="E14" i="4"/>
  <c r="F14" i="4"/>
  <c r="C25" i="7"/>
  <c r="C28" i="7"/>
  <c r="B45" i="4"/>
  <c r="E47" i="10"/>
  <c r="E46" i="10"/>
  <c r="E40" i="10"/>
  <c r="C16" i="3"/>
  <c r="C15" i="3"/>
  <c r="C14" i="3"/>
  <c r="C13" i="3"/>
  <c r="E23" i="10"/>
  <c r="C16" i="10"/>
  <c r="C12" i="3" l="1"/>
  <c r="C22" i="3" s="1"/>
  <c r="E28" i="10" s="1"/>
  <c r="B42" i="4"/>
  <c r="E37" i="3"/>
  <c r="F33" i="3"/>
  <c r="I33" i="3" s="1"/>
  <c r="L33" i="3" s="1"/>
  <c r="O33" i="3" s="1"/>
  <c r="F34" i="3"/>
  <c r="I34" i="3" s="1"/>
  <c r="L34" i="3" s="1"/>
  <c r="O34" i="3" s="1"/>
  <c r="F35" i="3"/>
  <c r="I35" i="3" s="1"/>
  <c r="L35" i="3" s="1"/>
  <c r="O35" i="3" s="1"/>
  <c r="F36" i="3"/>
  <c r="I36" i="3" s="1"/>
  <c r="L36" i="3" s="1"/>
  <c r="O36" i="3" s="1"/>
  <c r="F37" i="3"/>
  <c r="I37" i="3" s="1"/>
  <c r="L37" i="3" s="1"/>
  <c r="O37" i="3" s="1"/>
  <c r="G37" i="3"/>
  <c r="J37" i="3" s="1"/>
  <c r="E33" i="3"/>
  <c r="G33" i="3"/>
  <c r="H33" i="3"/>
  <c r="J33" i="3"/>
  <c r="M33" i="3" s="1"/>
  <c r="E34" i="3"/>
  <c r="G34" i="3"/>
  <c r="J34" i="3" s="1"/>
  <c r="M34" i="3" s="1"/>
  <c r="H34" i="3"/>
  <c r="E35" i="3"/>
  <c r="G35" i="3"/>
  <c r="J35" i="3" s="1"/>
  <c r="M35" i="3" s="1"/>
  <c r="P35" i="3" s="1"/>
  <c r="E36" i="3"/>
  <c r="G36" i="3"/>
  <c r="H36" i="3"/>
  <c r="J36" i="3"/>
  <c r="M36" i="3" s="1"/>
  <c r="K36" i="3"/>
  <c r="B38" i="3"/>
  <c r="C38" i="3"/>
  <c r="E38" i="3"/>
  <c r="G38" i="3"/>
  <c r="J38" i="3"/>
  <c r="M38" i="3"/>
  <c r="P38" i="3"/>
  <c r="E12" i="3"/>
  <c r="E13" i="3"/>
  <c r="E14" i="3"/>
  <c r="E15" i="3"/>
  <c r="E16" i="3"/>
  <c r="E17" i="3"/>
  <c r="E18" i="3"/>
  <c r="E19" i="3"/>
  <c r="E20" i="3"/>
  <c r="E21" i="3"/>
  <c r="F38" i="3" s="1"/>
  <c r="H38" i="3" s="1"/>
  <c r="P34" i="3" l="1"/>
  <c r="N34" i="3"/>
  <c r="K37" i="3"/>
  <c r="M37" i="3"/>
  <c r="P37" i="3" s="1"/>
  <c r="Q37" i="3" s="1"/>
  <c r="Q35" i="3"/>
  <c r="N36" i="3"/>
  <c r="P36" i="3"/>
  <c r="Q36" i="3" s="1"/>
  <c r="Q34" i="3"/>
  <c r="N33" i="3"/>
  <c r="P33" i="3"/>
  <c r="Q33" i="3"/>
  <c r="K35" i="3"/>
  <c r="K34" i="3"/>
  <c r="N35" i="3"/>
  <c r="H35" i="3"/>
  <c r="K33" i="3"/>
  <c r="H37" i="3"/>
  <c r="E11" i="4"/>
  <c r="G12" i="3" l="1"/>
  <c r="I12" i="3" l="1"/>
  <c r="K12" i="3" s="1"/>
  <c r="G21" i="3"/>
  <c r="G20" i="3"/>
  <c r="G19" i="3"/>
  <c r="G18" i="3"/>
  <c r="G17" i="3"/>
  <c r="I17" i="3" s="1"/>
  <c r="K17" i="3" s="1"/>
  <c r="G16" i="3"/>
  <c r="I16" i="3" s="1"/>
  <c r="K16" i="3" s="1"/>
  <c r="G15" i="3"/>
  <c r="I15" i="3" s="1"/>
  <c r="K15" i="3" s="1"/>
  <c r="G14" i="3"/>
  <c r="I14" i="3" s="1"/>
  <c r="K14" i="3" s="1"/>
  <c r="G13" i="3"/>
  <c r="B57" i="9"/>
  <c r="G53" i="9"/>
  <c r="B50" i="9"/>
  <c r="B54" i="9"/>
  <c r="C40" i="9"/>
  <c r="D40" i="9"/>
  <c r="E40" i="9"/>
  <c r="F40" i="9"/>
  <c r="B40" i="9"/>
  <c r="C39" i="9"/>
  <c r="D39" i="9"/>
  <c r="E39" i="9"/>
  <c r="F39" i="9"/>
  <c r="B39" i="9"/>
  <c r="I18" i="3" l="1"/>
  <c r="I19" i="3"/>
  <c r="I20" i="3"/>
  <c r="I21" i="3"/>
  <c r="I38" i="3"/>
  <c r="K38" i="3" s="1"/>
  <c r="I13" i="3"/>
  <c r="K13" i="3" s="1"/>
  <c r="K21" i="3" l="1"/>
  <c r="O38" i="3" s="1"/>
  <c r="Q38" i="3" s="1"/>
  <c r="L38" i="3"/>
  <c r="N38" i="3" s="1"/>
  <c r="K20" i="3"/>
  <c r="K19" i="3"/>
  <c r="K18" i="3"/>
  <c r="D24" i="6"/>
  <c r="E24" i="6"/>
  <c r="F24" i="6"/>
  <c r="G24" i="6"/>
  <c r="D25" i="6"/>
  <c r="E25" i="6"/>
  <c r="F25" i="6"/>
  <c r="G25" i="6"/>
  <c r="C25" i="6"/>
  <c r="C24" i="6"/>
  <c r="B20" i="6"/>
  <c r="B19" i="6"/>
  <c r="D13" i="6"/>
  <c r="E13" i="6"/>
  <c r="F13" i="6"/>
  <c r="G13" i="6"/>
  <c r="D15" i="6"/>
  <c r="E15" i="6"/>
  <c r="F15" i="6"/>
  <c r="G15" i="6"/>
  <c r="C15" i="6"/>
  <c r="C13" i="6"/>
  <c r="B30" i="6"/>
  <c r="B57" i="4"/>
  <c r="C49" i="8"/>
  <c r="C48" i="8"/>
  <c r="G78" i="8"/>
  <c r="G42" i="4"/>
  <c r="C42" i="4"/>
  <c r="C60" i="8"/>
  <c r="D60" i="8"/>
  <c r="E60" i="8"/>
  <c r="F60" i="8"/>
  <c r="G60" i="8"/>
  <c r="B60" i="8"/>
  <c r="B50" i="8"/>
  <c r="C50" i="8" s="1"/>
  <c r="C21" i="6" s="1"/>
  <c r="B51" i="8"/>
  <c r="B22" i="6" s="1"/>
  <c r="B52" i="8"/>
  <c r="B23" i="6" s="1"/>
  <c r="B27" i="7"/>
  <c r="B44" i="8"/>
  <c r="B43" i="8"/>
  <c r="B35" i="8"/>
  <c r="E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F13" i="8"/>
  <c r="E13" i="8"/>
  <c r="D13" i="8"/>
  <c r="C13" i="8"/>
  <c r="B13" i="8"/>
  <c r="C57" i="4" l="1"/>
  <c r="E25" i="10"/>
  <c r="E27" i="10" s="1"/>
  <c r="D48" i="8"/>
  <c r="C19" i="6"/>
  <c r="C20" i="6"/>
  <c r="D49" i="8"/>
  <c r="B16" i="6"/>
  <c r="B82" i="8"/>
  <c r="B89" i="8" s="1"/>
  <c r="B21" i="6"/>
  <c r="C85" i="9"/>
  <c r="B55" i="9"/>
  <c r="B58" i="9" s="1"/>
  <c r="C65" i="9"/>
  <c r="C51" i="8"/>
  <c r="C52" i="8"/>
  <c r="C84" i="8"/>
  <c r="D84" i="8"/>
  <c r="C53" i="8"/>
  <c r="C51" i="9" s="1"/>
  <c r="D50" i="8"/>
  <c r="D21" i="6" s="1"/>
  <c r="B54" i="8"/>
  <c r="B45" i="8"/>
  <c r="F27" i="4"/>
  <c r="H27" i="4" s="1"/>
  <c r="F28" i="4"/>
  <c r="H28" i="4" s="1"/>
  <c r="F29" i="4"/>
  <c r="H29" i="4" s="1"/>
  <c r="F30" i="4"/>
  <c r="H30" i="4" s="1"/>
  <c r="F31" i="4"/>
  <c r="H31" i="4" s="1"/>
  <c r="F32" i="4"/>
  <c r="H32" i="4" s="1"/>
  <c r="F33" i="4"/>
  <c r="H33" i="4" s="1"/>
  <c r="F34" i="4"/>
  <c r="H34" i="4" s="1"/>
  <c r="F35" i="4"/>
  <c r="H35" i="4" s="1"/>
  <c r="F36" i="4"/>
  <c r="H36" i="4" s="1"/>
  <c r="F37" i="4"/>
  <c r="H37" i="4" s="1"/>
  <c r="B8" i="9"/>
  <c r="B8" i="8"/>
  <c r="D7" i="6"/>
  <c r="F15" i="7"/>
  <c r="H15" i="7" s="1"/>
  <c r="F12" i="7"/>
  <c r="G66" i="8" s="1"/>
  <c r="G52" i="9" s="1"/>
  <c r="G16" i="10" l="1"/>
  <c r="E29" i="10"/>
  <c r="D52" i="8"/>
  <c r="D20" i="6"/>
  <c r="E49" i="8"/>
  <c r="E48" i="8"/>
  <c r="D19" i="6"/>
  <c r="C66" i="9"/>
  <c r="G36" i="8"/>
  <c r="G29" i="6"/>
  <c r="D51" i="8"/>
  <c r="E50" i="8"/>
  <c r="E21" i="6" s="1"/>
  <c r="E52" i="8"/>
  <c r="D53" i="8"/>
  <c r="E53" i="8"/>
  <c r="E51" i="9" s="1"/>
  <c r="C54" i="8"/>
  <c r="B61" i="8"/>
  <c r="E66" i="8"/>
  <c r="E52" i="9" s="1"/>
  <c r="F66" i="8"/>
  <c r="F52" i="9" s="1"/>
  <c r="C66" i="8"/>
  <c r="C52" i="9" s="1"/>
  <c r="D66" i="8"/>
  <c r="D52" i="9" s="1"/>
  <c r="G20" i="7"/>
  <c r="G12" i="7"/>
  <c r="G29" i="7"/>
  <c r="G30" i="7"/>
  <c r="G83" i="7"/>
  <c r="G75" i="7"/>
  <c r="G63" i="7"/>
  <c r="G43" i="7"/>
  <c r="G35" i="7"/>
  <c r="G23" i="7"/>
  <c r="G85" i="7"/>
  <c r="G81" i="7"/>
  <c r="G77" i="7"/>
  <c r="G73" i="7"/>
  <c r="G69" i="7"/>
  <c r="G65" i="7"/>
  <c r="G61" i="7"/>
  <c r="G57" i="7"/>
  <c r="G53" i="7"/>
  <c r="G49" i="7"/>
  <c r="G45" i="7"/>
  <c r="G41" i="7"/>
  <c r="G37" i="7"/>
  <c r="G33" i="7"/>
  <c r="G25" i="7"/>
  <c r="G21" i="7"/>
  <c r="G17" i="7"/>
  <c r="G16" i="7"/>
  <c r="G79" i="7"/>
  <c r="G71" i="7"/>
  <c r="G67" i="7"/>
  <c r="G59" i="7"/>
  <c r="G55" i="7"/>
  <c r="G51" i="7"/>
  <c r="G47" i="7"/>
  <c r="G39" i="7"/>
  <c r="G31" i="7"/>
  <c r="G27" i="7"/>
  <c r="G19" i="7"/>
  <c r="G86" i="7"/>
  <c r="G82" i="7"/>
  <c r="G78" i="7"/>
  <c r="G74" i="7"/>
  <c r="G70" i="7"/>
  <c r="G66" i="7"/>
  <c r="G62" i="7"/>
  <c r="G58" i="7"/>
  <c r="G54" i="7"/>
  <c r="G50" i="7"/>
  <c r="G46" i="7"/>
  <c r="G42" i="7"/>
  <c r="G38" i="7"/>
  <c r="G34" i="7"/>
  <c r="G26" i="7"/>
  <c r="G22" i="7"/>
  <c r="G18" i="7"/>
  <c r="G15" i="7"/>
  <c r="G84" i="7"/>
  <c r="G80" i="7"/>
  <c r="G76" i="7"/>
  <c r="G72" i="7"/>
  <c r="G68" i="7"/>
  <c r="G64" i="7"/>
  <c r="G60" i="7"/>
  <c r="G56" i="7"/>
  <c r="G52" i="7"/>
  <c r="G48" i="7"/>
  <c r="G44" i="7"/>
  <c r="G40" i="7"/>
  <c r="G36" i="7"/>
  <c r="G32" i="7"/>
  <c r="G28" i="7"/>
  <c r="G24" i="7"/>
  <c r="D7" i="7"/>
  <c r="F29" i="10" l="1"/>
  <c r="D32" i="3"/>
  <c r="D28" i="3"/>
  <c r="E34" i="10"/>
  <c r="D31" i="3"/>
  <c r="D29" i="3"/>
  <c r="D30" i="3"/>
  <c r="F48" i="8"/>
  <c r="E19" i="6"/>
  <c r="E84" i="8"/>
  <c r="F49" i="8"/>
  <c r="E20" i="6"/>
  <c r="D54" i="8"/>
  <c r="D51" i="9"/>
  <c r="C67" i="9"/>
  <c r="D66" i="9"/>
  <c r="C29" i="6"/>
  <c r="B29" i="6"/>
  <c r="B31" i="6" s="1"/>
  <c r="B32" i="6" s="1"/>
  <c r="F29" i="6"/>
  <c r="D29" i="6"/>
  <c r="E29" i="6"/>
  <c r="F52" i="8"/>
  <c r="F50" i="8"/>
  <c r="F21" i="6" s="1"/>
  <c r="E51" i="8"/>
  <c r="C74" i="8"/>
  <c r="I15" i="7"/>
  <c r="J15" i="7" s="1"/>
  <c r="F16" i="7" s="1"/>
  <c r="H16" i="7" s="1"/>
  <c r="I16" i="7" s="1"/>
  <c r="J16" i="7" s="1"/>
  <c r="F17" i="7" s="1"/>
  <c r="H17" i="7" s="1"/>
  <c r="I17" i="7" s="1"/>
  <c r="J17" i="7" s="1"/>
  <c r="F18" i="7" s="1"/>
  <c r="H18" i="7" s="1"/>
  <c r="I18" i="7" s="1"/>
  <c r="J18" i="7" s="1"/>
  <c r="F19" i="7" s="1"/>
  <c r="H19" i="7" s="1"/>
  <c r="I19" i="7" s="1"/>
  <c r="B33" i="6" l="1"/>
  <c r="C10" i="6"/>
  <c r="G30" i="3"/>
  <c r="E30" i="3"/>
  <c r="G29" i="3"/>
  <c r="E29" i="3"/>
  <c r="G32" i="3"/>
  <c r="E32" i="3"/>
  <c r="G31" i="3"/>
  <c r="E31" i="3"/>
  <c r="E54" i="8"/>
  <c r="G49" i="8"/>
  <c r="G20" i="6" s="1"/>
  <c r="F20" i="6"/>
  <c r="F19" i="6"/>
  <c r="F84" i="8"/>
  <c r="C78" i="8"/>
  <c r="C53" i="9"/>
  <c r="C68" i="9"/>
  <c r="D67" i="9"/>
  <c r="B23" i="9"/>
  <c r="G52" i="8"/>
  <c r="F51" i="8"/>
  <c r="F53" i="8"/>
  <c r="C36" i="8"/>
  <c r="G50" i="8"/>
  <c r="G21" i="6" s="1"/>
  <c r="G53" i="8"/>
  <c r="G51" i="9" s="1"/>
  <c r="D74" i="8"/>
  <c r="D53" i="9" s="1"/>
  <c r="J19" i="7"/>
  <c r="F20" i="7" s="1"/>
  <c r="H20" i="7" s="1"/>
  <c r="I20" i="7" s="1"/>
  <c r="J20" i="7" s="1"/>
  <c r="F21" i="7" s="1"/>
  <c r="E22" i="4"/>
  <c r="F26" i="4" s="1"/>
  <c r="H26" i="4" s="1"/>
  <c r="H38" i="4" s="1"/>
  <c r="E12" i="4"/>
  <c r="D12" i="4"/>
  <c r="F12" i="4" s="1"/>
  <c r="E15" i="4"/>
  <c r="D15" i="4"/>
  <c r="E16" i="4"/>
  <c r="D16" i="4"/>
  <c r="F16" i="4" s="1"/>
  <c r="E17" i="4"/>
  <c r="D17" i="4"/>
  <c r="F17" i="4" s="1"/>
  <c r="E18" i="4"/>
  <c r="D18" i="4"/>
  <c r="F18" i="4" s="1"/>
  <c r="E19" i="4"/>
  <c r="D19" i="4"/>
  <c r="E20" i="4"/>
  <c r="D20" i="4"/>
  <c r="F20" i="4" s="1"/>
  <c r="E21" i="4"/>
  <c r="D21" i="4"/>
  <c r="D11" i="4"/>
  <c r="F11" i="4" s="1"/>
  <c r="F7" i="4"/>
  <c r="G28" i="3"/>
  <c r="J28" i="3" s="1"/>
  <c r="M28" i="3" s="1"/>
  <c r="E28" i="3"/>
  <c r="J31" i="1"/>
  <c r="G48" i="8" s="1"/>
  <c r="B13" i="3"/>
  <c r="B14" i="3"/>
  <c r="B15" i="3"/>
  <c r="B16" i="3"/>
  <c r="B17" i="3"/>
  <c r="B18" i="3"/>
  <c r="B19" i="3"/>
  <c r="B20" i="3"/>
  <c r="B21" i="3"/>
  <c r="B12" i="3"/>
  <c r="E7" i="3"/>
  <c r="E20" i="1"/>
  <c r="E21" i="1"/>
  <c r="E22" i="1"/>
  <c r="F22" i="1" s="1"/>
  <c r="G22" i="1" s="1"/>
  <c r="H22" i="1" s="1"/>
  <c r="I22" i="1" s="1"/>
  <c r="L15" i="3" s="1"/>
  <c r="E23" i="1"/>
  <c r="E24" i="1"/>
  <c r="D17" i="3" s="1"/>
  <c r="F24" i="1"/>
  <c r="E25" i="1"/>
  <c r="F25" i="1" s="1"/>
  <c r="G25" i="1" s="1"/>
  <c r="H25" i="1" s="1"/>
  <c r="I25" i="1" s="1"/>
  <c r="L18" i="3" s="1"/>
  <c r="E26" i="1"/>
  <c r="D19" i="3" s="1"/>
  <c r="F26" i="1"/>
  <c r="G26" i="1" s="1"/>
  <c r="H26" i="1" s="1"/>
  <c r="I26" i="1" s="1"/>
  <c r="L19" i="3" s="1"/>
  <c r="E27" i="1"/>
  <c r="D20" i="3" s="1"/>
  <c r="F27" i="1"/>
  <c r="G27" i="1" s="1"/>
  <c r="H27" i="1" s="1"/>
  <c r="I27" i="1" s="1"/>
  <c r="L20" i="3" s="1"/>
  <c r="E28" i="1"/>
  <c r="F28" i="1" s="1"/>
  <c r="G28" i="1" s="1"/>
  <c r="H28" i="1" s="1"/>
  <c r="I28" i="1" s="1"/>
  <c r="L21" i="3" s="1"/>
  <c r="E19" i="1"/>
  <c r="D12" i="3" s="1"/>
  <c r="J31" i="3" l="1"/>
  <c r="H31" i="3"/>
  <c r="J29" i="3"/>
  <c r="H29" i="3"/>
  <c r="J32" i="3"/>
  <c r="H32" i="3"/>
  <c r="H30" i="3"/>
  <c r="J30" i="3"/>
  <c r="F15" i="4"/>
  <c r="H15" i="4"/>
  <c r="G24" i="1"/>
  <c r="F17" i="3"/>
  <c r="F23" i="1"/>
  <c r="D16" i="3"/>
  <c r="F21" i="1"/>
  <c r="F14" i="3" s="1"/>
  <c r="D14" i="3"/>
  <c r="F20" i="1"/>
  <c r="D13" i="3"/>
  <c r="G84" i="8"/>
  <c r="G19" i="6"/>
  <c r="F21" i="4"/>
  <c r="H21" i="4"/>
  <c r="F19" i="4"/>
  <c r="H19" i="4"/>
  <c r="F54" i="8"/>
  <c r="F23" i="9" s="1"/>
  <c r="F51" i="9"/>
  <c r="C69" i="9"/>
  <c r="D68" i="9"/>
  <c r="H28" i="3"/>
  <c r="H17" i="4"/>
  <c r="H18" i="4"/>
  <c r="H16" i="4"/>
  <c r="H20" i="4"/>
  <c r="E42" i="4"/>
  <c r="C69" i="8" s="1"/>
  <c r="C27" i="6" s="1"/>
  <c r="D15" i="3"/>
  <c r="J15" i="3"/>
  <c r="F15" i="3"/>
  <c r="H15" i="3"/>
  <c r="F19" i="1"/>
  <c r="F12" i="3" s="1"/>
  <c r="B19" i="8"/>
  <c r="C19" i="8" s="1"/>
  <c r="D19" i="8" s="1"/>
  <c r="E19" i="8" s="1"/>
  <c r="F19" i="8" s="1"/>
  <c r="H21" i="3"/>
  <c r="D21" i="3"/>
  <c r="J21" i="3"/>
  <c r="F21" i="3"/>
  <c r="J20" i="3"/>
  <c r="F20" i="3"/>
  <c r="H20" i="3"/>
  <c r="H19" i="3"/>
  <c r="F19" i="3"/>
  <c r="J19" i="3"/>
  <c r="D18" i="3"/>
  <c r="F18" i="3"/>
  <c r="H18" i="3"/>
  <c r="J18" i="3"/>
  <c r="D42" i="4"/>
  <c r="D36" i="8"/>
  <c r="C23" i="9"/>
  <c r="G51" i="8"/>
  <c r="G54" i="8"/>
  <c r="E74" i="8"/>
  <c r="E53" i="9" s="1"/>
  <c r="D78" i="8"/>
  <c r="F42" i="4"/>
  <c r="E39" i="3"/>
  <c r="B15" i="8" s="1"/>
  <c r="B37" i="9" s="1"/>
  <c r="H12" i="4"/>
  <c r="K28" i="3"/>
  <c r="N28" i="3"/>
  <c r="P28" i="3"/>
  <c r="Q28" i="3" s="1"/>
  <c r="H21" i="7"/>
  <c r="I21" i="7" s="1"/>
  <c r="J21" i="7" s="1"/>
  <c r="F22" i="7" s="1"/>
  <c r="M32" i="3" l="1"/>
  <c r="K32" i="3"/>
  <c r="M31" i="3"/>
  <c r="K31" i="3"/>
  <c r="M30" i="3"/>
  <c r="K30" i="3"/>
  <c r="M29" i="3"/>
  <c r="K29" i="3"/>
  <c r="G21" i="1"/>
  <c r="H21" i="1" s="1"/>
  <c r="G20" i="1"/>
  <c r="F13" i="3"/>
  <c r="G23" i="1"/>
  <c r="F16" i="3"/>
  <c r="H24" i="1"/>
  <c r="H17" i="3"/>
  <c r="D69" i="9"/>
  <c r="C71" i="9" s="1"/>
  <c r="C72" i="9"/>
  <c r="D69" i="8"/>
  <c r="D27" i="6" s="1"/>
  <c r="G19" i="1"/>
  <c r="D22" i="3"/>
  <c r="F22" i="3"/>
  <c r="C12" i="8" s="1"/>
  <c r="C14" i="8" s="1"/>
  <c r="H11" i="4"/>
  <c r="E39" i="10" s="1"/>
  <c r="E41" i="10" s="1"/>
  <c r="H12" i="3"/>
  <c r="H19" i="1"/>
  <c r="E36" i="8"/>
  <c r="D23" i="9"/>
  <c r="F74" i="8"/>
  <c r="E78" i="8"/>
  <c r="H39" i="3"/>
  <c r="C15" i="8" s="1"/>
  <c r="H22" i="7"/>
  <c r="I22" i="7" s="1"/>
  <c r="J22" i="7" s="1"/>
  <c r="F23" i="7" s="1"/>
  <c r="P29" i="3" l="1"/>
  <c r="Q29" i="3" s="1"/>
  <c r="N29" i="3"/>
  <c r="P31" i="3"/>
  <c r="Q31" i="3" s="1"/>
  <c r="N31" i="3"/>
  <c r="P30" i="3"/>
  <c r="Q30" i="3" s="1"/>
  <c r="N30" i="3"/>
  <c r="N32" i="3"/>
  <c r="P32" i="3"/>
  <c r="Q32" i="3" s="1"/>
  <c r="B12" i="8"/>
  <c r="B31" i="9" s="1"/>
  <c r="E33" i="10"/>
  <c r="E37" i="10" s="1"/>
  <c r="H14" i="3"/>
  <c r="I24" i="1"/>
  <c r="L17" i="3" s="1"/>
  <c r="J17" i="3"/>
  <c r="H23" i="1"/>
  <c r="H16" i="3"/>
  <c r="H13" i="3"/>
  <c r="H20" i="1"/>
  <c r="E23" i="9"/>
  <c r="F53" i="9"/>
  <c r="E69" i="8"/>
  <c r="E27" i="6" s="1"/>
  <c r="C30" i="9"/>
  <c r="C43" i="9"/>
  <c r="I21" i="1"/>
  <c r="L14" i="3" s="1"/>
  <c r="J14" i="3"/>
  <c r="C16" i="8"/>
  <c r="D35" i="8" s="1"/>
  <c r="D12" i="6" s="1"/>
  <c r="C37" i="9"/>
  <c r="C31" i="9"/>
  <c r="I19" i="1"/>
  <c r="L12" i="3" s="1"/>
  <c r="J12" i="3"/>
  <c r="F78" i="8"/>
  <c r="F36" i="8"/>
  <c r="K39" i="3"/>
  <c r="D15" i="8" s="1"/>
  <c r="H23" i="7"/>
  <c r="I23" i="7" s="1"/>
  <c r="J23" i="7" s="1"/>
  <c r="F24" i="7" s="1"/>
  <c r="H22" i="3" l="1"/>
  <c r="D12" i="8" s="1"/>
  <c r="D14" i="8" s="1"/>
  <c r="B30" i="9"/>
  <c r="B14" i="8"/>
  <c r="B16" i="8" s="1"/>
  <c r="C35" i="8" s="1"/>
  <c r="C12" i="6" s="1"/>
  <c r="C16" i="6" s="1"/>
  <c r="B43" i="9"/>
  <c r="E44" i="10"/>
  <c r="F37" i="10"/>
  <c r="I20" i="1"/>
  <c r="L13" i="3" s="1"/>
  <c r="J13" i="3"/>
  <c r="I23" i="1"/>
  <c r="L16" i="3" s="1"/>
  <c r="J16" i="3"/>
  <c r="F69" i="8"/>
  <c r="G69" i="8" s="1"/>
  <c r="G27" i="6" s="1"/>
  <c r="D43" i="9"/>
  <c r="L22" i="3"/>
  <c r="F12" i="8" s="1"/>
  <c r="F43" i="9" s="1"/>
  <c r="J22" i="3"/>
  <c r="E12" i="8" s="1"/>
  <c r="E14" i="8" s="1"/>
  <c r="C45" i="8"/>
  <c r="C61" i="8" s="1"/>
  <c r="D31" i="9"/>
  <c r="D45" i="8"/>
  <c r="D61" i="8" s="1"/>
  <c r="D16" i="8"/>
  <c r="E35" i="8" s="1"/>
  <c r="E12" i="6" s="1"/>
  <c r="D37" i="9"/>
  <c r="D30" i="9"/>
  <c r="N39" i="3"/>
  <c r="E15" i="8" s="1"/>
  <c r="Q39" i="3"/>
  <c r="F15" i="8" s="1"/>
  <c r="F37" i="9" s="1"/>
  <c r="H24" i="7"/>
  <c r="I24" i="7" s="1"/>
  <c r="J24" i="7" s="1"/>
  <c r="F25" i="7" s="1"/>
  <c r="H22" i="4"/>
  <c r="E49" i="10" l="1"/>
  <c r="E55" i="10"/>
  <c r="F27" i="6"/>
  <c r="F14" i="8"/>
  <c r="F16" i="8" s="1"/>
  <c r="G35" i="8" s="1"/>
  <c r="G12" i="6" s="1"/>
  <c r="E30" i="9"/>
  <c r="E43" i="9"/>
  <c r="H42" i="4"/>
  <c r="E45" i="8"/>
  <c r="E61" i="8" s="1"/>
  <c r="F30" i="9"/>
  <c r="F31" i="9"/>
  <c r="E16" i="8"/>
  <c r="F35" i="8" s="1"/>
  <c r="F12" i="6" s="1"/>
  <c r="E37" i="9"/>
  <c r="E31" i="9"/>
  <c r="H25" i="7"/>
  <c r="I25" i="7" s="1"/>
  <c r="J25" i="7" s="1"/>
  <c r="F26" i="7" s="1"/>
  <c r="E51" i="10" l="1"/>
  <c r="E53" i="10" s="1"/>
  <c r="C65" i="8"/>
  <c r="D65" i="8" s="1"/>
  <c r="I42" i="4"/>
  <c r="G45" i="8"/>
  <c r="G61" i="8" s="1"/>
  <c r="F45" i="8"/>
  <c r="F61" i="8" s="1"/>
  <c r="H26" i="7"/>
  <c r="I26" i="7" s="1"/>
  <c r="J26" i="7" s="1"/>
  <c r="F27" i="7" s="1"/>
  <c r="C26" i="6" l="1"/>
  <c r="D26" i="6"/>
  <c r="E65" i="8"/>
  <c r="H27" i="7"/>
  <c r="I27" i="7" s="1"/>
  <c r="J27" i="7" s="1"/>
  <c r="F28" i="7" s="1"/>
  <c r="E26" i="6" l="1"/>
  <c r="F65" i="8"/>
  <c r="H28" i="7"/>
  <c r="I28" i="7" s="1"/>
  <c r="J28" i="7" s="1"/>
  <c r="F29" i="7" s="1"/>
  <c r="H29" i="7" s="1"/>
  <c r="I29" i="7" s="1"/>
  <c r="F26" i="6" l="1"/>
  <c r="G65" i="8"/>
  <c r="G26" i="6" s="1"/>
  <c r="J29" i="7"/>
  <c r="F30" i="7" s="1"/>
  <c r="H30" i="7" s="1"/>
  <c r="I30" i="7" s="1"/>
  <c r="J30" i="7" l="1"/>
  <c r="F31" i="7" s="1"/>
  <c r="H31" i="7" l="1"/>
  <c r="I31" i="7" s="1"/>
  <c r="J31" i="7" s="1"/>
  <c r="F32" i="7" s="1"/>
  <c r="H32" i="7" l="1"/>
  <c r="I32" i="7" s="1"/>
  <c r="J32" i="7" s="1"/>
  <c r="F33" i="7" s="1"/>
  <c r="H33" i="7" l="1"/>
  <c r="I33" i="7" s="1"/>
  <c r="J33" i="7" s="1"/>
  <c r="F34" i="7" s="1"/>
  <c r="H34" i="7" l="1"/>
  <c r="I34" i="7" s="1"/>
  <c r="J34" i="7" s="1"/>
  <c r="F35" i="7" s="1"/>
  <c r="H35" i="7" l="1"/>
  <c r="I35" i="7" s="1"/>
  <c r="J35" i="7" s="1"/>
  <c r="F36" i="7" s="1"/>
  <c r="H36" i="7" l="1"/>
  <c r="I36" i="7" s="1"/>
  <c r="J36" i="7" s="1"/>
  <c r="F37" i="7" s="1"/>
  <c r="H37" i="7" l="1"/>
  <c r="I37" i="7" s="1"/>
  <c r="J37" i="7" s="1"/>
  <c r="F38" i="7" s="1"/>
  <c r="H38" i="7" l="1"/>
  <c r="I38" i="7" s="1"/>
  <c r="J38" i="7" s="1"/>
  <c r="F39" i="7" s="1"/>
  <c r="H39" i="7" l="1"/>
  <c r="I39" i="7" s="1"/>
  <c r="J39" i="7" s="1"/>
  <c r="F40" i="7" s="1"/>
  <c r="H40" i="7" l="1"/>
  <c r="I40" i="7" s="1"/>
  <c r="J40" i="7" s="1"/>
  <c r="F41" i="7" s="1"/>
  <c r="H41" i="7" l="1"/>
  <c r="I41" i="7" s="1"/>
  <c r="J41" i="7" s="1"/>
  <c r="F42" i="7" s="1"/>
  <c r="H42" i="7" l="1"/>
  <c r="I42" i="7" s="1"/>
  <c r="J42" i="7" s="1"/>
  <c r="F43" i="7" s="1"/>
  <c r="H43" i="7" l="1"/>
  <c r="I43" i="7" s="1"/>
  <c r="J43" i="7" s="1"/>
  <c r="F44" i="7" s="1"/>
  <c r="H44" i="7" l="1"/>
  <c r="I44" i="7" s="1"/>
  <c r="J44" i="7" s="1"/>
  <c r="F45" i="7" s="1"/>
  <c r="H45" i="7" l="1"/>
  <c r="I45" i="7" s="1"/>
  <c r="J45" i="7" s="1"/>
  <c r="F46" i="7" s="1"/>
  <c r="H46" i="7" l="1"/>
  <c r="I46" i="7" s="1"/>
  <c r="J46" i="7" s="1"/>
  <c r="F47" i="7" s="1"/>
  <c r="H47" i="7" l="1"/>
  <c r="I47" i="7" s="1"/>
  <c r="J47" i="7" s="1"/>
  <c r="F48" i="7" s="1"/>
  <c r="H48" i="7" l="1"/>
  <c r="I48" i="7" s="1"/>
  <c r="J48" i="7" s="1"/>
  <c r="F49" i="7" s="1"/>
  <c r="H49" i="7" l="1"/>
  <c r="I49" i="7" s="1"/>
  <c r="J49" i="7" s="1"/>
  <c r="F50" i="7" s="1"/>
  <c r="H50" i="7" l="1"/>
  <c r="I50" i="7" s="1"/>
  <c r="J50" i="7" s="1"/>
  <c r="F51" i="7" s="1"/>
  <c r="H51" i="7" l="1"/>
  <c r="I51" i="7" s="1"/>
  <c r="J51" i="7" s="1"/>
  <c r="F52" i="7" s="1"/>
  <c r="H52" i="7" l="1"/>
  <c r="I52" i="7" s="1"/>
  <c r="J52" i="7" s="1"/>
  <c r="F53" i="7" s="1"/>
  <c r="H53" i="7" l="1"/>
  <c r="I53" i="7" s="1"/>
  <c r="J53" i="7" s="1"/>
  <c r="F54" i="7" s="1"/>
  <c r="H54" i="7" l="1"/>
  <c r="I54" i="7" s="1"/>
  <c r="J54" i="7" s="1"/>
  <c r="F55" i="7" s="1"/>
  <c r="H55" i="7" l="1"/>
  <c r="I55" i="7" s="1"/>
  <c r="J55" i="7" s="1"/>
  <c r="F56" i="7" s="1"/>
  <c r="H56" i="7" l="1"/>
  <c r="I56" i="7" s="1"/>
  <c r="J56" i="7" s="1"/>
  <c r="F57" i="7" s="1"/>
  <c r="H57" i="7" l="1"/>
  <c r="I57" i="7" s="1"/>
  <c r="J57" i="7" s="1"/>
  <c r="F58" i="7" s="1"/>
  <c r="H58" i="7" l="1"/>
  <c r="I58" i="7" s="1"/>
  <c r="J58" i="7" s="1"/>
  <c r="F59" i="7" s="1"/>
  <c r="H59" i="7" l="1"/>
  <c r="I59" i="7" s="1"/>
  <c r="J59" i="7" s="1"/>
  <c r="F60" i="7" s="1"/>
  <c r="H60" i="7" l="1"/>
  <c r="I60" i="7" s="1"/>
  <c r="J60" i="7" s="1"/>
  <c r="F61" i="7" s="1"/>
  <c r="H61" i="7" l="1"/>
  <c r="I61" i="7" s="1"/>
  <c r="J61" i="7" s="1"/>
  <c r="F62" i="7" s="1"/>
  <c r="H62" i="7" l="1"/>
  <c r="I62" i="7" s="1"/>
  <c r="J62" i="7" s="1"/>
  <c r="F63" i="7" s="1"/>
  <c r="H63" i="7" l="1"/>
  <c r="I63" i="7" s="1"/>
  <c r="J63" i="7" s="1"/>
  <c r="F64" i="7" s="1"/>
  <c r="H64" i="7" l="1"/>
  <c r="I64" i="7" s="1"/>
  <c r="J64" i="7" s="1"/>
  <c r="F65" i="7" s="1"/>
  <c r="H65" i="7" l="1"/>
  <c r="I65" i="7" s="1"/>
  <c r="J65" i="7" s="1"/>
  <c r="F66" i="7" s="1"/>
  <c r="H66" i="7" l="1"/>
  <c r="I66" i="7" s="1"/>
  <c r="J66" i="7" s="1"/>
  <c r="F67" i="7" s="1"/>
  <c r="H67" i="7" l="1"/>
  <c r="I67" i="7" s="1"/>
  <c r="J67" i="7" s="1"/>
  <c r="F68" i="7" s="1"/>
  <c r="H68" i="7" l="1"/>
  <c r="I68" i="7" s="1"/>
  <c r="J68" i="7" s="1"/>
  <c r="F69" i="7" s="1"/>
  <c r="H69" i="7" l="1"/>
  <c r="I69" i="7" s="1"/>
  <c r="J69" i="7" s="1"/>
  <c r="F70" i="7" s="1"/>
  <c r="H70" i="7" l="1"/>
  <c r="I70" i="7" s="1"/>
  <c r="J70" i="7" s="1"/>
  <c r="F71" i="7" s="1"/>
  <c r="H71" i="7" l="1"/>
  <c r="I71" i="7" s="1"/>
  <c r="J71" i="7" s="1"/>
  <c r="F72" i="7" s="1"/>
  <c r="H72" i="7" l="1"/>
  <c r="I72" i="7" s="1"/>
  <c r="J72" i="7" s="1"/>
  <c r="F73" i="7" s="1"/>
  <c r="H73" i="7" l="1"/>
  <c r="I73" i="7" s="1"/>
  <c r="J73" i="7" s="1"/>
  <c r="F74" i="7" s="1"/>
  <c r="H74" i="7" l="1"/>
  <c r="I74" i="7" s="1"/>
  <c r="J74" i="7" s="1"/>
  <c r="F75" i="7" s="1"/>
  <c r="H75" i="7" l="1"/>
  <c r="I75" i="7" s="1"/>
  <c r="J75" i="7" s="1"/>
  <c r="F76" i="7" s="1"/>
  <c r="H76" i="7" l="1"/>
  <c r="I76" i="7" s="1"/>
  <c r="J76" i="7" s="1"/>
  <c r="F77" i="7" s="1"/>
  <c r="H77" i="7" l="1"/>
  <c r="I77" i="7" s="1"/>
  <c r="J77" i="7" s="1"/>
  <c r="F78" i="7" s="1"/>
  <c r="H78" i="7" l="1"/>
  <c r="I78" i="7" s="1"/>
  <c r="J78" i="7" s="1"/>
  <c r="F79" i="7" s="1"/>
  <c r="H79" i="7" l="1"/>
  <c r="I79" i="7" s="1"/>
  <c r="J79" i="7" s="1"/>
  <c r="F80" i="7" s="1"/>
  <c r="H80" i="7" l="1"/>
  <c r="I80" i="7" s="1"/>
  <c r="J80" i="7" s="1"/>
  <c r="F81" i="7" s="1"/>
  <c r="H81" i="7" l="1"/>
  <c r="I81" i="7" s="1"/>
  <c r="J81" i="7" s="1"/>
  <c r="F82" i="7" s="1"/>
  <c r="H82" i="7" l="1"/>
  <c r="I82" i="7" s="1"/>
  <c r="J82" i="7" s="1"/>
  <c r="F83" i="7" s="1"/>
  <c r="H83" i="7" l="1"/>
  <c r="I83" i="7" s="1"/>
  <c r="J83" i="7" s="1"/>
  <c r="F84" i="7" s="1"/>
  <c r="H84" i="7" l="1"/>
  <c r="I84" i="7" s="1"/>
  <c r="J84" i="7" s="1"/>
  <c r="F85" i="7" s="1"/>
  <c r="H85" i="7" l="1"/>
  <c r="I85" i="7" s="1"/>
  <c r="J85" i="7" s="1"/>
  <c r="F86" i="7" s="1"/>
  <c r="H86" i="7" l="1"/>
  <c r="I86" i="7" s="1"/>
  <c r="J86" i="7" s="1"/>
  <c r="B72" i="4"/>
  <c r="C72" i="4" s="1"/>
  <c r="C70" i="8" l="1"/>
  <c r="B18" i="8"/>
  <c r="B38" i="9" l="1"/>
  <c r="B20" i="8"/>
  <c r="C18" i="8"/>
  <c r="D70" i="8"/>
  <c r="C30" i="6"/>
  <c r="E70" i="8" l="1"/>
  <c r="D30" i="6"/>
  <c r="C38" i="9"/>
  <c r="D18" i="8"/>
  <c r="C20" i="8"/>
  <c r="B24" i="8"/>
  <c r="B32" i="9"/>
  <c r="D38" i="9" l="1"/>
  <c r="D20" i="8"/>
  <c r="E18" i="8"/>
  <c r="B25" i="8"/>
  <c r="B26" i="8" s="1"/>
  <c r="C32" i="9"/>
  <c r="C24" i="8"/>
  <c r="F70" i="8"/>
  <c r="E30" i="6"/>
  <c r="B27" i="8" l="1"/>
  <c r="C85" i="8" s="1"/>
  <c r="B41" i="9"/>
  <c r="B42" i="9" s="1"/>
  <c r="B44" i="9" s="1"/>
  <c r="C68" i="8"/>
  <c r="C71" i="8" s="1"/>
  <c r="C28" i="6"/>
  <c r="C31" i="6" s="1"/>
  <c r="C32" i="6" s="1"/>
  <c r="E38" i="9"/>
  <c r="E20" i="8"/>
  <c r="F18" i="8"/>
  <c r="G70" i="8"/>
  <c r="G30" i="6" s="1"/>
  <c r="F30" i="6"/>
  <c r="C25" i="8"/>
  <c r="C26" i="8" s="1"/>
  <c r="D32" i="9"/>
  <c r="D24" i="8"/>
  <c r="C33" i="6" l="1"/>
  <c r="D10" i="6"/>
  <c r="D16" i="6" s="1"/>
  <c r="B28" i="8"/>
  <c r="C86" i="8" s="1"/>
  <c r="C50" i="9" s="1"/>
  <c r="C54" i="9" s="1"/>
  <c r="F38" i="9"/>
  <c r="F20" i="8"/>
  <c r="C27" i="8"/>
  <c r="D85" i="8" s="1"/>
  <c r="B24" i="9"/>
  <c r="B16" i="9"/>
  <c r="C79" i="8"/>
  <c r="B22" i="9" s="1"/>
  <c r="B17" i="9"/>
  <c r="B15" i="9"/>
  <c r="C56" i="9" s="1"/>
  <c r="C58" i="9" s="1"/>
  <c r="D68" i="8"/>
  <c r="D71" i="8" s="1"/>
  <c r="C41" i="9"/>
  <c r="C42" i="9" s="1"/>
  <c r="C44" i="9" s="1"/>
  <c r="D28" i="6"/>
  <c r="D31" i="6" s="1"/>
  <c r="D32" i="6" s="1"/>
  <c r="E32" i="9"/>
  <c r="E24" i="8"/>
  <c r="D25" i="8"/>
  <c r="D26" i="8" s="1"/>
  <c r="D33" i="6" l="1"/>
  <c r="E10" i="6"/>
  <c r="E16" i="6" s="1"/>
  <c r="B28" i="9"/>
  <c r="C60" i="9"/>
  <c r="C28" i="8"/>
  <c r="C28" i="9" s="1"/>
  <c r="D27" i="8"/>
  <c r="E85" i="8" s="1"/>
  <c r="C87" i="8"/>
  <c r="C89" i="8" s="1"/>
  <c r="E68" i="8"/>
  <c r="E71" i="8" s="1"/>
  <c r="D41" i="9"/>
  <c r="D42" i="9" s="1"/>
  <c r="D44" i="9" s="1"/>
  <c r="E28" i="6"/>
  <c r="E31" i="6" s="1"/>
  <c r="E25" i="8"/>
  <c r="C24" i="9"/>
  <c r="C16" i="9"/>
  <c r="C15" i="9"/>
  <c r="D56" i="9" s="1"/>
  <c r="D58" i="9" s="1"/>
  <c r="D79" i="8"/>
  <c r="C17" i="9"/>
  <c r="F24" i="8"/>
  <c r="F32" i="9"/>
  <c r="E32" i="6" l="1"/>
  <c r="D86" i="8"/>
  <c r="D50" i="9" s="1"/>
  <c r="D54" i="9" s="1"/>
  <c r="D60" i="9" s="1"/>
  <c r="F28" i="6"/>
  <c r="F31" i="6" s="1"/>
  <c r="F68" i="8"/>
  <c r="F71" i="8" s="1"/>
  <c r="E41" i="9"/>
  <c r="E42" i="9" s="1"/>
  <c r="E44" i="9" s="1"/>
  <c r="F25" i="8"/>
  <c r="F26" i="8" s="1"/>
  <c r="C22" i="9"/>
  <c r="D24" i="9"/>
  <c r="D15" i="9"/>
  <c r="E56" i="9" s="1"/>
  <c r="E58" i="9" s="1"/>
  <c r="E79" i="8"/>
  <c r="D22" i="9" s="1"/>
  <c r="D17" i="9"/>
  <c r="D16" i="9"/>
  <c r="D28" i="8"/>
  <c r="E26" i="8"/>
  <c r="B29" i="9"/>
  <c r="B25" i="9"/>
  <c r="E33" i="6" l="1"/>
  <c r="F10" i="6"/>
  <c r="F16" i="6" s="1"/>
  <c r="F32" i="6"/>
  <c r="D87" i="8"/>
  <c r="C29" i="9" s="1"/>
  <c r="E86" i="8"/>
  <c r="D28" i="9"/>
  <c r="E24" i="9"/>
  <c r="F79" i="8"/>
  <c r="E17" i="9"/>
  <c r="E16" i="9"/>
  <c r="E15" i="9"/>
  <c r="F56" i="9" s="1"/>
  <c r="F58" i="9" s="1"/>
  <c r="E27" i="8"/>
  <c r="F85" i="8" s="1"/>
  <c r="F27" i="8"/>
  <c r="G85" i="8" s="1"/>
  <c r="G68" i="8"/>
  <c r="G71" i="8" s="1"/>
  <c r="G28" i="6"/>
  <c r="G31" i="6" s="1"/>
  <c r="F41" i="9"/>
  <c r="F42" i="9" s="1"/>
  <c r="F44" i="9" s="1"/>
  <c r="F33" i="6" l="1"/>
  <c r="G10" i="6"/>
  <c r="G16" i="6" s="1"/>
  <c r="G32" i="6" s="1"/>
  <c r="G33" i="6" s="1"/>
  <c r="D89" i="8"/>
  <c r="C25" i="9"/>
  <c r="E28" i="8"/>
  <c r="F86" i="8" s="1"/>
  <c r="F50" i="9" s="1"/>
  <c r="F54" i="9" s="1"/>
  <c r="F60" i="9" s="1"/>
  <c r="F24" i="9"/>
  <c r="G79" i="8"/>
  <c r="F22" i="9" s="1"/>
  <c r="F15" i="9"/>
  <c r="G56" i="9" s="1"/>
  <c r="G58" i="9" s="1"/>
  <c r="F16" i="9"/>
  <c r="F17" i="9"/>
  <c r="E22" i="9"/>
  <c r="F28" i="8"/>
  <c r="E50" i="9"/>
  <c r="E54" i="9" s="1"/>
  <c r="E60" i="9" s="1"/>
  <c r="E87" i="8"/>
  <c r="E28" i="9" l="1"/>
  <c r="F87" i="8"/>
  <c r="F89" i="8" s="1"/>
  <c r="E89" i="8"/>
  <c r="D25" i="9"/>
  <c r="D29" i="9"/>
  <c r="G86" i="8"/>
  <c r="F28" i="9"/>
  <c r="E25" i="9" l="1"/>
  <c r="E29" i="9"/>
  <c r="G50" i="9"/>
  <c r="G54" i="9" s="1"/>
  <c r="G60" i="9" s="1"/>
  <c r="G87" i="8"/>
  <c r="F25" i="9" l="1"/>
  <c r="G89" i="8"/>
  <c r="F29" i="9"/>
</calcChain>
</file>

<file path=xl/sharedStrings.xml><?xml version="1.0" encoding="utf-8"?>
<sst xmlns="http://schemas.openxmlformats.org/spreadsheetml/2006/main" count="439" uniqueCount="300">
  <si>
    <t>NOMBRE IDEA DE NEGOCIO</t>
  </si>
  <si>
    <t>Savon D'amour</t>
  </si>
  <si>
    <t>Homonimia</t>
  </si>
  <si>
    <t>ACTIVIDAD ECONÓMICA PRINCIPAL</t>
  </si>
  <si>
    <t>Consulte aquí</t>
  </si>
  <si>
    <t>NOMBRE EMPRESARIO</t>
  </si>
  <si>
    <t>TIPO DOCUMENTO IDENTIDAD</t>
  </si>
  <si>
    <t>Cedula de ciudadania</t>
  </si>
  <si>
    <t>NUMERO DOCUMENTO IDENTIDAD</t>
  </si>
  <si>
    <t>PRECIOS DE VENTA PROYECTADOS</t>
  </si>
  <si>
    <t>PRODUCTOS Y/O SERVICIOS A OFRECER</t>
  </si>
  <si>
    <t>PRECIO DE VENTA</t>
  </si>
  <si>
    <t>AÑO 01</t>
  </si>
  <si>
    <t>AÑO 02</t>
  </si>
  <si>
    <t>AÑO 03</t>
  </si>
  <si>
    <t>AÑO 04</t>
  </si>
  <si>
    <t>AÑO 05</t>
  </si>
  <si>
    <t>Jabon Humectante 100g</t>
  </si>
  <si>
    <t>Jabon Purificador 100g</t>
  </si>
  <si>
    <t>Jabon Antibacterial 100g</t>
  </si>
  <si>
    <t>Jabon Antiedad 100g</t>
  </si>
  <si>
    <t>Jabon Exfoliante 100g</t>
  </si>
  <si>
    <t>PROMEDIO</t>
  </si>
  <si>
    <t>INFLACIÓN</t>
  </si>
  <si>
    <t>Luz Merys Merchán</t>
  </si>
  <si>
    <t>José Mauricio Torres</t>
  </si>
  <si>
    <t>SMMLV ACTUALIZADO</t>
  </si>
  <si>
    <t>María del Pilar Campos</t>
  </si>
  <si>
    <t>Geovanny López</t>
  </si>
  <si>
    <t>TIPS PARA UN CORRECTO DILIGENCIAMIENTO !!!</t>
  </si>
  <si>
    <t>Carlos Audín</t>
  </si>
  <si>
    <t>NOMBRE IDEA DE NEGOCIO= Ubique el nombre que ha dispuesto para su Modelo de Negocio.</t>
  </si>
  <si>
    <t>Gioberti Morales</t>
  </si>
  <si>
    <t>ACTIVIDAD ECONÓMICA PRINCIPAL= Entre las opciones facilitadas, seleccione la actividad economía principal que tendrá su modelo de negocio.</t>
  </si>
  <si>
    <t>NOMBRE EMPRESARIO= Digite su nombre y apellidos completos.</t>
  </si>
  <si>
    <t xml:space="preserve">TIPO DOCUMENTO IDENTIDAD= Entre las opciones facilitadas, seleccione la que corresponda a su proceso de inscripción en la Agencia de Empleo y Emprendimiento de Compensar. </t>
  </si>
  <si>
    <t xml:space="preserve">NUMERO DOCUMENTO IDENTIDAD= Digite el número que aparece en su Documento de Identificación personal y que corresponde a su proceso de registro en la Agencia de Empleo de Compensar. </t>
  </si>
  <si>
    <t>PRODUCTOS Y/O SERVICIOS A OFRECER= Digite el nombre de los productos y/o servicios que serán ofrecidos en su Modelo de Negocio.</t>
  </si>
  <si>
    <t xml:space="preserve">PRECIO DE VENTA= Digite los valores “Precios” establecidos para cada uno de los productos que serán ofrecidos en su Modelo de Negocio. </t>
  </si>
  <si>
    <t xml:space="preserve">INFLACIÓN= Digite los datos de inflación proyectada para los próximos cinco años, establecida por el Dane o el Banco de la Republica. </t>
  </si>
  <si>
    <t xml:space="preserve">SMMLV ACTUALIZADO= Digite el valor correspondiente al Salario Mínimo Mensual Vigente establecido para el año de formulación de su Modelo de Negocio. </t>
  </si>
  <si>
    <t>PROYECCIÓN VENTAS</t>
  </si>
  <si>
    <t>Cantidad</t>
  </si>
  <si>
    <t>Total 01</t>
  </si>
  <si>
    <t>Total 02</t>
  </si>
  <si>
    <t>Total 03</t>
  </si>
  <si>
    <t>Total 04</t>
  </si>
  <si>
    <t>Total 05</t>
  </si>
  <si>
    <t>TOTAL VENTAS</t>
  </si>
  <si>
    <t>PROYECCIÓN COSTO INSUMOS / MATERIAS PRIMAS</t>
  </si>
  <si>
    <t>Valor und</t>
  </si>
  <si>
    <t>TOTAL COSTO</t>
  </si>
  <si>
    <t>DEVOLUCIONES Y DESCUENTOS</t>
  </si>
  <si>
    <t>CANTIDAD= Total de unidades esperadas a comercializar durante el periodo (año).</t>
  </si>
  <si>
    <t>COMISIÓN DE VENTAS= % de comisión asignada al vendedor.</t>
  </si>
  <si>
    <t>VALOR UND= Valor de compra a proveedor</t>
  </si>
  <si>
    <t>PROYECCIÓN PERSONAL ADMINISTRATIVO</t>
  </si>
  <si>
    <t>Cargo</t>
  </si>
  <si>
    <t>Sueldo</t>
  </si>
  <si>
    <t>comisión</t>
  </si>
  <si>
    <t>Salario</t>
  </si>
  <si>
    <t>Prestacional</t>
  </si>
  <si>
    <t>Aux trans</t>
  </si>
  <si>
    <t>cantidad</t>
  </si>
  <si>
    <t>Total Mes</t>
  </si>
  <si>
    <t>Aux Transporte</t>
  </si>
  <si>
    <t>Administrador</t>
  </si>
  <si>
    <t>No Costo</t>
  </si>
  <si>
    <t>Personal de Producción</t>
  </si>
  <si>
    <t>Personal de Venta y Distribución</t>
  </si>
  <si>
    <t>Contador</t>
  </si>
  <si>
    <t>TOTAL NOMINA ADM</t>
  </si>
  <si>
    <t>PROYECCIÓN PERSONAL COMERCIAL</t>
  </si>
  <si>
    <t>Comercial</t>
  </si>
  <si>
    <t>TOTAL NOMINA VTA</t>
  </si>
  <si>
    <t xml:space="preserve">TOTAL PROYECCIÓN PERSONAL </t>
  </si>
  <si>
    <t>Servicios</t>
  </si>
  <si>
    <t>Comercialización</t>
  </si>
  <si>
    <t>Internet</t>
  </si>
  <si>
    <t>Arrendamiento</t>
  </si>
  <si>
    <t>TOTAL FIJO</t>
  </si>
  <si>
    <t>OTROS VARIABLES</t>
  </si>
  <si>
    <t>Valor</t>
  </si>
  <si>
    <t>C.I.F</t>
  </si>
  <si>
    <t>WEB</t>
  </si>
  <si>
    <t>Aseo</t>
  </si>
  <si>
    <t>TOTAL OTROS</t>
  </si>
  <si>
    <t>OTROS VARIABLES= Son los no considerados en materia prima o insumos en la hoja ventas</t>
  </si>
  <si>
    <t>Moldes para jabones</t>
  </si>
  <si>
    <t>Petalos</t>
  </si>
  <si>
    <t>Semillas y plantas</t>
  </si>
  <si>
    <t>Colorantes</t>
  </si>
  <si>
    <t>Gliserina</t>
  </si>
  <si>
    <t>Escencias aromaticas</t>
  </si>
  <si>
    <t>Aceite de oliva</t>
  </si>
  <si>
    <t>Papel de plastico</t>
  </si>
  <si>
    <t>Cabuya gruesa</t>
  </si>
  <si>
    <t>Etiqueta marca</t>
  </si>
  <si>
    <t>Mano de obra</t>
  </si>
  <si>
    <t>CIF</t>
  </si>
  <si>
    <t>Depreciación</t>
  </si>
  <si>
    <t>Otros Variables</t>
  </si>
  <si>
    <t>Costo Total</t>
  </si>
  <si>
    <t>Cantidades mensuales</t>
  </si>
  <si>
    <t>Costo Unitario</t>
  </si>
  <si>
    <t>Ventas Anuales</t>
  </si>
  <si>
    <t>Costo Anual</t>
  </si>
  <si>
    <t>Margen Bruto</t>
  </si>
  <si>
    <t>Gastos</t>
  </si>
  <si>
    <t>Total gastos</t>
  </si>
  <si>
    <t>Resultado Operativo</t>
  </si>
  <si>
    <t>Ingresos Financieros</t>
  </si>
  <si>
    <t>Gastos Financieros</t>
  </si>
  <si>
    <t>Utilidad o perdida antes de impuestos</t>
  </si>
  <si>
    <t>Impuestos</t>
  </si>
  <si>
    <t>Resultado Neto</t>
  </si>
  <si>
    <t>EBITDA</t>
  </si>
  <si>
    <t>Fisicos</t>
  </si>
  <si>
    <t>Prestamo</t>
  </si>
  <si>
    <t>Terrenos</t>
  </si>
  <si>
    <t>Tasa mes</t>
  </si>
  <si>
    <t>Edificaciones</t>
  </si>
  <si>
    <t>Periodos</t>
  </si>
  <si>
    <t>PAGO TOTAL</t>
  </si>
  <si>
    <t>Vehículos</t>
  </si>
  <si>
    <t>Cuota</t>
  </si>
  <si>
    <t>Maquinaria y Herramientas</t>
  </si>
  <si>
    <t>Nevera - Horno - Moldes</t>
  </si>
  <si>
    <t>Muebles, Enseres y Equipo de oficina</t>
  </si>
  <si>
    <t>Inicial</t>
  </si>
  <si>
    <t>Cuotas</t>
  </si>
  <si>
    <t>Interes</t>
  </si>
  <si>
    <t>Capital</t>
  </si>
  <si>
    <t>Saldo</t>
  </si>
  <si>
    <t>Administración</t>
  </si>
  <si>
    <t>Documentos</t>
  </si>
  <si>
    <t>Adecuaciones</t>
  </si>
  <si>
    <t>Tecnología</t>
  </si>
  <si>
    <t>Pagina WEB</t>
  </si>
  <si>
    <t>Desarrollos</t>
  </si>
  <si>
    <t>Inventario inicial</t>
  </si>
  <si>
    <t>Materia prima</t>
  </si>
  <si>
    <t>Insumos</t>
  </si>
  <si>
    <t>Disponible</t>
  </si>
  <si>
    <t>Efectivo</t>
  </si>
  <si>
    <t xml:space="preserve">TOTAL INVERSIÓN </t>
  </si>
  <si>
    <t>Inventario inicial hace caso a la materia prima o insumos para dar operación a la produccion, son distintos a los consignados en la hoja ventas</t>
  </si>
  <si>
    <t>El valor de los documentos se digita de ultimo al conocer el valor de la inversión, según la tabla de tarifas de CCB</t>
  </si>
  <si>
    <t>ESTADO DE RESULTADOS</t>
  </si>
  <si>
    <t>CONCEPTO</t>
  </si>
  <si>
    <t>AÑO 1</t>
  </si>
  <si>
    <t>AÑO 2</t>
  </si>
  <si>
    <t>AÑO 3</t>
  </si>
  <si>
    <t>AÑO 4</t>
  </si>
  <si>
    <t>AÑO5</t>
  </si>
  <si>
    <t>VENTAS NETAS</t>
  </si>
  <si>
    <t>Devoluciones y Descuentos</t>
  </si>
  <si>
    <t>INGRESOS OPERACIONALES</t>
  </si>
  <si>
    <t>Costo de Ventas</t>
  </si>
  <si>
    <t>UTILIDAD BRUTA OPERACIONAL</t>
  </si>
  <si>
    <t>Gastos Administrativos</t>
  </si>
  <si>
    <t>Gastos de Ventas</t>
  </si>
  <si>
    <t>UTILIDAD OPERACIONAL</t>
  </si>
  <si>
    <t>Ingresos no operacionales</t>
  </si>
  <si>
    <t>Gastos no operacionales</t>
  </si>
  <si>
    <t>UTILIDAD NETA ANTES DE IMPUESTOS</t>
  </si>
  <si>
    <t>UTILIDAD LIQUIDA</t>
  </si>
  <si>
    <t xml:space="preserve">UTILIDAD/PERDIDA </t>
  </si>
  <si>
    <t>BALANCE GENERAL PROYECTADO</t>
  </si>
  <si>
    <t>AÑO 0</t>
  </si>
  <si>
    <t>AÑO 5</t>
  </si>
  <si>
    <t>ACTIVOS</t>
  </si>
  <si>
    <t>ACTIVO CORRIENTE</t>
  </si>
  <si>
    <t>Bancos</t>
  </si>
  <si>
    <t>Inversiones Temporales</t>
  </si>
  <si>
    <t>Cuentas por Cobrar - Clientes</t>
  </si>
  <si>
    <t>Anticipo de impuestos</t>
  </si>
  <si>
    <t>Otras Cuentas por Cobrar</t>
  </si>
  <si>
    <t xml:space="preserve"> - Provisión de Cartera</t>
  </si>
  <si>
    <t>Cuentas por Cobrar Netas</t>
  </si>
  <si>
    <t>Inventarios de Materias Primas</t>
  </si>
  <si>
    <t>Cargos Diferidos - Gastos preoperativos</t>
  </si>
  <si>
    <t>TOTAL ACTIVO CORRIENTE</t>
  </si>
  <si>
    <t>ACTIVOS FIJOS</t>
  </si>
  <si>
    <t>Maquinaria y Equipo</t>
  </si>
  <si>
    <t>Muebles y Enseres</t>
  </si>
  <si>
    <t xml:space="preserve"> - Depreciacion acumulada</t>
  </si>
  <si>
    <t>TOTAL ACTIVOS FIJOS</t>
  </si>
  <si>
    <t>OTROS ACTIVOS</t>
  </si>
  <si>
    <t>Inversiones de Largo Plazo</t>
  </si>
  <si>
    <t>Cuentas por Cobrar de Largo Plazo</t>
  </si>
  <si>
    <t>Otros Activos</t>
  </si>
  <si>
    <t>TOTAL OTROS ACTIVOS</t>
  </si>
  <si>
    <t>TOTAL ACTIVOS</t>
  </si>
  <si>
    <t>PASIVO Y PATRIMONIO</t>
  </si>
  <si>
    <t>PASIVO CORRIENTE</t>
  </si>
  <si>
    <t>Nomina</t>
  </si>
  <si>
    <t>Obligaciones financieras - Porción Corriente</t>
  </si>
  <si>
    <t>Cuentas por Pagar - Proveedores</t>
  </si>
  <si>
    <t>Impuesto de Renta por Pagar</t>
  </si>
  <si>
    <t>Prest. Sociales y Aportes Parafiscales por Pagar</t>
  </si>
  <si>
    <t>Otros Pasivos Corrientes</t>
  </si>
  <si>
    <t>TOTAL PASIVO CORRIENTE</t>
  </si>
  <si>
    <t>PASIVO DE LARGO PLAZO</t>
  </si>
  <si>
    <t>Obligaciones Financieras - Porción de Largo Plazo</t>
  </si>
  <si>
    <t>Cuenta de Socios</t>
  </si>
  <si>
    <t>Otros Pasivos por Pagar</t>
  </si>
  <si>
    <t>Pago Proveedores</t>
  </si>
  <si>
    <t>TOTAL PASIVO DE LARGO PLAZO</t>
  </si>
  <si>
    <t>TOTAL PASIVOS</t>
  </si>
  <si>
    <t>PATRIMONIO</t>
  </si>
  <si>
    <t>Aportes Sociales</t>
  </si>
  <si>
    <t>Adición capital</t>
  </si>
  <si>
    <t>Superavit</t>
  </si>
  <si>
    <t>Reserva Legal</t>
  </si>
  <si>
    <t>Utilidades por Distribuir</t>
  </si>
  <si>
    <t>TOTAL PATRIMONIO</t>
  </si>
  <si>
    <t>TOTAL PASIVO Y PATRIMONIO</t>
  </si>
  <si>
    <t>SALDO INICIAL DE CAJA</t>
  </si>
  <si>
    <t xml:space="preserve">*Celda combinada </t>
  </si>
  <si>
    <t xml:space="preserve"> + INGRESOS:</t>
  </si>
  <si>
    <t>Ingresos por venta de Contado</t>
  </si>
  <si>
    <t>Recaudo de Cartera</t>
  </si>
  <si>
    <t>Préstamos recibidos</t>
  </si>
  <si>
    <t>Aporte de Socios</t>
  </si>
  <si>
    <t>TOTAL INGRESOS</t>
  </si>
  <si>
    <t>EGRESOS:</t>
  </si>
  <si>
    <t>Compra de Activos Fijos:</t>
  </si>
  <si>
    <t xml:space="preserve">    Terrenos</t>
  </si>
  <si>
    <t xml:space="preserve">    Edificaciones</t>
  </si>
  <si>
    <t xml:space="preserve">    Maquinaria y Equipo</t>
  </si>
  <si>
    <t xml:space="preserve">    Muebles y Enseres</t>
  </si>
  <si>
    <t>Solo se hace la inversion una vez</t>
  </si>
  <si>
    <t xml:space="preserve">    Vehículos</t>
  </si>
  <si>
    <t>Pago a Proveedores</t>
  </si>
  <si>
    <t>Pago de Planta de Personal</t>
  </si>
  <si>
    <t>Pago de Prestaciones Sociales y Aportes Parafiscales</t>
  </si>
  <si>
    <t>Egresos por Pago de Impuesto de Renta</t>
  </si>
  <si>
    <t>Pago de Obligaciones Financieras</t>
  </si>
  <si>
    <t>Otros egresos - Gastos Preoperativos</t>
  </si>
  <si>
    <t>TOTAL EGRESOS</t>
  </si>
  <si>
    <t>DIFERENCIA ENTRE INGRESOS Y EGRESOS</t>
  </si>
  <si>
    <t xml:space="preserve"> = SALDO FINAL DE CAJA</t>
  </si>
  <si>
    <t>Donde (arrastra el saldo inicial) esta el saldo del año anterior</t>
  </si>
  <si>
    <t>ANALISIS ECONOMICO DEL PROYECTO</t>
  </si>
  <si>
    <t>1-. INDICADORES FINANCIEROS</t>
  </si>
  <si>
    <r>
      <t xml:space="preserve">AÑO </t>
    </r>
    <r>
      <rPr>
        <b/>
        <i/>
        <sz val="11"/>
        <rFont val="Calibri"/>
        <family val="2"/>
        <scheme val="minor"/>
      </rPr>
      <t>1</t>
    </r>
  </si>
  <si>
    <t xml:space="preserve">AÑO 2 </t>
  </si>
  <si>
    <t xml:space="preserve">AÑO 4 </t>
  </si>
  <si>
    <t>LIQUIDEZ:</t>
  </si>
  <si>
    <t xml:space="preserve"> Capital de trabajo</t>
  </si>
  <si>
    <t xml:space="preserve"> Razón corriente</t>
  </si>
  <si>
    <t xml:space="preserve"> Prueba ácida</t>
  </si>
  <si>
    <t>En la razón corriente podemos ver que por cada peso del pasivo corriente, la empresa tiene 1,3 pesos de activos corrientes para cubrirlos en el Año 1.</t>
  </si>
  <si>
    <t>En la prueba ácida evidenciamos que por cada peso del pasivo corriente, la empresa tiene 1,3 pesos de activos corrientes para cubrirlos sin incluir los inventarios.</t>
  </si>
  <si>
    <t>ENDEUDAMIENTO:</t>
  </si>
  <si>
    <t xml:space="preserve"> Nivel de endeudamiento</t>
  </si>
  <si>
    <t>Apalancamiento Financiero</t>
  </si>
  <si>
    <t xml:space="preserve"> Concentración</t>
  </si>
  <si>
    <t xml:space="preserve"> Financiación a Largo Plazo</t>
  </si>
  <si>
    <t>RENTABILIDAD:</t>
  </si>
  <si>
    <t xml:space="preserve"> Rendimiento de la Inversión (ROI)</t>
  </si>
  <si>
    <t xml:space="preserve"> Rendimiento del Patrimonio</t>
  </si>
  <si>
    <t xml:space="preserve"> Rentabilidad de las ventas</t>
  </si>
  <si>
    <t xml:space="preserve"> Margen de Ventas</t>
  </si>
  <si>
    <t xml:space="preserve"> Rendimiento Operativo</t>
  </si>
  <si>
    <t>2. PUNTO DE EQUILIBRIO</t>
  </si>
  <si>
    <t>Gastos Operacionales</t>
  </si>
  <si>
    <t>Otros Ingresos</t>
  </si>
  <si>
    <t>Otros Gastos</t>
  </si>
  <si>
    <t>Impuesto de renta y complementarios</t>
  </si>
  <si>
    <t>VALOR TOTAL DE LAS OPERACIONES DE LA EMPRESA</t>
  </si>
  <si>
    <t>VOLUMEN DE VENTAS NETAS</t>
  </si>
  <si>
    <t>PUNTO DE EQUILIBRIO</t>
  </si>
  <si>
    <t>3. VALOR PRESENTE NETO Y TASA INTERNA DE RETORNO</t>
  </si>
  <si>
    <t>CALCULO DEL FLUJO DE FONDOS TOTALMENTE NETO (FFTN)</t>
  </si>
  <si>
    <t xml:space="preserve">AÑO 3 </t>
  </si>
  <si>
    <t>Utilidad Neta del Ejercicio</t>
  </si>
  <si>
    <t xml:space="preserve">   + Depreciación</t>
  </si>
  <si>
    <t xml:space="preserve">   + Amortización</t>
  </si>
  <si>
    <t xml:space="preserve">   - Amortización Préstamo</t>
  </si>
  <si>
    <t xml:space="preserve">   = Flujo de Fondos Netos (FFN)</t>
  </si>
  <si>
    <t>Inversiones Fijas</t>
  </si>
  <si>
    <t xml:space="preserve">   + Variación del Capital de Trabajo</t>
  </si>
  <si>
    <t xml:space="preserve">   - Créditos Recibidos</t>
  </si>
  <si>
    <t xml:space="preserve">  = Ingresos Netos (IN)</t>
  </si>
  <si>
    <t>Flujo de Fondos Totalmente Neto (FFTN) = (FFN) - (IN)</t>
  </si>
  <si>
    <t>Costo de oportunidad del dinero:</t>
  </si>
  <si>
    <t>PERIODOS</t>
  </si>
  <si>
    <t>VALOR</t>
  </si>
  <si>
    <t>VPN</t>
  </si>
  <si>
    <t>VPN=</t>
  </si>
  <si>
    <t>TIR =</t>
  </si>
  <si>
    <t>4. RELACION BENEFICIO -  COSTO (B / C)</t>
  </si>
  <si>
    <t>Inversión Inicial =</t>
  </si>
  <si>
    <t>B / C =</t>
  </si>
  <si>
    <t>tipo documento</t>
  </si>
  <si>
    <t>Cedula de extranjería</t>
  </si>
  <si>
    <t>Pasaporte</t>
  </si>
  <si>
    <t>Tarjeta de Identidad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</si>
</sst>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&quot;$&quot;#,##0;[Red]\-&quot;$&quot;#,##0"/>
    <numFmt numFmtId="165" formatCode="&quot;$&quot;#,##0.00;[Red]\-&quot;$&quot;#,##0.00"/>
    <numFmt numFmtId="166" formatCode="_-&quot;$&quot;* #,##0_-;\-&quot;$&quot;* #,##0_-;_-&quot;$&quot;* &quot;-&quot;_-;_-@_-"/>
    <numFmt numFmtId="167" formatCode="_-* #,##0_-;\-* #,##0_-;_-* &quot;-&quot;_-;_-@_-"/>
    <numFmt numFmtId="168" formatCode="_-&quot;$&quot;* #,##0.00_-;\-&quot;$&quot;* #,##0.00_-;_-&quot;$&quot;* &quot;-&quot;??_-;_-@_-"/>
    <numFmt numFmtId="169" formatCode="_-* #,##0.00_-;\-* #,##0.00_-;_-* &quot;-&quot;??_-;_-@_-"/>
    <numFmt numFmtId="170" formatCode="0.0%"/>
    <numFmt numFmtId="171" formatCode="&quot;$&quot;\ #,##0"/>
    <numFmt numFmtId="172" formatCode="_-* #,##0\ _€_-;\-* #,##0\ _€_-;_-* &quot;-&quot;??\ _€_-;_-@_-"/>
    <numFmt numFmtId="173" formatCode="_-[$$-240A]\ * #,##0_-;\-[$$-240A]\ * #,##0_-;_-[$$-240A]\ * &quot;-&quot;??_-;_-@_-"/>
    <numFmt numFmtId="174" formatCode="_-&quot;$&quot;* #,##0_-;\-&quot;$&quot;* #,##0_-;_-&quot;$&quot;* &quot;-&quot;??_-;_-@_-"/>
    <numFmt numFmtId="175" formatCode="_-[$$-240A]\ * #,##0.00_-;\-[$$-240A]\ * #,##0.00_-;_-[$$-240A]\ * &quot;-&quot;??_-;_-@_-"/>
    <numFmt numFmtId="176" formatCode="_ * #,##0.00_ ;_ * \-#,##0.00_ ;_ * &quot;-&quot;??_ ;_ @_ "/>
    <numFmt numFmtId="177" formatCode="_ * #,##0_ ;_ * \-#,##0_ ;_ * &quot;-&quot;??_ ;_ @_ "/>
    <numFmt numFmtId="178" formatCode="_ * #,##0.0_ ;_ * \-#,##0.0_ ;_ * &quot;-&quot;??_ ;_ @_ "/>
    <numFmt numFmtId="179" formatCode="&quot;$&quot;\ #,##0.00;[Red]&quot;$&quot;\ \-#,##0.00"/>
    <numFmt numFmtId="180" formatCode="#,##0_ ;[Red]\-#,##0\ "/>
    <numFmt numFmtId="181" formatCode="General\ &quot;Meses&quot;"/>
    <numFmt numFmtId="182" formatCode="General\ &quot;Impuesto&quot;"/>
    <numFmt numFmtId="183" formatCode="General\ &quot;Reserva&quot;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8">
    <xf numFmtId="0" fontId="0" fillId="0" borderId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167" fontId="1" fillId="0" borderId="0" applyFont="0" applyFill="0" applyBorder="0" applyAlignment="0" applyProtection="0"/>
  </cellStyleXfs>
  <cellXfs count="505">
    <xf numFmtId="0" fontId="0" fillId="0" borderId="0" xfId="0"/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horizontal="right"/>
    </xf>
    <xf numFmtId="0" fontId="3" fillId="0" borderId="0" xfId="0" applyFont="1"/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0" fontId="6" fillId="2" borderId="6" xfId="0" applyNumberFormat="1" applyFont="1" applyFill="1" applyBorder="1" applyAlignment="1">
      <alignment horizontal="center" vertical="center" wrapText="1"/>
    </xf>
    <xf numFmtId="170" fontId="3" fillId="2" borderId="9" xfId="0" applyNumberFormat="1" applyFont="1" applyFill="1" applyBorder="1" applyAlignment="1">
      <alignment horizontal="center" vertical="center" wrapText="1"/>
    </xf>
    <xf numFmtId="170" fontId="3" fillId="2" borderId="7" xfId="0" applyNumberFormat="1" applyFont="1" applyFill="1" applyBorder="1" applyAlignment="1">
      <alignment horizontal="center" vertical="center" wrapText="1"/>
    </xf>
    <xf numFmtId="171" fontId="6" fillId="2" borderId="1" xfId="0" applyNumberFormat="1" applyFont="1" applyFill="1" applyBorder="1" applyAlignment="1">
      <alignment horizontal="center" vertical="center" wrapText="1"/>
    </xf>
    <xf numFmtId="0" fontId="7" fillId="0" borderId="0" xfId="5" applyProtection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3" fillId="0" borderId="0" xfId="0" applyFont="1" applyAlignment="1">
      <alignment horizontal="left" vertical="center"/>
    </xf>
    <xf numFmtId="3" fontId="3" fillId="2" borderId="0" xfId="0" applyNumberFormat="1" applyFont="1" applyFill="1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2" borderId="4" xfId="0" applyFill="1" applyBorder="1" applyAlignment="1" applyProtection="1">
      <alignment vertical="center" wrapText="1"/>
      <protection locked="0"/>
    </xf>
    <xf numFmtId="0" fontId="0" fillId="2" borderId="6" xfId="0" applyFill="1" applyBorder="1" applyAlignment="1" applyProtection="1">
      <alignment vertical="center" wrapText="1"/>
      <protection locked="0"/>
    </xf>
    <xf numFmtId="172" fontId="2" fillId="0" borderId="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73" fontId="0" fillId="2" borderId="5" xfId="2" applyNumberFormat="1" applyFont="1" applyFill="1" applyBorder="1" applyAlignment="1" applyProtection="1">
      <alignment vertical="center" wrapText="1"/>
      <protection locked="0"/>
    </xf>
    <xf numFmtId="173" fontId="0" fillId="0" borderId="4" xfId="0" applyNumberFormat="1" applyBorder="1" applyAlignment="1">
      <alignment vertical="center" wrapText="1"/>
    </xf>
    <xf numFmtId="173" fontId="0" fillId="0" borderId="1" xfId="0" applyNumberFormat="1" applyBorder="1" applyAlignment="1">
      <alignment vertical="center" wrapText="1"/>
    </xf>
    <xf numFmtId="173" fontId="0" fillId="0" borderId="5" xfId="0" applyNumberFormat="1" applyBorder="1" applyAlignment="1">
      <alignment vertical="center" wrapText="1"/>
    </xf>
    <xf numFmtId="173" fontId="0" fillId="2" borderId="7" xfId="2" applyNumberFormat="1" applyFont="1" applyFill="1" applyBorder="1" applyAlignment="1" applyProtection="1">
      <alignment vertical="center" wrapText="1"/>
      <protection locked="0"/>
    </xf>
    <xf numFmtId="173" fontId="0" fillId="0" borderId="6" xfId="0" applyNumberFormat="1" applyBorder="1" applyAlignment="1">
      <alignment vertical="center" wrapText="1"/>
    </xf>
    <xf numFmtId="173" fontId="0" fillId="0" borderId="9" xfId="0" applyNumberFormat="1" applyBorder="1" applyAlignment="1">
      <alignment vertical="center" wrapText="1"/>
    </xf>
    <xf numFmtId="173" fontId="0" fillId="0" borderId="7" xfId="0" applyNumberFormat="1" applyBorder="1" applyAlignment="1">
      <alignment vertical="center" wrapText="1"/>
    </xf>
    <xf numFmtId="173" fontId="0" fillId="0" borderId="5" xfId="0" applyNumberForma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3" fontId="0" fillId="0" borderId="3" xfId="0" applyNumberForma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173" fontId="0" fillId="2" borderId="1" xfId="0" applyNumberForma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73" fontId="0" fillId="0" borderId="1" xfId="0" applyNumberFormat="1" applyBorder="1"/>
    <xf numFmtId="173" fontId="0" fillId="2" borderId="1" xfId="0" applyNumberFormat="1" applyFill="1" applyBorder="1"/>
    <xf numFmtId="173" fontId="0" fillId="2" borderId="1" xfId="3" applyNumberFormat="1" applyFont="1" applyFill="1" applyBorder="1"/>
    <xf numFmtId="0" fontId="0" fillId="2" borderId="4" xfId="0" applyFill="1" applyBorder="1"/>
    <xf numFmtId="173" fontId="0" fillId="0" borderId="5" xfId="0" applyNumberFormat="1" applyBorder="1"/>
    <xf numFmtId="0" fontId="0" fillId="2" borderId="6" xfId="0" applyFill="1" applyBorder="1"/>
    <xf numFmtId="173" fontId="0" fillId="2" borderId="9" xfId="0" applyNumberFormat="1" applyFill="1" applyBorder="1"/>
    <xf numFmtId="173" fontId="0" fillId="0" borderId="9" xfId="0" applyNumberFormat="1" applyBorder="1"/>
    <xf numFmtId="173" fontId="0" fillId="0" borderId="7" xfId="0" applyNumberFormat="1" applyBorder="1"/>
    <xf numFmtId="0" fontId="3" fillId="0" borderId="23" xfId="0" applyFont="1" applyBorder="1" applyAlignment="1">
      <alignment horizontal="center"/>
    </xf>
    <xf numFmtId="173" fontId="3" fillId="0" borderId="24" xfId="0" applyNumberFormat="1" applyFont="1" applyBorder="1"/>
    <xf numFmtId="166" fontId="0" fillId="0" borderId="0" xfId="3" applyFont="1"/>
    <xf numFmtId="0" fontId="3" fillId="0" borderId="0" xfId="0" applyFont="1" applyAlignment="1">
      <alignment horizontal="center"/>
    </xf>
    <xf numFmtId="166" fontId="3" fillId="2" borderId="0" xfId="3" applyFont="1" applyFill="1"/>
    <xf numFmtId="0" fontId="0" fillId="2" borderId="1" xfId="0" applyFill="1" applyBorder="1" applyAlignment="1">
      <alignment horizontal="center"/>
    </xf>
    <xf numFmtId="173" fontId="0" fillId="2" borderId="9" xfId="3" applyNumberFormat="1" applyFont="1" applyFill="1" applyBorder="1"/>
    <xf numFmtId="0" fontId="0" fillId="2" borderId="9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73" fontId="4" fillId="0" borderId="0" xfId="0" applyNumberFormat="1" applyFont="1"/>
    <xf numFmtId="9" fontId="0" fillId="0" borderId="0" xfId="0" applyNumberFormat="1"/>
    <xf numFmtId="0" fontId="0" fillId="0" borderId="4" xfId="0" applyBorder="1"/>
    <xf numFmtId="166" fontId="0" fillId="2" borderId="5" xfId="3" applyFont="1" applyFill="1" applyBorder="1"/>
    <xf numFmtId="0" fontId="0" fillId="0" borderId="32" xfId="0" applyBorder="1"/>
    <xf numFmtId="166" fontId="0" fillId="2" borderId="34" xfId="3" applyFont="1" applyFill="1" applyBorder="1"/>
    <xf numFmtId="0" fontId="3" fillId="0" borderId="2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6" fontId="3" fillId="2" borderId="7" xfId="3" applyFont="1" applyFill="1" applyBorder="1" applyAlignment="1">
      <alignment horizontal="center"/>
    </xf>
    <xf numFmtId="166" fontId="0" fillId="0" borderId="0" xfId="0" applyNumberFormat="1"/>
    <xf numFmtId="165" fontId="0" fillId="0" borderId="0" xfId="0" applyNumberFormat="1"/>
    <xf numFmtId="168" fontId="0" fillId="0" borderId="0" xfId="0" applyNumberFormat="1"/>
    <xf numFmtId="0" fontId="0" fillId="0" borderId="1" xfId="0" applyBorder="1"/>
    <xf numFmtId="0" fontId="0" fillId="0" borderId="2" xfId="0" applyBorder="1"/>
    <xf numFmtId="166" fontId="3" fillId="2" borderId="3" xfId="3" applyFont="1" applyFill="1" applyBorder="1"/>
    <xf numFmtId="0" fontId="3" fillId="2" borderId="5" xfId="0" applyFont="1" applyFill="1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2" xfId="0" applyBorder="1" applyAlignment="1">
      <alignment horizontal="center"/>
    </xf>
    <xf numFmtId="166" fontId="0" fillId="0" borderId="33" xfId="0" applyNumberFormat="1" applyBorder="1"/>
    <xf numFmtId="164" fontId="0" fillId="0" borderId="33" xfId="0" applyNumberFormat="1" applyBorder="1"/>
    <xf numFmtId="174" fontId="0" fillId="0" borderId="1" xfId="0" applyNumberFormat="1" applyBorder="1"/>
    <xf numFmtId="174" fontId="0" fillId="0" borderId="9" xfId="0" applyNumberFormat="1" applyBorder="1"/>
    <xf numFmtId="164" fontId="0" fillId="0" borderId="34" xfId="0" applyNumberFormat="1" applyBorder="1"/>
    <xf numFmtId="164" fontId="0" fillId="0" borderId="1" xfId="0" applyNumberFormat="1" applyBorder="1"/>
    <xf numFmtId="164" fontId="0" fillId="0" borderId="5" xfId="0" applyNumberFormat="1" applyBorder="1"/>
    <xf numFmtId="164" fontId="0" fillId="0" borderId="9" xfId="0" applyNumberFormat="1" applyBorder="1"/>
    <xf numFmtId="164" fontId="0" fillId="0" borderId="7" xfId="0" applyNumberFormat="1" applyBorder="1"/>
    <xf numFmtId="10" fontId="3" fillId="2" borderId="5" xfId="4" applyNumberFormat="1" applyFont="1" applyFill="1" applyBorder="1"/>
    <xf numFmtId="164" fontId="3" fillId="0" borderId="7" xfId="3" applyNumberFormat="1" applyFont="1" applyFill="1" applyBorder="1"/>
    <xf numFmtId="164" fontId="0" fillId="0" borderId="31" xfId="0" applyNumberFormat="1" applyBorder="1"/>
    <xf numFmtId="166" fontId="0" fillId="0" borderId="31" xfId="0" applyNumberFormat="1" applyBorder="1"/>
    <xf numFmtId="0" fontId="3" fillId="0" borderId="0" xfId="0" applyFont="1" applyAlignment="1">
      <alignment vertical="center"/>
    </xf>
    <xf numFmtId="173" fontId="3" fillId="0" borderId="23" xfId="0" applyNumberFormat="1" applyFont="1" applyBorder="1" applyAlignment="1">
      <alignment vertical="center"/>
    </xf>
    <xf numFmtId="173" fontId="3" fillId="0" borderId="24" xfId="0" applyNumberFormat="1" applyFont="1" applyBorder="1" applyAlignment="1">
      <alignment vertical="center"/>
    </xf>
    <xf numFmtId="173" fontId="3" fillId="0" borderId="22" xfId="0" applyNumberFormat="1" applyFont="1" applyBorder="1" applyAlignment="1">
      <alignment vertical="center" wrapText="1"/>
    </xf>
    <xf numFmtId="173" fontId="3" fillId="0" borderId="23" xfId="0" applyNumberFormat="1" applyFont="1" applyBorder="1" applyAlignment="1">
      <alignment horizontal="center" vertical="center"/>
    </xf>
    <xf numFmtId="0" fontId="3" fillId="0" borderId="1" xfId="0" applyFont="1" applyBorder="1"/>
    <xf numFmtId="166" fontId="0" fillId="2" borderId="1" xfId="3" applyFont="1" applyFill="1" applyBorder="1"/>
    <xf numFmtId="173" fontId="3" fillId="0" borderId="1" xfId="0" applyNumberFormat="1" applyFont="1" applyBorder="1"/>
    <xf numFmtId="172" fontId="2" fillId="0" borderId="0" xfId="1" applyNumberFormat="1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77" fontId="3" fillId="0" borderId="0" xfId="1" applyNumberFormat="1" applyFont="1" applyFill="1" applyBorder="1" applyAlignment="1" applyProtection="1">
      <alignment horizontal="left" indent="1"/>
      <protection hidden="1"/>
    </xf>
    <xf numFmtId="177" fontId="3" fillId="0" borderId="0" xfId="1" applyNumberFormat="1" applyFont="1" applyFill="1" applyBorder="1"/>
    <xf numFmtId="177" fontId="3" fillId="0" borderId="0" xfId="1" applyNumberFormat="1" applyFont="1" applyFill="1" applyBorder="1" applyAlignment="1" applyProtection="1">
      <alignment horizontal="center" vertical="center"/>
      <protection hidden="1"/>
    </xf>
    <xf numFmtId="177" fontId="3" fillId="0" borderId="0" xfId="1" applyNumberFormat="1" applyFont="1" applyFill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77" fontId="0" fillId="0" borderId="0" xfId="0" applyNumberFormat="1"/>
    <xf numFmtId="177" fontId="3" fillId="0" borderId="0" xfId="0" applyNumberFormat="1" applyFont="1"/>
    <xf numFmtId="166" fontId="0" fillId="0" borderId="0" xfId="3" applyFont="1" applyFill="1" applyBorder="1" applyAlignment="1">
      <alignment vertical="center"/>
    </xf>
    <xf numFmtId="166" fontId="0" fillId="0" borderId="0" xfId="3" applyFont="1" applyFill="1" applyBorder="1" applyAlignment="1" applyProtection="1">
      <alignment vertical="center"/>
    </xf>
    <xf numFmtId="166" fontId="0" fillId="0" borderId="0" xfId="3" applyFont="1" applyFill="1" applyBorder="1"/>
    <xf numFmtId="166" fontId="0" fillId="0" borderId="0" xfId="3" applyFont="1" applyFill="1" applyBorder="1" applyProtection="1">
      <protection hidden="1"/>
    </xf>
    <xf numFmtId="173" fontId="0" fillId="0" borderId="0" xfId="0" applyNumberFormat="1"/>
    <xf numFmtId="0" fontId="0" fillId="0" borderId="44" xfId="0" applyBorder="1" applyAlignment="1">
      <alignment vertical="center" wrapText="1"/>
    </xf>
    <xf numFmtId="0" fontId="3" fillId="0" borderId="22" xfId="0" applyFont="1" applyBorder="1" applyAlignment="1">
      <alignment vertical="center"/>
    </xf>
    <xf numFmtId="180" fontId="3" fillId="0" borderId="0" xfId="3" applyNumberFormat="1" applyFont="1" applyFill="1" applyBorder="1" applyProtection="1">
      <protection hidden="1"/>
    </xf>
    <xf numFmtId="0" fontId="3" fillId="0" borderId="0" xfId="0" applyFont="1" applyAlignment="1">
      <alignment horizontal="center" vertical="center"/>
    </xf>
    <xf numFmtId="173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6" fontId="3" fillId="2" borderId="9" xfId="3" applyFont="1" applyFill="1" applyBorder="1" applyAlignment="1">
      <alignment horizontal="center" vertical="center"/>
    </xf>
    <xf numFmtId="166" fontId="3" fillId="2" borderId="7" xfId="3" applyFont="1" applyFill="1" applyBorder="1" applyAlignment="1">
      <alignment horizontal="center" vertical="center"/>
    </xf>
    <xf numFmtId="173" fontId="3" fillId="2" borderId="9" xfId="0" applyNumberFormat="1" applyFont="1" applyFill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173" fontId="3" fillId="0" borderId="0" xfId="0" applyNumberFormat="1" applyFont="1"/>
    <xf numFmtId="181" fontId="9" fillId="0" borderId="0" xfId="3" applyNumberFormat="1" applyFont="1" applyFill="1" applyBorder="1" applyProtection="1">
      <protection hidden="1"/>
    </xf>
    <xf numFmtId="166" fontId="1" fillId="0" borderId="0" xfId="3" applyFont="1" applyFill="1" applyBorder="1" applyProtection="1">
      <protection hidden="1"/>
    </xf>
    <xf numFmtId="166" fontId="3" fillId="0" borderId="0" xfId="3" applyFont="1" applyFill="1" applyBorder="1" applyProtection="1">
      <protection hidden="1"/>
    </xf>
    <xf numFmtId="177" fontId="3" fillId="0" borderId="0" xfId="1" applyNumberFormat="1" applyFont="1" applyFill="1" applyBorder="1" applyAlignment="1" applyProtection="1">
      <alignment vertical="center"/>
      <protection hidden="1"/>
    </xf>
    <xf numFmtId="166" fontId="3" fillId="0" borderId="1" xfId="3" applyFont="1" applyFill="1" applyBorder="1" applyAlignment="1" applyProtection="1">
      <alignment horizontal="center" vertical="center"/>
      <protection hidden="1"/>
    </xf>
    <xf numFmtId="166" fontId="0" fillId="0" borderId="1" xfId="3" applyFont="1" applyFill="1" applyBorder="1" applyProtection="1">
      <protection hidden="1"/>
    </xf>
    <xf numFmtId="164" fontId="3" fillId="0" borderId="1" xfId="3" applyNumberFormat="1" applyFont="1" applyFill="1" applyBorder="1" applyProtection="1">
      <protection hidden="1"/>
    </xf>
    <xf numFmtId="177" fontId="3" fillId="0" borderId="4" xfId="1" applyNumberFormat="1" applyFont="1" applyFill="1" applyBorder="1" applyAlignment="1" applyProtection="1">
      <alignment horizontal="center" vertical="center"/>
      <protection hidden="1"/>
    </xf>
    <xf numFmtId="166" fontId="3" fillId="0" borderId="5" xfId="3" applyFont="1" applyFill="1" applyBorder="1" applyAlignment="1" applyProtection="1">
      <alignment horizontal="center" vertical="center"/>
      <protection hidden="1"/>
    </xf>
    <xf numFmtId="177" fontId="3" fillId="0" borderId="4" xfId="1" applyNumberFormat="1" applyFont="1" applyFill="1" applyBorder="1" applyAlignment="1" applyProtection="1">
      <alignment vertical="center"/>
      <protection hidden="1"/>
    </xf>
    <xf numFmtId="166" fontId="0" fillId="0" borderId="5" xfId="3" applyFont="1" applyFill="1" applyBorder="1" applyProtection="1">
      <protection hidden="1"/>
    </xf>
    <xf numFmtId="164" fontId="3" fillId="0" borderId="5" xfId="3" applyNumberFormat="1" applyFont="1" applyFill="1" applyBorder="1" applyProtection="1">
      <protection hidden="1"/>
    </xf>
    <xf numFmtId="177" fontId="3" fillId="0" borderId="6" xfId="1" applyNumberFormat="1" applyFont="1" applyFill="1" applyBorder="1" applyAlignment="1" applyProtection="1">
      <alignment vertical="center"/>
      <protection hidden="1"/>
    </xf>
    <xf numFmtId="164" fontId="3" fillId="0" borderId="9" xfId="3" applyNumberFormat="1" applyFont="1" applyFill="1" applyBorder="1" applyProtection="1">
      <protection hidden="1"/>
    </xf>
    <xf numFmtId="164" fontId="3" fillId="0" borderId="7" xfId="3" applyNumberFormat="1" applyFont="1" applyFill="1" applyBorder="1" applyProtection="1">
      <protection hidden="1"/>
    </xf>
    <xf numFmtId="177" fontId="3" fillId="0" borderId="2" xfId="1" applyNumberFormat="1" applyFont="1" applyFill="1" applyBorder="1" applyAlignment="1" applyProtection="1">
      <alignment vertical="center"/>
      <protection hidden="1"/>
    </xf>
    <xf numFmtId="166" fontId="0" fillId="0" borderId="8" xfId="3" applyFont="1" applyFill="1" applyBorder="1" applyProtection="1">
      <protection hidden="1"/>
    </xf>
    <xf numFmtId="166" fontId="0" fillId="0" borderId="3" xfId="3" applyFont="1" applyFill="1" applyBorder="1" applyProtection="1">
      <protection hidden="1"/>
    </xf>
    <xf numFmtId="166" fontId="0" fillId="2" borderId="1" xfId="3" applyFont="1" applyFill="1" applyBorder="1" applyProtection="1">
      <protection hidden="1"/>
    </xf>
    <xf numFmtId="166" fontId="0" fillId="2" borderId="8" xfId="3" applyFont="1" applyFill="1" applyBorder="1" applyProtection="1">
      <protection hidden="1"/>
    </xf>
    <xf numFmtId="166" fontId="0" fillId="2" borderId="3" xfId="3" applyFont="1" applyFill="1" applyBorder="1" applyProtection="1">
      <protection hidden="1"/>
    </xf>
    <xf numFmtId="166" fontId="0" fillId="2" borderId="5" xfId="3" applyFont="1" applyFill="1" applyBorder="1" applyProtection="1">
      <protection hidden="1"/>
    </xf>
    <xf numFmtId="182" fontId="3" fillId="0" borderId="4" xfId="1" applyNumberFormat="1" applyFont="1" applyFill="1" applyBorder="1" applyAlignment="1" applyProtection="1">
      <alignment horizontal="left" indent="1"/>
      <protection hidden="1"/>
    </xf>
    <xf numFmtId="183" fontId="3" fillId="0" borderId="4" xfId="1" applyNumberFormat="1" applyFont="1" applyFill="1" applyBorder="1" applyAlignment="1" applyProtection="1">
      <alignment horizontal="left" indent="2"/>
      <protection hidden="1"/>
    </xf>
    <xf numFmtId="0" fontId="7" fillId="0" borderId="0" xfId="5" applyBorder="1"/>
    <xf numFmtId="177" fontId="1" fillId="0" borderId="0" xfId="1" applyNumberFormat="1" applyFont="1" applyFill="1" applyBorder="1" applyProtection="1">
      <protection hidden="1"/>
    </xf>
    <xf numFmtId="0" fontId="0" fillId="0" borderId="9" xfId="0" applyBorder="1" applyAlignment="1">
      <alignment horizontal="center"/>
    </xf>
    <xf numFmtId="164" fontId="0" fillId="0" borderId="0" xfId="3" applyNumberFormat="1" applyFont="1" applyFill="1" applyBorder="1" applyProtection="1">
      <protection hidden="1"/>
    </xf>
    <xf numFmtId="164" fontId="3" fillId="0" borderId="0" xfId="0" applyNumberFormat="1" applyFont="1"/>
    <xf numFmtId="164" fontId="0" fillId="0" borderId="1" xfId="3" applyNumberFormat="1" applyFont="1" applyFill="1" applyBorder="1" applyProtection="1">
      <protection hidden="1"/>
    </xf>
    <xf numFmtId="173" fontId="0" fillId="2" borderId="1" xfId="3" applyNumberFormat="1" applyFont="1" applyFill="1" applyBorder="1" applyProtection="1">
      <protection hidden="1"/>
    </xf>
    <xf numFmtId="166" fontId="3" fillId="0" borderId="1" xfId="3" applyFont="1" applyFill="1" applyBorder="1" applyProtection="1">
      <protection hidden="1"/>
    </xf>
    <xf numFmtId="177" fontId="3" fillId="0" borderId="4" xfId="1" applyNumberFormat="1" applyFont="1" applyFill="1" applyBorder="1" applyAlignment="1" applyProtection="1">
      <alignment horizontal="left"/>
      <protection locked="0"/>
    </xf>
    <xf numFmtId="177" fontId="3" fillId="0" borderId="5" xfId="1" applyNumberFormat="1" applyFont="1" applyFill="1" applyBorder="1" applyAlignment="1" applyProtection="1">
      <alignment horizontal="center" vertical="center"/>
      <protection hidden="1"/>
    </xf>
    <xf numFmtId="177" fontId="3" fillId="0" borderId="4" xfId="1" applyNumberFormat="1" applyFont="1" applyFill="1" applyBorder="1" applyAlignment="1" applyProtection="1">
      <alignment horizontal="center"/>
      <protection hidden="1"/>
    </xf>
    <xf numFmtId="177" fontId="3" fillId="0" borderId="4" xfId="1" applyNumberFormat="1" applyFont="1" applyFill="1" applyBorder="1" applyProtection="1">
      <protection hidden="1"/>
    </xf>
    <xf numFmtId="164" fontId="0" fillId="0" borderId="5" xfId="3" applyNumberFormat="1" applyFont="1" applyFill="1" applyBorder="1" applyProtection="1">
      <protection hidden="1"/>
    </xf>
    <xf numFmtId="173" fontId="0" fillId="2" borderId="5" xfId="3" applyNumberFormat="1" applyFont="1" applyFill="1" applyBorder="1" applyProtection="1">
      <protection hidden="1"/>
    </xf>
    <xf numFmtId="177" fontId="3" fillId="0" borderId="6" xfId="1" applyNumberFormat="1" applyFont="1" applyFill="1" applyBorder="1" applyAlignment="1" applyProtection="1">
      <alignment horizontal="center" vertical="center"/>
      <protection hidden="1"/>
    </xf>
    <xf numFmtId="166" fontId="3" fillId="0" borderId="9" xfId="3" applyFont="1" applyFill="1" applyBorder="1" applyProtection="1">
      <protection hidden="1"/>
    </xf>
    <xf numFmtId="166" fontId="3" fillId="0" borderId="7" xfId="3" applyFont="1" applyFill="1" applyBorder="1" applyProtection="1">
      <protection hidden="1"/>
    </xf>
    <xf numFmtId="177" fontId="3" fillId="0" borderId="2" xfId="1" applyNumberFormat="1" applyFont="1" applyFill="1" applyBorder="1" applyAlignment="1" applyProtection="1">
      <alignment horizontal="center"/>
      <protection hidden="1"/>
    </xf>
    <xf numFmtId="177" fontId="3" fillId="0" borderId="6" xfId="1" applyNumberFormat="1" applyFont="1" applyFill="1" applyBorder="1" applyAlignment="1" applyProtection="1">
      <alignment horizontal="center"/>
      <protection hidden="1"/>
    </xf>
    <xf numFmtId="166" fontId="0" fillId="2" borderId="1" xfId="3" applyFont="1" applyFill="1" applyBorder="1" applyProtection="1">
      <protection locked="0"/>
    </xf>
    <xf numFmtId="177" fontId="3" fillId="0" borderId="4" xfId="1" applyNumberFormat="1" applyFont="1" applyFill="1" applyBorder="1" applyProtection="1">
      <protection locked="0"/>
    </xf>
    <xf numFmtId="166" fontId="1" fillId="2" borderId="5" xfId="3" applyFont="1" applyFill="1" applyBorder="1" applyProtection="1">
      <protection locked="0"/>
    </xf>
    <xf numFmtId="166" fontId="3" fillId="0" borderId="5" xfId="3" applyFont="1" applyFill="1" applyBorder="1" applyProtection="1">
      <protection hidden="1"/>
    </xf>
    <xf numFmtId="175" fontId="0" fillId="2" borderId="1" xfId="3" applyNumberFormat="1" applyFont="1" applyFill="1" applyBorder="1" applyProtection="1">
      <protection hidden="1"/>
    </xf>
    <xf numFmtId="166" fontId="0" fillId="0" borderId="1" xfId="3" applyFont="1" applyFill="1" applyBorder="1" applyProtection="1">
      <protection locked="0"/>
    </xf>
    <xf numFmtId="173" fontId="0" fillId="0" borderId="1" xfId="3" applyNumberFormat="1" applyFont="1" applyFill="1" applyBorder="1" applyProtection="1">
      <protection locked="0"/>
    </xf>
    <xf numFmtId="177" fontId="3" fillId="0" borderId="2" xfId="1" applyNumberFormat="1" applyFont="1" applyFill="1" applyBorder="1" applyAlignment="1" applyProtection="1">
      <alignment horizontal="center" vertical="center"/>
      <protection hidden="1"/>
    </xf>
    <xf numFmtId="177" fontId="3" fillId="0" borderId="4" xfId="1" applyNumberFormat="1" applyFont="1" applyFill="1" applyBorder="1" applyAlignment="1" applyProtection="1">
      <alignment horizontal="left" vertical="center"/>
      <protection hidden="1"/>
    </xf>
    <xf numFmtId="175" fontId="1" fillId="2" borderId="5" xfId="3" applyNumberFormat="1" applyFont="1" applyFill="1" applyBorder="1" applyProtection="1">
      <protection hidden="1"/>
    </xf>
    <xf numFmtId="173" fontId="0" fillId="0" borderId="5" xfId="3" applyNumberFormat="1" applyFont="1" applyFill="1" applyBorder="1" applyProtection="1">
      <protection locked="0"/>
    </xf>
    <xf numFmtId="173" fontId="0" fillId="2" borderId="1" xfId="3" applyNumberFormat="1" applyFont="1" applyFill="1" applyBorder="1" applyProtection="1">
      <protection locked="0"/>
    </xf>
    <xf numFmtId="175" fontId="0" fillId="0" borderId="5" xfId="3" applyNumberFormat="1" applyFont="1" applyFill="1" applyBorder="1" applyProtection="1">
      <protection hidden="1"/>
    </xf>
    <xf numFmtId="173" fontId="1" fillId="2" borderId="5" xfId="3" applyNumberFormat="1" applyFont="1" applyFill="1" applyBorder="1" applyProtection="1">
      <protection locked="0"/>
    </xf>
    <xf numFmtId="166" fontId="0" fillId="0" borderId="9" xfId="3" applyFont="1" applyFill="1" applyBorder="1" applyProtection="1">
      <protection hidden="1"/>
    </xf>
    <xf numFmtId="173" fontId="0" fillId="0" borderId="1" xfId="3" applyNumberFormat="1" applyFont="1" applyFill="1" applyBorder="1" applyProtection="1">
      <protection hidden="1"/>
    </xf>
    <xf numFmtId="173" fontId="1" fillId="2" borderId="5" xfId="3" applyNumberFormat="1" applyFont="1" applyFill="1" applyBorder="1" applyProtection="1">
      <protection hidden="1"/>
    </xf>
    <xf numFmtId="0" fontId="3" fillId="0" borderId="4" xfId="0" applyFont="1" applyBorder="1" applyProtection="1">
      <protection hidden="1"/>
    </xf>
    <xf numFmtId="173" fontId="0" fillId="0" borderId="5" xfId="3" applyNumberFormat="1" applyFont="1" applyFill="1" applyBorder="1" applyProtection="1"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173" fontId="3" fillId="0" borderId="9" xfId="3" applyNumberFormat="1" applyFont="1" applyFill="1" applyBorder="1" applyProtection="1">
      <protection hidden="1"/>
    </xf>
    <xf numFmtId="173" fontId="3" fillId="0" borderId="7" xfId="3" applyNumberFormat="1" applyFont="1" applyFill="1" applyBorder="1" applyProtection="1">
      <protection hidden="1"/>
    </xf>
    <xf numFmtId="0" fontId="3" fillId="0" borderId="22" xfId="0" applyFont="1" applyBorder="1" applyAlignment="1" applyProtection="1">
      <alignment horizontal="center" vertical="center"/>
      <protection hidden="1"/>
    </xf>
    <xf numFmtId="173" fontId="3" fillId="0" borderId="23" xfId="3" applyNumberFormat="1" applyFont="1" applyFill="1" applyBorder="1" applyProtection="1">
      <protection hidden="1"/>
    </xf>
    <xf numFmtId="173" fontId="3" fillId="0" borderId="24" xfId="3" applyNumberFormat="1" applyFont="1" applyFill="1" applyBorder="1" applyProtection="1">
      <protection hidden="1"/>
    </xf>
    <xf numFmtId="166" fontId="3" fillId="0" borderId="0" xfId="0" applyNumberFormat="1" applyFont="1"/>
    <xf numFmtId="177" fontId="3" fillId="0" borderId="38" xfId="1" applyNumberFormat="1" applyFont="1" applyFill="1" applyBorder="1" applyAlignment="1" applyProtection="1">
      <alignment horizontal="center" vertical="center"/>
      <protection hidden="1"/>
    </xf>
    <xf numFmtId="166" fontId="3" fillId="0" borderId="49" xfId="3" applyFont="1" applyFill="1" applyBorder="1" applyProtection="1">
      <protection hidden="1"/>
    </xf>
    <xf numFmtId="177" fontId="3" fillId="0" borderId="38" xfId="1" applyNumberFormat="1" applyFont="1" applyFill="1" applyBorder="1" applyAlignment="1" applyProtection="1">
      <alignment horizontal="center"/>
      <protection hidden="1"/>
    </xf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vertical="center"/>
      <protection hidden="1"/>
    </xf>
    <xf numFmtId="0" fontId="3" fillId="0" borderId="6" xfId="0" applyFont="1" applyBorder="1" applyAlignment="1" applyProtection="1">
      <alignment horizontal="justify" vertical="center"/>
      <protection hidden="1"/>
    </xf>
    <xf numFmtId="0" fontId="3" fillId="0" borderId="32" xfId="0" applyFont="1" applyBorder="1" applyAlignment="1" applyProtection="1">
      <alignment vertical="center"/>
      <protection hidden="1"/>
    </xf>
    <xf numFmtId="0" fontId="3" fillId="0" borderId="20" xfId="0" applyFont="1" applyBorder="1" applyAlignment="1" applyProtection="1">
      <alignment vertical="center"/>
      <protection hidden="1"/>
    </xf>
    <xf numFmtId="0" fontId="3" fillId="0" borderId="32" xfId="0" applyFont="1" applyBorder="1" applyAlignment="1" applyProtection="1">
      <alignment horizontal="center" vertical="center"/>
      <protection hidden="1"/>
    </xf>
    <xf numFmtId="164" fontId="0" fillId="0" borderId="33" xfId="3" applyNumberFormat="1" applyFont="1" applyFill="1" applyBorder="1" applyProtection="1">
      <protection hidden="1"/>
    </xf>
    <xf numFmtId="164" fontId="0" fillId="0" borderId="34" xfId="3" applyNumberFormat="1" applyFont="1" applyFill="1" applyBorder="1" applyProtection="1">
      <protection hidden="1"/>
    </xf>
    <xf numFmtId="0" fontId="3" fillId="0" borderId="2" xfId="0" applyFont="1" applyBorder="1" applyAlignment="1" applyProtection="1">
      <alignment vertical="center"/>
      <protection hidden="1"/>
    </xf>
    <xf numFmtId="0" fontId="3" fillId="0" borderId="6" xfId="0" applyFont="1" applyBorder="1" applyAlignment="1" applyProtection="1">
      <alignment vertical="center"/>
      <protection hidden="1"/>
    </xf>
    <xf numFmtId="166" fontId="0" fillId="0" borderId="7" xfId="3" applyFont="1" applyFill="1" applyBorder="1" applyProtection="1">
      <protection hidden="1"/>
    </xf>
    <xf numFmtId="0" fontId="5" fillId="0" borderId="0" xfId="0" applyFont="1" applyAlignment="1">
      <alignment vertical="center"/>
    </xf>
    <xf numFmtId="0" fontId="6" fillId="0" borderId="0" xfId="0" applyFont="1"/>
    <xf numFmtId="166" fontId="5" fillId="0" borderId="0" xfId="3" applyFont="1" applyFill="1"/>
    <xf numFmtId="177" fontId="5" fillId="0" borderId="0" xfId="0" applyNumberFormat="1" applyFont="1" applyProtection="1">
      <protection hidden="1"/>
    </xf>
    <xf numFmtId="0" fontId="5" fillId="0" borderId="38" xfId="0" applyFont="1" applyBorder="1" applyProtection="1">
      <protection hidden="1"/>
    </xf>
    <xf numFmtId="0" fontId="5" fillId="0" borderId="0" xfId="0" applyFont="1" applyProtection="1">
      <protection hidden="1"/>
    </xf>
    <xf numFmtId="0" fontId="5" fillId="0" borderId="47" xfId="0" applyFont="1" applyBorder="1" applyProtection="1">
      <protection hidden="1"/>
    </xf>
    <xf numFmtId="0" fontId="5" fillId="0" borderId="12" xfId="0" applyFont="1" applyBorder="1" applyProtection="1">
      <protection hidden="1"/>
    </xf>
    <xf numFmtId="177" fontId="5" fillId="0" borderId="0" xfId="1" applyNumberFormat="1" applyFont="1" applyFill="1" applyBorder="1" applyProtection="1">
      <protection hidden="1"/>
    </xf>
    <xf numFmtId="9" fontId="6" fillId="0" borderId="0" xfId="0" applyNumberFormat="1" applyFont="1" applyAlignment="1" applyProtection="1">
      <alignment horizontal="right"/>
      <protection hidden="1"/>
    </xf>
    <xf numFmtId="179" fontId="5" fillId="0" borderId="0" xfId="0" applyNumberFormat="1" applyFont="1" applyProtection="1">
      <protection hidden="1"/>
    </xf>
    <xf numFmtId="0" fontId="6" fillId="0" borderId="0" xfId="0" applyFont="1" applyAlignment="1" applyProtection="1">
      <alignment horizontal="right"/>
      <protection hidden="1"/>
    </xf>
    <xf numFmtId="10" fontId="6" fillId="0" borderId="0" xfId="0" applyNumberFormat="1" applyFont="1" applyProtection="1">
      <protection hidden="1"/>
    </xf>
    <xf numFmtId="177" fontId="6" fillId="0" borderId="0" xfId="0" applyNumberFormat="1" applyFont="1" applyProtection="1">
      <protection hidden="1"/>
    </xf>
    <xf numFmtId="0" fontId="5" fillId="0" borderId="0" xfId="0" applyFont="1" applyAlignment="1">
      <alignment vertical="center" wrapText="1"/>
    </xf>
    <xf numFmtId="0" fontId="5" fillId="0" borderId="38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5" fillId="0" borderId="46" xfId="0" applyFont="1" applyBorder="1" applyAlignment="1" applyProtection="1">
      <alignment horizontal="center"/>
      <protection hidden="1"/>
    </xf>
    <xf numFmtId="177" fontId="5" fillId="0" borderId="40" xfId="0" applyNumberFormat="1" applyFont="1" applyBorder="1" applyAlignment="1" applyProtection="1">
      <alignment horizontal="center"/>
      <protection hidden="1"/>
    </xf>
    <xf numFmtId="177" fontId="5" fillId="0" borderId="0" xfId="0" applyNumberFormat="1" applyFont="1" applyAlignment="1" applyProtection="1">
      <alignment horizontal="right" vertical="center" wrapText="1"/>
      <protection hidden="1"/>
    </xf>
    <xf numFmtId="0" fontId="5" fillId="0" borderId="10" xfId="0" applyFont="1" applyBorder="1" applyAlignment="1" applyProtection="1">
      <alignment horizontal="right"/>
      <protection hidden="1"/>
    </xf>
    <xf numFmtId="9" fontId="5" fillId="0" borderId="11" xfId="0" applyNumberFormat="1" applyFont="1" applyBorder="1" applyAlignment="1" applyProtection="1">
      <alignment horizontal="left"/>
      <protection hidden="1"/>
    </xf>
    <xf numFmtId="0" fontId="5" fillId="0" borderId="18" xfId="0" applyFont="1" applyBorder="1" applyAlignment="1" applyProtection="1">
      <alignment horizontal="center"/>
      <protection hidden="1"/>
    </xf>
    <xf numFmtId="177" fontId="5" fillId="0" borderId="43" xfId="1" applyNumberFormat="1" applyFont="1" applyFill="1" applyBorder="1" applyAlignment="1" applyProtection="1">
      <alignment horizontal="right"/>
      <protection hidden="1"/>
    </xf>
    <xf numFmtId="0" fontId="5" fillId="0" borderId="19" xfId="0" applyFont="1" applyBorder="1" applyAlignment="1" applyProtection="1">
      <alignment horizontal="center"/>
      <protection hidden="1"/>
    </xf>
    <xf numFmtId="177" fontId="5" fillId="0" borderId="48" xfId="1" applyNumberFormat="1" applyFont="1" applyFill="1" applyBorder="1" applyAlignment="1" applyProtection="1">
      <alignment horizontal="right"/>
      <protection hidden="1"/>
    </xf>
    <xf numFmtId="0" fontId="5" fillId="0" borderId="38" xfId="0" applyFont="1" applyBorder="1" applyAlignment="1" applyProtection="1">
      <alignment horizontal="right"/>
      <protection hidden="1"/>
    </xf>
    <xf numFmtId="9" fontId="5" fillId="0" borderId="0" xfId="0" applyNumberFormat="1" applyFont="1" applyAlignment="1" applyProtection="1">
      <alignment horizontal="right"/>
      <protection hidden="1"/>
    </xf>
    <xf numFmtId="176" fontId="5" fillId="0" borderId="0" xfId="0" applyNumberFormat="1" applyFont="1" applyProtection="1">
      <protection hidden="1"/>
    </xf>
    <xf numFmtId="0" fontId="5" fillId="0" borderId="0" xfId="0" applyFont="1" applyAlignment="1" applyProtection="1">
      <alignment horizontal="right"/>
      <protection hidden="1"/>
    </xf>
    <xf numFmtId="10" fontId="5" fillId="0" borderId="0" xfId="0" applyNumberFormat="1" applyFont="1" applyProtection="1">
      <protection hidden="1"/>
    </xf>
    <xf numFmtId="0" fontId="5" fillId="0" borderId="41" xfId="0" applyFont="1" applyBorder="1" applyAlignment="1" applyProtection="1">
      <alignment horizontal="center"/>
      <protection hidden="1"/>
    </xf>
    <xf numFmtId="0" fontId="6" fillId="0" borderId="38" xfId="0" applyFont="1" applyBorder="1" applyAlignment="1" applyProtection="1">
      <alignment horizontal="justify"/>
      <protection hidden="1"/>
    </xf>
    <xf numFmtId="177" fontId="5" fillId="0" borderId="1" xfId="0" applyNumberFormat="1" applyFont="1" applyBorder="1" applyProtection="1">
      <protection hidden="1"/>
    </xf>
    <xf numFmtId="178" fontId="5" fillId="0" borderId="1" xfId="0" applyNumberFormat="1" applyFont="1" applyBorder="1" applyProtection="1">
      <protection hidden="1"/>
    </xf>
    <xf numFmtId="9" fontId="5" fillId="0" borderId="1" xfId="4" applyFont="1" applyFill="1" applyBorder="1" applyProtection="1">
      <protection hidden="1"/>
    </xf>
    <xf numFmtId="170" fontId="5" fillId="0" borderId="1" xfId="4" applyNumberFormat="1" applyFont="1" applyFill="1" applyBorder="1" applyProtection="1">
      <protection hidden="1"/>
    </xf>
    <xf numFmtId="0" fontId="5" fillId="0" borderId="8" xfId="0" applyFont="1" applyBorder="1" applyProtection="1">
      <protection hidden="1"/>
    </xf>
    <xf numFmtId="0" fontId="5" fillId="0" borderId="3" xfId="0" applyFont="1" applyBorder="1" applyProtection="1">
      <protection hidden="1"/>
    </xf>
    <xf numFmtId="0" fontId="5" fillId="0" borderId="4" xfId="0" applyFont="1" applyBorder="1" applyProtection="1">
      <protection hidden="1"/>
    </xf>
    <xf numFmtId="177" fontId="5" fillId="0" borderId="5" xfId="0" applyNumberFormat="1" applyFont="1" applyBorder="1" applyProtection="1">
      <protection hidden="1"/>
    </xf>
    <xf numFmtId="0" fontId="5" fillId="0" borderId="6" xfId="0" applyFont="1" applyBorder="1" applyProtection="1">
      <protection hidden="1"/>
    </xf>
    <xf numFmtId="0" fontId="5" fillId="0" borderId="52" xfId="0" applyFont="1" applyBorder="1" applyProtection="1">
      <protection hidden="1"/>
    </xf>
    <xf numFmtId="9" fontId="5" fillId="0" borderId="5" xfId="4" applyFont="1" applyFill="1" applyBorder="1" applyProtection="1">
      <protection hidden="1"/>
    </xf>
    <xf numFmtId="170" fontId="5" fillId="0" borderId="5" xfId="4" applyNumberFormat="1" applyFont="1" applyFill="1" applyBorder="1" applyProtection="1">
      <protection hidden="1"/>
    </xf>
    <xf numFmtId="170" fontId="5" fillId="0" borderId="9" xfId="4" applyNumberFormat="1" applyFont="1" applyFill="1" applyBorder="1" applyProtection="1">
      <protection hidden="1"/>
    </xf>
    <xf numFmtId="170" fontId="5" fillId="0" borderId="7" xfId="4" applyNumberFormat="1" applyFont="1" applyFill="1" applyBorder="1" applyProtection="1">
      <protection hidden="1"/>
    </xf>
    <xf numFmtId="0" fontId="6" fillId="0" borderId="0" xfId="0" applyFont="1" applyAlignment="1">
      <alignment horizontal="right" vertical="center"/>
    </xf>
    <xf numFmtId="170" fontId="5" fillId="0" borderId="0" xfId="4" applyNumberFormat="1" applyFont="1" applyFill="1" applyBorder="1" applyProtection="1">
      <protection hidden="1"/>
    </xf>
    <xf numFmtId="0" fontId="6" fillId="0" borderId="35" xfId="0" applyFont="1" applyBorder="1" applyAlignment="1" applyProtection="1">
      <alignment horizontal="center"/>
      <protection hidden="1"/>
    </xf>
    <xf numFmtId="169" fontId="6" fillId="0" borderId="13" xfId="1" applyFont="1" applyFill="1" applyBorder="1" applyAlignment="1" applyProtection="1">
      <alignment horizontal="center"/>
      <protection hidden="1"/>
    </xf>
    <xf numFmtId="169" fontId="6" fillId="0" borderId="36" xfId="1" applyFont="1" applyFill="1" applyBorder="1" applyAlignment="1" applyProtection="1">
      <alignment horizontal="center"/>
      <protection hidden="1"/>
    </xf>
    <xf numFmtId="0" fontId="5" fillId="0" borderId="56" xfId="0" applyFont="1" applyBorder="1" applyProtection="1">
      <protection hidden="1"/>
    </xf>
    <xf numFmtId="0" fontId="5" fillId="0" borderId="62" xfId="0" applyFont="1" applyBorder="1" applyProtection="1">
      <protection hidden="1"/>
    </xf>
    <xf numFmtId="0" fontId="6" fillId="0" borderId="2" xfId="0" applyFont="1" applyBorder="1" applyProtection="1">
      <protection hidden="1"/>
    </xf>
    <xf numFmtId="177" fontId="5" fillId="0" borderId="1" xfId="1" applyNumberFormat="1" applyFont="1" applyFill="1" applyBorder="1" applyProtection="1">
      <protection hidden="1"/>
    </xf>
    <xf numFmtId="177" fontId="6" fillId="0" borderId="1" xfId="0" applyNumberFormat="1" applyFont="1" applyBorder="1" applyProtection="1">
      <protection hidden="1"/>
    </xf>
    <xf numFmtId="0" fontId="5" fillId="0" borderId="2" xfId="0" applyFont="1" applyBorder="1" applyAlignment="1" applyProtection="1">
      <alignment horizontal="center"/>
      <protection hidden="1"/>
    </xf>
    <xf numFmtId="177" fontId="5" fillId="0" borderId="5" xfId="1" applyNumberFormat="1" applyFont="1" applyFill="1" applyBorder="1" applyProtection="1">
      <protection hidden="1"/>
    </xf>
    <xf numFmtId="177" fontId="5" fillId="0" borderId="4" xfId="1" applyNumberFormat="1" applyFont="1" applyFill="1" applyBorder="1" applyAlignment="1" applyProtection="1">
      <alignment horizontal="justify"/>
      <protection hidden="1"/>
    </xf>
    <xf numFmtId="0" fontId="6" fillId="0" borderId="4" xfId="0" applyFont="1" applyBorder="1" applyProtection="1">
      <protection hidden="1"/>
    </xf>
    <xf numFmtId="177" fontId="6" fillId="0" borderId="5" xfId="0" applyNumberFormat="1" applyFont="1" applyBorder="1" applyProtection="1">
      <protection hidden="1"/>
    </xf>
    <xf numFmtId="0" fontId="6" fillId="0" borderId="6" xfId="0" applyFont="1" applyBorder="1" applyAlignment="1" applyProtection="1">
      <alignment horizontal="center"/>
      <protection hidden="1"/>
    </xf>
    <xf numFmtId="0" fontId="6" fillId="0" borderId="2" xfId="0" applyFont="1" applyBorder="1" applyAlignment="1" applyProtection="1">
      <alignment horizontal="center"/>
      <protection hidden="1"/>
    </xf>
    <xf numFmtId="0" fontId="6" fillId="0" borderId="8" xfId="0" applyFont="1" applyBorder="1" applyAlignment="1" applyProtection="1">
      <alignment horizontal="center"/>
      <protection hidden="1"/>
    </xf>
    <xf numFmtId="177" fontId="6" fillId="0" borderId="8" xfId="0" applyNumberFormat="1" applyFont="1" applyBorder="1" applyAlignment="1" applyProtection="1">
      <alignment horizontal="center"/>
      <protection hidden="1"/>
    </xf>
    <xf numFmtId="177" fontId="6" fillId="0" borderId="3" xfId="0" applyNumberFormat="1" applyFont="1" applyBorder="1" applyAlignment="1" applyProtection="1">
      <alignment horizontal="center"/>
      <protection hidden="1"/>
    </xf>
    <xf numFmtId="177" fontId="6" fillId="0" borderId="9" xfId="1" applyNumberFormat="1" applyFont="1" applyFill="1" applyBorder="1" applyAlignment="1" applyProtection="1">
      <protection hidden="1"/>
    </xf>
    <xf numFmtId="177" fontId="6" fillId="0" borderId="7" xfId="1" applyNumberFormat="1" applyFont="1" applyFill="1" applyBorder="1" applyAlignment="1" applyProtection="1">
      <protection hidden="1"/>
    </xf>
    <xf numFmtId="0" fontId="5" fillId="0" borderId="38" xfId="0" applyFont="1" applyBorder="1" applyAlignment="1" applyProtection="1">
      <alignment horizontal="left" vertical="top" wrapText="1"/>
      <protection hidden="1"/>
    </xf>
    <xf numFmtId="166" fontId="5" fillId="0" borderId="1" xfId="0" applyNumberFormat="1" applyFont="1" applyBorder="1" applyAlignment="1" applyProtection="1">
      <alignment horizontal="right"/>
      <protection hidden="1"/>
    </xf>
    <xf numFmtId="173" fontId="5" fillId="0" borderId="1" xfId="0" applyNumberFormat="1" applyFont="1" applyBorder="1" applyAlignment="1" applyProtection="1">
      <alignment horizontal="right"/>
      <protection hidden="1"/>
    </xf>
    <xf numFmtId="164" fontId="5" fillId="0" borderId="1" xfId="0" applyNumberFormat="1" applyFont="1" applyBorder="1" applyAlignment="1" applyProtection="1">
      <alignment horizontal="right"/>
      <protection hidden="1"/>
    </xf>
    <xf numFmtId="177" fontId="5" fillId="0" borderId="1" xfId="0" applyNumberFormat="1" applyFont="1" applyBorder="1" applyAlignment="1" applyProtection="1">
      <alignment horizontal="right" vertical="top" wrapText="1"/>
      <protection hidden="1"/>
    </xf>
    <xf numFmtId="177" fontId="5" fillId="2" borderId="1" xfId="0" applyNumberFormat="1" applyFont="1" applyFill="1" applyBorder="1" applyAlignment="1" applyProtection="1">
      <alignment horizontal="right" vertical="top" wrapText="1"/>
      <protection hidden="1"/>
    </xf>
    <xf numFmtId="0" fontId="5" fillId="0" borderId="4" xfId="0" applyFont="1" applyBorder="1" applyAlignment="1" applyProtection="1">
      <alignment horizontal="justify" vertical="top" wrapText="1"/>
      <protection hidden="1"/>
    </xf>
    <xf numFmtId="173" fontId="5" fillId="0" borderId="5" xfId="0" applyNumberFormat="1" applyFont="1" applyBorder="1" applyAlignment="1" applyProtection="1">
      <alignment horizontal="right"/>
      <protection hidden="1"/>
    </xf>
    <xf numFmtId="177" fontId="5" fillId="2" borderId="5" xfId="0" applyNumberFormat="1" applyFont="1" applyFill="1" applyBorder="1" applyAlignment="1" applyProtection="1">
      <alignment horizontal="right" vertical="top" wrapText="1"/>
      <protection hidden="1"/>
    </xf>
    <xf numFmtId="177" fontId="5" fillId="0" borderId="5" xfId="0" applyNumberFormat="1" applyFont="1" applyBorder="1" applyAlignment="1" applyProtection="1">
      <alignment horizontal="right" vertical="top" wrapText="1"/>
      <protection hidden="1"/>
    </xf>
    <xf numFmtId="0" fontId="5" fillId="0" borderId="6" xfId="0" applyFont="1" applyBorder="1" applyAlignment="1" applyProtection="1">
      <alignment horizontal="left" vertical="top" wrapText="1"/>
      <protection hidden="1"/>
    </xf>
    <xf numFmtId="177" fontId="5" fillId="0" borderId="9" xfId="0" applyNumberFormat="1" applyFont="1" applyBorder="1" applyAlignment="1" applyProtection="1">
      <alignment horizontal="right" vertical="center" wrapText="1"/>
      <protection hidden="1"/>
    </xf>
    <xf numFmtId="177" fontId="5" fillId="0" borderId="7" xfId="0" applyNumberFormat="1" applyFont="1" applyBorder="1" applyAlignment="1" applyProtection="1">
      <alignment horizontal="right" vertical="center" wrapText="1"/>
      <protection hidden="1"/>
    </xf>
    <xf numFmtId="0" fontId="5" fillId="0" borderId="32" xfId="0" applyFont="1" applyBorder="1" applyAlignment="1" applyProtection="1">
      <alignment horizontal="justify" vertical="top" wrapText="1"/>
      <protection hidden="1"/>
    </xf>
    <xf numFmtId="0" fontId="6" fillId="0" borderId="22" xfId="0" applyFont="1" applyBorder="1" applyAlignment="1" applyProtection="1">
      <alignment horizontal="center" vertical="top" wrapText="1"/>
      <protection hidden="1"/>
    </xf>
    <xf numFmtId="0" fontId="6" fillId="0" borderId="23" xfId="0" applyFont="1" applyBorder="1" applyAlignment="1" applyProtection="1">
      <alignment horizontal="center" vertical="top" wrapText="1"/>
      <protection hidden="1"/>
    </xf>
    <xf numFmtId="0" fontId="6" fillId="0" borderId="24" xfId="0" applyFont="1" applyBorder="1" applyAlignment="1" applyProtection="1">
      <alignment horizontal="center" vertical="top" wrapText="1"/>
      <protection hidden="1"/>
    </xf>
    <xf numFmtId="177" fontId="5" fillId="0" borderId="33" xfId="0" applyNumberFormat="1" applyFont="1" applyBorder="1" applyAlignment="1" applyProtection="1">
      <alignment horizontal="right" vertical="top" wrapText="1"/>
      <protection hidden="1"/>
    </xf>
    <xf numFmtId="0" fontId="5" fillId="0" borderId="2" xfId="0" applyFont="1" applyBorder="1" applyAlignment="1" applyProtection="1">
      <alignment horizontal="justify" vertical="top" wrapText="1"/>
      <protection hidden="1"/>
    </xf>
    <xf numFmtId="166" fontId="5" fillId="0" borderId="8" xfId="0" applyNumberFormat="1" applyFont="1" applyBorder="1" applyAlignment="1" applyProtection="1">
      <alignment horizontal="right"/>
      <protection hidden="1"/>
    </xf>
    <xf numFmtId="173" fontId="5" fillId="0" borderId="8" xfId="0" applyNumberFormat="1" applyFont="1" applyBorder="1" applyAlignment="1" applyProtection="1">
      <alignment horizontal="right"/>
      <protection hidden="1"/>
    </xf>
    <xf numFmtId="173" fontId="5" fillId="0" borderId="3" xfId="0" applyNumberFormat="1" applyFont="1" applyBorder="1" applyAlignment="1" applyProtection="1">
      <alignment horizontal="right"/>
      <protection hidden="1"/>
    </xf>
    <xf numFmtId="0" fontId="6" fillId="0" borderId="6" xfId="0" applyFont="1" applyBorder="1" applyAlignment="1" applyProtection="1">
      <alignment horizontal="justify" vertical="top" wrapText="1"/>
      <protection hidden="1"/>
    </xf>
    <xf numFmtId="173" fontId="6" fillId="0" borderId="9" xfId="0" applyNumberFormat="1" applyFont="1" applyBorder="1" applyAlignment="1" applyProtection="1">
      <alignment horizontal="right" vertical="top" wrapText="1"/>
      <protection hidden="1"/>
    </xf>
    <xf numFmtId="173" fontId="6" fillId="0" borderId="7" xfId="0" applyNumberFormat="1" applyFont="1" applyBorder="1" applyAlignment="1" applyProtection="1">
      <alignment horizontal="right" vertical="top" wrapText="1"/>
      <protection hidden="1"/>
    </xf>
    <xf numFmtId="177" fontId="5" fillId="0" borderId="34" xfId="0" applyNumberFormat="1" applyFont="1" applyBorder="1" applyAlignment="1" applyProtection="1">
      <alignment horizontal="right" vertical="top" wrapText="1"/>
      <protection hidden="1"/>
    </xf>
    <xf numFmtId="177" fontId="5" fillId="0" borderId="8" xfId="0" applyNumberFormat="1" applyFont="1" applyBorder="1" applyAlignment="1" applyProtection="1">
      <alignment horizontal="right" vertical="top" wrapText="1"/>
      <protection hidden="1"/>
    </xf>
    <xf numFmtId="177" fontId="5" fillId="2" borderId="8" xfId="0" applyNumberFormat="1" applyFont="1" applyFill="1" applyBorder="1" applyAlignment="1" applyProtection="1">
      <alignment horizontal="right" vertical="top" wrapText="1"/>
      <protection hidden="1"/>
    </xf>
    <xf numFmtId="177" fontId="5" fillId="2" borderId="3" xfId="0" applyNumberFormat="1" applyFont="1" applyFill="1" applyBorder="1" applyAlignment="1" applyProtection="1">
      <alignment horizontal="right" vertical="top" wrapText="1"/>
      <protection hidden="1"/>
    </xf>
    <xf numFmtId="177" fontId="6" fillId="0" borderId="9" xfId="0" applyNumberFormat="1" applyFont="1" applyBorder="1" applyAlignment="1" applyProtection="1">
      <alignment horizontal="right" vertical="top" wrapText="1"/>
      <protection hidden="1"/>
    </xf>
    <xf numFmtId="177" fontId="6" fillId="0" borderId="7" xfId="0" applyNumberFormat="1" applyFont="1" applyBorder="1" applyAlignment="1" applyProtection="1">
      <alignment horizontal="right" vertical="top" wrapText="1"/>
      <protection hidden="1"/>
    </xf>
    <xf numFmtId="177" fontId="5" fillId="0" borderId="1" xfId="1" applyNumberFormat="1" applyFont="1" applyFill="1" applyBorder="1" applyAlignment="1" applyProtection="1">
      <alignment horizontal="right"/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166" fontId="5" fillId="0" borderId="5" xfId="3" applyFont="1" applyFill="1" applyBorder="1" applyProtection="1">
      <protection hidden="1"/>
    </xf>
    <xf numFmtId="177" fontId="5" fillId="0" borderId="9" xfId="1" applyNumberFormat="1" applyFont="1" applyFill="1" applyBorder="1" applyAlignment="1" applyProtection="1">
      <alignment horizontal="right"/>
      <protection hidden="1"/>
    </xf>
    <xf numFmtId="166" fontId="5" fillId="0" borderId="7" xfId="3" applyFont="1" applyFill="1" applyBorder="1" applyProtection="1">
      <protection hidden="1"/>
    </xf>
    <xf numFmtId="0" fontId="6" fillId="0" borderId="13" xfId="0" applyFont="1" applyBorder="1" applyAlignment="1" applyProtection="1">
      <alignment horizontal="center"/>
      <protection hidden="1"/>
    </xf>
    <xf numFmtId="0" fontId="6" fillId="0" borderId="36" xfId="0" applyFont="1" applyBorder="1" applyAlignment="1" applyProtection="1">
      <alignment horizontal="center"/>
      <protection hidden="1"/>
    </xf>
    <xf numFmtId="177" fontId="5" fillId="0" borderId="8" xfId="1" applyNumberFormat="1" applyFont="1" applyFill="1" applyBorder="1" applyAlignment="1" applyProtection="1">
      <alignment horizontal="right"/>
      <protection hidden="1"/>
    </xf>
    <xf numFmtId="175" fontId="5" fillId="0" borderId="3" xfId="0" applyNumberFormat="1" applyFont="1" applyBorder="1" applyProtection="1">
      <protection hidden="1"/>
    </xf>
    <xf numFmtId="165" fontId="5" fillId="0" borderId="0" xfId="0" applyNumberFormat="1" applyFont="1" applyProtection="1">
      <protection hidden="1"/>
    </xf>
    <xf numFmtId="0" fontId="0" fillId="0" borderId="17" xfId="0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3" fontId="0" fillId="0" borderId="7" xfId="0" applyNumberFormat="1" applyBorder="1" applyAlignment="1">
      <alignment vertical="center"/>
    </xf>
    <xf numFmtId="1" fontId="0" fillId="0" borderId="2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3" fillId="3" borderId="53" xfId="0" applyFont="1" applyFill="1" applyBorder="1" applyAlignment="1">
      <alignment horizontal="center" vertical="center"/>
    </xf>
    <xf numFmtId="1" fontId="0" fillId="3" borderId="14" xfId="0" applyNumberFormat="1" applyFill="1" applyBorder="1" applyAlignment="1">
      <alignment horizontal="center" vertical="center"/>
    </xf>
    <xf numFmtId="173" fontId="0" fillId="3" borderId="27" xfId="0" applyNumberFormat="1" applyFill="1" applyBorder="1" applyAlignment="1">
      <alignment vertical="center"/>
    </xf>
    <xf numFmtId="1" fontId="0" fillId="3" borderId="15" xfId="0" applyNumberFormat="1" applyFill="1" applyBorder="1" applyAlignment="1">
      <alignment horizontal="center" vertical="center"/>
    </xf>
    <xf numFmtId="173" fontId="0" fillId="3" borderId="28" xfId="0" applyNumberFormat="1" applyFill="1" applyBorder="1" applyAlignment="1">
      <alignment vertical="center"/>
    </xf>
    <xf numFmtId="1" fontId="0" fillId="3" borderId="51" xfId="0" applyNumberFormat="1" applyFill="1" applyBorder="1" applyAlignment="1">
      <alignment horizontal="center" vertical="center"/>
    </xf>
    <xf numFmtId="173" fontId="0" fillId="3" borderId="53" xfId="0" applyNumberFormat="1" applyFill="1" applyBorder="1" applyAlignment="1">
      <alignment vertical="center"/>
    </xf>
    <xf numFmtId="173" fontId="3" fillId="3" borderId="23" xfId="0" applyNumberFormat="1" applyFont="1" applyFill="1" applyBorder="1" applyAlignment="1">
      <alignment vertical="center"/>
    </xf>
    <xf numFmtId="173" fontId="0" fillId="3" borderId="33" xfId="0" applyNumberFormat="1" applyFill="1" applyBorder="1" applyAlignment="1">
      <alignment horizontal="center" vertical="center"/>
    </xf>
    <xf numFmtId="173" fontId="0" fillId="0" borderId="33" xfId="0" applyNumberFormat="1" applyBorder="1" applyAlignment="1">
      <alignment horizontal="center" vertical="center"/>
    </xf>
    <xf numFmtId="174" fontId="0" fillId="0" borderId="1" xfId="0" applyNumberFormat="1" applyBorder="1" applyAlignment="1">
      <alignment vertical="center"/>
    </xf>
    <xf numFmtId="164" fontId="0" fillId="0" borderId="33" xfId="0" applyNumberFormat="1" applyBorder="1" applyAlignment="1">
      <alignment vertical="center"/>
    </xf>
    <xf numFmtId="166" fontId="0" fillId="0" borderId="33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173" fontId="12" fillId="0" borderId="23" xfId="0" applyNumberFormat="1" applyFont="1" applyBorder="1" applyAlignment="1">
      <alignment vertical="center"/>
    </xf>
    <xf numFmtId="0" fontId="6" fillId="0" borderId="63" xfId="0" applyFont="1" applyBorder="1" applyProtection="1">
      <protection hidden="1"/>
    </xf>
    <xf numFmtId="0" fontId="5" fillId="0" borderId="64" xfId="0" applyFont="1" applyBorder="1" applyProtection="1">
      <protection hidden="1"/>
    </xf>
    <xf numFmtId="0" fontId="5" fillId="0" borderId="65" xfId="0" applyFont="1" applyBorder="1" applyProtection="1">
      <protection hidden="1"/>
    </xf>
    <xf numFmtId="0" fontId="5" fillId="0" borderId="66" xfId="0" applyFont="1" applyBorder="1" applyProtection="1">
      <protection hidden="1"/>
    </xf>
    <xf numFmtId="9" fontId="5" fillId="0" borderId="67" xfId="4" applyFont="1" applyFill="1" applyBorder="1" applyProtection="1">
      <protection hidden="1"/>
    </xf>
    <xf numFmtId="170" fontId="5" fillId="0" borderId="67" xfId="4" applyNumberFormat="1" applyFont="1" applyFill="1" applyBorder="1" applyProtection="1">
      <protection hidden="1"/>
    </xf>
    <xf numFmtId="0" fontId="5" fillId="0" borderId="68" xfId="0" applyFont="1" applyBorder="1" applyProtection="1">
      <protection hidden="1"/>
    </xf>
    <xf numFmtId="170" fontId="5" fillId="0" borderId="69" xfId="4" applyNumberFormat="1" applyFont="1" applyFill="1" applyBorder="1" applyProtection="1">
      <protection hidden="1"/>
    </xf>
    <xf numFmtId="170" fontId="5" fillId="0" borderId="70" xfId="4" applyNumberFormat="1" applyFont="1" applyFill="1" applyBorder="1" applyProtection="1">
      <protection hidden="1"/>
    </xf>
    <xf numFmtId="178" fontId="5" fillId="0" borderId="0" xfId="1" applyNumberFormat="1" applyFont="1" applyFill="1" applyBorder="1" applyProtection="1">
      <protection hidden="1"/>
    </xf>
    <xf numFmtId="178" fontId="5" fillId="0" borderId="71" xfId="1" applyNumberFormat="1" applyFont="1" applyFill="1" applyBorder="1" applyProtection="1">
      <protection hidden="1"/>
    </xf>
    <xf numFmtId="177" fontId="5" fillId="0" borderId="67" xfId="0" applyNumberFormat="1" applyFont="1" applyBorder="1" applyProtection="1">
      <protection hidden="1"/>
    </xf>
    <xf numFmtId="178" fontId="5" fillId="0" borderId="67" xfId="0" applyNumberFormat="1" applyFont="1" applyBorder="1" applyProtection="1">
      <protection hidden="1"/>
    </xf>
    <xf numFmtId="0" fontId="5" fillId="0" borderId="72" xfId="0" applyFont="1" applyBorder="1" applyProtection="1">
      <protection hidden="1"/>
    </xf>
    <xf numFmtId="178" fontId="5" fillId="0" borderId="73" xfId="1" applyNumberFormat="1" applyFont="1" applyFill="1" applyBorder="1" applyProtection="1">
      <protection hidden="1"/>
    </xf>
    <xf numFmtId="178" fontId="5" fillId="0" borderId="74" xfId="1" applyNumberFormat="1" applyFont="1" applyFill="1" applyBorder="1" applyProtection="1">
      <protection hidden="1"/>
    </xf>
    <xf numFmtId="0" fontId="5" fillId="0" borderId="75" xfId="0" applyFont="1" applyBorder="1" applyProtection="1">
      <protection hidden="1"/>
    </xf>
    <xf numFmtId="178" fontId="5" fillId="0" borderId="76" xfId="1" applyNumberFormat="1" applyFont="1" applyFill="1" applyBorder="1" applyProtection="1">
      <protection hidden="1"/>
    </xf>
    <xf numFmtId="0" fontId="6" fillId="0" borderId="77" xfId="0" applyFont="1" applyBorder="1" applyProtection="1">
      <protection hidden="1"/>
    </xf>
    <xf numFmtId="0" fontId="5" fillId="0" borderId="33" xfId="0" applyFont="1" applyBorder="1" applyProtection="1">
      <protection hidden="1"/>
    </xf>
    <xf numFmtId="0" fontId="5" fillId="0" borderId="78" xfId="0" applyFont="1" applyBorder="1" applyProtection="1">
      <protection hidden="1"/>
    </xf>
    <xf numFmtId="0" fontId="5" fillId="0" borderId="79" xfId="0" applyFont="1" applyBorder="1" applyProtection="1">
      <protection hidden="1"/>
    </xf>
    <xf numFmtId="178" fontId="5" fillId="0" borderId="80" xfId="1" applyNumberFormat="1" applyFont="1" applyFill="1" applyBorder="1" applyProtection="1">
      <protection hidden="1"/>
    </xf>
    <xf numFmtId="0" fontId="3" fillId="0" borderId="55" xfId="0" applyFont="1" applyBorder="1" applyAlignment="1">
      <alignment vertical="center"/>
    </xf>
    <xf numFmtId="167" fontId="3" fillId="0" borderId="54" xfId="7" applyFont="1" applyBorder="1" applyAlignment="1">
      <alignment vertical="center"/>
    </xf>
    <xf numFmtId="167" fontId="0" fillId="0" borderId="0" xfId="0" applyNumberFormat="1"/>
    <xf numFmtId="167" fontId="0" fillId="0" borderId="0" xfId="7" applyFont="1"/>
    <xf numFmtId="167" fontId="3" fillId="0" borderId="23" xfId="7" applyFont="1" applyBorder="1" applyAlignment="1">
      <alignment horizontal="center" vertical="center"/>
    </xf>
    <xf numFmtId="9" fontId="0" fillId="0" borderId="0" xfId="4" applyFont="1"/>
    <xf numFmtId="167" fontId="0" fillId="0" borderId="4" xfId="7" applyFont="1" applyBorder="1" applyAlignment="1">
      <alignment horizontal="center" vertical="center"/>
    </xf>
    <xf numFmtId="167" fontId="0" fillId="2" borderId="2" xfId="7" applyFont="1" applyFill="1" applyBorder="1" applyAlignment="1">
      <alignment horizontal="center" vertical="center"/>
    </xf>
    <xf numFmtId="167" fontId="0" fillId="2" borderId="4" xfId="7" applyFont="1" applyFill="1" applyBorder="1" applyAlignment="1">
      <alignment horizontal="center" vertical="center"/>
    </xf>
    <xf numFmtId="173" fontId="0" fillId="0" borderId="1" xfId="0" applyNumberFormat="1" applyBorder="1" applyAlignment="1">
      <alignment horizontal="center" vertical="center"/>
    </xf>
    <xf numFmtId="0" fontId="0" fillId="0" borderId="8" xfId="0" applyBorder="1"/>
    <xf numFmtId="166" fontId="0" fillId="0" borderId="3" xfId="3" applyFont="1" applyBorder="1"/>
    <xf numFmtId="166" fontId="0" fillId="0" borderId="5" xfId="0" applyNumberFormat="1" applyBorder="1"/>
    <xf numFmtId="166" fontId="13" fillId="0" borderId="5" xfId="3" applyFont="1" applyBorder="1"/>
    <xf numFmtId="166" fontId="0" fillId="0" borderId="5" xfId="3" applyFont="1" applyBorder="1"/>
    <xf numFmtId="0" fontId="0" fillId="0" borderId="9" xfId="0" applyBorder="1"/>
    <xf numFmtId="166" fontId="0" fillId="0" borderId="7" xfId="0" applyNumberFormat="1" applyBorder="1"/>
    <xf numFmtId="167" fontId="0" fillId="0" borderId="3" xfId="7" applyFont="1" applyBorder="1"/>
    <xf numFmtId="167" fontId="0" fillId="0" borderId="7" xfId="0" applyNumberFormat="1" applyBorder="1"/>
    <xf numFmtId="0" fontId="0" fillId="0" borderId="33" xfId="0" applyBorder="1"/>
    <xf numFmtId="167" fontId="0" fillId="0" borderId="34" xfId="7" applyFont="1" applyBorder="1"/>
    <xf numFmtId="0" fontId="3" fillId="0" borderId="22" xfId="0" applyFont="1" applyBorder="1"/>
    <xf numFmtId="0" fontId="0" fillId="0" borderId="23" xfId="0" applyBorder="1"/>
    <xf numFmtId="167" fontId="0" fillId="0" borderId="24" xfId="7" applyFont="1" applyBorder="1"/>
    <xf numFmtId="0" fontId="0" fillId="0" borderId="22" xfId="0" applyBorder="1"/>
    <xf numFmtId="167" fontId="3" fillId="0" borderId="24" xfId="0" applyNumberFormat="1" applyFont="1" applyBorder="1"/>
    <xf numFmtId="0" fontId="0" fillId="0" borderId="20" xfId="0" applyBorder="1"/>
    <xf numFmtId="0" fontId="0" fillId="0" borderId="71" xfId="0" applyBorder="1"/>
    <xf numFmtId="167" fontId="13" fillId="0" borderId="21" xfId="7" applyFont="1" applyBorder="1"/>
    <xf numFmtId="167" fontId="0" fillId="0" borderId="24" xfId="0" applyNumberFormat="1" applyBorder="1"/>
    <xf numFmtId="166" fontId="0" fillId="0" borderId="3" xfId="0" applyNumberFormat="1" applyBorder="1"/>
    <xf numFmtId="166" fontId="3" fillId="0" borderId="24" xfId="0" applyNumberFormat="1" applyFont="1" applyBorder="1"/>
    <xf numFmtId="0" fontId="14" fillId="0" borderId="0" xfId="0" applyFont="1"/>
    <xf numFmtId="0" fontId="2" fillId="0" borderId="0" xfId="0" applyFont="1" applyAlignment="1">
      <alignment horizontal="justify" vertical="center" wrapText="1"/>
    </xf>
    <xf numFmtId="0" fontId="3" fillId="2" borderId="0" xfId="0" applyFont="1" applyFill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72" fontId="2" fillId="0" borderId="0" xfId="1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 applyProtection="1">
      <alignment horizontal="left" vertical="center" wrapText="1"/>
      <protection locked="0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7" fillId="0" borderId="0" xfId="5" applyFill="1" applyAlignment="1" applyProtection="1">
      <alignment horizontal="center" vertical="center" wrapText="1"/>
      <protection locked="0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11" fillId="0" borderId="44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6" fontId="0" fillId="0" borderId="27" xfId="3" applyFont="1" applyFill="1" applyBorder="1" applyAlignment="1" applyProtection="1">
      <alignment horizontal="center"/>
      <protection hidden="1"/>
    </xf>
    <xf numFmtId="166" fontId="0" fillId="0" borderId="39" xfId="3" applyFont="1" applyFill="1" applyBorder="1" applyAlignment="1" applyProtection="1">
      <alignment horizontal="center"/>
      <protection hidden="1"/>
    </xf>
    <xf numFmtId="166" fontId="0" fillId="0" borderId="59" xfId="3" applyFont="1" applyFill="1" applyBorder="1" applyAlignment="1" applyProtection="1">
      <alignment horizontal="center"/>
      <protection hidden="1"/>
    </xf>
    <xf numFmtId="177" fontId="3" fillId="0" borderId="2" xfId="1" applyNumberFormat="1" applyFont="1" applyFill="1" applyBorder="1" applyAlignment="1" applyProtection="1">
      <alignment horizontal="center"/>
      <protection locked="0"/>
    </xf>
    <xf numFmtId="177" fontId="3" fillId="0" borderId="8" xfId="1" applyNumberFormat="1" applyFont="1" applyFill="1" applyBorder="1" applyAlignment="1" applyProtection="1">
      <alignment horizontal="center"/>
      <protection locked="0"/>
    </xf>
    <xf numFmtId="177" fontId="3" fillId="0" borderId="3" xfId="1" applyNumberFormat="1" applyFont="1" applyFill="1" applyBorder="1" applyAlignment="1" applyProtection="1">
      <alignment horizontal="center"/>
      <protection locked="0"/>
    </xf>
    <xf numFmtId="177" fontId="3" fillId="0" borderId="2" xfId="1" applyNumberFormat="1" applyFont="1" applyFill="1" applyBorder="1" applyAlignment="1" applyProtection="1">
      <alignment horizontal="center"/>
      <protection hidden="1"/>
    </xf>
    <xf numFmtId="177" fontId="3" fillId="0" borderId="8" xfId="1" applyNumberFormat="1" applyFont="1" applyFill="1" applyBorder="1" applyAlignment="1" applyProtection="1">
      <alignment horizontal="center"/>
      <protection hidden="1"/>
    </xf>
    <xf numFmtId="177" fontId="3" fillId="0" borderId="3" xfId="1" applyNumberFormat="1" applyFont="1" applyFill="1" applyBorder="1" applyAlignment="1" applyProtection="1">
      <alignment horizontal="center"/>
      <protection hidden="1"/>
    </xf>
    <xf numFmtId="166" fontId="0" fillId="0" borderId="0" xfId="3" applyFont="1" applyFill="1" applyBorder="1" applyAlignment="1" applyProtection="1">
      <alignment horizontal="center" vertical="center" wrapText="1"/>
    </xf>
    <xf numFmtId="166" fontId="0" fillId="0" borderId="53" xfId="3" applyFont="1" applyFill="1" applyBorder="1" applyAlignment="1">
      <alignment horizontal="center"/>
    </xf>
    <xf numFmtId="166" fontId="0" fillId="0" borderId="45" xfId="3" applyFont="1" applyFill="1" applyBorder="1" applyAlignment="1">
      <alignment horizontal="center"/>
    </xf>
    <xf numFmtId="166" fontId="0" fillId="0" borderId="50" xfId="3" applyFont="1" applyFill="1" applyBorder="1" applyAlignment="1">
      <alignment horizontal="center"/>
    </xf>
    <xf numFmtId="166" fontId="0" fillId="0" borderId="57" xfId="3" applyFont="1" applyFill="1" applyBorder="1" applyAlignment="1">
      <alignment horizontal="center"/>
    </xf>
    <xf numFmtId="166" fontId="0" fillId="0" borderId="42" xfId="3" applyFont="1" applyFill="1" applyBorder="1" applyAlignment="1">
      <alignment horizontal="center"/>
    </xf>
    <xf numFmtId="166" fontId="0" fillId="0" borderId="58" xfId="3" applyFont="1" applyFill="1" applyBorder="1" applyAlignment="1">
      <alignment horizontal="center"/>
    </xf>
    <xf numFmtId="166" fontId="0" fillId="0" borderId="60" xfId="3" applyFont="1" applyFill="1" applyBorder="1" applyAlignment="1" applyProtection="1">
      <alignment horizontal="center" vertical="center"/>
      <protection hidden="1"/>
    </xf>
    <xf numFmtId="166" fontId="0" fillId="0" borderId="37" xfId="3" applyFont="1" applyFill="1" applyBorder="1" applyAlignment="1" applyProtection="1">
      <alignment horizontal="center" vertical="center"/>
      <protection hidden="1"/>
    </xf>
    <xf numFmtId="166" fontId="0" fillId="0" borderId="26" xfId="3" applyFont="1" applyFill="1" applyBorder="1" applyAlignment="1" applyProtection="1">
      <alignment horizontal="center" vertical="center"/>
      <protection hidden="1"/>
    </xf>
    <xf numFmtId="166" fontId="0" fillId="0" borderId="57" xfId="3" applyFont="1" applyFill="1" applyBorder="1" applyAlignment="1" applyProtection="1">
      <alignment horizontal="center" vertical="center"/>
      <protection hidden="1"/>
    </xf>
    <xf numFmtId="166" fontId="0" fillId="0" borderId="42" xfId="3" applyFont="1" applyFill="1" applyBorder="1" applyAlignment="1" applyProtection="1">
      <alignment horizontal="center" vertical="center"/>
      <protection hidden="1"/>
    </xf>
    <xf numFmtId="166" fontId="0" fillId="0" borderId="58" xfId="3" applyFont="1" applyFill="1" applyBorder="1" applyAlignment="1" applyProtection="1">
      <alignment horizontal="center" vertical="center"/>
      <protection hidden="1"/>
    </xf>
    <xf numFmtId="166" fontId="0" fillId="0" borderId="61" xfId="3" applyFont="1" applyFill="1" applyBorder="1" applyAlignment="1" applyProtection="1">
      <alignment horizontal="center"/>
      <protection hidden="1"/>
    </xf>
    <xf numFmtId="166" fontId="0" fillId="0" borderId="0" xfId="3" applyFont="1" applyFill="1" applyBorder="1" applyAlignment="1" applyProtection="1">
      <alignment horizontal="center"/>
      <protection hidden="1"/>
    </xf>
    <xf numFmtId="166" fontId="0" fillId="0" borderId="49" xfId="3" applyFont="1" applyFill="1" applyBorder="1" applyAlignment="1" applyProtection="1">
      <alignment horizontal="center"/>
      <protection hidden="1"/>
    </xf>
    <xf numFmtId="0" fontId="6" fillId="0" borderId="10" xfId="0" applyFont="1" applyBorder="1" applyAlignment="1" applyProtection="1">
      <alignment horizontal="center"/>
      <protection hidden="1"/>
    </xf>
    <xf numFmtId="0" fontId="6" fillId="0" borderId="11" xfId="0" applyFont="1" applyBorder="1" applyAlignment="1" applyProtection="1">
      <alignment horizontal="center"/>
      <protection hidden="1"/>
    </xf>
    <xf numFmtId="0" fontId="6" fillId="0" borderId="12" xfId="0" applyFont="1" applyBorder="1" applyAlignment="1" applyProtection="1">
      <alignment horizontal="center"/>
      <protection hidden="1"/>
    </xf>
    <xf numFmtId="0" fontId="5" fillId="0" borderId="38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6" fillId="0" borderId="0" xfId="0" applyFont="1" applyAlignment="1">
      <alignment horizontal="center" vertical="center" wrapText="1"/>
    </xf>
    <xf numFmtId="0" fontId="3" fillId="0" borderId="18" xfId="0" applyFont="1" applyBorder="1" applyProtection="1">
      <protection hidden="1"/>
    </xf>
    <xf numFmtId="0" fontId="3" fillId="0" borderId="44" xfId="0" applyFont="1" applyBorder="1" applyProtection="1">
      <protection hidden="1"/>
    </xf>
    <xf numFmtId="166" fontId="3" fillId="0" borderId="13" xfId="3" applyFont="1" applyFill="1" applyBorder="1" applyAlignment="1" applyProtection="1">
      <alignment horizontal="center" vertical="center"/>
      <protection hidden="1"/>
    </xf>
    <xf numFmtId="0" fontId="3" fillId="0" borderId="36" xfId="0" applyFont="1" applyBorder="1" applyAlignment="1" applyProtection="1">
      <alignment horizontal="center" vertical="center"/>
      <protection hidden="1"/>
    </xf>
    <xf numFmtId="166" fontId="0" fillId="0" borderId="81" xfId="3" applyFont="1" applyFill="1" applyBorder="1" applyAlignment="1" applyProtection="1">
      <protection hidden="1"/>
    </xf>
    <xf numFmtId="164" fontId="0" fillId="0" borderId="82" xfId="3" applyNumberFormat="1" applyFont="1" applyFill="1" applyBorder="1" applyAlignment="1" applyProtection="1">
      <protection hidden="1"/>
    </xf>
    <xf numFmtId="164" fontId="0" fillId="0" borderId="83" xfId="3" applyNumberFormat="1" applyFont="1" applyFill="1" applyBorder="1" applyAlignment="1" applyProtection="1">
      <protection hidden="1"/>
    </xf>
    <xf numFmtId="166" fontId="0" fillId="0" borderId="63" xfId="3" applyFont="1" applyFill="1" applyBorder="1" applyProtection="1">
      <protection hidden="1"/>
    </xf>
    <xf numFmtId="166" fontId="0" fillId="0" borderId="64" xfId="3" applyFont="1" applyFill="1" applyBorder="1" applyProtection="1">
      <protection hidden="1"/>
    </xf>
    <xf numFmtId="166" fontId="0" fillId="0" borderId="65" xfId="3" applyFont="1" applyFill="1" applyBorder="1" applyProtection="1">
      <protection hidden="1"/>
    </xf>
    <xf numFmtId="166" fontId="0" fillId="0" borderId="66" xfId="3" applyFont="1" applyFill="1" applyBorder="1" applyProtection="1">
      <protection hidden="1"/>
    </xf>
    <xf numFmtId="166" fontId="0" fillId="0" borderId="67" xfId="3" applyFont="1" applyFill="1" applyBorder="1" applyProtection="1">
      <protection hidden="1"/>
    </xf>
    <xf numFmtId="166" fontId="0" fillId="0" borderId="66" xfId="0" applyNumberFormat="1" applyBorder="1"/>
    <xf numFmtId="166" fontId="3" fillId="0" borderId="68" xfId="3" applyFont="1" applyFill="1" applyBorder="1" applyProtection="1">
      <protection hidden="1"/>
    </xf>
    <xf numFmtId="166" fontId="3" fillId="0" borderId="69" xfId="3" applyFont="1" applyFill="1" applyBorder="1" applyProtection="1">
      <protection hidden="1"/>
    </xf>
    <xf numFmtId="166" fontId="3" fillId="0" borderId="70" xfId="3" applyFont="1" applyFill="1" applyBorder="1" applyProtection="1">
      <protection hidden="1"/>
    </xf>
    <xf numFmtId="0" fontId="3" fillId="0" borderId="17" xfId="0" applyFont="1" applyBorder="1" applyProtection="1">
      <protection hidden="1"/>
    </xf>
    <xf numFmtId="0" fontId="3" fillId="0" borderId="19" xfId="0" applyFont="1" applyBorder="1" applyAlignment="1" applyProtection="1">
      <alignment horizontal="justify"/>
      <protection hidden="1"/>
    </xf>
    <xf numFmtId="166" fontId="0" fillId="0" borderId="84" xfId="3" applyFont="1" applyFill="1" applyBorder="1" applyAlignment="1" applyProtection="1">
      <protection hidden="1"/>
    </xf>
    <xf numFmtId="166" fontId="0" fillId="0" borderId="85" xfId="3" applyFont="1" applyFill="1" applyBorder="1" applyAlignment="1" applyProtection="1">
      <protection hidden="1"/>
    </xf>
    <xf numFmtId="166" fontId="0" fillId="0" borderId="86" xfId="3" applyFont="1" applyFill="1" applyBorder="1" applyAlignment="1" applyProtection="1">
      <protection hidden="1"/>
    </xf>
    <xf numFmtId="0" fontId="5" fillId="0" borderId="87" xfId="0" applyFont="1" applyBorder="1" applyProtection="1">
      <protection hidden="1"/>
    </xf>
    <xf numFmtId="0" fontId="5" fillId="0" borderId="88" xfId="0" applyFont="1" applyBorder="1" applyProtection="1">
      <protection hidden="1"/>
    </xf>
    <xf numFmtId="0" fontId="5" fillId="0" borderId="89" xfId="0" applyFont="1" applyBorder="1" applyProtection="1">
      <protection hidden="1"/>
    </xf>
  </cellXfs>
  <cellStyles count="8">
    <cellStyle name="Hipervínculo" xfId="5" builtinId="8"/>
    <cellStyle name="Millares" xfId="1" builtinId="3"/>
    <cellStyle name="Millares [0]" xfId="7" builtinId="6"/>
    <cellStyle name="Moneda" xfId="2" builtinId="4"/>
    <cellStyle name="Moneda [0]" xfId="3" builtinId="7"/>
    <cellStyle name="Normal" xfId="0" builtinId="0"/>
    <cellStyle name="Normal 2" xfId="6" xr:uid="{00000000-0005-0000-0000-000006000000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581025</xdr:colOff>
      <xdr:row>1</xdr:row>
      <xdr:rowOff>9525</xdr:rowOff>
    </xdr:from>
    <xdr:to>
      <xdr:col>8</xdr:col>
      <xdr:colOff>33337</xdr:colOff>
      <xdr:row>5</xdr:row>
      <xdr:rowOff>9524</xdr:rowOff>
    </xdr:to>
    <xdr:pic>
      <xdr:nvPicPr>
        <xdr:cNvPr id="2" name="Imagen 1" descr="Ingreso Ucompensa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9" t="12763" r="3746" b="15166"/>
        <a:stretch/>
      </xdr:blipFill>
      <xdr:spPr bwMode="auto">
        <a:xfrm>
          <a:off x="3705225" y="200025"/>
          <a:ext cx="4500562" cy="76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161925</xdr:rowOff>
    </xdr:to>
    <xdr:sp macro="" textlink="">
      <xdr:nvSpPr>
        <xdr:cNvPr id="3" name="AutoShape 112" descr="data:image/jpeg;base64,/9j/4AAQSkZJRgABAQAAAQABAAD/2wCEAAkGBhQSEBUUExQWFRQWGBgYGBgYFxgYGxccGRcZGR0aHRYdHCYeGhsjGRUYHy8gIycpLCwsFx8xNTAqNSYrLCkBCQoKDgwOGg8PGi0kHyQvLjQtLS81Ly0wMCo2KjUsLzIvLywqLDQwLCosMiwsLzQsLSwsKTQ0LywqLCw0LCwsKf/AABEIAP8AxgMBIgACEQEDEQH/xAAcAAACAgMBAQAAAAAAAAAAAAAABgQFAgMHAQj/xABMEAACAgAEAwUDBwcICQQDAAABAgMRAAQSIQUxQQYTIlFhMnGBI0JScpGSoRQzYoKisdEHNENTc5OzwRUWdIOytMLh8DXD0tMkVPH/xAAbAQACAgMBAAAAAAAAAAAAAAAEBQMGAAECB//EADsRAAEDAgMECAUEAQMFAQAAAAEAAgMEERIhMQVBUWETInGBobHR8AYykcHhFBVS8XIzQoIkNDVi0iP/2gAMAwEAAhEDEQA/AO44MGDGLEYMGDGLEYMeMwAJJoDck9MKPGe2h1KuWptwdZ8SuKJoVZAsUWI92IJ6iOBuKQ2XTWF5sE34MUXAO1AzB0MhWSibG6MBQsN6m9t6FXzxe47jlZK3Ew3C05pabFU3Fu0Bhk0CMuNIJIaqvXWxG4tRe/X0xRzds5NhcKsG33vWLXarLLtrB28sWHbXhsZjEpUalKqW0hjpN7UQR7TDett8JE3Eoo4ndpGCxsQ5DhVXS6gqRGRRplGnTfixWtpVlXBP0bTkbWsM8/yPFGwxxubchOXZrtG0uZeJySGUMhIIognUo8I20shB67+uGrHN+za3nYwBS6i6my3KMg7+TDf+O+OkYa7KnfNT4n6318VBO0NfYIwYMYyLYIurFX5YaKBJGa7Xyd9PoalUlEDA6dhp12E594G2vcAemJWV7ZMWUfJuo9oqQWbxHkA1ClrnzN8sJk2dSGNnkOhEVUVtbJp309N92N/DyF4mTyoX0szWFZiraJDQYLek6203YvlikP2nVNkJacrnLUbjb7JoIIyLFdF4JxUzoWZNBBAI1auahudDzr4YscV/A+HLDAqqoUkBmra2Kiz+HLFhi5Qh4jHSG7rZ9qWutfLRGDCnxftmwYxwR7glS77CwaOlebcwQRY2IIGJfZ7tYswVZKSQ0BdASGrNLdg+YPn6jELa2B0nRBwuujE4DFZMODBgwWo0YMGDGLEYMGDGLEYMGDGLEYMGC8YsS92zgkaJSl6FJL6Wo9K2sahzBBNb2dhhEz2YRFGtgCWCgMTSyE0ttW7Eir22IrQOfWpIwwIIsEEEeYOOMcd7MsMxmIpWLZdowCNZDROjDRIL2GqPSxPVluicVnbNMMbZnE20P47r/TmjaZ+RaEzdkeIKmZXUQdcenUT4gSw5gjVzUA2Tudtrp3zHFok1W4JWiyg2wshR4RvzIGOYGTWpcMXRhs47sqTQINGwfMEH4kk4lWTbGixsjvDqY+fya+HdrNjzwFSbWNLD0eG+eX571LJT43XumDtD2oimg7tAXD6Lo+JflAKI3o7daG/PHPT2YQR5uN2OjOSF0s0Y9fi6FtRLKOlnT9jDnHpQWLjkN9MYG4bqQw5eeOefyrQl4oHjB0Kz3TagLVAp1bj+jNb44ZUy19Q0E4b5X7Mxw3+i2WNiYd6eMsfycx6HRWjj0BtVFqjIBNAeI79OYxctxuUqo/KBszEEFiTZDAH5TxVR53sThXPHVTKQyTv3RIjcao2DNJQZgBzY2zchixzvaGOKFJp5HiXYjUgU2VOwRhqJonarwGJaqMYYycydN5+nJSYWHMq4bjchaU98F7wAWA/hv6Pym3KtvPHj9oJQErMLS/pEatTg2xLmwF23vbFWvH1EJndpI4RRDSIke3nTAHc1W2/S8aMvxpZsuWgaQx1Wtoyi6aNsGYKDQHMWMbFXWalxtfxvfhx9FnRx8FCz/BkzOXCOyALIsjMG3bTdgnSTVbk7eeMjwkflT5zxaWgEaopsg33h3LWQauq6/bQds+NLmsqcvk2/KHtVKwo7EINySRYq40+3Fh2RZYcjFFMQsoRvC0gjdfHIaKMQeUg/HEpjkZDjJzJth32OZPfbgubtLreK6zlu2UJUa7ViSNI8RGlQSSKBA3rle2wxbniMfj+UXwXrAYErXOwNxjnWq1sWVY341Djfra+nn6Y0ZjYGvZar0MrKfEC2oPVXSbDqBeGEO336SN929eGiidSDcVq4rxBS0shKohd2Yatgm7NqKjpZO5bfYDz2QnWFMZPiFgLdquxWuRYeIULsG9JFacQuLZZJI2jmZlWUpSlkBkAbXpB256PZAutq2BFx2D4HI2cmlla1EhZE1EiNVGmIV0LW7nzKqd9jhZBF+qlGdnE+7eJ7uamc7A3kn7g0TrAiy+2BR8WrqaGrrtW+JuDHgceeL61uEAcEqJuvcGDBjpaRgwYMYsRhc4p2oOopl6JBppG3UEGiFUEayDsTYAPmQQNnaniRUCFCQzgliDRVBsaPMMx8IPlqI3Awosoe12WFPCa2DEbFfSNeR8yCOSkNXtrbUdTnoYvm3nh+T75GU8Af1naLOfPtKT4pJ/Ml9Mf2CkP6qtXXFb+UxBqH5GGHQOAw/XC2D8MTGXWmt9owLRDsCByLjqDtScgKsE+zBNoIqYpHoViNQjDu1ltTEVq9nwNV230axV+lkkOJ7iT2nz9LdqOwgZAJn4B2hdJAjlihZUZXOpoy5pWD7loydtya/R0suD+UXhashZiQkkbxvVAcuZPTwltzVacUGTgLDSlG1WJSt6SzOxAU9VQEDV5A+Rp47a8AOcybwg+0D5XujLYuhY1XRq6rFjo3SVVG9jyThOR1PH3vzsg5AI5ARvXFuwkM8DtkplB0BpbJsIjGha7UWY6lBIIsk1yNllsvm58pq1GCWd12Ve77mInflWqUqo3OwsDw4tc1phR5plCyBQsr1v8AJITsv0lJYXRIJrccs8hxVMxF3sbK6sLUNqdtrBqOhW4rlzBwlmme5xlwWzFzb/dv+p8uZRLWgDDf+lCzPCYJ9EYdXTLuBJEC0pdvDXekUzafE1HYkm+VYn8S4bHK6SOGZ4Qe71BFRWaqOl9r8Io9OmNOS4IIZc1IryXOVcg6Y1UgMAbvVub6Ypv5R8yy5OQxnSaW2WRmNGRQRq6cxyPIkdTiKMGWZkbHHke3XnqSOa2eq0khMcmTieZJWXVIoYI7SL4RYuitgGzzG+PJ8tG3dmURuyG1LTMdLEe0Ntjthf8A5N+IPLk0LHURqUsULt4WNb39FlG/RR5YaoywUaSxF/QA+cb5+W+Ip2OhkMZPy5b+a6aQ4X4qjh4nFmczmMvJGjDLmJgXmZlYlSbAI5g4tMzAk0eh9LRsPEhnc6hXLl519mNkcAV5HQMJGA1kRoC1Dw2QLPxONhJJWy10djHflfL3/jjh7xcYMrAbzrbM95zWwOKirCiRd3GO6TdaR41AANMRdUavfzrEPK9m4IEbuIgkmk05iWVwSpo69yTe/OsJH8qXFpEeJEZozbOdFx3WlVsXexVyPrHzx0Dh7Hu96D2AT3hQkgjV4dh9IDfBckMkULZMWT75dnG+qjDg5xbbRVGX4DHG7hMzJPmVXXUmalj58iyIAQt9P44yZsxCve5hoiNrRMtNK5vcAMZL6nr54nxcGCZqbM27NIqRlXQOoChfnKdxVHfHnFOOwwMiO4HfMEQISynlYK0Qosi+XtDfHPSOkcA3rXAvlnpmBllbkFuwAzySbmS2b4nl2bWkMXiUOro2seKqZQNRYLsCRS+e2O6dnkXL5NpWJo6pCSN9K3Xv8IsD1wgZngE2akQwTTwyabASTVFW5toWOgrezD9JRv16JxPIOOH937TpGl6QfF3ekkAc99JAHrixbM646YNya2wHO9znbfy70HNl1eJSlxbi7ys3eVQosrPphivkp/rHquYPO/CCoNbBNG7aVGUdh80AI3wBDH8Me5pgGJLAAsXVi2gMHjVbWSiA60a/RNjnjBI7RDKdY7ygXtvkyttZYWUDWQzfRU+WK2+WSY43kkn3kPS3gUaGhuQVvkeLPGwVHkibojnWjVvsCSCPRGU+dYbODdoRKe7caJasC7VwOZQ/vU7j1G5Sni01G9tGxpSxJKN0Utz+q16gRV2RjOIm+7ZjqXxxyCtWx2by1qSAeh1DamIBVFtaancMRLm7wc8uI7OH9iOSna8ZZFdLwYr+B8T7+EMaDglXA5Bhzr0IIYejDBi9NcHtDm6FKyLGxSfxvPHvMxLzKllX/dAqB7u8Dn9bEKfLhUjh5hiFPqqgs1/W0kH6+Ms/+bkv+ua/jmjf+eMpvz0f1ZP/AG/8icebVby+oe4/yd4afROYxZgHIK67O5ASzl2FrDVDoZDuCfqrRHrIDzUYtM72VR3Lo7xFjbBdJUk7k6WBok7nSRZ3Nk3jX2P/ADcvn3pv+7jr8Kxf4utBSQmjYxzQQQDnxOaWyyO6QkFVXDOzqQtrLNJJyDPXhvnpUAAX51fS6xa4q+1OfeDI5maOg8UErrYsakjZhY6ixjkh/lH4j/Xx/wBwv8cHDoqdoa0WHAKemop6wuMYva18/VOPb3hKl21ezPGVPkTVGz08NVXMsccs7Eyy5PL5tZI3YQuEGhqJeQqoQVverQa2rXv5YseNdqc7mlQSZjTobWpjjVGBojmDuKJBBsG8UcuWkZyzTMSWZj4EoswonSNroDphJPTh734SMLiDbPUa/XNNW7IrABduY5j1TmvHT36xnuEQRh5XFym2sd2hX2iCN2IrcbbjEOWQ5qCVJwZA1LFDsigawIzJKKYlnRSdOwHnhbTLyp/S1a1vGvL/AMGJKZidDXe0QV2MS80ax+OAv28szYRfLj6X8fupP2yqORb4j1V1wTs++Xyhjy7lJZCGLknQgbdtEYJs6UoaybNE+WLafgc35P3Uc7o920rSvI5F22kaQqk3sQKG+174V4+NZlQAJl2Ffmk8iP8AqON3+sub/rl/uU64hko6pzsV2633+nhouxsmoAth8R6pjzPAJe5WOKZ4zqGuVpXklZaNgMwpWJreqAuhjDP8HnEKJBM0bA+KV5JJpCu91qoAkgegrYYXf9as3ZuZABX9CnXG2LjeckYIsoLMaAESbnc/xxtmy6w2N28f7yz71X6naFPTzOgkviBtYC+fK32WvtF2RWYIDqeTcPPM7O4XxtSRqyIdw58XpzvaXmOLZlNEcciuBTtLmECrbEnSIoVvqDZPWumImezOcRtMj6T6xJ5MOfI+2ftGK+SSZucvkPzadKr92DBs+ocA2XCQNOXh4ackG7a9KwkXIPYUxL2kkMvdJAsrKV1SRsuWU8iQuuQs3keXXbCxxCRMxxiJnliEcZ2uZD4wS1E3V6yBfKkGMZcs7GzL1B9hehvBluHT0I4sxMtmwI6X16dPw33xNDs10RJba5Ft+/U+lgFwdsU77C5Pcu79iskBE0u/jO17HSPTobsbc9Iwx44kO1nE8oiRNKFpRp1Qxkkedg1zvG3h38o+fbMQq00bK00KMO5UbSSoh3B2NMcOqaMQRNiG4KF9fE6TCb3J0se5dNzPZSNmLI7xXuQmkrZNkhWU6b8lodavEjh3Z+OHUd3ZgVLPROk81oAKAeoAF0LusWeDHTaaFr+kawB3G2aNL3EWJyXP+J8L0PJBdLQKHqFa9BvzRlYD+zB54gST6oo5eRBRj6aiEce4Bm+6MMPaf+dD+yW/vvX/AFYWpP5pJ/v6/vJK/wAsULaMTYqt7G6XHiLlNYXF0YJTR2Wn05h06Omr4xsFJ95EiD9QY8xXQE9+NPPTJ9mqP/tgxbthuL6Jl91x4pfVC0hWrjOTOvMxDnqcr/vPlVPu1uR+qcRJpwwilHLUCfRZFK/gzKT9U4aO1uSorOOQGiT0W7VvcrMQfSQk7LhX7sKzRsLSTVpvzay6fHxMPew6DFU2pTmCpdwOY7Dqj4H4mBMvZPM6ZZYz88CRfUgCN/sAi+9hoxzbJ5h0cb/LReJGPKRfZs+8HS3kSGA3XD/w3iKzxh1vfYg81I2Kn1B2/dtiy7FqhLAIies3y3H7IKpjwuxbiq3t1/6Xnf8AZZ/8JscKOO69uv8A0vO/7LP/AITY4UcHVe7vVl+GtJf+P3XqxEgkAkCrNbC+VnpiZBkxJC5UeOK2bf2kPWvNT+BHkMbcjkJgdcOl6Uk6HU+Hawykg0fIjG6bMKsgkRO5mU2YyvgN0PBYNEgk70NxXKyO1lhc++xOZqkudhjIJGljoeDhqAdL7tTa10LkxIuU5+ItG3hOwWQny32Zj8MYLlhJNPK28cbMz9C1udK+YLHb0361jLL5WalMcTaFdnS7vccul1pHLrjUpAVYpdSIhLMKt3YmvDY28NDc1t7sctmiecLSCfwhQ91zhdx0zIBcSchvtYDgc9xVesZa6F0CTQ2A8/QYwxd5mCaWOki7qFdN7hA3k7ljuTd9a9eeKiaLSatT6qbH29fhjHNsmdPUCXLK/AG5Hbbf7uVHQeJ/h+7DJwHKifMRGMd2YtMkp1AagjAlkG25A3HLe754XIvab9X92N8UzKbViN7FbUQK5jfB0R6oXjW2Zmx7Vnx5jFpz3J+7UceyeagkVZAZFGpCVYaiOisQL93ldczjn+LmWMZwF0AGZFl4wKEwG5kQf1nVkHPdl3sYqYZdLK2xog78jRvHbybXCVVknTPa51rcRw9RwWuQ6TR2Pkdv/ORw3djOK5XLI0krfKFgAApZgPOhyHr69a2W+JZJp2V49Ka6UA2dNBtTFq5VGTdfbuMWGU4TFFF3jq7rGWtW8AbTdA0LUMxXYb1t64XM2ixpAkyJytwKsP7O2BjJ6V+MkbxbvFvfkrbtdoeaPOfncu9IF1aWYorXQIsL52Lu9qItZyL3moDQF5nLGhsB/wDkxbD0HL4Y8z2fklZmdt222oAAVSqvJVAAAA6DHnDv5xl/9py3/MRYZ3uUgfUNlnZg0xC/M3196L6JwYMU3aLjBiUJGflXBrroXrIR6cgOrEdLI3LK2Jhe82AVoa0uNgl3jmfBnml5qngHqItRPx7xnX9UYqngKwxxH2mKK3w8ch+xX+0YzVAzBR+biIv9J15C+oUiyfpADo2CKQMTMb0gVHtZKki2A5kuQoA5kBerVjzeomM8zpLZk3/+QnTG4WhvvmmDsvDqzLt0SPT8ZGB/AQj7wwYuezvDjDCNYqRzrfrRIAC310qFW+um+uDF/wBn05pqdkZ1Az7TmUpmfjeXKykjDAggEEUQdwQehHUYSOOcD7nY22XYgK1m4zfhVm5ijWl/OgfFRZ5xhMilSGAKkUQaog7UQdiDdY3WUcdXHgfruO8FajkMZuFzN1JIRzUgsxyV7VDfblqq9SbAiyK+ZYcF4yYZC5BA2E6DettpF86HUe0u1alCjfx7gHcjq0BIo2dUJva256Qap+a7XtvinOvV5zRjpt3yX+Bv7r181t6S5k+zpxfIj6Eeh3jcc0zu2Zicu27g8KzhBBBys5BG4IMLb3jhhx0zM8UH+i87DdocpmHhP6PdNqSumkkEDoGr5mOZnFtfO2ojZI3Q3/ruTv4dYWGVp/8AX7oBx7muKlFMkhaRUttJYm/SzfPlyxjiDxyTTl3NA1pNHkaddj6YiAxHCdCrBVhohe8jMA+SfF4qxAJsEAFxrXwEjcHw71/l9i/xXjJfMFQpVowhWQMDrVgaIpQRRDDnizyuc76OORfZdQxs0QDR8vx61hYzfERLn5gBQjRUJqrIJP2AkgYGio4o3FzW2I7VWKIN/UMB0N+/IqTJMze0SfeSf3+/GGDBghXAAAWCwi9pv1f3Y241Re036v7sbcMI/lC8G+Iv/Jz/AOSySQqQwJBBsEGiCNwQehGOj5LskkumXMR6p2UF0VjGlnfU9cpCCCQu12a3vCx2e4CuYVHjrvIpF72M8nQveseoGpSvXSOp36blMwpUDcEgk3uee5JG13v8cEMCk2dTdUufmDa3D+9yX8/2MiK/Jr3DgEKwZpEBJsalbetW+3270eV5vhLRO6NYcEq4J+cCd76+/mR1x3ds0tA2CGBo9DQ3s8gPfhB7WcGRRLmZecgVIo+urSFLMeoVQSPOhfPeN0Edy4DNNpaqpp2tdA/Dh7LWtz4bgkpRQGJHDv5xl/8Aact/zEWNGN/Dv5xl/wDact/zEWMGqqEDi6dpP8h5rv3FOJLBEXbfoqjmzHko9SfgNydgcIGZneSRhq+UejI4+YPmqnka2UdASx3Pim9ouLGWa13Ckxwg8i24eQ+goj6qmj8piq7sEFLPdKT3jHnKx5rtz32auZpB1Aqe2K4zSdCz5W+J+9tBxPYvRaeLCMR1K9AV0oUuXUfCQD/2/X5/1fba+AcCJYTTAit44zzH6bj6XkvzeZ8WynBeBaamzFLp3RDVR+TN0L/gvSzvhmwx2XsnorTTDrbhw5nn5eUM9Ri6rdEYMGDFiQaMQOO5DvstJGACWXwg8tQ8S36agMT8QuKcVSBQzWSTSqtFmNXQsgcgSSSAOpxw8tDSXab+xbF75JE4dxeSIhVoxv7Mb33bqRZjo2YpALFDwmidJNhdWYUEkRXaeONW9pejQtubG4AbcFXQgkreMeIZxWlcN3KI7aihnp0JNsR4RXi8fOwxJB5UQQlnVrBZLXvNqkjberG2oMqkjla2KDVigT1JwGFxxNHyn3uIyI7xkmzWZ4hkd6qu0Mn/AOJmNB2eCWaP9aMrKvxWS/fK3lhSOHPjgrI51fopPXueMyf9ZHwwmHDHZbiYiN1/sFZNijOT/j91vyOTMj6Qa2snntt0+OGY9hYaRZ2YpNGpVjQTUQp0sB4iOfI8iD54o+Bgh2boFo9BuRW/T2T9mOqcLCSZOIPuCqr8R4NiORscx54dxM6S4acx7z95aoPbdZLHJga6zdCB2JWXsnLGAixAqBS6WTSB0qyCB8MRMz2HiViWFZmUjwxsLO9kuSCpNHkOlmzWG8dmgNkmlVfog7cqrahXXlzxKyHC44T4bLkbsdyaABOwAHS9t+t4lFO85WtfU3v9MvPtSAVr22LTmNLZe+5cs4/2e/JncB9YUgE1R3VTfPzasU+GztdIXeet6fetzSsF5dAAvP0wp4GfbEQOKvGyp3zQXkNz+FhF7Tfq/uxtxqi9pv1f3YuclkkjQTzi1P5qLkZiOp6iIHmfnch1OD4/lC8d27GZNqTgfyzPBSOCs2VAzTMVJDCJBzm6Em+UINWepAA33DZkO3uVkFzK0UnUgMQfc6eL7R9uOfZ7PPM5eQ2x+AAHJQOSqBsAOWNGJQ62iXx1zoOrF8vPfzXTc123ycYtNUrDkAH2/Wk5fC/dhW4lnW4j4hYnQNUN2rpd3H17wD2lO7AWOWnC3j1HIIIJBBBBBogjcEHobxhddbk2g+XqyDq7wPeq8x5rYNGUNOJYNJ8j30dH4Gji8lUZwFlAGaAJdAKE4G5dB0lrdkHtbkb2MUie3F/bQf48eI5CWtJHBRxRYZ47ZguFj3+afAeejY33EXXSF9t/Wije/ul88TshmEjbwqGMW0ak+FCOcsh5kg2qrzJDk0KYazvP9SP8ZG/hF+1iG0SouhyqpuzamVe/kbxNz+ZqNnz2HJSD5/Tz9E/GB1rZcjx5m2nM3Xo72YhbcpiI+clQSHvBIwUFxzX2nZV9mNO7VgKFtYJPInpWOe8A43olaQiOY6dNRShmRbtqUgBiSFskr7K0PN9ymaWRFdDqVhYP/Y7g+h3GLhsd4dESXXeTc8Rw96cEuqBZ2QyW3BgwYdIZGEztnBLJmI0iRnZozpCnSK1jvLk5RjaIFtzv4QTVOeFvifbAwyOhhI0EWXfTYPJwFV/Ad9zXIg0QQBKwRGEiY2abed/FSR4sV26qmTslnFXw/kyj6CagPxUWfiuIHfPE/dzJ3Z23A0jc0CVsiidtSsy3sSDtiTxrtA8pWRDKildJZJWaNaOoNUcisRuVY1t4TdA4iZriEssemQd6Fog7MdDEK+iUAd4pjLAow1XRs0t1Wrj2e67Y8juOoP3vuz01KPjMwzKjdp4gMlm26mCS/hG1fvwgHML6/db+GHrjMhbhcpPM5Vyb5kmE74Rzhv8AC+z21ccoc4jCR5fhc1O3pNlEdGwOx8b7uztU/gfFhHITrKAqb2ajRFc1o9fxx0DhPazK/kwV8wgfx8w1g62INBfcccwwYuMWwoonl4dmeQVerfiSSrdidGB2X7F2L/XXJf8A7Mf7X/xxgvbHJaifymPkAPa2As/R8z+AxyDBgn9rb/JAfuzv4pi4/wBoFdJFSUkM52AO6lyei2RXnhb/AChfX7rfwxlgwEPh6Ft8LiL8gnlL8YT0zMDYm+KxymcVZNRXUAVOllemA5g1Ro8sSM7xgzSF5GJY/osAAOQAqgoGwA5Y0E1ucWmS7OTSLqoRjprsE/qgWo9Tv6dcdSbOggaMcllX6iabaU75A35jcgaX71V/lS+Z+638MH5Uvmfut/DF0eyU2knVGT9EFt/1ior7PiMVOYyzRtpdSrUDRrkboggkEbHr0xqKjppThZJcoSWkkiGJ7TbuWv8AKl8z91v4YPypfM/db+GDBgn9oZ/IoWzff9L1M6AQQxBBBBAYEEbgg1sbxJzfFhPPExChzLl9RVWXW3fpbkcgx61QJF1ZOIuPY/zkX9tB/jx4HqtltZA92I5AnwRdI60rGjTE3z7F099KanO21sT5KP4YxyeXzGYY9ygUDYs3T0LclP6KhyPnaTtiPxhmCroBYl9gPpBHZL6ACRUNnYVjPM8TlCiMOYo1pVCa1F/RQLUs79SxIBNmuYHk9Eyn+eoueAG/8ePBejSF+jFNzvZDOFbuGUjcDUUcHzSTRpDehFHkTROGDsXr7htYZflG2ZdJBpdfhs18p3nIkdQSNzQ8L7Utl4qdDqdi2mWclgDQCqqiQmgBdfOLHrhk4Fx9swzKYioUC2Dals14LKqdVG6rYVdWLtlCKISAwZOI0GY3Hsy5FL5ekt19Fc4MGDDtDIwvdqszl6CyFu9Ual7utaA9ST4VQ6fnkKdPmNmHEPPcIimoyICRybdWHucUw+BxFMwvjLRbPjmO9dNNjdcyiziF9TNChv21m0swHLUgBU+4u1dDi2hlVhakFehBsfbhlk7Ir82aZR5WjfiyFvxwtdq+FNBXy0jKUZyPCt92yagSqhqKvXPzxSKvY88bTI61hwJO/gR90zjqGk2Vd2p/mOZ/sJf8Nsc/OOgdqxWRzX9hL/wNjn5xbvgf/Sm7R5FVz4j+aPv+y8wYMGPQVVUYMGAnGLEY3ZPJvK2mNdRHPoB72Pv5Cz6YlZLgzOAzkxofZ8NvJ9SPqP0jSjnuNw1cI4aIUrqee90LJq6F7sSTQsk8hQCes2k2MYYsz4JvSbOdJ1pch4qoyHBlhYO51shBZmBWOOvo3vI90AeQJugaBYYZw/K9vNWX8GAxGlzURdTq1lLpUBeiaF0oNECwL5ajjZ38jezHpHnIwH7K6ifiVxXpJHynE83KsEcbY24WCwRms2yWe7JUVvqUE2QAFW9zZA3rC32qbU8b71pZKIoqwIJB94I9PDYsG8XkmrUNXeOQQVVY9CE9DrN7Dnu/TkTWKfj+Z7yFSxAYSKTGDvGCjrvYDE62AJqt1A8yRROwzsPPzyUFY3FA8cvLNUGDBgxcVT0Y9j/ORf20H+PHjzHsf5yL+2g/x48CV3/bSf4u8kRS/wCuz/Iea6pjRmcwiinfRd0br7D574w4oPkWHImgCCQQWYKCCNwQSD8MXPAezvexFzPKPG6gDujQRim5MZJNqTZPXHhdFQyVbrR2uOOXDkeK9LklEYuUtZPNIHC+AI3tGJ9Urny1SKov1JJ8qO+Oi8DzUDRaYKCp4SlEMh50yncMb1Wed3Zu8RYuyUQ9tpZPrPpHxEYUH4g4tctlUjULGqoo5BQFH2DF12bRSUoIfhz4XJ7ybeSWTSh+l1uwYMGG6HVP2tZhlHYEgLpZ6JB7sMC+439mya5gEdcL3Z2VYsygDLGjK170kh20qAPDq+cDzIBAuzTwRjm+Y4OcvI8CEBF3VHGpTG16a3taIZCNx4LoXhFtQugeyrFyG5EXIGfvyRUFnAx8V0HOcQjiXVI6oP0jV+gHU+g3widoeIflMnIgMNCKdiI9QMjsPm6gAKPLwXRJAiRZRwfCsEZ81Uk/uT/PEiDLBbNksebHma5egAs0AABZ23OEdftp1Qzo2iw353v+PNFRUwYblR+Pxa8pmF6tDKPiY2wlZPgMkiq17MAfDHM/MXzKKv7WOh0OvLrhc4HkF7hVcFmj1RNbud4mMfItQsKD8Rhh8M1j4RKxhtex80LtGljmLS8XtdVb9ljQoy31uJCPgBJY+JOB+zA2ppgOuqAsfgUoD43hkGSA9hnT6rEj7jWv4Y8j1sLWe969mMixzBofuIxa/wBdP/Mpb+ig/gEtT9m0od3MfaRXDpuupgoOnwFdyNiN/PE/hfAYoi8sjF1jNLairGxIUe02vwqPNdtyDiwzqhgFmjDg7K0baWB57AsGHK/CxO3LGhxo7uhL3MbW2sJSjQwB5azTMCTvyvpjl1XM9uEuNl02lhY7E1out/eFfEy3NIdlBFgDkuroqg2zcrJO5YA6s1BYAch5G9lT7C+bd31C87azdCxqAxiMzpJIIZ2bSX3McYs6V1bXXkObNuVsVsmh7kGXUSdu81EDWByomgrCzpAoG66ggZEqdGRVA3p2PLb3gcjjLFTNnopAGVXJ+bIqaWWvr6SaI3WiNiCOeM4uMMVHyTa+RvwLfmCbajzFKdjvjSxWE0wRSzGgOZ/85npXXC/x3ikUuXdWVgdjGWFW1rRUgmj4gaNEi9iLqHxrjEneBPC2nxEDwqrWNNndmOnUa2G4O22KiWVmILG65ACgOnLc3W1kn4YY0lFJK5r7Wbx9Evq62OIFl7u4LzHmDBi2KqIxtyceqeBfOeH8JFY/gpxqJxZdmMsXzsJo6UEkt0aNL3Yo9fFKDt5YVbYnbBQyuJ/2m3bayP2dE6SpYAN4T7m4S8bKNiRsfIjcH7wGLLs32hWIEPYidi1/1T8nRx0Fi9XIEtdAg4h40SZXxalYo+1kbhq5al6157H1rHitDWPpJMbfY92XoksYkFin8cRiKaxImjnq1Lp+9dY53myG1ufHI0hWOTk8jM1RlGPiSyQBWwAseHfHhyr3emDV9LQb+y7/AGsXHZXg/eZnvnJfubCkigHdd9K9NMbczZPec/Dh+a07UkZC0YbG5IJ0HcPFCdF0ALjmnKBSFUMbYAWeVmtzXvx5jZgxbUvRig7XZG4xMPahst6xmtf2UH/Urri/x4RiKaJs0ZjdoQumuLSCEgYMZZnJdxK0PRd4/WM8vunwH6qk+0MY48wqIHQSOjfqPfinjHBzQ4IxSPFozMiWQs6iVSCQdaBUkAI5eERN8Xxd4rOPxExqU3mVw0I+kwsFfRWRmVj0DX0GC9mVP6eoDjocj2fjVRzsxsIXn+jlPtF2Hk0jkfEaqPxGNsiHTSUvIcrAHovLly6fuOvLZ5XiEi3pIuqJYUaKlQCdQYFSOhBx5+UueUTV6sqk+5b/AOIri/JSs4coFOoks1VqY2a8gNgo9FAuh5Y2lq5muX2nl+OI5zLnZY2B83KhR8VLavcPiRj2LKbhnOthyNUF+qvT3kk+tbY2tKnzkzwExjQsJ2TUtiiN4xvp23AU9K2IvFOc4QRouatgzknTewAY3fMeyNro2MO8kYYEMAQdiCLBHkR1GF2bJlCYhsa8DHewD4TfmpCWP0CfnDGXWKtGXlLC3CBjyUDnR3s3vpUi6F7Ys8jwuh4nc2B84r537NemJBy4Lathoe/Su7qv28bEmZ90Sx9JiUB9w0liPWgPInGltVf+iY1aaRlDoHFq7Pt4IySG1b7sT4geXMDHvEOAxNKoiHdrZjZgSV1USKQ3q0ldJNr7VXamrUXGhumkdjSjkSRsN+gVRZPQH3Y1ZyoMulCxEYdhtdOin3WCftxM2eRpBDioXxRkHEBbelXO5NonKvWxqxuCSLA8wSOhrrVgXjSASQACSTQA5k+QwyDtNE5PewnSVKk/nARd0UoXv5A0T78Q+HT5eMl9RDNyBEjaFPzQdO58zvfKyAMN2bWcIyHNu7d+ff0SP9DBI+8bxh38ffb4oyvBtBXUNchKmqJSMahZJOzNV1fWqA54YezsetpZ+jERJ9SIsCfjK0nwRcUuY4x3hEWXDtK9gELWgAWz+KidI5bUWKjrhtyEaLEixfm1UKvuUVXnYre97u98UX4grXuZ0bjcu17PydOwq0bPijAvHaw4KRgwYMUxNljIxA2GpiQFX6TMaUelsQL6c8O/CeHiGFYwbI3Y/SYm2b4sSa9cLnZnI95MZT7EVhfWQij9xSV97kc1w3YvewqPoYelcM3eW766/RKqqTE7CNyMGDBiwIRGDBgxixRc/wAMjmULIt0bBshlPmrCip6bHFNL2P8AoTsPR1RvxXSftOGPBgealhn/ANRgPau2yOb8pStL2Pk0tU4DUdNRAC62u2ba/TFBlssFLWG7weF9ZtwRvpJ5VuCAtKQQQKN46Rip4xwBZjrU6JQK1VYYfRdbGoCzW4Is0dyCnr9jRyR/9OA1w8eR+yIiqSHdfMLlXajJywk5iF3WMm5lU+ydh3wHlQAf3avpYpf9YJzXyrWOQ0xi/jo3GOmScAmkjfupYn0sVZYydR0khkDk1G/vHxX2hz/jHZfQO8yyloTeqIAloyCQdCncqCDac1I8NjwiOjmlpGthqxb+J1HYT5JdtGnklvLSuPMZ/UDz4qbwrtWG8M2lD9LkvuIN6D62QfMbA45vteFk8CB4xtqJKlvUbGl9Tz9BRKyhVgCDY6EH/Pnj3T6n47/9/wAcPLBITtWYNw7+Kasx2tQICiszn5rAqF97UQfTTqvEXMdoo5DE1MrBqqtVhqPhYbHdAN6O/LC8SB1A+I/djxip6jfnvz/yPxxll23a0uK5AtwThJkpZKsrGnMoV1s3lqIYADb2Rd9TVjE3KsCDT95vudQO/ltsvu//ALhCWShpD+E811EKf1QQv4Y3ROUNoSpqrU6TXltzHvxqyK/eGAjqn375JybTGdcsguqBYqgAuyFHqQLsk7DyxU8c41G8ZjjOvUVth7Ipg3P5x8PTb1wvkEmzzPMklmPvY7/icelfNj+A/wAsZZDz7WL2lrG2vxzWLR/oqfj/ANsYMABuvkAFJJJJoAKBuSdgMZAAkBdTsxpVUksx8gAftPIdSMN3AOyBVkL+LMvfdKrUsNCydZBBYD2mo7WqqQTqFqapsNmjNx0aNT+OagoaB9Ub6NGp9OaldluAGBC8gHfSAat77tRuIwetc2PVvQDFzl+EmacLGWRzTSMtUEurZSCrMaKrYvn0U4sk4A/eCE5mHvNOogRnXQIBbR3hoWw3PnyOGfhvDEgTSg5m2Y7s55amPU7D0AAAAAAwmptkzzVBmq9OGt+XYrn0scUYjhGnh+VTHseek5+Ma3+FD8MboeyEf9JJJIPKwg/YAb4E1i+wYfN2fStNxG36IczSHeVhDCqKFVQqgUAAAAPIAbAYzwYMHKJGDBgxixGDBhZ7QRzZeX8oikYI9CRWt0DDZWKE7KRSkqVIIUnbViOWQRtLyMhwW2jEbJmwYX8n2uXlOpiP0hbR/eq0/WAHqcXsMyuoZSGU7gggg+4jnjmGeOZuKNwI5LbmlpsQs8GDGvMMwRioBajpBNAmthfTfEy5XOuO8OVM1N4107uzMoZV1kuUayCrAsTQNaSti6vVDmDa2dCBSfEArOFABJWqjQahtz5eyBvPyvZXMswLqLBu5GWgx3Z9KFi7liWskVe2ncnfxPsfOKMbd7V7nSrAkCxpNKU1KrDxAjTR1c8Uuo2fUVEjpMFm30358B5+HFM2TMYAL5pX432bhlJkBaCRtzIUZUf64YKr/WBDeuFfPcCmh/OQ6l/rIh3i15kAa1+K16nH0HlnLRqXXQxUFlsHSSN1sbGjteFTtNkoMuVaMiNmPijHIrRtwg9kg1uKBujbFabupp6GIuifiaB8ruHI+Q0SuemgrHf/AKNs47x9+K4zDLqHg0H6rX+4Y2W3p9p/hh5z2XyswLSxRswutWhZKHW7DJ+sR61iBD2Uy8gLKmYjTUFDCViLIBGzM2m7oEiidgTtcMW2GvF3RuG/LPLw8ksl+H3A9SQHtuPVK5xjpPn9g/jeG49h4ALMs9Dc3IgAA9e7xrk7MZeJwskEragrDvZX3DE1aawBspOkjV+jzrtu2IXgljXG3IeqiHw/ODZz2j6n7JRZ1B0kkseSgksfci7n4DFrk+zMz+JwuWj+nLWs+6O9j9cg/onDflmggOiKNEBH9Gqrv5MoGoD9IivMja3TsvkYe7WVaeUinc+0jV4kA/owDtp2O29nc6p6ueteWRjABqTme4ZeN7I9mx4KcB0hLz9AkrhXBYsstqkgLUDLJHIC9nYGRkCgXyUUL5DBNISul2BTUQJCilbUlakUilOoe0KBI+bYBfu0sErwGOJNRchW3Apebc+dgaf1r6Yo8p2MlEfilUPv4K1I1kli5oHUzEmwAF5Uw5g1WxpelvES46kutryPscU6iqGBtiABwCw7D8PVZpWumUaQtBbDEEuFUBQtoAK3sNq32DphK4V2dzMGYjYKAitW0gKqrbOASA2mqYKRsUWqGwdcP9mteyANe3CR48+/+skLMQX3BujBgxHzvEI4V1SOqDpZ5nyA5k+g3wwJsoVIwYVuI9r2o90ulR/SSA/sxDxH9bSfQ4seznD5ERpJmdpZaJDNehR7KaR4VO5J0gC2POgcDRVUUzy2M3tqRp9ePYu3RuaLlXGDBgwSuEYxkjDAqwBBBBBFgg8wR1GKfjHD8yW15edhtvERHpNdVcxkqfQ2D+jucUg4/mlbQzhXHNZIhq9/hYBh+ktj1wHU1jKbOQG3G1x4fdSMjL9FjxThRyzAbmFjSNzKE8o2P4Kx58j4qLxIlKNqjZo2O5KGrPmy+y36wOJs/Gsw6lWaEqwIIMJIIPMEGQgj4YgQRFVALFq6nnz/AMuW++25Js4pFdLA2XpqN5BOozFuzly9hpE15bhkCt8t2nnTZ1SUeY+Tb/NWP3Bizg7WwH29cR/TXb762g+9hZxVvIS7sxdUDaUdGPg0gBtSbggvq8RVhtvVCyqbblU3J9nDnr4ehUb6Vh0yXTstnUkFxurjzVgw+0HG7HM8prMsLKI2JliAmQ0aMi6tgDfg1AjVRF8uWOmYtNBW/rIy/DaxtrdAyx9GbXRiqk7MZdpGkMds5tvE+ljy3TVpPxGLXBg5zWuycLqIEjRa4YFRQqKFUcgoAA+A2wsdpo+6VooMs1SssjuiEqWVlNUgYhjoWyVAokjUdsNeF3jXa6NEIhPeOfCGUF0U+pUHUwo+BbO2+kWRBVFgidjdhHH0XTL4hYXSjKXeJAupmcEECNrNoxPhALLpqwKPKjzsPfBT3vy8kHdTVoLEUWUG7W/GqEk7MAfeKJRYOJGMQsim0Phu2vSCpFgESeElX0aipa6NYeuFdpIZ9K3okYWI38LHazp6OK3tbrrXLCPYYYwObchxOhtmNxGXvssiqq5sdynZrJRyrpkRXHkwDfv5HEfIcChhcvGlOwCliWY0NwLYmh6DbE/Bix4QTe2aDujBgxA4+X/JJ+7NP3Umkgkb6DW43G/UY6K0tmc4tDFtJKiHyZgCfcvM/DFZmO18f9Gkkh8yO7X7Xpq9Qpwls2kC9ECtyEfid/RfCPwDMfTGWQZhIykMFZQyB2LNsdLEkkkXaHTe19CSBUJtvykHo2Adufp90wbSN/3FXua4/mJPnLEvlGNTf3jivsQH1xXFFUlyd68TsxLUPN2JNfGhjZjW8Z1IwI8BumUMpO1ErtZUixvV78wCEclZNVPAnkOHfw+gRYjbGOqM1ednuCFyJpQQo3jQijfSRgeR+ip5cz4qCNGE7/WHM/Ti/uW/+3GEHFc5OxWKTUQaJVEVF+tIwcX+iAzemLbQ11GxogpwT2A37Sl0sUhOJ6dMGIHCcjLGp76dpnPUqiqvoqqo29TZPpyBh6EKp+I+d4fHMumRAw5i+h8wean1G+JGDGyL5FYlfN9k3XeGTUPoS8x6CUC/vKxP0sU2ZDRfnUaL1YDT/eAlPhd+mOg48IwlqdiU02bRhPLT6elkSyqe3XNc+klCqWPsgFj7gLP4Y1ZCMrEgPtVbfWbxN+0Ti/7VcBgGXdljCMxRfASgOuRUNqpCtsx5g4pycVHaFCaJwjLr3z9+KYQy9KL2VcczlvyjR3ka5gU1K+iSyNjsQW2Przxdw8YzCcptXpIisPtXQ32k4ReA5F8wHmkiy8sGaleSpFPeIgPdoRYZWHdxqQPCfFzxs7Rcbk1OYH0x5MxtORXjJdAYvqrEWZj5lR0OJonTwydFBIRxzyvp55acFy4McMTguhRdq5h7UUbequyfslW/4sSk7YL86GUe7u2H4Pf4YS+M8SkSSKCEKZZdZ1PeiNIwNTkAgsbZQFBFk8xWN2QGYDETGJ1q1eNWQ3e6tGzN031Bvhglm2qxjQ5xab8RnbTdZcGmjJsLp1XtbB1Mg98Mv7whH44htmuGsbZYLPMtEAT79S4Tm7RJ+WDK6WJI3f5ofSZO7+t3Y1+4jHnGO0DZcknLyvHaKHRoaJchQNLSBvaYDl+GC27bqCQ10bbnMZ28yozSs1Din6XjmSZNDSwsnLSdJG36ONGW4tkYjcQRSescJ3+4mFXK8RLIzyRyQhbsSFLoCy1o7CufXocaOD8cTNQd9EG+cNDAKwIF0RdCwVI35MDjDt+axIiGW+91n6RumJO79roOglb3RSL+LhRiNJ2w+jA/67RqP2WY/hhBHaLMGfuBkwJO773x5hANOrRzVG31dMWOf4k0c2WTSNMzujGzakRM6152UIxHJtqsvYNaLgnjkBf+RXQpo+J99yY5e1E59lYk9+uX/wCvFXxTjE/dOzSyOFVjoTRGGoctQAYX5lqHPFWvEXTOdzLWiUaoGArdR44j5tXjB6i/LFJNmi/CM5KzFu8/K2WyTSanjQDyAVRQHngQ11bKRikyJbplr2W4EFSdFG3QcU0ZLLxqoMYWiB4l8WoVt4+bCuRvHmb2eNvJtJ9ziv8AjEeFvg3Exl5dAjlTJSMBE8iGMRyMT8mFamETHdSVADGuRFMnEVuJ+ew1bbG08Qo9DajCx8RZIATkd/rzG9TB12rfJIFFsQo8yQB9pxvyuRll/NxMR9J7jT7SNR96qR64a8jwOCI6kjGr6Zt3++xLV8cWGLTT/Dsbc5nX5DIevkgX1hPyhLuT7ILzncyfoKNEfxFln+J0n6OL+KIKoVQFUCgAKAHkAOWM8GLDDBHA3DG0AINz3ON3FGDBgxMuUYMGDGLEYMGDGLFozuTWWNkcWrc9yDsbBBG4IIBBG4IGFXO9nJo70jv09NKyV6qaRveCv1cOODAdVRQ1QtKOw7wpI5XRnqrnIZVqP82apUK92R0GlGA5e6sUed7C5Zss0QjTvCjqszqDJrYE62cAMx1NqP7sdeny6uul1DKeYYAj7Dtisl7KZc+yhj/s2ZB91Tp/DCJ2wZIzenlt2+o9EUKpp+dq57xDh8veQTx6HliRkdGYqJFcKW0vR0sHQEWKO4NYkw52bu5HfL6SoJSNZFkZ6BNbAKLNAbn1rDbJ2P8AoTuPrrGw/BVP44jSdlZxykib3o6f9TYXybGrAAMLXW3g7r34jyuphUx8SFzSXg2bggSVmjkZJ1zUipE/eFmNSKGEhDARuy+z7KjF/wBqoi0MaqC15jLXQJ2E6EnboALvDOezuZ+jCfdK3+cX+eNbcEzI/oQfdIp/fWI30dcXNc6LMHdb6ZcFsSRWIDksdsS7ZbuYxb5hlhHMABrLkkA0O7VhdHmMRuGJPDnT3qRrHmU2ERkdUkhUAaiyLp1RbevdDDcOEZn+ob78X/zxmvAsyf6JR9aUD9wOOGUNYI+j6I7/ABt5WHsroyx3viS5LlW/0jHIFOj8mkQtWwPexsoJ8yNX2HGfHsg8ogMYtosxFLzA8IJV+f6DthkHZvM+UI/3jn8O6H78bo+ycx9qaMeixsfxMg/djtmyq4lpwWtlmR6rRnizzS3xnhYzEWjUUcEPHIBZjdTauB6Hp1BI640QdnkGRXKOS0YjEbEeEsBzPWrNn44dY+x6/Pmlb0GhB+yur9rEyHszllN90rHzkuQj3FySPhgyHYVVhDXSAAG+Wefh5qJ1Uy9wEowMZD8krSn9Aah8X9hfiwxdZDsqzkHMEBf6pTer0d/LzVRvyLEEjDOBj3Dak2JT05Dj1jz0+nrdDyVL35aIwYMGHaGRgwYMYsRgwYMYsX//2Q=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66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0</xdr:row>
      <xdr:rowOff>142875</xdr:rowOff>
    </xdr:from>
    <xdr:to>
      <xdr:col>9</xdr:col>
      <xdr:colOff>4762</xdr:colOff>
      <xdr:row>4</xdr:row>
      <xdr:rowOff>142874</xdr:rowOff>
    </xdr:to>
    <xdr:pic>
      <xdr:nvPicPr>
        <xdr:cNvPr id="14" name="Imagen 13" descr="Ingreso Ucompensar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9" t="12763" r="3746" b="15166"/>
        <a:stretch/>
      </xdr:blipFill>
      <xdr:spPr bwMode="auto">
        <a:xfrm>
          <a:off x="3152775" y="142875"/>
          <a:ext cx="4500562" cy="76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11</xdr:col>
      <xdr:colOff>157162</xdr:colOff>
      <xdr:row>4</xdr:row>
      <xdr:rowOff>142874</xdr:rowOff>
    </xdr:to>
    <xdr:pic>
      <xdr:nvPicPr>
        <xdr:cNvPr id="2" name="Imagen 1" descr="Ingreso Ucompensar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9" t="12763" r="3746" b="15166"/>
        <a:stretch/>
      </xdr:blipFill>
      <xdr:spPr bwMode="auto">
        <a:xfrm>
          <a:off x="4476750" y="142875"/>
          <a:ext cx="4500562" cy="76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400050</xdr:colOff>
      <xdr:row>1</xdr:row>
      <xdr:rowOff>0</xdr:rowOff>
    </xdr:from>
    <xdr:to>
      <xdr:col>8</xdr:col>
      <xdr:colOff>42862</xdr:colOff>
      <xdr:row>4</xdr:row>
      <xdr:rowOff>190499</xdr:rowOff>
    </xdr:to>
    <xdr:pic>
      <xdr:nvPicPr>
        <xdr:cNvPr id="2" name="Imagen 1" descr="Ingreso Ucompensar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9" t="12763" r="3746" b="15166"/>
        <a:stretch/>
      </xdr:blipFill>
      <xdr:spPr bwMode="auto">
        <a:xfrm>
          <a:off x="3448050" y="190500"/>
          <a:ext cx="4500562" cy="76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4752975</xdr:colOff>
      <xdr:row>1</xdr:row>
      <xdr:rowOff>19050</xdr:rowOff>
    </xdr:from>
    <xdr:to>
      <xdr:col>4</xdr:col>
      <xdr:colOff>1023937</xdr:colOff>
      <xdr:row>4</xdr:row>
      <xdr:rowOff>171449</xdr:rowOff>
    </xdr:to>
    <xdr:pic>
      <xdr:nvPicPr>
        <xdr:cNvPr id="2" name="Imagen 1" descr="Ingreso Ucompensar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9" t="12763" r="3746" b="15166"/>
        <a:stretch/>
      </xdr:blipFill>
      <xdr:spPr bwMode="auto">
        <a:xfrm>
          <a:off x="4752975" y="209550"/>
          <a:ext cx="4500562" cy="72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2085975</xdr:colOff>
      <xdr:row>0</xdr:row>
      <xdr:rowOff>180975</xdr:rowOff>
    </xdr:from>
    <xdr:to>
      <xdr:col>3</xdr:col>
      <xdr:colOff>842962</xdr:colOff>
      <xdr:row>4</xdr:row>
      <xdr:rowOff>180974</xdr:rowOff>
    </xdr:to>
    <xdr:pic>
      <xdr:nvPicPr>
        <xdr:cNvPr id="2" name="Imagen 1" descr="Ingreso Ucompensar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9" t="12763" r="3746" b="15166"/>
        <a:stretch/>
      </xdr:blipFill>
      <xdr:spPr bwMode="auto">
        <a:xfrm>
          <a:off x="2085975" y="180975"/>
          <a:ext cx="4500562" cy="76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2362200</xdr:colOff>
      <xdr:row>1</xdr:row>
      <xdr:rowOff>76200</xdr:rowOff>
    </xdr:from>
    <xdr:to>
      <xdr:col>3</xdr:col>
      <xdr:colOff>328612</xdr:colOff>
      <xdr:row>5</xdr:row>
      <xdr:rowOff>76199</xdr:rowOff>
    </xdr:to>
    <xdr:pic>
      <xdr:nvPicPr>
        <xdr:cNvPr id="2" name="Imagen 1" descr="Ingreso Ucompensar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9" t="12763" r="3746" b="15166"/>
        <a:stretch/>
      </xdr:blipFill>
      <xdr:spPr bwMode="auto">
        <a:xfrm>
          <a:off x="2362200" y="266700"/>
          <a:ext cx="4500562" cy="76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Users/personal/Downloads/04-HERRAMIENTA%20FINANCIERA%20(1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Presupuesto"/>
      <sheetName val="Costos MP y MO variables"/>
      <sheetName val="Costos y Gastos Fijos"/>
      <sheetName val="Ventas"/>
      <sheetName val="Capital de Trabajo"/>
      <sheetName val="Estado Resultados"/>
      <sheetName val="Resumen"/>
      <sheetName val="Cronograna de Activida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linea.ccb.org.co/ccbConsultasRUE/Consultas/RUE/consulta_empresa.aspx" TargetMode="External"/><Relationship Id="rId1" Type="http://schemas.openxmlformats.org/officeDocument/2006/relationships/hyperlink" Target="https://linea.ccb.org.co/descripcioncii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cb.org.co/Inscripciones-y-renovaciones/Tarifas-202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M44"/>
  <sheetViews>
    <sheetView showGridLines="0" topLeftCell="A28" workbookViewId="0">
      <selection activeCell="F33" sqref="F33"/>
    </sheetView>
  </sheetViews>
  <sheetFormatPr defaultColWidth="11.42578125" defaultRowHeight="15"/>
  <cols>
    <col min="2" max="2" width="35.42578125" bestFit="1" customWidth="1"/>
    <col min="3" max="3" width="12.42578125" bestFit="1" customWidth="1"/>
    <col min="4" max="4" width="12.140625" bestFit="1" customWidth="1"/>
    <col min="5" max="5" width="13.85546875" bestFit="1" customWidth="1"/>
    <col min="6" max="9" width="12.42578125" bestFit="1" customWidth="1"/>
  </cols>
  <sheetData>
    <row r="8" spans="2:8">
      <c r="B8" s="417" t="s">
        <v>0</v>
      </c>
      <c r="C8" s="417"/>
      <c r="D8" s="417"/>
      <c r="E8" s="418" t="s">
        <v>1</v>
      </c>
      <c r="F8" s="418"/>
      <c r="G8" s="418"/>
      <c r="H8" s="12" t="s">
        <v>2</v>
      </c>
    </row>
    <row r="9" spans="2:8">
      <c r="B9" s="13"/>
      <c r="C9" s="13"/>
      <c r="D9" s="13"/>
      <c r="E9" s="13"/>
      <c r="F9" s="13"/>
      <c r="G9" s="13"/>
    </row>
    <row r="10" spans="2:8">
      <c r="B10" s="14" t="s">
        <v>3</v>
      </c>
      <c r="C10" s="13"/>
      <c r="D10" s="13"/>
      <c r="E10" s="15">
        <v>2023</v>
      </c>
      <c r="F10" s="421" t="s">
        <v>4</v>
      </c>
      <c r="G10" s="421"/>
      <c r="H10" s="16"/>
    </row>
    <row r="11" spans="2:8">
      <c r="B11" s="13"/>
      <c r="C11" s="13"/>
      <c r="D11" s="13"/>
      <c r="E11" s="13"/>
      <c r="F11" s="13"/>
      <c r="G11" s="13"/>
    </row>
    <row r="12" spans="2:8" ht="15" customHeight="1">
      <c r="B12" s="419" t="s">
        <v>5</v>
      </c>
      <c r="C12" s="419"/>
      <c r="D12" s="419"/>
      <c r="E12" s="418" t="s">
        <v>1</v>
      </c>
      <c r="F12" s="418"/>
      <c r="G12" s="418"/>
    </row>
    <row r="13" spans="2:8">
      <c r="B13" s="13"/>
      <c r="C13" s="13"/>
      <c r="D13" s="13"/>
      <c r="E13" s="13"/>
      <c r="F13" s="13"/>
      <c r="G13" s="13"/>
    </row>
    <row r="14" spans="2:8" ht="30" customHeight="1">
      <c r="B14" s="17" t="s">
        <v>6</v>
      </c>
      <c r="C14" s="13"/>
      <c r="D14" s="13"/>
      <c r="E14" s="412" t="s">
        <v>7</v>
      </c>
      <c r="F14" s="412"/>
      <c r="G14" s="13"/>
    </row>
    <row r="15" spans="2:8">
      <c r="B15" s="14" t="s">
        <v>8</v>
      </c>
      <c r="C15" s="13"/>
      <c r="D15" s="13"/>
      <c r="E15" s="18">
        <v>1000382801</v>
      </c>
      <c r="F15" s="13"/>
      <c r="G15" s="13"/>
    </row>
    <row r="16" spans="2:8" ht="15.75" thickBot="1">
      <c r="B16" s="14"/>
      <c r="C16" s="13"/>
      <c r="D16" s="13"/>
      <c r="E16" s="19"/>
      <c r="F16" s="13"/>
      <c r="G16" s="13"/>
    </row>
    <row r="17" spans="2:13" ht="15.75" thickBot="1">
      <c r="E17" s="413" t="s">
        <v>9</v>
      </c>
      <c r="F17" s="414"/>
      <c r="G17" s="414"/>
      <c r="H17" s="414"/>
      <c r="I17" s="415"/>
    </row>
    <row r="18" spans="2:13" ht="30">
      <c r="B18" s="20" t="s">
        <v>10</v>
      </c>
      <c r="C18" s="21" t="s">
        <v>11</v>
      </c>
      <c r="D18" s="66"/>
      <c r="E18" s="5" t="s">
        <v>12</v>
      </c>
      <c r="F18" s="6" t="s">
        <v>13</v>
      </c>
      <c r="G18" s="6" t="s">
        <v>14</v>
      </c>
      <c r="H18" s="6" t="s">
        <v>15</v>
      </c>
      <c r="I18" s="7" t="s">
        <v>16</v>
      </c>
    </row>
    <row r="19" spans="2:13">
      <c r="B19" s="22" t="s">
        <v>17</v>
      </c>
      <c r="C19" s="26">
        <v>7500</v>
      </c>
      <c r="D19" s="121"/>
      <c r="E19" s="27">
        <f>C19</f>
        <v>7500</v>
      </c>
      <c r="F19" s="28">
        <f t="shared" ref="F19:F28" si="0">ROUNDUP(E19*$F$31,0)+E19</f>
        <v>7725</v>
      </c>
      <c r="G19" s="28">
        <f t="shared" ref="G19:G28" si="1">ROUNDUP(F19*$G$31,0)+F19</f>
        <v>8034</v>
      </c>
      <c r="H19" s="28">
        <f t="shared" ref="H19:H28" si="2">ROUND(G19*$H$31,0)+G19</f>
        <v>8436</v>
      </c>
      <c r="I19" s="29">
        <f t="shared" ref="I19:I28" si="3">ROUNDUP(H19*$I$31,0)+H19</f>
        <v>8690</v>
      </c>
    </row>
    <row r="20" spans="2:13">
      <c r="B20" s="22" t="s">
        <v>18</v>
      </c>
      <c r="C20" s="26">
        <v>7000</v>
      </c>
      <c r="D20" s="121"/>
      <c r="E20" s="27">
        <f t="shared" ref="E20:E28" si="4">C20</f>
        <v>7000</v>
      </c>
      <c r="F20" s="28">
        <f t="shared" si="0"/>
        <v>7210</v>
      </c>
      <c r="G20" s="28">
        <f t="shared" si="1"/>
        <v>7499</v>
      </c>
      <c r="H20" s="28">
        <f t="shared" si="2"/>
        <v>7874</v>
      </c>
      <c r="I20" s="29">
        <f t="shared" si="3"/>
        <v>8111</v>
      </c>
    </row>
    <row r="21" spans="2:13">
      <c r="B21" s="22" t="s">
        <v>19</v>
      </c>
      <c r="C21" s="26">
        <v>6000</v>
      </c>
      <c r="D21" s="121"/>
      <c r="E21" s="27">
        <f t="shared" si="4"/>
        <v>6000</v>
      </c>
      <c r="F21" s="28">
        <f t="shared" si="0"/>
        <v>6180</v>
      </c>
      <c r="G21" s="28">
        <f t="shared" si="1"/>
        <v>6428</v>
      </c>
      <c r="H21" s="28">
        <f t="shared" si="2"/>
        <v>6749</v>
      </c>
      <c r="I21" s="29">
        <f t="shared" si="3"/>
        <v>6952</v>
      </c>
    </row>
    <row r="22" spans="2:13">
      <c r="B22" s="22" t="s">
        <v>20</v>
      </c>
      <c r="C22" s="26">
        <v>6650</v>
      </c>
      <c r="D22" s="121"/>
      <c r="E22" s="27">
        <f t="shared" si="4"/>
        <v>6650</v>
      </c>
      <c r="F22" s="28">
        <f t="shared" si="0"/>
        <v>6850</v>
      </c>
      <c r="G22" s="28">
        <f t="shared" si="1"/>
        <v>7124</v>
      </c>
      <c r="H22" s="28">
        <f t="shared" si="2"/>
        <v>7480</v>
      </c>
      <c r="I22" s="29">
        <f t="shared" si="3"/>
        <v>7705</v>
      </c>
    </row>
    <row r="23" spans="2:13">
      <c r="B23" s="22" t="s">
        <v>21</v>
      </c>
      <c r="C23" s="26">
        <v>7200</v>
      </c>
      <c r="D23" s="121"/>
      <c r="E23" s="27">
        <f t="shared" si="4"/>
        <v>7200</v>
      </c>
      <c r="F23" s="28">
        <f t="shared" si="0"/>
        <v>7416</v>
      </c>
      <c r="G23" s="28">
        <f t="shared" si="1"/>
        <v>7713</v>
      </c>
      <c r="H23" s="28">
        <f t="shared" si="2"/>
        <v>8099</v>
      </c>
      <c r="I23" s="29">
        <f t="shared" si="3"/>
        <v>8342</v>
      </c>
    </row>
    <row r="24" spans="2:13">
      <c r="B24" s="22"/>
      <c r="C24" s="26"/>
      <c r="D24" s="121"/>
      <c r="E24" s="27">
        <f t="shared" si="4"/>
        <v>0</v>
      </c>
      <c r="F24" s="28">
        <f t="shared" si="0"/>
        <v>0</v>
      </c>
      <c r="G24" s="28">
        <f t="shared" si="1"/>
        <v>0</v>
      </c>
      <c r="H24" s="28">
        <f t="shared" si="2"/>
        <v>0</v>
      </c>
      <c r="I24" s="29">
        <f t="shared" si="3"/>
        <v>0</v>
      </c>
    </row>
    <row r="25" spans="2:13">
      <c r="B25" s="22"/>
      <c r="C25" s="26"/>
      <c r="D25" s="121"/>
      <c r="E25" s="27">
        <f t="shared" si="4"/>
        <v>0</v>
      </c>
      <c r="F25" s="28">
        <f t="shared" si="0"/>
        <v>0</v>
      </c>
      <c r="G25" s="28">
        <f t="shared" si="1"/>
        <v>0</v>
      </c>
      <c r="H25" s="28">
        <f t="shared" si="2"/>
        <v>0</v>
      </c>
      <c r="I25" s="29">
        <f t="shared" si="3"/>
        <v>0</v>
      </c>
    </row>
    <row r="26" spans="2:13">
      <c r="B26" s="22"/>
      <c r="C26" s="26"/>
      <c r="D26" s="121"/>
      <c r="E26" s="27">
        <f t="shared" si="4"/>
        <v>0</v>
      </c>
      <c r="F26" s="28">
        <f t="shared" si="0"/>
        <v>0</v>
      </c>
      <c r="G26" s="28">
        <f t="shared" si="1"/>
        <v>0</v>
      </c>
      <c r="H26" s="28">
        <f t="shared" si="2"/>
        <v>0</v>
      </c>
      <c r="I26" s="29">
        <f t="shared" si="3"/>
        <v>0</v>
      </c>
    </row>
    <row r="27" spans="2:13">
      <c r="B27" s="22"/>
      <c r="C27" s="26"/>
      <c r="D27" s="121"/>
      <c r="E27" s="27">
        <f t="shared" si="4"/>
        <v>0</v>
      </c>
      <c r="F27" s="28">
        <f t="shared" si="0"/>
        <v>0</v>
      </c>
      <c r="G27" s="28">
        <f t="shared" si="1"/>
        <v>0</v>
      </c>
      <c r="H27" s="28">
        <f t="shared" si="2"/>
        <v>0</v>
      </c>
      <c r="I27" s="29">
        <f t="shared" si="3"/>
        <v>0</v>
      </c>
      <c r="J27" s="1"/>
      <c r="K27" s="1"/>
      <c r="L27" s="1"/>
      <c r="M27" s="1"/>
    </row>
    <row r="28" spans="2:13">
      <c r="B28" s="23"/>
      <c r="C28" s="30"/>
      <c r="D28" s="121"/>
      <c r="E28" s="31">
        <f t="shared" si="4"/>
        <v>0</v>
      </c>
      <c r="F28" s="32">
        <f t="shared" si="0"/>
        <v>0</v>
      </c>
      <c r="G28" s="32">
        <f t="shared" si="1"/>
        <v>0</v>
      </c>
      <c r="H28" s="32">
        <f t="shared" si="2"/>
        <v>0</v>
      </c>
      <c r="I28" s="33">
        <f t="shared" si="3"/>
        <v>0</v>
      </c>
    </row>
    <row r="29" spans="2:13" ht="15.75" thickBot="1">
      <c r="B29" s="1"/>
    </row>
    <row r="30" spans="2:13">
      <c r="B30" s="1"/>
      <c r="F30" s="5" t="s">
        <v>13</v>
      </c>
      <c r="G30" s="6" t="s">
        <v>14</v>
      </c>
      <c r="H30" s="6" t="s">
        <v>15</v>
      </c>
      <c r="I30" s="6" t="s">
        <v>16</v>
      </c>
      <c r="J30" s="7" t="s">
        <v>22</v>
      </c>
      <c r="K30" s="2"/>
    </row>
    <row r="31" spans="2:13" ht="15.75" thickBot="1">
      <c r="E31" s="3" t="s">
        <v>23</v>
      </c>
      <c r="F31" s="8">
        <v>0.03</v>
      </c>
      <c r="G31" s="9">
        <v>0.04</v>
      </c>
      <c r="H31" s="9">
        <v>0.05</v>
      </c>
      <c r="I31" s="9">
        <v>0.03</v>
      </c>
      <c r="J31" s="10">
        <f>AVERAGE(F31:I31)</f>
        <v>3.7500000000000006E-2</v>
      </c>
      <c r="K31" s="2" t="s">
        <v>24</v>
      </c>
    </row>
    <row r="32" spans="2:13">
      <c r="L32" s="2" t="s">
        <v>25</v>
      </c>
    </row>
    <row r="33" spans="1:12">
      <c r="D33" s="420" t="s">
        <v>26</v>
      </c>
      <c r="E33" s="420"/>
      <c r="F33" s="11">
        <v>908526</v>
      </c>
      <c r="L33" s="2" t="s">
        <v>27</v>
      </c>
    </row>
    <row r="34" spans="1:12">
      <c r="L34" s="2" t="s">
        <v>28</v>
      </c>
    </row>
    <row r="35" spans="1:12">
      <c r="A35" s="416" t="s">
        <v>29</v>
      </c>
      <c r="B35" s="416"/>
      <c r="C35" s="416"/>
      <c r="D35" s="416"/>
      <c r="E35" s="416"/>
      <c r="F35" s="416"/>
      <c r="G35" s="416"/>
      <c r="H35" s="416"/>
      <c r="I35" s="416"/>
      <c r="L35" s="2" t="s">
        <v>30</v>
      </c>
    </row>
    <row r="36" spans="1:12">
      <c r="A36" s="411" t="s">
        <v>31</v>
      </c>
      <c r="B36" s="411"/>
      <c r="C36" s="411"/>
      <c r="D36" s="411"/>
      <c r="E36" s="411"/>
      <c r="F36" s="411"/>
      <c r="G36" s="411"/>
      <c r="H36" s="411"/>
      <c r="I36" s="411"/>
      <c r="L36" s="2" t="s">
        <v>32</v>
      </c>
    </row>
    <row r="37" spans="1:12" ht="28.5" customHeight="1">
      <c r="A37" s="411" t="s">
        <v>33</v>
      </c>
      <c r="B37" s="411"/>
      <c r="C37" s="411"/>
      <c r="D37" s="411"/>
      <c r="E37" s="411"/>
      <c r="F37" s="411"/>
      <c r="G37" s="411"/>
      <c r="H37" s="411"/>
      <c r="I37" s="411"/>
      <c r="L37" s="2"/>
    </row>
    <row r="38" spans="1:12">
      <c r="A38" s="411" t="s">
        <v>34</v>
      </c>
      <c r="B38" s="411"/>
      <c r="C38" s="411"/>
      <c r="D38" s="411"/>
      <c r="E38" s="411"/>
      <c r="F38" s="411"/>
      <c r="G38" s="411"/>
      <c r="H38" s="411"/>
      <c r="I38" s="411"/>
    </row>
    <row r="39" spans="1:12" ht="28.5" customHeight="1">
      <c r="A39" s="411" t="s">
        <v>35</v>
      </c>
      <c r="B39" s="411"/>
      <c r="C39" s="411"/>
      <c r="D39" s="411"/>
      <c r="E39" s="411"/>
      <c r="F39" s="411"/>
      <c r="G39" s="411"/>
      <c r="H39" s="411"/>
      <c r="I39" s="411"/>
    </row>
    <row r="40" spans="1:12" ht="27.75" customHeight="1">
      <c r="A40" s="411" t="s">
        <v>36</v>
      </c>
      <c r="B40" s="411"/>
      <c r="C40" s="411"/>
      <c r="D40" s="411"/>
      <c r="E40" s="411"/>
      <c r="F40" s="411"/>
      <c r="G40" s="411"/>
      <c r="H40" s="411"/>
      <c r="I40" s="411"/>
    </row>
    <row r="41" spans="1:12">
      <c r="A41" s="411" t="s">
        <v>37</v>
      </c>
      <c r="B41" s="411"/>
      <c r="C41" s="411"/>
      <c r="D41" s="411"/>
      <c r="E41" s="411"/>
      <c r="F41" s="411"/>
      <c r="G41" s="411"/>
      <c r="H41" s="411"/>
      <c r="I41" s="411"/>
    </row>
    <row r="42" spans="1:12">
      <c r="A42" s="411" t="s">
        <v>38</v>
      </c>
      <c r="B42" s="411"/>
      <c r="C42" s="411"/>
      <c r="D42" s="411"/>
      <c r="E42" s="411"/>
      <c r="F42" s="411"/>
      <c r="G42" s="411"/>
      <c r="H42" s="411"/>
      <c r="I42" s="411"/>
    </row>
    <row r="43" spans="1:12">
      <c r="A43" s="411" t="s">
        <v>39</v>
      </c>
      <c r="B43" s="411"/>
      <c r="C43" s="411"/>
      <c r="D43" s="411"/>
      <c r="E43" s="411"/>
      <c r="F43" s="411"/>
      <c r="G43" s="411"/>
      <c r="H43" s="411"/>
      <c r="I43" s="411"/>
    </row>
    <row r="44" spans="1:12">
      <c r="A44" s="411" t="s">
        <v>40</v>
      </c>
      <c r="B44" s="411"/>
      <c r="C44" s="411"/>
      <c r="D44" s="411"/>
      <c r="E44" s="411"/>
      <c r="F44" s="411"/>
      <c r="G44" s="411"/>
      <c r="H44" s="411"/>
      <c r="I44" s="411"/>
    </row>
  </sheetData>
  <sheetProtection formatCells="0" formatColumns="0" formatRows="0" insertHyperlinks="0" deleteColumns="0" deleteRows="0" sort="0"/>
  <protectedRanges>
    <protectedRange algorithmName="SHA-512" hashValue="vS0S538QBNwXnb/WzmvHU3lspzoGvV1Ph7N6tz5gg5usXk2ZC3w3mLljm+Q+58m/uWUmmzunNQFkY480j8zwKg==" saltValue="VXLM/tmOuV6hIbBwCw7/mg==" spinCount="100000" sqref="E19:I28" name="Rango1"/>
  </protectedRanges>
  <mergeCells count="18">
    <mergeCell ref="B8:D8"/>
    <mergeCell ref="E8:G8"/>
    <mergeCell ref="B12:D12"/>
    <mergeCell ref="E12:G12"/>
    <mergeCell ref="D33:E33"/>
    <mergeCell ref="F10:G10"/>
    <mergeCell ref="A41:I41"/>
    <mergeCell ref="A42:I42"/>
    <mergeCell ref="A43:I43"/>
    <mergeCell ref="A44:I44"/>
    <mergeCell ref="E14:F14"/>
    <mergeCell ref="E17:I17"/>
    <mergeCell ref="A35:I35"/>
    <mergeCell ref="A36:I36"/>
    <mergeCell ref="A37:I37"/>
    <mergeCell ref="A38:I38"/>
    <mergeCell ref="A39:I39"/>
    <mergeCell ref="A40:I40"/>
  </mergeCells>
  <hyperlinks>
    <hyperlink ref="F10:G10" r:id="rId1" display="Consulte aquí" xr:uid="{00000000-0004-0000-0000-000000000000}"/>
    <hyperlink ref="H8" r:id="rId2" xr:uid="{00000000-0004-0000-0000-000001000000}"/>
  </hyperlinks>
  <pageMargins left="0.7" right="0.7" top="0.75" bottom="0.75" header="0.3" footer="0.3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lista!$A$3:$A$6</xm:f>
          </x14:formula1>
          <xm:sqref>E14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Q48"/>
  <sheetViews>
    <sheetView showGridLines="0" workbookViewId="0"/>
  </sheetViews>
  <sheetFormatPr defaultColWidth="11.42578125" defaultRowHeight="15"/>
  <cols>
    <col min="1" max="1" width="2.7109375" style="25" customWidth="1"/>
    <col min="2" max="2" width="24.85546875" style="25" customWidth="1"/>
    <col min="3" max="3" width="12.42578125" style="25" bestFit="1" customWidth="1"/>
    <col min="4" max="4" width="15.7109375" style="25" customWidth="1"/>
    <col min="5" max="5" width="14" style="25" bestFit="1" customWidth="1"/>
    <col min="6" max="6" width="16.5703125" style="25" customWidth="1"/>
    <col min="7" max="7" width="13" style="25" bestFit="1" customWidth="1"/>
    <col min="8" max="8" width="14.140625" style="25" customWidth="1"/>
    <col min="9" max="9" width="9.85546875" style="25" customWidth="1"/>
    <col min="10" max="10" width="14" style="25" bestFit="1" customWidth="1"/>
    <col min="11" max="11" width="14.7109375" style="25" bestFit="1" customWidth="1"/>
    <col min="12" max="12" width="14" style="25" bestFit="1" customWidth="1"/>
    <col min="13" max="13" width="10.42578125" style="25" bestFit="1" customWidth="1"/>
    <col min="14" max="14" width="20" style="25" customWidth="1"/>
    <col min="15" max="15" width="8.85546875" style="25" bestFit="1" customWidth="1"/>
    <col min="16" max="16" width="11.42578125" style="25"/>
    <col min="17" max="17" width="18.85546875" style="25" customWidth="1"/>
    <col min="18" max="16384" width="11.42578125" style="25"/>
  </cols>
  <sheetData>
    <row r="7" spans="2:12">
      <c r="B7" s="417" t="s">
        <v>0</v>
      </c>
      <c r="C7" s="417"/>
      <c r="D7" s="417"/>
      <c r="E7" s="432" t="str">
        <f>Inicio!E8</f>
        <v>Savon D'amour</v>
      </c>
      <c r="F7" s="432"/>
      <c r="G7" s="432"/>
    </row>
    <row r="8" spans="2:12" ht="15.75" thickBot="1"/>
    <row r="9" spans="2:12" ht="15.75" thickBot="1">
      <c r="B9" s="413" t="s">
        <v>41</v>
      </c>
      <c r="C9" s="414"/>
      <c r="D9" s="414"/>
      <c r="E9" s="414"/>
      <c r="F9" s="414"/>
      <c r="G9" s="414"/>
      <c r="H9" s="414"/>
      <c r="I9" s="414"/>
      <c r="J9" s="414"/>
      <c r="K9" s="414"/>
      <c r="L9" s="415"/>
    </row>
    <row r="10" spans="2:12">
      <c r="B10" s="428" t="s">
        <v>10</v>
      </c>
      <c r="C10" s="422" t="s">
        <v>12</v>
      </c>
      <c r="D10" s="424"/>
      <c r="E10" s="433" t="s">
        <v>13</v>
      </c>
      <c r="F10" s="434"/>
      <c r="G10" s="422" t="s">
        <v>14</v>
      </c>
      <c r="H10" s="424"/>
      <c r="I10" s="433" t="s">
        <v>15</v>
      </c>
      <c r="J10" s="434"/>
      <c r="K10" s="422" t="s">
        <v>16</v>
      </c>
      <c r="L10" s="424"/>
    </row>
    <row r="11" spans="2:12">
      <c r="B11" s="435"/>
      <c r="C11" s="330" t="s">
        <v>42</v>
      </c>
      <c r="D11" s="38" t="s">
        <v>43</v>
      </c>
      <c r="E11" s="338" t="s">
        <v>42</v>
      </c>
      <c r="F11" s="339" t="s">
        <v>44</v>
      </c>
      <c r="G11" s="330" t="s">
        <v>42</v>
      </c>
      <c r="H11" s="38" t="s">
        <v>45</v>
      </c>
      <c r="I11" s="338" t="s">
        <v>42</v>
      </c>
      <c r="J11" s="339" t="s">
        <v>46</v>
      </c>
      <c r="K11" s="330" t="s">
        <v>42</v>
      </c>
      <c r="L11" s="38" t="s">
        <v>47</v>
      </c>
    </row>
    <row r="12" spans="2:12">
      <c r="B12" s="329" t="str">
        <f>Inicio!B19</f>
        <v>Jabon Humectante 100g</v>
      </c>
      <c r="C12" s="331">
        <f>600*12</f>
        <v>7200</v>
      </c>
      <c r="D12" s="37">
        <f>C12*Inicio!E19</f>
        <v>54000000</v>
      </c>
      <c r="E12" s="340">
        <f>(C12*(Inicio!$F$31+2%))+C12</f>
        <v>7560</v>
      </c>
      <c r="F12" s="341">
        <f>E12*Inicio!F19</f>
        <v>58401000</v>
      </c>
      <c r="G12" s="335">
        <f>(E12*(Inicio!$G$31+2%)+E12)</f>
        <v>8013.6</v>
      </c>
      <c r="H12" s="37">
        <f>G12*Inicio!G19</f>
        <v>64381262.400000006</v>
      </c>
      <c r="I12" s="340">
        <f>(G12*(Inicio!H31+3%))+G12</f>
        <v>8654.6880000000001</v>
      </c>
      <c r="J12" s="341">
        <f>I12*Inicio!H19</f>
        <v>73010947.967999995</v>
      </c>
      <c r="K12" s="335">
        <f>(I12*(Inicio!$I$31+2%))+I12</f>
        <v>9087.4223999999995</v>
      </c>
      <c r="L12" s="37">
        <f>K12*Inicio!I19</f>
        <v>78969700.655999988</v>
      </c>
    </row>
    <row r="13" spans="2:12">
      <c r="B13" s="40" t="str">
        <f>Inicio!B20</f>
        <v>Jabon Purificador 100g</v>
      </c>
      <c r="C13" s="332">
        <f>724*12</f>
        <v>8688</v>
      </c>
      <c r="D13" s="34">
        <f>C13*Inicio!E20</f>
        <v>60816000</v>
      </c>
      <c r="E13" s="342">
        <f>(C13*(Inicio!$F$31+2%))+C13</f>
        <v>9122.4</v>
      </c>
      <c r="F13" s="343">
        <f>E13*Inicio!F20</f>
        <v>65772504</v>
      </c>
      <c r="G13" s="336">
        <f>(E13*(Inicio!$G$31+2%)+E13)</f>
        <v>9669.7439999999988</v>
      </c>
      <c r="H13" s="34">
        <f>G13*Inicio!G20</f>
        <v>72513410.255999997</v>
      </c>
      <c r="I13" s="342">
        <f>(G13*(Inicio!H32+2%))+G13</f>
        <v>9863.1388799999986</v>
      </c>
      <c r="J13" s="343">
        <f>I13*Inicio!H20</f>
        <v>77662355.541119993</v>
      </c>
      <c r="K13" s="336">
        <f>(I13*(Inicio!$I$31+2%))+I13</f>
        <v>10356.295823999999</v>
      </c>
      <c r="L13" s="34">
        <f>K13*Inicio!I20</f>
        <v>83999915.428463995</v>
      </c>
    </row>
    <row r="14" spans="2:12">
      <c r="B14" s="40" t="str">
        <f>Inicio!B21</f>
        <v>Jabon Antibacterial 100g</v>
      </c>
      <c r="C14" s="332">
        <f>1032*12</f>
        <v>12384</v>
      </c>
      <c r="D14" s="34">
        <f>C14*Inicio!E21</f>
        <v>74304000</v>
      </c>
      <c r="E14" s="342">
        <f>(C14*(Inicio!$F$31+2%))+C14</f>
        <v>13003.2</v>
      </c>
      <c r="F14" s="343">
        <f>E14*Inicio!F21</f>
        <v>80359776</v>
      </c>
      <c r="G14" s="336">
        <f>(E14*(Inicio!$G$31+2%)+E14)</f>
        <v>13783.392</v>
      </c>
      <c r="H14" s="34">
        <f>G14*Inicio!G21</f>
        <v>88599643.775999993</v>
      </c>
      <c r="I14" s="342">
        <f>(G14*(Inicio!H33+2%))+G14</f>
        <v>14059.05984</v>
      </c>
      <c r="J14" s="343">
        <f>I14*Inicio!H21</f>
        <v>94884594.860159993</v>
      </c>
      <c r="K14" s="336">
        <f>(I14*(Inicio!$I$31+2%))+I14</f>
        <v>14762.012832</v>
      </c>
      <c r="L14" s="34">
        <f>K14*Inicio!I21</f>
        <v>102625513.208064</v>
      </c>
    </row>
    <row r="15" spans="2:12">
      <c r="B15" s="40" t="str">
        <f>Inicio!B22</f>
        <v>Jabon Antiedad 100g</v>
      </c>
      <c r="C15" s="332">
        <f>680*12</f>
        <v>8160</v>
      </c>
      <c r="D15" s="34">
        <f>C15*Inicio!E22</f>
        <v>54264000</v>
      </c>
      <c r="E15" s="342">
        <f>(C15*(Inicio!$F$31+2%))+C15</f>
        <v>8568</v>
      </c>
      <c r="F15" s="343">
        <f>E15*Inicio!F22</f>
        <v>58690800</v>
      </c>
      <c r="G15" s="336">
        <f>(E15*(Inicio!$G$31+2%)+E15)</f>
        <v>9082.08</v>
      </c>
      <c r="H15" s="34">
        <f>G15*Inicio!G22</f>
        <v>64700737.920000002</v>
      </c>
      <c r="I15" s="342">
        <f>(G15*(Inicio!H34+2%))+G15</f>
        <v>9263.7216000000008</v>
      </c>
      <c r="J15" s="343">
        <f>I15*Inicio!H22</f>
        <v>69292637.568000004</v>
      </c>
      <c r="K15" s="336">
        <f>(I15*(Inicio!$I$31+2%))+I15</f>
        <v>9726.9076800000003</v>
      </c>
      <c r="L15" s="34">
        <f>K15*Inicio!I22</f>
        <v>74945823.674400002</v>
      </c>
    </row>
    <row r="16" spans="2:12">
      <c r="B16" s="40" t="str">
        <f>Inicio!B23</f>
        <v>Jabon Exfoliante 100g</v>
      </c>
      <c r="C16" s="332">
        <f>843*12</f>
        <v>10116</v>
      </c>
      <c r="D16" s="34">
        <f>C16*Inicio!E23</f>
        <v>72835200</v>
      </c>
      <c r="E16" s="342">
        <f>(C16*(Inicio!$F$31+2%))+C16</f>
        <v>10621.8</v>
      </c>
      <c r="F16" s="343">
        <f>E16*Inicio!F23</f>
        <v>78771268.799999997</v>
      </c>
      <c r="G16" s="336">
        <f>(E16*(Inicio!$G$31+2%)+E16)</f>
        <v>11259.107999999998</v>
      </c>
      <c r="H16" s="34">
        <f>G16*Inicio!G23</f>
        <v>86841500.003999993</v>
      </c>
      <c r="I16" s="342">
        <f>(G16*(Inicio!H35+2%))+G16</f>
        <v>11484.290159999999</v>
      </c>
      <c r="J16" s="343">
        <f>I16*Inicio!H23</f>
        <v>93011266.005839989</v>
      </c>
      <c r="K16" s="336">
        <f>(I16*(Inicio!$I$31+2%))+I16</f>
        <v>12058.504667999998</v>
      </c>
      <c r="L16" s="34">
        <f>K16*Inicio!I23</f>
        <v>100592045.94045599</v>
      </c>
    </row>
    <row r="17" spans="2:17">
      <c r="B17" s="40">
        <f>Inicio!B24</f>
        <v>0</v>
      </c>
      <c r="C17" s="332"/>
      <c r="D17" s="34">
        <f>C17*Inicio!E24</f>
        <v>0</v>
      </c>
      <c r="E17" s="342">
        <f>(C17*(Inicio!$F$31+2%))+C17</f>
        <v>0</v>
      </c>
      <c r="F17" s="343">
        <f>E17*Inicio!F24</f>
        <v>0</v>
      </c>
      <c r="G17" s="336">
        <f>(E17*(Inicio!$G$31+2%)+E17)</f>
        <v>0</v>
      </c>
      <c r="H17" s="34">
        <f>G17*Inicio!G24</f>
        <v>0</v>
      </c>
      <c r="I17" s="342">
        <f>(G17*(Inicio!H36+2%))+G17</f>
        <v>0</v>
      </c>
      <c r="J17" s="343">
        <f>I17*Inicio!H24</f>
        <v>0</v>
      </c>
      <c r="K17" s="336">
        <f>(I17*(Inicio!$I$31+2%))+I17</f>
        <v>0</v>
      </c>
      <c r="L17" s="34">
        <f>K17*Inicio!I24</f>
        <v>0</v>
      </c>
    </row>
    <row r="18" spans="2:17">
      <c r="B18" s="40">
        <f>Inicio!B25</f>
        <v>0</v>
      </c>
      <c r="C18" s="332"/>
      <c r="D18" s="34">
        <f>C18*Inicio!E25</f>
        <v>0</v>
      </c>
      <c r="E18" s="342">
        <f>(C18*(Inicio!$F$31+2%))+C18</f>
        <v>0</v>
      </c>
      <c r="F18" s="343">
        <f>E18*Inicio!F25</f>
        <v>0</v>
      </c>
      <c r="G18" s="336">
        <f>(E18*(Inicio!$G$31+2%)+E18)</f>
        <v>0</v>
      </c>
      <c r="H18" s="34">
        <f>G18*Inicio!G25</f>
        <v>0</v>
      </c>
      <c r="I18" s="342">
        <f>(G18*(Inicio!H37+2%))+G18</f>
        <v>0</v>
      </c>
      <c r="J18" s="343">
        <f>I18*Inicio!H25</f>
        <v>0</v>
      </c>
      <c r="K18" s="336">
        <f>(I18*(Inicio!$I$31+2%))+I18</f>
        <v>0</v>
      </c>
      <c r="L18" s="34">
        <f>K18*Inicio!I25</f>
        <v>0</v>
      </c>
    </row>
    <row r="19" spans="2:17">
      <c r="B19" s="40">
        <f>Inicio!B26</f>
        <v>0</v>
      </c>
      <c r="C19" s="332"/>
      <c r="D19" s="34">
        <f>C19*Inicio!E26</f>
        <v>0</v>
      </c>
      <c r="E19" s="342">
        <f>(C19*(Inicio!$F$31+2%))+C19</f>
        <v>0</v>
      </c>
      <c r="F19" s="343">
        <f>E19*Inicio!F26</f>
        <v>0</v>
      </c>
      <c r="G19" s="336">
        <f>(E19*(Inicio!$G$31+2%)+E19)</f>
        <v>0</v>
      </c>
      <c r="H19" s="34">
        <f>G19*Inicio!G26</f>
        <v>0</v>
      </c>
      <c r="I19" s="342">
        <f>(G19*(Inicio!H38+2%))+G19</f>
        <v>0</v>
      </c>
      <c r="J19" s="343">
        <f>I19*Inicio!H26</f>
        <v>0</v>
      </c>
      <c r="K19" s="336">
        <f>(I19*(Inicio!$I$31+2%))+I19</f>
        <v>0</v>
      </c>
      <c r="L19" s="34">
        <f>K19*Inicio!I26</f>
        <v>0</v>
      </c>
    </row>
    <row r="20" spans="2:17">
      <c r="B20" s="40">
        <f>Inicio!B27</f>
        <v>0</v>
      </c>
      <c r="C20" s="332"/>
      <c r="D20" s="34">
        <f>C20*Inicio!E27</f>
        <v>0</v>
      </c>
      <c r="E20" s="342">
        <f>(C20*(Inicio!$F$31+2%))+C20</f>
        <v>0</v>
      </c>
      <c r="F20" s="343">
        <f>E20*Inicio!F27</f>
        <v>0</v>
      </c>
      <c r="G20" s="336">
        <f>(E20*(Inicio!$G$31+2%)+E20)</f>
        <v>0</v>
      </c>
      <c r="H20" s="34">
        <f>G20*Inicio!G27</f>
        <v>0</v>
      </c>
      <c r="I20" s="342">
        <f>(G20*(Inicio!H39+2%))+G20</f>
        <v>0</v>
      </c>
      <c r="J20" s="343">
        <f>I20*Inicio!H27</f>
        <v>0</v>
      </c>
      <c r="K20" s="336">
        <f>(I20*(Inicio!$I$31+2%))+I20</f>
        <v>0</v>
      </c>
      <c r="L20" s="34">
        <f>K20*Inicio!I27</f>
        <v>0</v>
      </c>
    </row>
    <row r="21" spans="2:17" ht="15.75" thickBot="1">
      <c r="B21" s="122">
        <f>Inicio!B28</f>
        <v>0</v>
      </c>
      <c r="C21" s="333"/>
      <c r="D21" s="334">
        <f>C21*Inicio!E28</f>
        <v>0</v>
      </c>
      <c r="E21" s="344">
        <f>(C21*(Inicio!$F$31+2%))+C21</f>
        <v>0</v>
      </c>
      <c r="F21" s="345">
        <f>E21*Inicio!F28</f>
        <v>0</v>
      </c>
      <c r="G21" s="337">
        <f>(E21*(Inicio!$G$31+2%)+E21)</f>
        <v>0</v>
      </c>
      <c r="H21" s="334">
        <f>G21*Inicio!G28</f>
        <v>0</v>
      </c>
      <c r="I21" s="344">
        <f>(G21*(Inicio!H40+2%))+G21</f>
        <v>0</v>
      </c>
      <c r="J21" s="345">
        <f>I21*Inicio!H28</f>
        <v>0</v>
      </c>
      <c r="K21" s="337">
        <f>(I21*(Inicio!$I$31+2%))+I21</f>
        <v>0</v>
      </c>
      <c r="L21" s="334">
        <f>K21*Inicio!I28</f>
        <v>0</v>
      </c>
    </row>
    <row r="22" spans="2:17" ht="15.75" thickBot="1">
      <c r="B22" s="102" t="s">
        <v>48</v>
      </c>
      <c r="C22" s="382">
        <f>SUM(C12:C21)</f>
        <v>46548</v>
      </c>
      <c r="D22" s="100">
        <f>SUM(D12:D21)</f>
        <v>316219200</v>
      </c>
      <c r="E22" s="103"/>
      <c r="F22" s="346">
        <f>SUM(F12:F21)</f>
        <v>341995348.80000001</v>
      </c>
      <c r="G22" s="103"/>
      <c r="H22" s="100">
        <f>SUM(H12:H21)</f>
        <v>377036554.35600001</v>
      </c>
      <c r="I22" s="103"/>
      <c r="J22" s="346">
        <f>SUM(J12:J21)</f>
        <v>407861801.94312</v>
      </c>
      <c r="K22" s="103"/>
      <c r="L22" s="101">
        <f>SUM(L12:L21)</f>
        <v>441132998.90738398</v>
      </c>
    </row>
    <row r="24" spans="2:17" ht="15.75" thickBot="1">
      <c r="D24" s="25">
        <v>12</v>
      </c>
    </row>
    <row r="25" spans="2:17" ht="15.75" thickBot="1">
      <c r="B25" s="425" t="s">
        <v>49</v>
      </c>
      <c r="C25" s="426"/>
      <c r="D25" s="426"/>
      <c r="E25" s="426"/>
      <c r="F25" s="426"/>
      <c r="G25" s="426"/>
      <c r="H25" s="426"/>
      <c r="I25" s="426"/>
      <c r="J25" s="426"/>
      <c r="K25" s="426"/>
      <c r="L25" s="426"/>
      <c r="M25" s="426"/>
      <c r="N25" s="426"/>
      <c r="O25" s="426"/>
      <c r="P25" s="426"/>
      <c r="Q25" s="427"/>
    </row>
    <row r="26" spans="2:17">
      <c r="B26" s="428" t="s">
        <v>10</v>
      </c>
      <c r="C26" s="422" t="s">
        <v>12</v>
      </c>
      <c r="D26" s="423"/>
      <c r="E26" s="424"/>
      <c r="F26" s="430" t="s">
        <v>13</v>
      </c>
      <c r="G26" s="423"/>
      <c r="H26" s="431"/>
      <c r="I26" s="422" t="s">
        <v>14</v>
      </c>
      <c r="J26" s="423"/>
      <c r="K26" s="424"/>
      <c r="L26" s="430" t="s">
        <v>15</v>
      </c>
      <c r="M26" s="423"/>
      <c r="N26" s="431"/>
      <c r="O26" s="422" t="s">
        <v>16</v>
      </c>
      <c r="P26" s="423"/>
      <c r="Q26" s="424"/>
    </row>
    <row r="27" spans="2:17" ht="15.75" thickBot="1">
      <c r="B27" s="429"/>
      <c r="C27" s="42" t="s">
        <v>42</v>
      </c>
      <c r="D27" s="35" t="s">
        <v>50</v>
      </c>
      <c r="E27" s="36" t="s">
        <v>43</v>
      </c>
      <c r="F27" s="43" t="s">
        <v>42</v>
      </c>
      <c r="G27" s="35" t="s">
        <v>50</v>
      </c>
      <c r="H27" s="44" t="s">
        <v>44</v>
      </c>
      <c r="I27" s="42" t="s">
        <v>42</v>
      </c>
      <c r="J27" s="35" t="s">
        <v>50</v>
      </c>
      <c r="K27" s="36" t="s">
        <v>45</v>
      </c>
      <c r="L27" s="43" t="s">
        <v>42</v>
      </c>
      <c r="M27" s="35" t="s">
        <v>50</v>
      </c>
      <c r="N27" s="44" t="s">
        <v>46</v>
      </c>
      <c r="O27" s="42" t="s">
        <v>42</v>
      </c>
      <c r="P27" s="35" t="s">
        <v>50</v>
      </c>
      <c r="Q27" s="36" t="s">
        <v>47</v>
      </c>
    </row>
    <row r="28" spans="2:17">
      <c r="B28" s="329" t="s">
        <v>17</v>
      </c>
      <c r="C28" s="385">
        <v>7200</v>
      </c>
      <c r="D28" s="39">
        <f>+'Descripcion Costos'!$E$29</f>
        <v>3963.5212116524876</v>
      </c>
      <c r="E28" s="34">
        <f t="shared" ref="E28" si="0">C28*D28</f>
        <v>28537352.723897912</v>
      </c>
      <c r="F28" s="384">
        <v>7560</v>
      </c>
      <c r="G28" s="347">
        <f>(D28*Inicio!$F$31)+Ventas!D28</f>
        <v>4082.4268480020623</v>
      </c>
      <c r="H28" s="343">
        <f t="shared" ref="H28" si="1">F28*G28</f>
        <v>30863146.970895592</v>
      </c>
      <c r="I28" s="384">
        <v>8013.6</v>
      </c>
      <c r="J28" s="348">
        <f>(G28*Inicio!$G$31)+Ventas!G28</f>
        <v>4245.7239219221447</v>
      </c>
      <c r="K28" s="34">
        <f t="shared" ref="K28" si="2">I28*J28</f>
        <v>34023533.220715299</v>
      </c>
      <c r="L28" s="384">
        <v>8654.6880000000001</v>
      </c>
      <c r="M28" s="347">
        <f>(J28*Inicio!$H$31)+Ventas!J28</f>
        <v>4458.0101180182519</v>
      </c>
      <c r="N28" s="343">
        <f t="shared" ref="N28" si="3">L28*M28</f>
        <v>38582686.672291152</v>
      </c>
      <c r="O28" s="384">
        <v>9087.4223999999995</v>
      </c>
      <c r="P28" s="348">
        <f>(M28*Inicio!$I$31)+Ventas!M28</f>
        <v>4591.7504215587996</v>
      </c>
      <c r="Q28" s="34">
        <f t="shared" ref="Q28" si="4">O28*P28</f>
        <v>41727175.636082873</v>
      </c>
    </row>
    <row r="29" spans="2:17">
      <c r="B29" s="40" t="s">
        <v>18</v>
      </c>
      <c r="C29" s="386">
        <v>8688</v>
      </c>
      <c r="D29" s="39">
        <f>+'Descripcion Costos'!$E$29</f>
        <v>3963.5212116524876</v>
      </c>
      <c r="E29" s="34">
        <f t="shared" ref="E29:E31" si="5">C29*D29</f>
        <v>34435072.28683681</v>
      </c>
      <c r="F29" s="384">
        <v>9122.4</v>
      </c>
      <c r="G29" s="347">
        <f>(D29*Inicio!$F$31)+Ventas!D29</f>
        <v>4082.4268480020623</v>
      </c>
      <c r="H29" s="343">
        <f t="shared" ref="H29:H31" si="6">F29*G29</f>
        <v>37241530.678214014</v>
      </c>
      <c r="I29" s="384">
        <v>9669.7439999999988</v>
      </c>
      <c r="J29" s="348">
        <f>(G29*Inicio!$G$31)+Ventas!G29</f>
        <v>4245.7239219221447</v>
      </c>
      <c r="K29" s="34">
        <f t="shared" ref="K29:K31" si="7">I29*J29</f>
        <v>41055063.419663124</v>
      </c>
      <c r="L29" s="384">
        <v>9863.1388799999986</v>
      </c>
      <c r="M29" s="347">
        <f>(J29*Inicio!$H$31)+Ventas!J29</f>
        <v>4458.0101180182519</v>
      </c>
      <c r="N29" s="343">
        <f t="shared" ref="N29:N31" si="8">L29*M29</f>
        <v>43969972.9224592</v>
      </c>
      <c r="O29" s="384">
        <v>10356.295823999999</v>
      </c>
      <c r="P29" s="348">
        <f>(M29*Inicio!$I$31)+Ventas!M29</f>
        <v>4591.7504215587996</v>
      </c>
      <c r="Q29" s="34">
        <f t="shared" ref="Q29:Q31" si="9">O29*P29</f>
        <v>47553525.715639628</v>
      </c>
    </row>
    <row r="30" spans="2:17">
      <c r="B30" s="40" t="s">
        <v>19</v>
      </c>
      <c r="C30" s="386">
        <v>12384</v>
      </c>
      <c r="D30" s="39">
        <f>+'Descripcion Costos'!$E$29</f>
        <v>3963.5212116524876</v>
      </c>
      <c r="E30" s="34">
        <f t="shared" si="5"/>
        <v>49084246.685104407</v>
      </c>
      <c r="F30" s="384">
        <v>13003.2</v>
      </c>
      <c r="G30" s="347">
        <f>(D30*Inicio!$F$31)+Ventas!D30</f>
        <v>4082.4268480020623</v>
      </c>
      <c r="H30" s="343">
        <f t="shared" si="6"/>
        <v>53084612.789940417</v>
      </c>
      <c r="I30" s="384">
        <v>13783.392</v>
      </c>
      <c r="J30" s="348">
        <f>(G30*Inicio!$G$31)+Ventas!G30</f>
        <v>4245.7239219221447</v>
      </c>
      <c r="K30" s="34">
        <f t="shared" si="7"/>
        <v>58520477.13963031</v>
      </c>
      <c r="L30" s="384">
        <v>14059.05984</v>
      </c>
      <c r="M30" s="347">
        <f>(J30*Inicio!$H$31)+Ventas!J30</f>
        <v>4458.0101180182519</v>
      </c>
      <c r="N30" s="343">
        <f t="shared" si="8"/>
        <v>62675431.016544066</v>
      </c>
      <c r="O30" s="384">
        <v>14762.012832</v>
      </c>
      <c r="P30" s="348">
        <f>(M30*Inicio!$I$31)+Ventas!M30</f>
        <v>4591.7504215587996</v>
      </c>
      <c r="Q30" s="34">
        <f t="shared" si="9"/>
        <v>67783478.644392416</v>
      </c>
    </row>
    <row r="31" spans="2:17">
      <c r="B31" s="40" t="s">
        <v>20</v>
      </c>
      <c r="C31" s="386">
        <v>8160</v>
      </c>
      <c r="D31" s="39">
        <f>+'Descripcion Costos'!$E$29</f>
        <v>3963.5212116524876</v>
      </c>
      <c r="E31" s="34">
        <f t="shared" si="5"/>
        <v>32342333.087084301</v>
      </c>
      <c r="F31" s="384">
        <v>8568</v>
      </c>
      <c r="G31" s="347">
        <f>(D31*Inicio!$F$31)+Ventas!D31</f>
        <v>4082.4268480020623</v>
      </c>
      <c r="H31" s="343">
        <f t="shared" si="6"/>
        <v>34978233.233681671</v>
      </c>
      <c r="I31" s="384">
        <v>9082.08</v>
      </c>
      <c r="J31" s="348">
        <f>(G31*Inicio!$G$31)+Ventas!G31</f>
        <v>4245.7239219221447</v>
      </c>
      <c r="K31" s="34">
        <f t="shared" si="7"/>
        <v>38560004.316810668</v>
      </c>
      <c r="L31" s="384">
        <v>9263.7216000000008</v>
      </c>
      <c r="M31" s="347">
        <f>(J31*Inicio!$H$31)+Ventas!J31</f>
        <v>4458.0101180182519</v>
      </c>
      <c r="N31" s="343">
        <f t="shared" si="8"/>
        <v>41297764.623304233</v>
      </c>
      <c r="O31" s="384">
        <v>9726.9076800000003</v>
      </c>
      <c r="P31" s="348">
        <f>(M31*Inicio!$I$31)+Ventas!M31</f>
        <v>4591.7504215587996</v>
      </c>
      <c r="Q31" s="34">
        <f t="shared" si="9"/>
        <v>44663532.440103523</v>
      </c>
    </row>
    <row r="32" spans="2:17">
      <c r="B32" s="40" t="s">
        <v>21</v>
      </c>
      <c r="C32" s="386">
        <v>10116</v>
      </c>
      <c r="D32" s="39">
        <f>+'Descripcion Costos'!$E$29</f>
        <v>3963.5212116524876</v>
      </c>
      <c r="E32" s="34">
        <f t="shared" ref="E32:E37" si="10">C32*D32</f>
        <v>40094980.577076562</v>
      </c>
      <c r="F32" s="384">
        <v>10621.8</v>
      </c>
      <c r="G32" s="347">
        <f>(D32*Inicio!$F$31)+Ventas!D32</f>
        <v>4082.4268480020623</v>
      </c>
      <c r="H32" s="343">
        <f t="shared" ref="H32:H36" si="11">F32*G32</f>
        <v>43362721.494108304</v>
      </c>
      <c r="I32" s="384">
        <v>11259.107999999998</v>
      </c>
      <c r="J32" s="348">
        <f>(G32*Inicio!$G$31)+Ventas!G32</f>
        <v>4245.7239219221447</v>
      </c>
      <c r="K32" s="34">
        <f t="shared" ref="K32:K36" si="12">I32*J32</f>
        <v>47803064.175104991</v>
      </c>
      <c r="L32" s="384">
        <v>11484.290159999999</v>
      </c>
      <c r="M32" s="347">
        <f>(J32*Inicio!$H$31)+Ventas!J32</f>
        <v>4458.0101180182519</v>
      </c>
      <c r="N32" s="343">
        <f t="shared" ref="N32:N36" si="13">L32*M32</f>
        <v>51197081.731537446</v>
      </c>
      <c r="O32" s="384">
        <v>12058.504667999998</v>
      </c>
      <c r="P32" s="348">
        <f>(M32*Inicio!$I$31)+Ventas!M32</f>
        <v>4591.7504215587996</v>
      </c>
      <c r="Q32" s="34">
        <f t="shared" ref="Q32:Q36" si="14">O32*P32</f>
        <v>55369643.892657742</v>
      </c>
    </row>
    <row r="33" spans="1:17">
      <c r="B33" s="40"/>
      <c r="C33" s="41"/>
      <c r="D33" s="387"/>
      <c r="E33" s="34">
        <f t="shared" si="10"/>
        <v>0</v>
      </c>
      <c r="F33" s="41">
        <f t="shared" ref="F33:F37" si="15">C33*2</f>
        <v>0</v>
      </c>
      <c r="G33" s="347">
        <f>(D33*Inicio!$F$31)+Ventas!D33</f>
        <v>0</v>
      </c>
      <c r="H33" s="343">
        <f t="shared" si="11"/>
        <v>0</v>
      </c>
      <c r="I33" s="41">
        <f t="shared" ref="I33:I37" si="16">F33*2</f>
        <v>0</v>
      </c>
      <c r="J33" s="348">
        <f>(G33*Inicio!$G$31)+Ventas!G33</f>
        <v>0</v>
      </c>
      <c r="K33" s="34">
        <f t="shared" si="12"/>
        <v>0</v>
      </c>
      <c r="L33" s="41">
        <f t="shared" ref="L33:L37" si="17">I33*2</f>
        <v>0</v>
      </c>
      <c r="M33" s="347">
        <f>(J33*Inicio!$H$31)+Ventas!J33</f>
        <v>0</v>
      </c>
      <c r="N33" s="343">
        <f t="shared" si="13"/>
        <v>0</v>
      </c>
      <c r="O33" s="41">
        <f t="shared" ref="O33:O37" si="18">L33*2</f>
        <v>0</v>
      </c>
      <c r="P33" s="348">
        <f>(M33*Inicio!$I$31)+Ventas!M33</f>
        <v>0</v>
      </c>
      <c r="Q33" s="34">
        <f t="shared" si="14"/>
        <v>0</v>
      </c>
    </row>
    <row r="34" spans="1:17">
      <c r="B34" s="40"/>
      <c r="C34" s="41"/>
      <c r="D34" s="387"/>
      <c r="E34" s="34">
        <f t="shared" si="10"/>
        <v>0</v>
      </c>
      <c r="F34" s="41">
        <f t="shared" si="15"/>
        <v>0</v>
      </c>
      <c r="G34" s="347">
        <f>(D34*Inicio!$F$31)+Ventas!D34</f>
        <v>0</v>
      </c>
      <c r="H34" s="343">
        <f t="shared" si="11"/>
        <v>0</v>
      </c>
      <c r="I34" s="41">
        <f t="shared" si="16"/>
        <v>0</v>
      </c>
      <c r="J34" s="348">
        <f>(G34*Inicio!$G$31)+Ventas!G34</f>
        <v>0</v>
      </c>
      <c r="K34" s="34">
        <f t="shared" si="12"/>
        <v>0</v>
      </c>
      <c r="L34" s="41">
        <f t="shared" si="17"/>
        <v>0</v>
      </c>
      <c r="M34" s="347">
        <f>(J34*Inicio!$H$31)+Ventas!J34</f>
        <v>0</v>
      </c>
      <c r="N34" s="343">
        <f t="shared" si="13"/>
        <v>0</v>
      </c>
      <c r="O34" s="41">
        <f t="shared" si="18"/>
        <v>0</v>
      </c>
      <c r="P34" s="348">
        <f>(M34*Inicio!$I$31)+Ventas!M34</f>
        <v>0</v>
      </c>
      <c r="Q34" s="34">
        <f t="shared" si="14"/>
        <v>0</v>
      </c>
    </row>
    <row r="35" spans="1:17">
      <c r="B35" s="40"/>
      <c r="C35" s="41"/>
      <c r="D35" s="387"/>
      <c r="E35" s="34">
        <f t="shared" si="10"/>
        <v>0</v>
      </c>
      <c r="F35" s="41">
        <f t="shared" si="15"/>
        <v>0</v>
      </c>
      <c r="G35" s="347">
        <f>(D35*Inicio!$F$31)+Ventas!D35</f>
        <v>0</v>
      </c>
      <c r="H35" s="343">
        <f t="shared" si="11"/>
        <v>0</v>
      </c>
      <c r="I35" s="41">
        <f t="shared" si="16"/>
        <v>0</v>
      </c>
      <c r="J35" s="348">
        <f>(G35*Inicio!$G$31)+Ventas!G35</f>
        <v>0</v>
      </c>
      <c r="K35" s="34">
        <f t="shared" si="12"/>
        <v>0</v>
      </c>
      <c r="L35" s="41">
        <f t="shared" si="17"/>
        <v>0</v>
      </c>
      <c r="M35" s="347">
        <f>(J35*Inicio!$H$31)+Ventas!J35</f>
        <v>0</v>
      </c>
      <c r="N35" s="343">
        <f t="shared" si="13"/>
        <v>0</v>
      </c>
      <c r="O35" s="41">
        <f t="shared" si="18"/>
        <v>0</v>
      </c>
      <c r="P35" s="348">
        <f>(M35*Inicio!$I$31)+Ventas!M35</f>
        <v>0</v>
      </c>
      <c r="Q35" s="34">
        <f t="shared" si="14"/>
        <v>0</v>
      </c>
    </row>
    <row r="36" spans="1:17">
      <c r="B36" s="40"/>
      <c r="C36" s="41"/>
      <c r="D36" s="387"/>
      <c r="E36" s="34">
        <f t="shared" si="10"/>
        <v>0</v>
      </c>
      <c r="F36" s="41">
        <f t="shared" si="15"/>
        <v>0</v>
      </c>
      <c r="G36" s="347">
        <f>(D36*Inicio!$F$31)+Ventas!D36</f>
        <v>0</v>
      </c>
      <c r="H36" s="343">
        <f t="shared" si="11"/>
        <v>0</v>
      </c>
      <c r="I36" s="41">
        <f t="shared" si="16"/>
        <v>0</v>
      </c>
      <c r="J36" s="348">
        <f>(G36*Inicio!$G$31)+Ventas!G36</f>
        <v>0</v>
      </c>
      <c r="K36" s="34">
        <f t="shared" si="12"/>
        <v>0</v>
      </c>
      <c r="L36" s="41">
        <f t="shared" si="17"/>
        <v>0</v>
      </c>
      <c r="M36" s="347">
        <f>(J36*Inicio!$H$31)+Ventas!J36</f>
        <v>0</v>
      </c>
      <c r="N36" s="343">
        <f t="shared" si="13"/>
        <v>0</v>
      </c>
      <c r="O36" s="41">
        <f t="shared" si="18"/>
        <v>0</v>
      </c>
      <c r="P36" s="348">
        <f>(M36*Inicio!$I$31)+Ventas!M36</f>
        <v>0</v>
      </c>
      <c r="Q36" s="34">
        <f t="shared" si="14"/>
        <v>0</v>
      </c>
    </row>
    <row r="37" spans="1:17">
      <c r="B37" s="40"/>
      <c r="C37" s="41"/>
      <c r="D37" s="387"/>
      <c r="E37" s="34">
        <f t="shared" si="10"/>
        <v>0</v>
      </c>
      <c r="F37" s="41">
        <f t="shared" si="15"/>
        <v>0</v>
      </c>
      <c r="G37" s="347">
        <f>(D37*Inicio!$F$31)+Ventas!D37</f>
        <v>0</v>
      </c>
      <c r="H37" s="343">
        <f t="shared" ref="H37" si="19">F37*G37</f>
        <v>0</v>
      </c>
      <c r="I37" s="41">
        <f t="shared" si="16"/>
        <v>0</v>
      </c>
      <c r="J37" s="348">
        <f>(G37*Inicio!$G$31)+Ventas!G37</f>
        <v>0</v>
      </c>
      <c r="K37" s="34">
        <f t="shared" ref="K37" si="20">I37*J37</f>
        <v>0</v>
      </c>
      <c r="L37" s="41">
        <f t="shared" si="17"/>
        <v>0</v>
      </c>
      <c r="M37" s="347">
        <f>(J37*Inicio!$H$31)+Ventas!J37</f>
        <v>0</v>
      </c>
      <c r="N37" s="343"/>
      <c r="O37" s="41">
        <f t="shared" si="18"/>
        <v>0</v>
      </c>
      <c r="P37" s="348">
        <f>(M37*Inicio!$I$31)+Ventas!M37</f>
        <v>0</v>
      </c>
      <c r="Q37" s="34">
        <f t="shared" ref="Q37" si="21">O37*P37</f>
        <v>0</v>
      </c>
    </row>
    <row r="38" spans="1:17" ht="15.75" thickBot="1">
      <c r="B38" s="40">
        <f>Inicio!B28</f>
        <v>0</v>
      </c>
      <c r="C38" s="41">
        <f>C21</f>
        <v>0</v>
      </c>
      <c r="D38" s="387"/>
      <c r="E38" s="34">
        <f>C38*D38</f>
        <v>0</v>
      </c>
      <c r="F38" s="342">
        <f>E21</f>
        <v>0</v>
      </c>
      <c r="G38" s="347">
        <f>(D38*Inicio!$F$31)+Ventas!D38</f>
        <v>0</v>
      </c>
      <c r="H38" s="343">
        <f>F38*G38</f>
        <v>0</v>
      </c>
      <c r="I38" s="336">
        <f>G21</f>
        <v>0</v>
      </c>
      <c r="J38" s="348">
        <f>(G38*Inicio!$G$31)+Ventas!G38</f>
        <v>0</v>
      </c>
      <c r="K38" s="34">
        <f>I38*J38</f>
        <v>0</v>
      </c>
      <c r="L38" s="342">
        <f>I21</f>
        <v>0</v>
      </c>
      <c r="M38" s="347">
        <f>(J38*Inicio!$H$31)+Ventas!J38</f>
        <v>0</v>
      </c>
      <c r="N38" s="343">
        <f>L38*M38</f>
        <v>0</v>
      </c>
      <c r="O38" s="336">
        <f>K21</f>
        <v>0</v>
      </c>
      <c r="P38" s="348">
        <f>(M38*Inicio!$I$31)+Ventas!M38</f>
        <v>0</v>
      </c>
      <c r="Q38" s="34">
        <f>O38*P38</f>
        <v>0</v>
      </c>
    </row>
    <row r="39" spans="1:17" s="99" customFormat="1" ht="15.75">
      <c r="B39" s="123" t="s">
        <v>51</v>
      </c>
      <c r="C39" s="436"/>
      <c r="D39" s="437"/>
      <c r="E39" s="354">
        <f>SUM(E28:E38)</f>
        <v>184493985.35999998</v>
      </c>
      <c r="F39" s="436"/>
      <c r="G39" s="437"/>
      <c r="H39" s="100">
        <f>SUM(H28:H38)</f>
        <v>199530245.16684002</v>
      </c>
      <c r="I39" s="436"/>
      <c r="J39" s="437"/>
      <c r="K39" s="100">
        <f>SUM(K28:K38)</f>
        <v>219962142.27192438</v>
      </c>
      <c r="L39" s="436"/>
      <c r="M39" s="437"/>
      <c r="N39" s="100">
        <f>SUM(N28:N38)</f>
        <v>237722936.9661361</v>
      </c>
      <c r="O39" s="436"/>
      <c r="P39" s="437"/>
      <c r="Q39" s="101">
        <f>SUM(Q28:Q38)</f>
        <v>257097356.3288762</v>
      </c>
    </row>
    <row r="40" spans="1:17" s="99" customFormat="1" ht="15.75" thickBot="1">
      <c r="C40" s="125"/>
      <c r="D40" s="125"/>
      <c r="E40" s="126"/>
      <c r="F40" s="125"/>
      <c r="G40" s="125"/>
      <c r="H40" s="126"/>
      <c r="I40" s="125"/>
      <c r="J40" s="125"/>
      <c r="K40" s="126"/>
      <c r="L40" s="125"/>
      <c r="M40" s="125"/>
      <c r="N40" s="126"/>
      <c r="O40" s="125"/>
      <c r="P40" s="125"/>
      <c r="Q40" s="126"/>
    </row>
    <row r="41" spans="1:17" s="99" customFormat="1">
      <c r="B41" s="438" t="s">
        <v>52</v>
      </c>
      <c r="C41" s="423" t="s">
        <v>12</v>
      </c>
      <c r="D41" s="423"/>
      <c r="E41" s="423" t="s">
        <v>13</v>
      </c>
      <c r="F41" s="423"/>
      <c r="G41" s="423" t="s">
        <v>14</v>
      </c>
      <c r="H41" s="423"/>
      <c r="I41" s="423" t="s">
        <v>15</v>
      </c>
      <c r="J41" s="423"/>
      <c r="K41" s="423" t="s">
        <v>16</v>
      </c>
      <c r="L41" s="424"/>
      <c r="M41" s="125"/>
      <c r="N41" s="126"/>
      <c r="O41" s="125"/>
      <c r="P41" s="125"/>
      <c r="Q41" s="126"/>
    </row>
    <row r="42" spans="1:17" s="99" customFormat="1">
      <c r="B42" s="439"/>
      <c r="C42" s="127" t="s">
        <v>42</v>
      </c>
      <c r="D42" s="127" t="s">
        <v>43</v>
      </c>
      <c r="E42" s="127" t="s">
        <v>42</v>
      </c>
      <c r="F42" s="127" t="s">
        <v>44</v>
      </c>
      <c r="G42" s="127" t="s">
        <v>42</v>
      </c>
      <c r="H42" s="127" t="s">
        <v>45</v>
      </c>
      <c r="I42" s="127" t="s">
        <v>42</v>
      </c>
      <c r="J42" s="127" t="s">
        <v>46</v>
      </c>
      <c r="K42" s="127" t="s">
        <v>42</v>
      </c>
      <c r="L42" s="128" t="s">
        <v>47</v>
      </c>
      <c r="M42" s="125"/>
      <c r="N42" s="126"/>
      <c r="O42" s="125"/>
      <c r="P42" s="125"/>
      <c r="Q42" s="126"/>
    </row>
    <row r="43" spans="1:17" s="99" customFormat="1" ht="15.75" thickBot="1">
      <c r="B43" s="440"/>
      <c r="C43" s="129"/>
      <c r="D43" s="130"/>
      <c r="E43" s="132"/>
      <c r="F43" s="130"/>
      <c r="G43" s="129"/>
      <c r="H43" s="130"/>
      <c r="I43" s="129"/>
      <c r="J43" s="130"/>
      <c r="K43" s="133"/>
      <c r="L43" s="131"/>
      <c r="M43" s="125"/>
      <c r="N43" s="126"/>
      <c r="O43" s="125"/>
      <c r="P43" s="125"/>
      <c r="Q43" s="126"/>
    </row>
    <row r="45" spans="1:17">
      <c r="A45" s="416" t="s">
        <v>29</v>
      </c>
      <c r="B45" s="416"/>
      <c r="C45" s="416"/>
      <c r="D45" s="416"/>
      <c r="E45" s="416"/>
      <c r="F45" s="416"/>
      <c r="G45" s="416"/>
      <c r="H45" s="416"/>
      <c r="I45" s="416"/>
    </row>
    <row r="46" spans="1:17">
      <c r="A46" s="411" t="s">
        <v>53</v>
      </c>
      <c r="B46" s="411"/>
      <c r="C46" s="411"/>
      <c r="D46" s="411"/>
      <c r="E46" s="411"/>
      <c r="F46" s="411"/>
      <c r="G46" s="411"/>
      <c r="H46" s="411"/>
      <c r="I46" s="411"/>
    </row>
    <row r="47" spans="1:17">
      <c r="A47" s="411" t="s">
        <v>54</v>
      </c>
      <c r="B47" s="411"/>
      <c r="C47" s="411"/>
      <c r="D47" s="411"/>
      <c r="E47" s="411"/>
      <c r="F47" s="411"/>
      <c r="G47" s="411"/>
      <c r="H47" s="411"/>
      <c r="I47" s="411"/>
    </row>
    <row r="48" spans="1:17">
      <c r="A48" s="411" t="s">
        <v>55</v>
      </c>
      <c r="B48" s="411"/>
      <c r="C48" s="411"/>
      <c r="D48" s="411"/>
      <c r="E48" s="411"/>
      <c r="F48" s="411"/>
      <c r="G48" s="411"/>
      <c r="H48" s="411"/>
      <c r="I48" s="411"/>
    </row>
  </sheetData>
  <mergeCells count="31">
    <mergeCell ref="O39:P39"/>
    <mergeCell ref="C41:D41"/>
    <mergeCell ref="E41:F41"/>
    <mergeCell ref="G41:H41"/>
    <mergeCell ref="I41:J41"/>
    <mergeCell ref="K41:L41"/>
    <mergeCell ref="A46:I46"/>
    <mergeCell ref="A47:I47"/>
    <mergeCell ref="A48:I48"/>
    <mergeCell ref="C39:D39"/>
    <mergeCell ref="F39:G39"/>
    <mergeCell ref="I39:J39"/>
    <mergeCell ref="I10:J10"/>
    <mergeCell ref="K10:L10"/>
    <mergeCell ref="B10:B11"/>
    <mergeCell ref="B9:L9"/>
    <mergeCell ref="A45:I45"/>
    <mergeCell ref="L39:M39"/>
    <mergeCell ref="L26:N26"/>
    <mergeCell ref="B41:B43"/>
    <mergeCell ref="B7:D7"/>
    <mergeCell ref="E7:G7"/>
    <mergeCell ref="C10:D10"/>
    <mergeCell ref="E10:F10"/>
    <mergeCell ref="G10:H10"/>
    <mergeCell ref="O26:Q26"/>
    <mergeCell ref="B25:Q25"/>
    <mergeCell ref="B26:B27"/>
    <mergeCell ref="C26:E26"/>
    <mergeCell ref="F26:H26"/>
    <mergeCell ref="I26:K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5"/>
  <sheetViews>
    <sheetView showGridLines="0" workbookViewId="0"/>
  </sheetViews>
  <sheetFormatPr defaultColWidth="11.42578125" defaultRowHeight="15"/>
  <cols>
    <col min="1" max="1" width="27.42578125" customWidth="1"/>
    <col min="2" max="2" width="12.42578125" bestFit="1" customWidth="1"/>
    <col min="3" max="5" width="12.5703125" bestFit="1" customWidth="1"/>
    <col min="6" max="6" width="10.42578125" bestFit="1" customWidth="1"/>
    <col min="8" max="8" width="14.85546875" bestFit="1" customWidth="1"/>
    <col min="9" max="9" width="13" bestFit="1" customWidth="1"/>
    <col min="10" max="10" width="14.42578125" bestFit="1" customWidth="1"/>
  </cols>
  <sheetData>
    <row r="1" spans="1:12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1:12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</row>
    <row r="6" spans="1:1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1:12" ht="15" customHeight="1">
      <c r="A7" s="445" t="s">
        <v>0</v>
      </c>
      <c r="B7" s="445"/>
      <c r="C7" s="445"/>
      <c r="D7" s="445"/>
      <c r="E7" s="445"/>
      <c r="F7" s="444" t="str">
        <f>Inicio!E8</f>
        <v>Savon D'amour</v>
      </c>
      <c r="G7" s="444"/>
      <c r="H7" s="444"/>
      <c r="I7" s="25"/>
      <c r="J7" s="25"/>
      <c r="K7" s="25"/>
      <c r="L7" s="25"/>
    </row>
    <row r="8" spans="1:12" ht="15.75" thickBot="1">
      <c r="A8" s="25"/>
      <c r="B8" s="25"/>
      <c r="C8" s="25"/>
      <c r="D8" s="25"/>
      <c r="E8" s="25"/>
      <c r="G8" s="25"/>
      <c r="H8" s="25"/>
      <c r="I8" s="25"/>
      <c r="J8" s="25"/>
      <c r="K8" s="25"/>
      <c r="L8" s="25"/>
    </row>
    <row r="9" spans="1:12" ht="15.75" thickBot="1">
      <c r="A9" s="441" t="s">
        <v>56</v>
      </c>
      <c r="B9" s="442"/>
      <c r="C9" s="442"/>
      <c r="D9" s="442"/>
      <c r="E9" s="442"/>
      <c r="F9" s="442"/>
      <c r="G9" s="442"/>
      <c r="H9" s="443"/>
    </row>
    <row r="10" spans="1:12">
      <c r="A10" s="62" t="s">
        <v>57</v>
      </c>
      <c r="B10" s="63" t="s">
        <v>58</v>
      </c>
      <c r="C10" s="63" t="s">
        <v>59</v>
      </c>
      <c r="D10" s="63" t="s">
        <v>60</v>
      </c>
      <c r="E10" s="63" t="s">
        <v>61</v>
      </c>
      <c r="F10" s="63" t="s">
        <v>62</v>
      </c>
      <c r="G10" s="63" t="s">
        <v>63</v>
      </c>
      <c r="H10" s="64" t="s">
        <v>64</v>
      </c>
      <c r="J10" s="57" t="s">
        <v>65</v>
      </c>
      <c r="K10" s="58">
        <v>106454</v>
      </c>
    </row>
    <row r="11" spans="1:12">
      <c r="A11" s="48" t="s">
        <v>66</v>
      </c>
      <c r="B11" s="46">
        <v>1000000</v>
      </c>
      <c r="C11" s="47">
        <v>0</v>
      </c>
      <c r="D11" s="45">
        <f t="shared" ref="D11:D21" si="0">B11+C11</f>
        <v>1000000</v>
      </c>
      <c r="E11" s="45">
        <f>(B11+C11)*53%</f>
        <v>530000</v>
      </c>
      <c r="F11" s="45">
        <f>IF(D11=0,0,IF(D11&lt;=$E$22,$K$10,0))</f>
        <v>106454</v>
      </c>
      <c r="G11" s="59">
        <v>1</v>
      </c>
      <c r="H11" s="49">
        <f>SUM(D11:F11)*G11</f>
        <v>1636454</v>
      </c>
      <c r="I11" t="s">
        <v>67</v>
      </c>
    </row>
    <row r="12" spans="1:12">
      <c r="A12" s="48" t="s">
        <v>68</v>
      </c>
      <c r="B12" s="46">
        <v>908526</v>
      </c>
      <c r="C12" s="47">
        <v>0</v>
      </c>
      <c r="D12" s="45">
        <f t="shared" si="0"/>
        <v>908526</v>
      </c>
      <c r="E12" s="45">
        <f t="shared" ref="E12:E21" si="1">(B12+C12)*53%</f>
        <v>481518.78</v>
      </c>
      <c r="F12" s="45">
        <f>IF(D12=0,0,IF(D12&lt;=$E$22,$K$10,0))</f>
        <v>106454</v>
      </c>
      <c r="G12" s="59">
        <v>1</v>
      </c>
      <c r="H12" s="49">
        <f t="shared" ref="H12:I21" si="2">SUM(D12:F12)*G12</f>
        <v>1496498.78</v>
      </c>
      <c r="I12" t="s">
        <v>67</v>
      </c>
    </row>
    <row r="13" spans="1:12">
      <c r="A13" s="48" t="s">
        <v>69</v>
      </c>
      <c r="B13" s="46">
        <v>1000000</v>
      </c>
      <c r="C13" s="47">
        <v>0</v>
      </c>
      <c r="D13" s="45">
        <f t="shared" ref="D13" si="3">B13+C13</f>
        <v>1000000</v>
      </c>
      <c r="E13" s="45">
        <f t="shared" ref="E13" si="4">(B13+C13)*53%</f>
        <v>530000</v>
      </c>
      <c r="F13" s="45">
        <f>IF(D13=0,0,IF(D13&lt;=$E$22,$K$10,0))</f>
        <v>106454</v>
      </c>
      <c r="G13" s="59">
        <v>1</v>
      </c>
      <c r="H13" s="49">
        <f t="shared" si="2"/>
        <v>1636454</v>
      </c>
    </row>
    <row r="14" spans="1:12">
      <c r="A14" s="48" t="s">
        <v>70</v>
      </c>
      <c r="B14" s="46"/>
      <c r="C14" s="47">
        <v>0</v>
      </c>
      <c r="D14" s="45">
        <f t="shared" si="0"/>
        <v>0</v>
      </c>
      <c r="E14" s="45">
        <f t="shared" si="1"/>
        <v>0</v>
      </c>
      <c r="F14" s="45">
        <f>IF(D14=0,0,IF(D14&lt;=$E$22,$K$10,0))</f>
        <v>0</v>
      </c>
      <c r="G14" s="59">
        <v>1</v>
      </c>
      <c r="H14" s="49">
        <v>750000</v>
      </c>
      <c r="I14" t="s">
        <v>67</v>
      </c>
    </row>
    <row r="15" spans="1:12">
      <c r="A15" s="48"/>
      <c r="B15" s="46">
        <v>0</v>
      </c>
      <c r="C15" s="47">
        <v>0</v>
      </c>
      <c r="D15" s="45">
        <f t="shared" si="0"/>
        <v>0</v>
      </c>
      <c r="E15" s="45">
        <f t="shared" si="1"/>
        <v>0</v>
      </c>
      <c r="F15" s="45">
        <f>IF(D15=0,0,IF(D15&lt;=$E$22,$K$10,0))</f>
        <v>0</v>
      </c>
      <c r="G15" s="59">
        <v>0</v>
      </c>
      <c r="H15" s="49">
        <f>SUM(D15:F15)*G15</f>
        <v>0</v>
      </c>
    </row>
    <row r="16" spans="1:12">
      <c r="A16" s="48"/>
      <c r="B16" s="46">
        <v>0</v>
      </c>
      <c r="C16" s="47">
        <v>0</v>
      </c>
      <c r="D16" s="45">
        <f t="shared" si="0"/>
        <v>0</v>
      </c>
      <c r="E16" s="45">
        <f t="shared" si="1"/>
        <v>0</v>
      </c>
      <c r="F16" s="45">
        <f>IF(D16=0,0,IF(D16&lt;=$E$22,$K$10,0))</f>
        <v>0</v>
      </c>
      <c r="G16" s="59">
        <v>0</v>
      </c>
      <c r="H16" s="49">
        <f t="shared" si="2"/>
        <v>0</v>
      </c>
    </row>
    <row r="17" spans="1:13">
      <c r="A17" s="48"/>
      <c r="B17" s="46">
        <v>0</v>
      </c>
      <c r="C17" s="47">
        <v>0</v>
      </c>
      <c r="D17" s="45">
        <f t="shared" si="0"/>
        <v>0</v>
      </c>
      <c r="E17" s="45">
        <f t="shared" si="1"/>
        <v>0</v>
      </c>
      <c r="F17" s="45">
        <f>IF(D17=0,0,IF(D17&lt;=$E$22,$K$10,0))</f>
        <v>0</v>
      </c>
      <c r="G17" s="59">
        <v>0</v>
      </c>
      <c r="H17" s="49">
        <f t="shared" si="2"/>
        <v>0</v>
      </c>
    </row>
    <row r="18" spans="1:13">
      <c r="A18" s="48"/>
      <c r="B18" s="46">
        <v>0</v>
      </c>
      <c r="C18" s="47">
        <v>0</v>
      </c>
      <c r="D18" s="45">
        <f t="shared" si="0"/>
        <v>0</v>
      </c>
      <c r="E18" s="45">
        <f t="shared" si="1"/>
        <v>0</v>
      </c>
      <c r="F18" s="45">
        <f>IF(D18=0,0,IF(D18&lt;=$E$22,$K$10,0))</f>
        <v>0</v>
      </c>
      <c r="G18" s="59">
        <v>0</v>
      </c>
      <c r="H18" s="49">
        <f t="shared" si="2"/>
        <v>0</v>
      </c>
    </row>
    <row r="19" spans="1:13">
      <c r="A19" s="48"/>
      <c r="B19" s="46">
        <v>0</v>
      </c>
      <c r="C19" s="47">
        <v>0</v>
      </c>
      <c r="D19" s="45">
        <f t="shared" si="0"/>
        <v>0</v>
      </c>
      <c r="E19" s="45">
        <f t="shared" si="1"/>
        <v>0</v>
      </c>
      <c r="F19" s="45">
        <f>IF(D19=0,0,IF(D19&lt;=$E$22,$K$10,0))</f>
        <v>0</v>
      </c>
      <c r="G19" s="59">
        <v>0</v>
      </c>
      <c r="H19" s="49">
        <f t="shared" si="2"/>
        <v>0</v>
      </c>
    </row>
    <row r="20" spans="1:13">
      <c r="A20" s="48"/>
      <c r="B20" s="46">
        <v>0</v>
      </c>
      <c r="C20" s="47">
        <v>0</v>
      </c>
      <c r="D20" s="45">
        <f t="shared" si="0"/>
        <v>0</v>
      </c>
      <c r="E20" s="45">
        <f t="shared" si="1"/>
        <v>0</v>
      </c>
      <c r="F20" s="45">
        <f>IF(D20=0,0,IF(D20&lt;=$E$22,$K$10,0))</f>
        <v>0</v>
      </c>
      <c r="G20" s="59">
        <v>0</v>
      </c>
      <c r="H20" s="49">
        <f t="shared" si="2"/>
        <v>0</v>
      </c>
    </row>
    <row r="21" spans="1:13" ht="15.75" thickBot="1">
      <c r="A21" s="50"/>
      <c r="B21" s="51">
        <v>0</v>
      </c>
      <c r="C21" s="60">
        <v>0</v>
      </c>
      <c r="D21" s="52">
        <f t="shared" si="0"/>
        <v>0</v>
      </c>
      <c r="E21" s="52">
        <f t="shared" si="1"/>
        <v>0</v>
      </c>
      <c r="F21" s="45">
        <f>IF(D21=0,0,IF(D21&lt;=$E$22,$K$10,0))</f>
        <v>0</v>
      </c>
      <c r="G21" s="61">
        <v>0</v>
      </c>
      <c r="H21" s="53">
        <f t="shared" si="2"/>
        <v>0</v>
      </c>
    </row>
    <row r="22" spans="1:13" ht="15.75" thickBot="1">
      <c r="E22" s="65">
        <f>Inicio!F33*2</f>
        <v>1817052</v>
      </c>
      <c r="F22" s="446" t="s">
        <v>71</v>
      </c>
      <c r="G22" s="447"/>
      <c r="H22" s="55">
        <f>SUM(H11:H21)</f>
        <v>5519406.7800000003</v>
      </c>
      <c r="I22" s="121"/>
    </row>
    <row r="23" spans="1:13" ht="15.75" thickBot="1">
      <c r="M23" s="56"/>
    </row>
    <row r="24" spans="1:13" ht="15.75" thickBot="1">
      <c r="A24" s="441" t="s">
        <v>72</v>
      </c>
      <c r="B24" s="442"/>
      <c r="C24" s="442"/>
      <c r="D24" s="442"/>
      <c r="E24" s="442"/>
      <c r="F24" s="442"/>
      <c r="G24" s="442"/>
      <c r="H24" s="443"/>
      <c r="M24" s="56"/>
    </row>
    <row r="25" spans="1:13">
      <c r="A25" s="62" t="s">
        <v>57</v>
      </c>
      <c r="B25" s="63" t="s">
        <v>58</v>
      </c>
      <c r="C25" s="63" t="s">
        <v>59</v>
      </c>
      <c r="D25" s="63" t="s">
        <v>60</v>
      </c>
      <c r="E25" s="63" t="s">
        <v>61</v>
      </c>
      <c r="F25" s="63" t="s">
        <v>62</v>
      </c>
      <c r="G25" s="63" t="s">
        <v>63</v>
      </c>
      <c r="H25" s="64" t="s">
        <v>64</v>
      </c>
      <c r="M25" s="56"/>
    </row>
    <row r="26" spans="1:13">
      <c r="A26" s="48" t="s">
        <v>73</v>
      </c>
      <c r="B26" s="46">
        <v>0</v>
      </c>
      <c r="C26" s="47">
        <v>0</v>
      </c>
      <c r="D26" s="45">
        <f t="shared" ref="D26:D37" si="5">B26+C26</f>
        <v>0</v>
      </c>
      <c r="E26" s="45">
        <f t="shared" ref="E26:E37" si="6">(B26+C26)*53%</f>
        <v>0</v>
      </c>
      <c r="F26" s="45">
        <f>IF(D26=0,0,IF(D26&lt;=$E$22,$K$10,0))</f>
        <v>0</v>
      </c>
      <c r="G26" s="59">
        <v>0</v>
      </c>
      <c r="H26" s="49">
        <f>SUM(D26:F26)*G26</f>
        <v>0</v>
      </c>
      <c r="M26" s="56"/>
    </row>
    <row r="27" spans="1:13">
      <c r="A27" s="48"/>
      <c r="B27" s="46">
        <v>0</v>
      </c>
      <c r="C27" s="47">
        <v>0</v>
      </c>
      <c r="D27" s="45">
        <f t="shared" si="5"/>
        <v>0</v>
      </c>
      <c r="E27" s="45">
        <f t="shared" si="6"/>
        <v>0</v>
      </c>
      <c r="F27" s="45">
        <f>IF(D27=0,0,IF(D27&lt;=$E$22,$K$10,0))</f>
        <v>0</v>
      </c>
      <c r="G27" s="59">
        <v>0</v>
      </c>
      <c r="H27" s="49">
        <f t="shared" ref="H27:H37" si="7">SUM(D27:F27)*G27</f>
        <v>0</v>
      </c>
      <c r="M27" s="56"/>
    </row>
    <row r="28" spans="1:13">
      <c r="A28" s="48"/>
      <c r="B28" s="46">
        <v>0</v>
      </c>
      <c r="C28" s="47">
        <v>0</v>
      </c>
      <c r="D28" s="45">
        <f t="shared" si="5"/>
        <v>0</v>
      </c>
      <c r="E28" s="45">
        <f t="shared" si="6"/>
        <v>0</v>
      </c>
      <c r="F28" s="45">
        <f>IF(D28=0,0,IF(D28&lt;=$E$22,$K$10,0))</f>
        <v>0</v>
      </c>
      <c r="G28" s="59">
        <v>0</v>
      </c>
      <c r="H28" s="49">
        <f t="shared" si="7"/>
        <v>0</v>
      </c>
      <c r="M28" s="56"/>
    </row>
    <row r="29" spans="1:13">
      <c r="A29" s="48"/>
      <c r="B29" s="46">
        <v>0</v>
      </c>
      <c r="C29" s="47">
        <v>0</v>
      </c>
      <c r="D29" s="45">
        <f t="shared" si="5"/>
        <v>0</v>
      </c>
      <c r="E29" s="45">
        <f t="shared" si="6"/>
        <v>0</v>
      </c>
      <c r="F29" s="45">
        <f>IF(D29=0,0,IF(D29&lt;=$E$22,$K$10,0))</f>
        <v>0</v>
      </c>
      <c r="G29" s="59">
        <v>0</v>
      </c>
      <c r="H29" s="49">
        <f t="shared" si="7"/>
        <v>0</v>
      </c>
      <c r="M29" s="56"/>
    </row>
    <row r="30" spans="1:13">
      <c r="A30" s="48"/>
      <c r="B30" s="46">
        <v>0</v>
      </c>
      <c r="C30" s="47">
        <v>0</v>
      </c>
      <c r="D30" s="45">
        <f t="shared" si="5"/>
        <v>0</v>
      </c>
      <c r="E30" s="45">
        <f t="shared" si="6"/>
        <v>0</v>
      </c>
      <c r="F30" s="45">
        <f>IF(D30=0,0,IF(D30&lt;=$E$22,$K$10,0))</f>
        <v>0</v>
      </c>
      <c r="G30" s="59">
        <v>0</v>
      </c>
      <c r="H30" s="49">
        <f t="shared" si="7"/>
        <v>0</v>
      </c>
      <c r="M30" s="56"/>
    </row>
    <row r="31" spans="1:13">
      <c r="A31" s="48"/>
      <c r="B31" s="46">
        <v>0</v>
      </c>
      <c r="C31" s="47">
        <v>0</v>
      </c>
      <c r="D31" s="45">
        <f t="shared" si="5"/>
        <v>0</v>
      </c>
      <c r="E31" s="45">
        <f t="shared" si="6"/>
        <v>0</v>
      </c>
      <c r="F31" s="45">
        <f>IF(D31=0,0,IF(D31&lt;=$E$22,$K$10,0))</f>
        <v>0</v>
      </c>
      <c r="G31" s="59">
        <v>0</v>
      </c>
      <c r="H31" s="49">
        <f t="shared" si="7"/>
        <v>0</v>
      </c>
      <c r="M31" s="56"/>
    </row>
    <row r="32" spans="1:13">
      <c r="A32" s="48"/>
      <c r="B32" s="46">
        <v>0</v>
      </c>
      <c r="C32" s="47">
        <v>0</v>
      </c>
      <c r="D32" s="45">
        <f t="shared" si="5"/>
        <v>0</v>
      </c>
      <c r="E32" s="45">
        <f t="shared" si="6"/>
        <v>0</v>
      </c>
      <c r="F32" s="45">
        <f>IF(D32=0,0,IF(D32&lt;=$E$22,$K$10,0))</f>
        <v>0</v>
      </c>
      <c r="G32" s="59">
        <v>0</v>
      </c>
      <c r="H32" s="49">
        <f t="shared" si="7"/>
        <v>0</v>
      </c>
      <c r="M32" s="56"/>
    </row>
    <row r="33" spans="1:13">
      <c r="A33" s="48"/>
      <c r="B33" s="46">
        <v>0</v>
      </c>
      <c r="C33" s="47">
        <v>0</v>
      </c>
      <c r="D33" s="45">
        <f t="shared" si="5"/>
        <v>0</v>
      </c>
      <c r="E33" s="45">
        <f t="shared" si="6"/>
        <v>0</v>
      </c>
      <c r="F33" s="45">
        <f>IF(D33=0,0,IF(D33&lt;=$E$22,$K$10,0))</f>
        <v>0</v>
      </c>
      <c r="G33" s="59">
        <v>0</v>
      </c>
      <c r="H33" s="49">
        <f t="shared" si="7"/>
        <v>0</v>
      </c>
      <c r="M33" s="56"/>
    </row>
    <row r="34" spans="1:13">
      <c r="A34" s="48"/>
      <c r="B34" s="46">
        <v>0</v>
      </c>
      <c r="C34" s="47">
        <v>0</v>
      </c>
      <c r="D34" s="45">
        <f t="shared" si="5"/>
        <v>0</v>
      </c>
      <c r="E34" s="45">
        <f t="shared" si="6"/>
        <v>0</v>
      </c>
      <c r="F34" s="45">
        <f>IF(D34=0,0,IF(D34&lt;=$E$22,$K$10,0))</f>
        <v>0</v>
      </c>
      <c r="G34" s="59">
        <v>0</v>
      </c>
      <c r="H34" s="49">
        <f t="shared" si="7"/>
        <v>0</v>
      </c>
      <c r="M34" s="56"/>
    </row>
    <row r="35" spans="1:13">
      <c r="A35" s="48"/>
      <c r="B35" s="46">
        <v>0</v>
      </c>
      <c r="C35" s="47">
        <v>0</v>
      </c>
      <c r="D35" s="45">
        <f t="shared" si="5"/>
        <v>0</v>
      </c>
      <c r="E35" s="45">
        <f t="shared" si="6"/>
        <v>0</v>
      </c>
      <c r="F35" s="45">
        <f>IF(D35=0,0,IF(D35&lt;=$E$22,$K$10,0))</f>
        <v>0</v>
      </c>
      <c r="G35" s="59">
        <v>0</v>
      </c>
      <c r="H35" s="49">
        <f t="shared" si="7"/>
        <v>0</v>
      </c>
      <c r="M35" s="56"/>
    </row>
    <row r="36" spans="1:13">
      <c r="A36" s="48"/>
      <c r="B36" s="46">
        <v>0</v>
      </c>
      <c r="C36" s="47">
        <v>0</v>
      </c>
      <c r="D36" s="45">
        <f t="shared" si="5"/>
        <v>0</v>
      </c>
      <c r="E36" s="45">
        <f t="shared" si="6"/>
        <v>0</v>
      </c>
      <c r="F36" s="45">
        <f>IF(D36=0,0,IF(D36&lt;=$E$22,$K$10,0))</f>
        <v>0</v>
      </c>
      <c r="G36" s="59">
        <v>0</v>
      </c>
      <c r="H36" s="49">
        <f t="shared" si="7"/>
        <v>0</v>
      </c>
      <c r="M36" s="56"/>
    </row>
    <row r="37" spans="1:13" ht="15.75" thickBot="1">
      <c r="A37" s="50"/>
      <c r="B37" s="51">
        <v>0</v>
      </c>
      <c r="C37" s="60">
        <v>0</v>
      </c>
      <c r="D37" s="52">
        <f t="shared" si="5"/>
        <v>0</v>
      </c>
      <c r="E37" s="52">
        <f t="shared" si="6"/>
        <v>0</v>
      </c>
      <c r="F37" s="45">
        <f>IF(D37=0,0,IF(D37&lt;=$E$22,$K$10,0))</f>
        <v>0</v>
      </c>
      <c r="G37" s="61">
        <v>0</v>
      </c>
      <c r="H37" s="53">
        <f t="shared" si="7"/>
        <v>0</v>
      </c>
      <c r="K37" s="56"/>
      <c r="L37" s="56"/>
      <c r="M37" s="56"/>
    </row>
    <row r="38" spans="1:13" ht="15.75" thickBot="1">
      <c r="E38" s="65">
        <f>Inicio!F49*2</f>
        <v>0</v>
      </c>
      <c r="F38" s="446" t="s">
        <v>74</v>
      </c>
      <c r="G38" s="447"/>
      <c r="H38" s="55">
        <f>SUM(H26:H37)</f>
        <v>0</v>
      </c>
      <c r="K38" s="66"/>
      <c r="M38" s="56"/>
    </row>
    <row r="39" spans="1:13" ht="15.75" thickBot="1">
      <c r="E39" s="65"/>
      <c r="F39" s="57"/>
      <c r="G39" s="57"/>
      <c r="H39" s="134"/>
      <c r="K39" s="66"/>
      <c r="M39" s="56"/>
    </row>
    <row r="40" spans="1:13" ht="15.75" thickBot="1">
      <c r="A40" s="441" t="s">
        <v>75</v>
      </c>
      <c r="B40" s="442"/>
      <c r="C40" s="442"/>
      <c r="D40" s="442"/>
      <c r="E40" s="442"/>
      <c r="F40" s="442"/>
      <c r="G40" s="442"/>
      <c r="H40" s="443"/>
      <c r="K40" s="66"/>
      <c r="M40" s="56"/>
    </row>
    <row r="41" spans="1:13">
      <c r="A41" s="62" t="s">
        <v>57</v>
      </c>
      <c r="B41" s="63" t="s">
        <v>58</v>
      </c>
      <c r="C41" s="63" t="s">
        <v>59</v>
      </c>
      <c r="D41" s="63" t="s">
        <v>60</v>
      </c>
      <c r="E41" s="63" t="s">
        <v>61</v>
      </c>
      <c r="F41" s="63" t="s">
        <v>62</v>
      </c>
      <c r="G41" s="63" t="s">
        <v>63</v>
      </c>
      <c r="H41" s="64" t="s">
        <v>64</v>
      </c>
      <c r="K41" s="66"/>
      <c r="M41" s="56"/>
    </row>
    <row r="42" spans="1:13" ht="15.75" thickBot="1">
      <c r="A42" s="82"/>
      <c r="B42" s="52">
        <f>SUM(B11:B21)+SUM(B26:B37)</f>
        <v>2908526</v>
      </c>
      <c r="C42" s="52">
        <f>SUM(C11:C21)+SUM(C26:C37)</f>
        <v>0</v>
      </c>
      <c r="D42" s="52">
        <f>SUM(D11:D21)+SUM(D26:D37)</f>
        <v>2908526</v>
      </c>
      <c r="E42" s="52">
        <f>SUM(E11:E21)+SUM(E26:E37)</f>
        <v>1541518.78</v>
      </c>
      <c r="F42" s="52">
        <f>SUM(F11:F21)+SUM(F26:F37)</f>
        <v>319362</v>
      </c>
      <c r="G42" s="161">
        <f>SUM(G11:G21)+SUM(G26:G37)</f>
        <v>4</v>
      </c>
      <c r="H42" s="53">
        <f>H22+H38</f>
        <v>5519406.7800000003</v>
      </c>
      <c r="I42" s="121">
        <f>H42*12</f>
        <v>66232881.359999999</v>
      </c>
      <c r="K42" s="66"/>
      <c r="M42" s="56"/>
    </row>
    <row r="43" spans="1:13">
      <c r="E43" s="65"/>
      <c r="F43" s="57"/>
      <c r="G43" s="57"/>
      <c r="H43" s="134"/>
      <c r="K43" s="66"/>
      <c r="M43" s="56"/>
    </row>
    <row r="44" spans="1:13">
      <c r="E44" s="65"/>
      <c r="F44" s="57"/>
      <c r="G44" s="57"/>
      <c r="H44" s="134"/>
      <c r="K44" s="66"/>
      <c r="M44" s="56"/>
    </row>
    <row r="45" spans="1:13">
      <c r="A45" s="67" t="s">
        <v>76</v>
      </c>
      <c r="B45" s="68">
        <f>60000+60000+30000</f>
        <v>150000</v>
      </c>
    </row>
    <row r="46" spans="1:13">
      <c r="A46" s="67" t="s">
        <v>77</v>
      </c>
      <c r="B46" s="68">
        <v>80000</v>
      </c>
    </row>
    <row r="47" spans="1:13">
      <c r="A47" s="67" t="s">
        <v>78</v>
      </c>
      <c r="B47" s="68">
        <v>75000</v>
      </c>
    </row>
    <row r="48" spans="1:13">
      <c r="A48" s="67" t="s">
        <v>79</v>
      </c>
      <c r="B48" s="68">
        <v>750000</v>
      </c>
    </row>
    <row r="49" spans="1:5">
      <c r="A49" s="67"/>
      <c r="B49" s="68">
        <v>0</v>
      </c>
    </row>
    <row r="50" spans="1:5">
      <c r="A50" s="67"/>
      <c r="B50" s="68">
        <v>0</v>
      </c>
      <c r="E50" s="56"/>
    </row>
    <row r="51" spans="1:5">
      <c r="A51" s="67"/>
      <c r="B51" s="68">
        <v>0</v>
      </c>
      <c r="E51" s="66"/>
    </row>
    <row r="52" spans="1:5">
      <c r="A52" s="67"/>
      <c r="B52" s="68">
        <v>0</v>
      </c>
      <c r="E52" s="75"/>
    </row>
    <row r="53" spans="1:5">
      <c r="A53" s="67"/>
      <c r="B53" s="68">
        <v>0</v>
      </c>
    </row>
    <row r="54" spans="1:5">
      <c r="A54" s="67"/>
      <c r="B54" s="68">
        <v>0</v>
      </c>
    </row>
    <row r="55" spans="1:5">
      <c r="A55" s="67"/>
      <c r="B55" s="68">
        <v>0</v>
      </c>
    </row>
    <row r="56" spans="1:5">
      <c r="A56" s="67"/>
      <c r="B56" s="68">
        <v>0</v>
      </c>
      <c r="C56">
        <v>12</v>
      </c>
    </row>
    <row r="57" spans="1:5" ht="15.75" thickBot="1">
      <c r="A57" s="73" t="s">
        <v>80</v>
      </c>
      <c r="B57" s="74">
        <f>SUM(B45:B56)</f>
        <v>1055000</v>
      </c>
      <c r="C57" s="75">
        <f>B57*C56</f>
        <v>12660000</v>
      </c>
    </row>
    <row r="58" spans="1:5" ht="15.75" thickBot="1">
      <c r="D58" s="75"/>
    </row>
    <row r="59" spans="1:5" ht="15.75" thickBot="1">
      <c r="A59" s="71" t="s">
        <v>81</v>
      </c>
      <c r="B59" s="72" t="s">
        <v>82</v>
      </c>
      <c r="D59" s="75"/>
    </row>
    <row r="60" spans="1:5">
      <c r="A60" s="69" t="s">
        <v>83</v>
      </c>
      <c r="B60" s="70">
        <v>150000</v>
      </c>
    </row>
    <row r="61" spans="1:5">
      <c r="A61" s="67" t="s">
        <v>84</v>
      </c>
      <c r="B61" s="68">
        <v>20000</v>
      </c>
    </row>
    <row r="62" spans="1:5">
      <c r="A62" s="67" t="s">
        <v>85</v>
      </c>
      <c r="B62" s="68">
        <v>50000</v>
      </c>
    </row>
    <row r="63" spans="1:5">
      <c r="A63" s="67"/>
      <c r="B63" s="68">
        <v>0</v>
      </c>
    </row>
    <row r="64" spans="1:5">
      <c r="A64" s="67"/>
      <c r="B64" s="68">
        <v>0</v>
      </c>
      <c r="E64" s="56"/>
    </row>
    <row r="65" spans="1:9">
      <c r="A65" s="67"/>
      <c r="B65" s="68">
        <v>0</v>
      </c>
    </row>
    <row r="66" spans="1:9">
      <c r="A66" s="67"/>
      <c r="B66" s="68">
        <v>0</v>
      </c>
    </row>
    <row r="67" spans="1:9">
      <c r="A67" s="67"/>
      <c r="B67" s="68">
        <v>0</v>
      </c>
    </row>
    <row r="68" spans="1:9">
      <c r="A68" s="67"/>
      <c r="B68" s="68">
        <v>0</v>
      </c>
    </row>
    <row r="69" spans="1:9">
      <c r="A69" s="67"/>
      <c r="B69" s="68">
        <v>0</v>
      </c>
    </row>
    <row r="70" spans="1:9">
      <c r="A70" s="67"/>
      <c r="B70" s="68">
        <v>0</v>
      </c>
    </row>
    <row r="71" spans="1:9">
      <c r="A71" s="67"/>
      <c r="B71" s="68">
        <v>0</v>
      </c>
    </row>
    <row r="72" spans="1:9" ht="15.75" thickBot="1">
      <c r="A72" s="73" t="s">
        <v>86</v>
      </c>
      <c r="B72" s="74">
        <f>SUM(B60:B71)</f>
        <v>220000</v>
      </c>
      <c r="C72" s="75">
        <f>B72*C56</f>
        <v>2640000</v>
      </c>
    </row>
    <row r="74" spans="1:9">
      <c r="A74" s="416" t="s">
        <v>29</v>
      </c>
      <c r="B74" s="416"/>
      <c r="C74" s="416"/>
      <c r="D74" s="416"/>
      <c r="E74" s="416"/>
      <c r="F74" s="416"/>
      <c r="G74" s="416"/>
      <c r="H74" s="416"/>
      <c r="I74" s="416"/>
    </row>
    <row r="75" spans="1:9">
      <c r="A75" s="411" t="s">
        <v>87</v>
      </c>
      <c r="B75" s="411"/>
      <c r="C75" s="411"/>
      <c r="D75" s="411"/>
      <c r="E75" s="411"/>
      <c r="F75" s="411"/>
      <c r="G75" s="411"/>
      <c r="H75" s="411"/>
      <c r="I75" s="411"/>
    </row>
  </sheetData>
  <mergeCells count="9">
    <mergeCell ref="A9:H9"/>
    <mergeCell ref="F7:H7"/>
    <mergeCell ref="A7:E7"/>
    <mergeCell ref="A74:I74"/>
    <mergeCell ref="A75:I75"/>
    <mergeCell ref="A24:H24"/>
    <mergeCell ref="F38:G38"/>
    <mergeCell ref="A40:H40"/>
    <mergeCell ref="F22:G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55"/>
  <sheetViews>
    <sheetView showGridLines="0" workbookViewId="0"/>
  </sheetViews>
  <sheetFormatPr defaultColWidth="11.42578125" defaultRowHeight="12" customHeight="1"/>
  <cols>
    <col min="2" max="2" width="22.85546875" customWidth="1"/>
    <col min="4" max="4" width="15.28515625" bestFit="1" customWidth="1"/>
    <col min="5" max="5" width="17.28515625" customWidth="1"/>
  </cols>
  <sheetData>
    <row r="2" spans="2:7" ht="12" customHeight="1" thickBot="1"/>
    <row r="3" spans="2:7" ht="12" customHeight="1">
      <c r="B3" s="428" t="s">
        <v>10</v>
      </c>
      <c r="C3" s="422" t="s">
        <v>12</v>
      </c>
      <c r="D3" s="423"/>
      <c r="E3" s="424"/>
    </row>
    <row r="4" spans="2:7" ht="12" customHeight="1" thickBot="1">
      <c r="B4" s="429"/>
      <c r="C4" s="42" t="s">
        <v>42</v>
      </c>
      <c r="D4" s="35" t="s">
        <v>50</v>
      </c>
      <c r="E4" s="36" t="s">
        <v>43</v>
      </c>
    </row>
    <row r="5" spans="2:7" ht="12" customHeight="1">
      <c r="B5" s="40" t="s">
        <v>88</v>
      </c>
      <c r="C5" s="41">
        <v>50</v>
      </c>
      <c r="D5" s="39">
        <v>4000</v>
      </c>
      <c r="E5" s="34">
        <v>200000</v>
      </c>
    </row>
    <row r="6" spans="2:7" ht="12" customHeight="1">
      <c r="B6" s="40" t="s">
        <v>89</v>
      </c>
      <c r="C6" s="41">
        <v>320</v>
      </c>
      <c r="D6" s="39">
        <v>3200</v>
      </c>
      <c r="E6" s="34">
        <v>1024000</v>
      </c>
    </row>
    <row r="7" spans="2:7" ht="12" customHeight="1">
      <c r="B7" s="40" t="s">
        <v>90</v>
      </c>
      <c r="C7" s="41">
        <v>280</v>
      </c>
      <c r="D7" s="39">
        <v>2200</v>
      </c>
      <c r="E7" s="34">
        <v>616000</v>
      </c>
    </row>
    <row r="8" spans="2:7" ht="12" customHeight="1">
      <c r="B8" s="40" t="s">
        <v>91</v>
      </c>
      <c r="C8" s="41">
        <v>92</v>
      </c>
      <c r="D8" s="39">
        <v>750</v>
      </c>
      <c r="E8" s="34">
        <v>69000</v>
      </c>
    </row>
    <row r="9" spans="2:7" ht="12" customHeight="1">
      <c r="B9" s="40" t="s">
        <v>92</v>
      </c>
      <c r="C9" s="41">
        <v>720</v>
      </c>
      <c r="D9" s="39">
        <v>10800</v>
      </c>
      <c r="E9" s="34">
        <v>7776000</v>
      </c>
    </row>
    <row r="10" spans="2:7" ht="12" customHeight="1">
      <c r="B10" s="40" t="s">
        <v>93</v>
      </c>
      <c r="C10" s="41">
        <v>100</v>
      </c>
      <c r="D10" s="39">
        <v>5600</v>
      </c>
      <c r="E10" s="34">
        <v>560000</v>
      </c>
    </row>
    <row r="11" spans="2:7" ht="12" customHeight="1">
      <c r="B11" s="40" t="s">
        <v>94</v>
      </c>
      <c r="C11" s="41">
        <v>240</v>
      </c>
      <c r="D11" s="39">
        <v>6800</v>
      </c>
      <c r="E11" s="34">
        <v>1632000</v>
      </c>
    </row>
    <row r="12" spans="2:7" ht="12" customHeight="1">
      <c r="B12" s="40" t="s">
        <v>95</v>
      </c>
      <c r="C12" s="41">
        <v>680</v>
      </c>
      <c r="D12" s="39">
        <v>2300</v>
      </c>
      <c r="E12" s="34">
        <v>1564000</v>
      </c>
    </row>
    <row r="13" spans="2:7" ht="12" customHeight="1">
      <c r="B13" s="40" t="s">
        <v>96</v>
      </c>
      <c r="C13" s="41">
        <v>120</v>
      </c>
      <c r="D13" s="39">
        <v>600</v>
      </c>
      <c r="E13" s="34">
        <v>72000</v>
      </c>
    </row>
    <row r="14" spans="2:7" ht="12" customHeight="1">
      <c r="B14" s="40" t="s">
        <v>97</v>
      </c>
      <c r="C14" s="41">
        <v>800</v>
      </c>
      <c r="D14" s="39">
        <v>300</v>
      </c>
      <c r="E14" s="34">
        <v>240000</v>
      </c>
    </row>
    <row r="15" spans="2:7" ht="12" customHeight="1" thickBot="1">
      <c r="B15" s="40">
        <v>0</v>
      </c>
      <c r="C15" s="41">
        <v>0</v>
      </c>
      <c r="D15" s="39"/>
      <c r="E15" s="34">
        <v>0</v>
      </c>
    </row>
    <row r="16" spans="2:7" ht="12" customHeight="1" thickBot="1">
      <c r="B16" s="123" t="s">
        <v>51</v>
      </c>
      <c r="C16" s="379">
        <f>SUM(C5:C15)</f>
        <v>3402</v>
      </c>
      <c r="D16" s="378"/>
      <c r="E16" s="354">
        <v>13753000</v>
      </c>
      <c r="G16" s="380">
        <f>+E16/E27</f>
        <v>0.89453322653293033</v>
      </c>
    </row>
    <row r="18" spans="2:7" ht="12" customHeight="1">
      <c r="B18" s="410"/>
      <c r="E18" s="380"/>
    </row>
    <row r="20" spans="2:7" ht="12" customHeight="1" thickBot="1"/>
    <row r="21" spans="2:7" ht="12" customHeight="1">
      <c r="B21" s="79" t="s">
        <v>98</v>
      </c>
      <c r="C21" s="388"/>
      <c r="D21" s="388"/>
      <c r="E21" s="389">
        <v>1496498.78</v>
      </c>
    </row>
    <row r="22" spans="2:7" ht="12" customHeight="1">
      <c r="B22" s="67" t="s">
        <v>99</v>
      </c>
      <c r="C22" s="78"/>
      <c r="D22" s="78"/>
      <c r="E22" s="390">
        <v>0</v>
      </c>
      <c r="G22" s="75">
        <v>1055000</v>
      </c>
    </row>
    <row r="23" spans="2:7" ht="12" customHeight="1">
      <c r="B23" s="67" t="s">
        <v>100</v>
      </c>
      <c r="C23" s="78"/>
      <c r="D23" s="78"/>
      <c r="E23" s="391">
        <f>(+Inversión!B13)/5/12</f>
        <v>125000</v>
      </c>
    </row>
    <row r="24" spans="2:7" ht="12" customHeight="1">
      <c r="B24" s="67" t="s">
        <v>101</v>
      </c>
      <c r="C24" s="78"/>
      <c r="D24" s="78"/>
      <c r="E24" s="392">
        <v>0</v>
      </c>
      <c r="G24" s="381">
        <v>220000</v>
      </c>
    </row>
    <row r="25" spans="2:7" ht="12" customHeight="1" thickBot="1">
      <c r="B25" s="82"/>
      <c r="C25" s="393"/>
      <c r="D25" s="393"/>
      <c r="E25" s="394">
        <f>SUM(E21:E24)</f>
        <v>1621498.78</v>
      </c>
    </row>
    <row r="26" spans="2:7" ht="12" customHeight="1" thickBot="1"/>
    <row r="27" spans="2:7" ht="12" customHeight="1" thickBot="1">
      <c r="B27" s="399" t="s">
        <v>102</v>
      </c>
      <c r="C27" s="400"/>
      <c r="D27" s="400"/>
      <c r="E27" s="401">
        <f>+E16+E25</f>
        <v>15374498.779999999</v>
      </c>
    </row>
    <row r="28" spans="2:7" ht="12" customHeight="1">
      <c r="B28" s="69" t="s">
        <v>103</v>
      </c>
      <c r="C28" s="397"/>
      <c r="D28" s="397"/>
      <c r="E28" s="398">
        <f>+Ventas!C22/12</f>
        <v>3879</v>
      </c>
    </row>
    <row r="29" spans="2:7" ht="12" customHeight="1" thickBot="1">
      <c r="B29" s="82" t="s">
        <v>104</v>
      </c>
      <c r="C29" s="393"/>
      <c r="D29" s="393"/>
      <c r="E29" s="396">
        <f>+E27/E28</f>
        <v>3963.5212116524876</v>
      </c>
      <c r="F29">
        <f>+E29/0.7</f>
        <v>5662.1731595035544</v>
      </c>
    </row>
    <row r="32" spans="2:7" ht="12" customHeight="1" thickBot="1"/>
    <row r="33" spans="2:6" ht="12" customHeight="1">
      <c r="B33" s="79" t="s">
        <v>105</v>
      </c>
      <c r="C33" s="388"/>
      <c r="D33" s="388"/>
      <c r="E33" s="395">
        <f>+Ventas!D22</f>
        <v>316219200</v>
      </c>
    </row>
    <row r="34" spans="2:6" ht="12" customHeight="1" thickBot="1">
      <c r="B34" s="82" t="s">
        <v>106</v>
      </c>
      <c r="C34" s="393"/>
      <c r="D34" s="393"/>
      <c r="E34" s="396">
        <f>(+E29*E28)*12</f>
        <v>184493985.35999998</v>
      </c>
    </row>
    <row r="36" spans="2:6" ht="12" customHeight="1" thickBot="1"/>
    <row r="37" spans="2:6" ht="12" customHeight="1" thickBot="1">
      <c r="B37" s="402" t="s">
        <v>107</v>
      </c>
      <c r="C37" s="400"/>
      <c r="D37" s="400"/>
      <c r="E37" s="403">
        <f>+E33-E34</f>
        <v>131725214.64000002</v>
      </c>
      <c r="F37" s="383">
        <f>+E37/E33</f>
        <v>0.41656298744668263</v>
      </c>
    </row>
    <row r="38" spans="2:6" ht="12" customHeight="1" thickBot="1"/>
    <row r="39" spans="2:6" ht="12" customHeight="1">
      <c r="B39" s="79" t="s">
        <v>108</v>
      </c>
      <c r="C39" s="388"/>
      <c r="D39" s="388"/>
      <c r="E39" s="395">
        <f>(+Costos!H11+Costos!H12+Costos!H14+G22+G24)*12</f>
        <v>61895433.359999999</v>
      </c>
    </row>
    <row r="40" spans="2:6" ht="12" customHeight="1" thickBot="1">
      <c r="B40" s="404" t="s">
        <v>100</v>
      </c>
      <c r="C40" s="405"/>
      <c r="D40" s="405"/>
      <c r="E40" s="406">
        <f>+(Inversión!B14/5)</f>
        <v>160000</v>
      </c>
    </row>
    <row r="41" spans="2:6" ht="17.25" customHeight="1" thickBot="1">
      <c r="B41" s="399" t="s">
        <v>109</v>
      </c>
      <c r="C41" s="400"/>
      <c r="D41" s="400"/>
      <c r="E41" s="403">
        <f>+E39+E40</f>
        <v>62055433.359999999</v>
      </c>
    </row>
    <row r="43" spans="2:6" ht="12" customHeight="1" thickBot="1"/>
    <row r="44" spans="2:6" ht="12" customHeight="1" thickBot="1">
      <c r="B44" s="399" t="s">
        <v>110</v>
      </c>
      <c r="C44" s="400"/>
      <c r="D44" s="400"/>
      <c r="E44" s="407">
        <f>+E37-E41</f>
        <v>69669781.280000016</v>
      </c>
    </row>
    <row r="45" spans="2:6" ht="12" customHeight="1" thickBot="1"/>
    <row r="46" spans="2:6" ht="12" customHeight="1">
      <c r="B46" s="79" t="s">
        <v>111</v>
      </c>
      <c r="C46" s="388"/>
      <c r="D46" s="388"/>
      <c r="E46" s="408">
        <f>+'Estado Financiero'!B22</f>
        <v>0</v>
      </c>
    </row>
    <row r="47" spans="2:6" ht="12" customHeight="1" thickBot="1">
      <c r="B47" s="82" t="s">
        <v>112</v>
      </c>
      <c r="C47" s="393"/>
      <c r="D47" s="393"/>
      <c r="E47" s="394">
        <f>+'Estado Financiero'!B23</f>
        <v>0</v>
      </c>
    </row>
    <row r="48" spans="2:6" ht="12" customHeight="1" thickBot="1"/>
    <row r="49" spans="2:5" ht="12" customHeight="1" thickBot="1">
      <c r="B49" s="399" t="s">
        <v>113</v>
      </c>
      <c r="C49" s="400"/>
      <c r="D49" s="400"/>
      <c r="E49" s="409">
        <f>+E44+E46-E47</f>
        <v>69669781.280000016</v>
      </c>
    </row>
    <row r="50" spans="2:5" ht="12" customHeight="1" thickBot="1"/>
    <row r="51" spans="2:5" ht="12" customHeight="1" thickBot="1">
      <c r="B51" s="402" t="s">
        <v>114</v>
      </c>
      <c r="C51" s="400"/>
      <c r="D51" s="400"/>
      <c r="E51" s="401">
        <f>+E49*35%</f>
        <v>24384423.448000003</v>
      </c>
    </row>
    <row r="52" spans="2:5" ht="12" customHeight="1" thickBot="1"/>
    <row r="53" spans="2:5" ht="12" customHeight="1" thickBot="1">
      <c r="B53" s="399" t="s">
        <v>115</v>
      </c>
      <c r="C53" s="400"/>
      <c r="D53" s="400"/>
      <c r="E53" s="403">
        <f>+E49-E51</f>
        <v>45285357.832000017</v>
      </c>
    </row>
    <row r="54" spans="2:5" ht="12" customHeight="1" thickBot="1"/>
    <row r="55" spans="2:5" ht="12" customHeight="1" thickBot="1">
      <c r="B55" s="402" t="s">
        <v>116</v>
      </c>
      <c r="C55" s="400"/>
      <c r="D55" s="400"/>
      <c r="E55" s="403">
        <f>+E44+E40+E23</f>
        <v>69954781.280000016</v>
      </c>
    </row>
  </sheetData>
  <mergeCells count="2">
    <mergeCell ref="B3:B4"/>
    <mergeCell ref="C3:E3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22"/>
  <sheetViews>
    <sheetView showGridLines="0" topLeftCell="A14" workbookViewId="0">
      <selection activeCell="B25" sqref="B25"/>
    </sheetView>
  </sheetViews>
  <sheetFormatPr defaultColWidth="11.42578125" defaultRowHeight="15"/>
  <cols>
    <col min="1" max="1" width="34.28515625" bestFit="1" customWidth="1"/>
    <col min="2" max="2" width="13.7109375" bestFit="1" customWidth="1"/>
    <col min="3" max="3" width="13" bestFit="1" customWidth="1"/>
    <col min="6" max="6" width="13" bestFit="1" customWidth="1"/>
    <col min="8" max="8" width="12.5703125" bestFit="1" customWidth="1"/>
    <col min="12" max="12" width="12.5703125" bestFit="1" customWidth="1"/>
  </cols>
  <sheetData>
    <row r="1" spans="1:13">
      <c r="A1" s="25"/>
      <c r="B1" s="25"/>
      <c r="C1" s="25"/>
      <c r="D1" s="25"/>
      <c r="E1" s="25"/>
      <c r="F1" s="25"/>
      <c r="G1" s="25"/>
      <c r="H1" s="25"/>
      <c r="I1" s="25"/>
      <c r="J1" s="25"/>
    </row>
    <row r="2" spans="1:13">
      <c r="A2" s="25"/>
      <c r="B2" s="25"/>
      <c r="C2" s="25"/>
      <c r="D2" s="25"/>
      <c r="E2" s="25"/>
      <c r="F2" s="25"/>
      <c r="G2" s="25"/>
      <c r="H2" s="25"/>
      <c r="I2" s="25"/>
      <c r="J2" s="25"/>
    </row>
    <row r="3" spans="1:13">
      <c r="A3" s="25"/>
      <c r="B3" s="25"/>
      <c r="C3" s="25"/>
      <c r="D3" s="25"/>
      <c r="E3" s="25"/>
      <c r="F3" s="25"/>
      <c r="G3" s="25"/>
      <c r="H3" s="25"/>
      <c r="I3" s="25"/>
      <c r="J3" s="25"/>
    </row>
    <row r="4" spans="1:13">
      <c r="A4" s="25"/>
      <c r="B4" s="25"/>
      <c r="C4" s="25"/>
      <c r="D4" s="25"/>
      <c r="E4" s="25"/>
      <c r="F4" s="25"/>
      <c r="G4" s="25"/>
      <c r="H4" s="25"/>
      <c r="I4" s="25"/>
      <c r="J4" s="25"/>
    </row>
    <row r="5" spans="1:13">
      <c r="A5" s="25"/>
      <c r="B5" s="25"/>
      <c r="C5" s="25"/>
      <c r="D5" s="25"/>
      <c r="E5" s="25"/>
      <c r="F5" s="25"/>
      <c r="G5" s="25"/>
      <c r="H5" s="25"/>
      <c r="I5" s="25"/>
      <c r="J5" s="25"/>
    </row>
    <row r="6" spans="1:13">
      <c r="A6" s="25"/>
      <c r="B6" s="25"/>
      <c r="C6" s="25"/>
      <c r="D6" s="25"/>
      <c r="E6" s="25"/>
      <c r="F6" s="25"/>
      <c r="G6" s="25"/>
      <c r="H6" s="25"/>
      <c r="I6" s="25"/>
      <c r="J6" s="25"/>
    </row>
    <row r="7" spans="1:13" ht="15" customHeight="1">
      <c r="A7" s="445" t="s">
        <v>0</v>
      </c>
      <c r="B7" s="445"/>
      <c r="C7" s="445"/>
      <c r="D7" s="444" t="str">
        <f>Inicio!E8</f>
        <v>Savon D'amour</v>
      </c>
      <c r="E7" s="444"/>
      <c r="F7" s="444"/>
      <c r="G7" s="25"/>
      <c r="H7" s="25"/>
      <c r="I7" s="25"/>
      <c r="J7" s="25"/>
    </row>
    <row r="8" spans="1:13" ht="15.75" thickBot="1"/>
    <row r="9" spans="1:13">
      <c r="A9" s="448" t="s">
        <v>117</v>
      </c>
      <c r="B9" s="449"/>
      <c r="E9" s="79" t="s">
        <v>118</v>
      </c>
      <c r="F9" s="80">
        <v>0</v>
      </c>
      <c r="M9" s="56"/>
    </row>
    <row r="10" spans="1:13">
      <c r="A10" s="78" t="s">
        <v>119</v>
      </c>
      <c r="B10" s="46">
        <v>0</v>
      </c>
      <c r="E10" s="67" t="s">
        <v>120</v>
      </c>
      <c r="F10" s="95">
        <v>1.49E-2</v>
      </c>
      <c r="M10" s="56"/>
    </row>
    <row r="11" spans="1:13">
      <c r="A11" s="78" t="s">
        <v>121</v>
      </c>
      <c r="B11" s="46">
        <v>0</v>
      </c>
      <c r="E11" s="67" t="s">
        <v>122</v>
      </c>
      <c r="F11" s="81">
        <v>12</v>
      </c>
      <c r="G11" t="s">
        <v>123</v>
      </c>
      <c r="M11" s="56"/>
    </row>
    <row r="12" spans="1:13" ht="15.75" thickBot="1">
      <c r="A12" s="78" t="s">
        <v>124</v>
      </c>
      <c r="B12" s="46">
        <v>0</v>
      </c>
      <c r="E12" s="82" t="s">
        <v>125</v>
      </c>
      <c r="F12" s="96">
        <f>(PMT(F10,F11,-F9,,0))</f>
        <v>0</v>
      </c>
      <c r="G12" s="163">
        <f>F11*F12</f>
        <v>0</v>
      </c>
      <c r="M12" s="56"/>
    </row>
    <row r="13" spans="1:13" ht="15.75" thickBot="1">
      <c r="A13" s="78" t="s">
        <v>126</v>
      </c>
      <c r="B13" s="46">
        <v>7500000</v>
      </c>
      <c r="C13" t="s">
        <v>127</v>
      </c>
      <c r="M13" s="56"/>
    </row>
    <row r="14" spans="1:13" ht="15.75" thickBot="1">
      <c r="A14" s="78" t="s">
        <v>128</v>
      </c>
      <c r="B14" s="46">
        <v>800000</v>
      </c>
      <c r="E14" s="71" t="s">
        <v>122</v>
      </c>
      <c r="F14" s="54" t="s">
        <v>129</v>
      </c>
      <c r="G14" s="54" t="s">
        <v>130</v>
      </c>
      <c r="H14" s="54" t="s">
        <v>131</v>
      </c>
      <c r="I14" s="54" t="s">
        <v>132</v>
      </c>
      <c r="J14" s="72" t="s">
        <v>133</v>
      </c>
      <c r="L14" s="56"/>
      <c r="M14" s="75"/>
    </row>
    <row r="15" spans="1:13">
      <c r="A15" s="448" t="s">
        <v>134</v>
      </c>
      <c r="B15" s="449"/>
      <c r="C15" s="159" t="s">
        <v>4</v>
      </c>
      <c r="E15" s="85">
        <v>1</v>
      </c>
      <c r="F15" s="86">
        <f>F9</f>
        <v>0</v>
      </c>
      <c r="G15" s="87">
        <f>$F$12</f>
        <v>0</v>
      </c>
      <c r="H15" s="86">
        <f>F15*$F$10</f>
        <v>0</v>
      </c>
      <c r="I15" s="87">
        <f>G15-H15</f>
        <v>0</v>
      </c>
      <c r="J15" s="90">
        <f>F15-I15</f>
        <v>0</v>
      </c>
      <c r="L15" s="56"/>
      <c r="M15" s="75"/>
    </row>
    <row r="16" spans="1:13">
      <c r="A16" s="78" t="s">
        <v>135</v>
      </c>
      <c r="B16" s="105">
        <v>200000</v>
      </c>
      <c r="E16" s="83">
        <v>2</v>
      </c>
      <c r="F16" s="88">
        <f>J15</f>
        <v>0</v>
      </c>
      <c r="G16" s="87">
        <f>$F$12</f>
        <v>0</v>
      </c>
      <c r="H16" s="86">
        <f>F16*$F$10</f>
        <v>0</v>
      </c>
      <c r="I16" s="91">
        <f>G16-H16</f>
        <v>0</v>
      </c>
      <c r="J16" s="92">
        <f>F16-I16</f>
        <v>0</v>
      </c>
      <c r="L16" s="56"/>
    </row>
    <row r="17" spans="1:20">
      <c r="A17" s="78" t="s">
        <v>136</v>
      </c>
      <c r="B17" s="105">
        <v>0</v>
      </c>
      <c r="E17" s="83">
        <v>3</v>
      </c>
      <c r="F17" s="88">
        <f t="shared" ref="F17:F80" si="0">J16</f>
        <v>0</v>
      </c>
      <c r="G17" s="87">
        <f t="shared" ref="G17:G80" si="1">$F$12</f>
        <v>0</v>
      </c>
      <c r="H17" s="86">
        <f t="shared" ref="H17:H80" si="2">F17*$F$10</f>
        <v>0</v>
      </c>
      <c r="I17" s="91">
        <f t="shared" ref="I17:I80" si="3">G17-H17</f>
        <v>0</v>
      </c>
      <c r="J17" s="92">
        <f t="shared" ref="J17:J80" si="4">F17-I17</f>
        <v>0</v>
      </c>
      <c r="L17" s="75"/>
    </row>
    <row r="18" spans="1:20">
      <c r="A18" s="448" t="s">
        <v>137</v>
      </c>
      <c r="B18" s="449"/>
      <c r="E18" s="83">
        <v>4</v>
      </c>
      <c r="F18" s="88">
        <f t="shared" si="0"/>
        <v>0</v>
      </c>
      <c r="G18" s="87">
        <f t="shared" si="1"/>
        <v>0</v>
      </c>
      <c r="H18" s="86">
        <f t="shared" si="2"/>
        <v>0</v>
      </c>
      <c r="I18" s="91">
        <f t="shared" si="3"/>
        <v>0</v>
      </c>
      <c r="J18" s="92">
        <f t="shared" si="4"/>
        <v>0</v>
      </c>
    </row>
    <row r="19" spans="1:20">
      <c r="A19" s="78" t="s">
        <v>138</v>
      </c>
      <c r="B19" s="105">
        <v>0</v>
      </c>
      <c r="E19" s="83">
        <v>5</v>
      </c>
      <c r="F19" s="88">
        <f t="shared" si="0"/>
        <v>0</v>
      </c>
      <c r="G19" s="87">
        <f t="shared" si="1"/>
        <v>0</v>
      </c>
      <c r="H19" s="86">
        <f t="shared" si="2"/>
        <v>0</v>
      </c>
      <c r="I19" s="91">
        <f t="shared" si="3"/>
        <v>0</v>
      </c>
      <c r="J19" s="92">
        <f t="shared" si="4"/>
        <v>0</v>
      </c>
    </row>
    <row r="20" spans="1:20">
      <c r="A20" s="78" t="s">
        <v>139</v>
      </c>
      <c r="B20" s="105">
        <v>0</v>
      </c>
      <c r="E20" s="83">
        <v>6</v>
      </c>
      <c r="F20" s="88">
        <f t="shared" si="0"/>
        <v>0</v>
      </c>
      <c r="G20" s="87">
        <f t="shared" si="1"/>
        <v>0</v>
      </c>
      <c r="H20" s="86">
        <f t="shared" si="2"/>
        <v>0</v>
      </c>
      <c r="I20" s="91">
        <f t="shared" si="3"/>
        <v>0</v>
      </c>
      <c r="J20" s="92">
        <f t="shared" si="4"/>
        <v>0</v>
      </c>
    </row>
    <row r="21" spans="1:20">
      <c r="A21" s="448" t="s">
        <v>140</v>
      </c>
      <c r="B21" s="449"/>
      <c r="E21" s="83">
        <v>7</v>
      </c>
      <c r="F21" s="88">
        <f t="shared" si="0"/>
        <v>0</v>
      </c>
      <c r="G21" s="87">
        <f t="shared" si="1"/>
        <v>0</v>
      </c>
      <c r="H21" s="86">
        <f t="shared" si="2"/>
        <v>0</v>
      </c>
      <c r="I21" s="91">
        <f t="shared" si="3"/>
        <v>0</v>
      </c>
      <c r="J21" s="92">
        <f t="shared" si="4"/>
        <v>0</v>
      </c>
    </row>
    <row r="22" spans="1:20">
      <c r="A22" s="78" t="s">
        <v>141</v>
      </c>
      <c r="B22" s="105">
        <v>0</v>
      </c>
      <c r="E22" s="83">
        <v>8</v>
      </c>
      <c r="F22" s="88">
        <f t="shared" si="0"/>
        <v>0</v>
      </c>
      <c r="G22" s="87">
        <f t="shared" si="1"/>
        <v>0</v>
      </c>
      <c r="H22" s="86">
        <f t="shared" si="2"/>
        <v>0</v>
      </c>
      <c r="I22" s="91">
        <f t="shared" si="3"/>
        <v>0</v>
      </c>
      <c r="J22" s="92">
        <f t="shared" si="4"/>
        <v>0</v>
      </c>
    </row>
    <row r="23" spans="1:20">
      <c r="A23" s="78" t="s">
        <v>142</v>
      </c>
      <c r="B23" s="105">
        <v>0</v>
      </c>
      <c r="E23" s="83">
        <v>9</v>
      </c>
      <c r="F23" s="88">
        <f t="shared" si="0"/>
        <v>0</v>
      </c>
      <c r="G23" s="87">
        <f t="shared" si="1"/>
        <v>0</v>
      </c>
      <c r="H23" s="86">
        <f t="shared" si="2"/>
        <v>0</v>
      </c>
      <c r="I23" s="91">
        <f t="shared" si="3"/>
        <v>0</v>
      </c>
      <c r="J23" s="92">
        <f t="shared" si="4"/>
        <v>0</v>
      </c>
    </row>
    <row r="24" spans="1:20">
      <c r="A24" s="448" t="s">
        <v>143</v>
      </c>
      <c r="B24" s="449"/>
      <c r="E24" s="83">
        <v>10</v>
      </c>
      <c r="F24" s="88">
        <f t="shared" si="0"/>
        <v>0</v>
      </c>
      <c r="G24" s="87">
        <f t="shared" si="1"/>
        <v>0</v>
      </c>
      <c r="H24" s="86">
        <f t="shared" si="2"/>
        <v>0</v>
      </c>
      <c r="I24" s="91">
        <f t="shared" si="3"/>
        <v>0</v>
      </c>
      <c r="J24" s="92">
        <f t="shared" si="4"/>
        <v>0</v>
      </c>
    </row>
    <row r="25" spans="1:20">
      <c r="A25" s="78" t="s">
        <v>144</v>
      </c>
      <c r="B25" s="105">
        <v>16500000</v>
      </c>
      <c r="C25" s="121">
        <f>+B13+B14+B16+B19+B22+B23</f>
        <v>8500000</v>
      </c>
      <c r="E25" s="83">
        <v>11</v>
      </c>
      <c r="F25" s="88">
        <f t="shared" si="0"/>
        <v>0</v>
      </c>
      <c r="G25" s="87">
        <f t="shared" si="1"/>
        <v>0</v>
      </c>
      <c r="H25" s="86">
        <f t="shared" si="2"/>
        <v>0</v>
      </c>
      <c r="I25" s="91">
        <f t="shared" si="3"/>
        <v>0</v>
      </c>
      <c r="J25" s="92">
        <f t="shared" si="4"/>
        <v>0</v>
      </c>
    </row>
    <row r="26" spans="1:20">
      <c r="A26" s="78"/>
      <c r="B26" s="78"/>
      <c r="E26" s="83">
        <v>12</v>
      </c>
      <c r="F26" s="88">
        <f t="shared" si="0"/>
        <v>0</v>
      </c>
      <c r="G26" s="87">
        <f t="shared" si="1"/>
        <v>0</v>
      </c>
      <c r="H26" s="86">
        <f t="shared" si="2"/>
        <v>0</v>
      </c>
      <c r="I26" s="91">
        <f t="shared" si="3"/>
        <v>0</v>
      </c>
      <c r="J26" s="92">
        <f t="shared" si="4"/>
        <v>0</v>
      </c>
    </row>
    <row r="27" spans="1:20">
      <c r="A27" s="104" t="s">
        <v>145</v>
      </c>
      <c r="B27" s="106">
        <f>SUM(B10:B25)</f>
        <v>25000000</v>
      </c>
      <c r="C27" s="121">
        <v>25000000</v>
      </c>
      <c r="E27" s="83">
        <v>13</v>
      </c>
      <c r="F27" s="88">
        <f t="shared" si="0"/>
        <v>0</v>
      </c>
      <c r="G27" s="87">
        <f t="shared" si="1"/>
        <v>0</v>
      </c>
      <c r="H27" s="86">
        <f t="shared" si="2"/>
        <v>0</v>
      </c>
      <c r="I27" s="91">
        <f t="shared" si="3"/>
        <v>0</v>
      </c>
      <c r="J27" s="92">
        <f t="shared" si="4"/>
        <v>0</v>
      </c>
    </row>
    <row r="28" spans="1:20">
      <c r="C28" s="24">
        <f>+C27-C25</f>
        <v>16500000</v>
      </c>
      <c r="E28" s="83">
        <v>14</v>
      </c>
      <c r="F28" s="88">
        <f t="shared" si="0"/>
        <v>0</v>
      </c>
      <c r="G28" s="87">
        <f t="shared" si="1"/>
        <v>0</v>
      </c>
      <c r="H28" s="86">
        <f t="shared" si="2"/>
        <v>0</v>
      </c>
      <c r="I28" s="91">
        <f t="shared" si="3"/>
        <v>0</v>
      </c>
      <c r="J28" s="92">
        <f t="shared" si="4"/>
        <v>0</v>
      </c>
    </row>
    <row r="29" spans="1:20" ht="15" customHeight="1">
      <c r="A29" s="24" t="s">
        <v>29</v>
      </c>
      <c r="B29" s="24"/>
      <c r="C29" s="109"/>
      <c r="E29" s="83">
        <v>15</v>
      </c>
      <c r="F29" s="88">
        <f t="shared" si="0"/>
        <v>0</v>
      </c>
      <c r="G29" s="87">
        <f t="shared" si="1"/>
        <v>0</v>
      </c>
      <c r="H29" s="86">
        <f t="shared" si="2"/>
        <v>0</v>
      </c>
      <c r="I29" s="91">
        <f t="shared" si="3"/>
        <v>0</v>
      </c>
      <c r="J29" s="92">
        <f t="shared" si="4"/>
        <v>0</v>
      </c>
    </row>
    <row r="30" spans="1:20" ht="63" customHeight="1">
      <c r="A30" s="109" t="s">
        <v>146</v>
      </c>
      <c r="B30" s="109"/>
      <c r="C30" s="109"/>
      <c r="E30" s="41">
        <v>16</v>
      </c>
      <c r="F30" s="349">
        <f t="shared" si="0"/>
        <v>0</v>
      </c>
      <c r="G30" s="350">
        <f t="shared" si="1"/>
        <v>0</v>
      </c>
      <c r="H30" s="351">
        <f t="shared" si="2"/>
        <v>0</v>
      </c>
      <c r="I30" s="352">
        <f t="shared" si="3"/>
        <v>0</v>
      </c>
      <c r="J30" s="353">
        <f t="shared" si="4"/>
        <v>0</v>
      </c>
      <c r="M30" s="107"/>
      <c r="N30" s="107"/>
      <c r="O30" s="107"/>
      <c r="P30" s="107"/>
      <c r="Q30" s="107"/>
      <c r="R30" s="107"/>
      <c r="S30" s="107"/>
      <c r="T30" s="107"/>
    </row>
    <row r="31" spans="1:20" ht="15" customHeight="1">
      <c r="A31" s="109"/>
      <c r="B31" s="109"/>
      <c r="C31" s="109"/>
      <c r="E31" s="83">
        <v>17</v>
      </c>
      <c r="F31" s="88">
        <f t="shared" si="0"/>
        <v>0</v>
      </c>
      <c r="G31" s="87">
        <f t="shared" si="1"/>
        <v>0</v>
      </c>
      <c r="H31" s="86">
        <f t="shared" si="2"/>
        <v>0</v>
      </c>
      <c r="I31" s="91">
        <f t="shared" si="3"/>
        <v>0</v>
      </c>
      <c r="J31" s="92">
        <f t="shared" si="4"/>
        <v>0</v>
      </c>
      <c r="M31" s="108"/>
      <c r="N31" s="108"/>
      <c r="O31" s="108"/>
      <c r="P31" s="108"/>
      <c r="Q31" s="108"/>
      <c r="R31" s="108"/>
      <c r="S31" s="108"/>
      <c r="T31" s="108"/>
    </row>
    <row r="32" spans="1:20" ht="15" customHeight="1">
      <c r="A32" s="109"/>
      <c r="B32" s="109"/>
      <c r="C32" s="109"/>
      <c r="E32" s="83">
        <v>18</v>
      </c>
      <c r="F32" s="88">
        <f t="shared" si="0"/>
        <v>0</v>
      </c>
      <c r="G32" s="87">
        <f t="shared" si="1"/>
        <v>0</v>
      </c>
      <c r="H32" s="86">
        <f t="shared" si="2"/>
        <v>0</v>
      </c>
      <c r="I32" s="91">
        <f t="shared" si="3"/>
        <v>0</v>
      </c>
      <c r="J32" s="92">
        <f t="shared" si="4"/>
        <v>0</v>
      </c>
    </row>
    <row r="33" spans="1:10" ht="60">
      <c r="A33" s="109" t="s">
        <v>147</v>
      </c>
      <c r="B33" s="109"/>
      <c r="C33" s="109"/>
      <c r="E33" s="41">
        <v>19</v>
      </c>
      <c r="F33" s="349">
        <f t="shared" si="0"/>
        <v>0</v>
      </c>
      <c r="G33" s="350">
        <f t="shared" si="1"/>
        <v>0</v>
      </c>
      <c r="H33" s="351">
        <f t="shared" si="2"/>
        <v>0</v>
      </c>
      <c r="I33" s="352">
        <f t="shared" si="3"/>
        <v>0</v>
      </c>
      <c r="J33" s="353">
        <f t="shared" si="4"/>
        <v>0</v>
      </c>
    </row>
    <row r="34" spans="1:10">
      <c r="A34" s="109"/>
      <c r="B34" s="109"/>
      <c r="C34" s="109"/>
      <c r="E34" s="83">
        <v>20</v>
      </c>
      <c r="F34" s="88">
        <f t="shared" si="0"/>
        <v>0</v>
      </c>
      <c r="G34" s="87">
        <f t="shared" si="1"/>
        <v>0</v>
      </c>
      <c r="H34" s="86">
        <f t="shared" si="2"/>
        <v>0</v>
      </c>
      <c r="I34" s="91">
        <f t="shared" si="3"/>
        <v>0</v>
      </c>
      <c r="J34" s="92">
        <f t="shared" si="4"/>
        <v>0</v>
      </c>
    </row>
    <row r="35" spans="1:10">
      <c r="A35" s="109"/>
      <c r="B35" s="109"/>
      <c r="E35" s="83">
        <v>21</v>
      </c>
      <c r="F35" s="88">
        <f t="shared" si="0"/>
        <v>0</v>
      </c>
      <c r="G35" s="87">
        <f t="shared" si="1"/>
        <v>0</v>
      </c>
      <c r="H35" s="86">
        <f t="shared" si="2"/>
        <v>0</v>
      </c>
      <c r="I35" s="91">
        <f t="shared" si="3"/>
        <v>0</v>
      </c>
      <c r="J35" s="92">
        <f t="shared" si="4"/>
        <v>0</v>
      </c>
    </row>
    <row r="36" spans="1:10">
      <c r="E36" s="83">
        <v>22</v>
      </c>
      <c r="F36" s="88">
        <f t="shared" si="0"/>
        <v>0</v>
      </c>
      <c r="G36" s="87">
        <f t="shared" si="1"/>
        <v>0</v>
      </c>
      <c r="H36" s="86">
        <f t="shared" si="2"/>
        <v>0</v>
      </c>
      <c r="I36" s="91">
        <f t="shared" si="3"/>
        <v>0</v>
      </c>
      <c r="J36" s="92">
        <f t="shared" si="4"/>
        <v>0</v>
      </c>
    </row>
    <row r="37" spans="1:10">
      <c r="E37" s="83">
        <v>23</v>
      </c>
      <c r="F37" s="88">
        <f t="shared" si="0"/>
        <v>0</v>
      </c>
      <c r="G37" s="87">
        <f t="shared" si="1"/>
        <v>0</v>
      </c>
      <c r="H37" s="86">
        <f t="shared" si="2"/>
        <v>0</v>
      </c>
      <c r="I37" s="91">
        <f t="shared" si="3"/>
        <v>0</v>
      </c>
      <c r="J37" s="92">
        <f t="shared" si="4"/>
        <v>0</v>
      </c>
    </row>
    <row r="38" spans="1:10">
      <c r="E38" s="83">
        <v>24</v>
      </c>
      <c r="F38" s="88">
        <f t="shared" si="0"/>
        <v>0</v>
      </c>
      <c r="G38" s="87">
        <f t="shared" si="1"/>
        <v>0</v>
      </c>
      <c r="H38" s="86">
        <f t="shared" si="2"/>
        <v>0</v>
      </c>
      <c r="I38" s="91">
        <f t="shared" si="3"/>
        <v>0</v>
      </c>
      <c r="J38" s="92">
        <f t="shared" si="4"/>
        <v>0</v>
      </c>
    </row>
    <row r="39" spans="1:10">
      <c r="E39" s="83">
        <v>25</v>
      </c>
      <c r="F39" s="88">
        <f t="shared" si="0"/>
        <v>0</v>
      </c>
      <c r="G39" s="87">
        <f t="shared" si="1"/>
        <v>0</v>
      </c>
      <c r="H39" s="86">
        <f t="shared" si="2"/>
        <v>0</v>
      </c>
      <c r="I39" s="91">
        <f t="shared" si="3"/>
        <v>0</v>
      </c>
      <c r="J39" s="92">
        <f t="shared" si="4"/>
        <v>0</v>
      </c>
    </row>
    <row r="40" spans="1:10">
      <c r="E40" s="83">
        <v>26</v>
      </c>
      <c r="F40" s="88">
        <f t="shared" si="0"/>
        <v>0</v>
      </c>
      <c r="G40" s="87">
        <f t="shared" si="1"/>
        <v>0</v>
      </c>
      <c r="H40" s="86">
        <f t="shared" si="2"/>
        <v>0</v>
      </c>
      <c r="I40" s="91">
        <f t="shared" si="3"/>
        <v>0</v>
      </c>
      <c r="J40" s="92">
        <f t="shared" si="4"/>
        <v>0</v>
      </c>
    </row>
    <row r="41" spans="1:10">
      <c r="E41" s="83">
        <v>27</v>
      </c>
      <c r="F41" s="88">
        <f t="shared" si="0"/>
        <v>0</v>
      </c>
      <c r="G41" s="87">
        <f t="shared" si="1"/>
        <v>0</v>
      </c>
      <c r="H41" s="86">
        <f t="shared" si="2"/>
        <v>0</v>
      </c>
      <c r="I41" s="91">
        <f t="shared" si="3"/>
        <v>0</v>
      </c>
      <c r="J41" s="92">
        <f t="shared" si="4"/>
        <v>0</v>
      </c>
    </row>
    <row r="42" spans="1:10">
      <c r="E42" s="83">
        <v>28</v>
      </c>
      <c r="F42" s="88">
        <f t="shared" si="0"/>
        <v>0</v>
      </c>
      <c r="G42" s="87">
        <f t="shared" si="1"/>
        <v>0</v>
      </c>
      <c r="H42" s="86">
        <f t="shared" si="2"/>
        <v>0</v>
      </c>
      <c r="I42" s="91">
        <f t="shared" si="3"/>
        <v>0</v>
      </c>
      <c r="J42" s="92">
        <f t="shared" si="4"/>
        <v>0</v>
      </c>
    </row>
    <row r="43" spans="1:10">
      <c r="E43" s="83">
        <v>29</v>
      </c>
      <c r="F43" s="88">
        <f t="shared" si="0"/>
        <v>0</v>
      </c>
      <c r="G43" s="87">
        <f t="shared" si="1"/>
        <v>0</v>
      </c>
      <c r="H43" s="86">
        <f t="shared" si="2"/>
        <v>0</v>
      </c>
      <c r="I43" s="91">
        <f t="shared" si="3"/>
        <v>0</v>
      </c>
      <c r="J43" s="92">
        <f t="shared" si="4"/>
        <v>0</v>
      </c>
    </row>
    <row r="44" spans="1:10">
      <c r="E44" s="83">
        <v>30</v>
      </c>
      <c r="F44" s="88">
        <f t="shared" si="0"/>
        <v>0</v>
      </c>
      <c r="G44" s="87">
        <f t="shared" si="1"/>
        <v>0</v>
      </c>
      <c r="H44" s="86">
        <f t="shared" si="2"/>
        <v>0</v>
      </c>
      <c r="I44" s="91">
        <f t="shared" si="3"/>
        <v>0</v>
      </c>
      <c r="J44" s="92">
        <f t="shared" si="4"/>
        <v>0</v>
      </c>
    </row>
    <row r="45" spans="1:10">
      <c r="E45" s="83">
        <v>31</v>
      </c>
      <c r="F45" s="88">
        <f t="shared" si="0"/>
        <v>0</v>
      </c>
      <c r="G45" s="87">
        <f t="shared" si="1"/>
        <v>0</v>
      </c>
      <c r="H45" s="86">
        <f t="shared" si="2"/>
        <v>0</v>
      </c>
      <c r="I45" s="91">
        <f t="shared" si="3"/>
        <v>0</v>
      </c>
      <c r="J45" s="92">
        <f t="shared" si="4"/>
        <v>0</v>
      </c>
    </row>
    <row r="46" spans="1:10">
      <c r="E46" s="83">
        <v>32</v>
      </c>
      <c r="F46" s="88">
        <f t="shared" si="0"/>
        <v>0</v>
      </c>
      <c r="G46" s="87">
        <f t="shared" si="1"/>
        <v>0</v>
      </c>
      <c r="H46" s="86">
        <f t="shared" si="2"/>
        <v>0</v>
      </c>
      <c r="I46" s="91">
        <f t="shared" si="3"/>
        <v>0</v>
      </c>
      <c r="J46" s="92">
        <f t="shared" si="4"/>
        <v>0</v>
      </c>
    </row>
    <row r="47" spans="1:10">
      <c r="E47" s="83">
        <v>33</v>
      </c>
      <c r="F47" s="88">
        <f t="shared" si="0"/>
        <v>0</v>
      </c>
      <c r="G47" s="87">
        <f t="shared" si="1"/>
        <v>0</v>
      </c>
      <c r="H47" s="86">
        <f t="shared" si="2"/>
        <v>0</v>
      </c>
      <c r="I47" s="91">
        <f t="shared" si="3"/>
        <v>0</v>
      </c>
      <c r="J47" s="92">
        <f t="shared" si="4"/>
        <v>0</v>
      </c>
    </row>
    <row r="48" spans="1:10">
      <c r="E48" s="83">
        <v>34</v>
      </c>
      <c r="F48" s="88">
        <f t="shared" si="0"/>
        <v>0</v>
      </c>
      <c r="G48" s="87">
        <f t="shared" si="1"/>
        <v>0</v>
      </c>
      <c r="H48" s="86">
        <f t="shared" si="2"/>
        <v>0</v>
      </c>
      <c r="I48" s="91">
        <f t="shared" si="3"/>
        <v>0</v>
      </c>
      <c r="J48" s="92">
        <f t="shared" si="4"/>
        <v>0</v>
      </c>
    </row>
    <row r="49" spans="5:10">
      <c r="E49" s="83">
        <v>35</v>
      </c>
      <c r="F49" s="88">
        <f t="shared" si="0"/>
        <v>0</v>
      </c>
      <c r="G49" s="87">
        <f t="shared" si="1"/>
        <v>0</v>
      </c>
      <c r="H49" s="86">
        <f t="shared" si="2"/>
        <v>0</v>
      </c>
      <c r="I49" s="91">
        <f t="shared" si="3"/>
        <v>0</v>
      </c>
      <c r="J49" s="92">
        <f t="shared" si="4"/>
        <v>0</v>
      </c>
    </row>
    <row r="50" spans="5:10">
      <c r="E50" s="83">
        <v>36</v>
      </c>
      <c r="F50" s="88">
        <f t="shared" si="0"/>
        <v>0</v>
      </c>
      <c r="G50" s="87">
        <f t="shared" si="1"/>
        <v>0</v>
      </c>
      <c r="H50" s="86">
        <f t="shared" si="2"/>
        <v>0</v>
      </c>
      <c r="I50" s="91">
        <f t="shared" si="3"/>
        <v>0</v>
      </c>
      <c r="J50" s="92">
        <f t="shared" si="4"/>
        <v>0</v>
      </c>
    </row>
    <row r="51" spans="5:10">
      <c r="E51" s="83">
        <v>37</v>
      </c>
      <c r="F51" s="88">
        <f t="shared" si="0"/>
        <v>0</v>
      </c>
      <c r="G51" s="87">
        <f t="shared" si="1"/>
        <v>0</v>
      </c>
      <c r="H51" s="86">
        <f t="shared" si="2"/>
        <v>0</v>
      </c>
      <c r="I51" s="91">
        <f t="shared" si="3"/>
        <v>0</v>
      </c>
      <c r="J51" s="92">
        <f t="shared" si="4"/>
        <v>0</v>
      </c>
    </row>
    <row r="52" spans="5:10">
      <c r="E52" s="83">
        <v>38</v>
      </c>
      <c r="F52" s="88">
        <f t="shared" si="0"/>
        <v>0</v>
      </c>
      <c r="G52" s="87">
        <f t="shared" si="1"/>
        <v>0</v>
      </c>
      <c r="H52" s="86">
        <f t="shared" si="2"/>
        <v>0</v>
      </c>
      <c r="I52" s="91">
        <f t="shared" si="3"/>
        <v>0</v>
      </c>
      <c r="J52" s="92">
        <f t="shared" si="4"/>
        <v>0</v>
      </c>
    </row>
    <row r="53" spans="5:10">
      <c r="E53" s="83">
        <v>39</v>
      </c>
      <c r="F53" s="88">
        <f t="shared" si="0"/>
        <v>0</v>
      </c>
      <c r="G53" s="87">
        <f t="shared" si="1"/>
        <v>0</v>
      </c>
      <c r="H53" s="86">
        <f t="shared" si="2"/>
        <v>0</v>
      </c>
      <c r="I53" s="91">
        <f t="shared" si="3"/>
        <v>0</v>
      </c>
      <c r="J53" s="92">
        <f t="shared" si="4"/>
        <v>0</v>
      </c>
    </row>
    <row r="54" spans="5:10">
      <c r="E54" s="83">
        <v>40</v>
      </c>
      <c r="F54" s="88">
        <f t="shared" si="0"/>
        <v>0</v>
      </c>
      <c r="G54" s="87">
        <f t="shared" si="1"/>
        <v>0</v>
      </c>
      <c r="H54" s="86">
        <f t="shared" si="2"/>
        <v>0</v>
      </c>
      <c r="I54" s="91">
        <f t="shared" si="3"/>
        <v>0</v>
      </c>
      <c r="J54" s="92">
        <f t="shared" si="4"/>
        <v>0</v>
      </c>
    </row>
    <row r="55" spans="5:10">
      <c r="E55" s="83">
        <v>41</v>
      </c>
      <c r="F55" s="88">
        <f t="shared" si="0"/>
        <v>0</v>
      </c>
      <c r="G55" s="87">
        <f t="shared" si="1"/>
        <v>0</v>
      </c>
      <c r="H55" s="86">
        <f t="shared" si="2"/>
        <v>0</v>
      </c>
      <c r="I55" s="91">
        <f t="shared" si="3"/>
        <v>0</v>
      </c>
      <c r="J55" s="92">
        <f t="shared" si="4"/>
        <v>0</v>
      </c>
    </row>
    <row r="56" spans="5:10">
      <c r="E56" s="83">
        <v>42</v>
      </c>
      <c r="F56" s="88">
        <f t="shared" si="0"/>
        <v>0</v>
      </c>
      <c r="G56" s="87">
        <f t="shared" si="1"/>
        <v>0</v>
      </c>
      <c r="H56" s="86">
        <f t="shared" si="2"/>
        <v>0</v>
      </c>
      <c r="I56" s="91">
        <f t="shared" si="3"/>
        <v>0</v>
      </c>
      <c r="J56" s="92">
        <f t="shared" si="4"/>
        <v>0</v>
      </c>
    </row>
    <row r="57" spans="5:10">
      <c r="E57" s="83">
        <v>43</v>
      </c>
      <c r="F57" s="88">
        <f t="shared" si="0"/>
        <v>0</v>
      </c>
      <c r="G57" s="87">
        <f t="shared" si="1"/>
        <v>0</v>
      </c>
      <c r="H57" s="86">
        <f t="shared" si="2"/>
        <v>0</v>
      </c>
      <c r="I57" s="91">
        <f t="shared" si="3"/>
        <v>0</v>
      </c>
      <c r="J57" s="92">
        <f t="shared" si="4"/>
        <v>0</v>
      </c>
    </row>
    <row r="58" spans="5:10">
      <c r="E58" s="83">
        <v>44</v>
      </c>
      <c r="F58" s="88">
        <f t="shared" si="0"/>
        <v>0</v>
      </c>
      <c r="G58" s="87">
        <f t="shared" si="1"/>
        <v>0</v>
      </c>
      <c r="H58" s="86">
        <f t="shared" si="2"/>
        <v>0</v>
      </c>
      <c r="I58" s="91">
        <f t="shared" si="3"/>
        <v>0</v>
      </c>
      <c r="J58" s="92">
        <f t="shared" si="4"/>
        <v>0</v>
      </c>
    </row>
    <row r="59" spans="5:10">
      <c r="E59" s="83">
        <v>45</v>
      </c>
      <c r="F59" s="88">
        <f t="shared" si="0"/>
        <v>0</v>
      </c>
      <c r="G59" s="87">
        <f t="shared" si="1"/>
        <v>0</v>
      </c>
      <c r="H59" s="86">
        <f t="shared" si="2"/>
        <v>0</v>
      </c>
      <c r="I59" s="91">
        <f t="shared" si="3"/>
        <v>0</v>
      </c>
      <c r="J59" s="92">
        <f t="shared" si="4"/>
        <v>0</v>
      </c>
    </row>
    <row r="60" spans="5:10">
      <c r="E60" s="83">
        <v>46</v>
      </c>
      <c r="F60" s="88">
        <f t="shared" si="0"/>
        <v>0</v>
      </c>
      <c r="G60" s="87">
        <f t="shared" si="1"/>
        <v>0</v>
      </c>
      <c r="H60" s="86">
        <f t="shared" si="2"/>
        <v>0</v>
      </c>
      <c r="I60" s="91">
        <f t="shared" si="3"/>
        <v>0</v>
      </c>
      <c r="J60" s="92">
        <f t="shared" si="4"/>
        <v>0</v>
      </c>
    </row>
    <row r="61" spans="5:10">
      <c r="E61" s="83">
        <v>47</v>
      </c>
      <c r="F61" s="88">
        <f t="shared" si="0"/>
        <v>0</v>
      </c>
      <c r="G61" s="87">
        <f t="shared" si="1"/>
        <v>0</v>
      </c>
      <c r="H61" s="86">
        <f t="shared" si="2"/>
        <v>0</v>
      </c>
      <c r="I61" s="91">
        <f t="shared" si="3"/>
        <v>0</v>
      </c>
      <c r="J61" s="92">
        <f t="shared" si="4"/>
        <v>0</v>
      </c>
    </row>
    <row r="62" spans="5:10">
      <c r="E62" s="83">
        <v>48</v>
      </c>
      <c r="F62" s="88">
        <f t="shared" si="0"/>
        <v>0</v>
      </c>
      <c r="G62" s="87">
        <f t="shared" si="1"/>
        <v>0</v>
      </c>
      <c r="H62" s="86">
        <f t="shared" si="2"/>
        <v>0</v>
      </c>
      <c r="I62" s="91">
        <f t="shared" si="3"/>
        <v>0</v>
      </c>
      <c r="J62" s="92">
        <f t="shared" si="4"/>
        <v>0</v>
      </c>
    </row>
    <row r="63" spans="5:10">
      <c r="E63" s="83">
        <v>49</v>
      </c>
      <c r="F63" s="88">
        <f t="shared" si="0"/>
        <v>0</v>
      </c>
      <c r="G63" s="87">
        <f t="shared" si="1"/>
        <v>0</v>
      </c>
      <c r="H63" s="86">
        <f t="shared" si="2"/>
        <v>0</v>
      </c>
      <c r="I63" s="91">
        <f t="shared" si="3"/>
        <v>0</v>
      </c>
      <c r="J63" s="92">
        <f t="shared" si="4"/>
        <v>0</v>
      </c>
    </row>
    <row r="64" spans="5:10">
      <c r="E64" s="83">
        <v>50</v>
      </c>
      <c r="F64" s="88">
        <f t="shared" si="0"/>
        <v>0</v>
      </c>
      <c r="G64" s="87">
        <f t="shared" si="1"/>
        <v>0</v>
      </c>
      <c r="H64" s="86">
        <f t="shared" si="2"/>
        <v>0</v>
      </c>
      <c r="I64" s="91">
        <f t="shared" si="3"/>
        <v>0</v>
      </c>
      <c r="J64" s="92">
        <f t="shared" si="4"/>
        <v>0</v>
      </c>
    </row>
    <row r="65" spans="5:10">
      <c r="E65" s="83">
        <v>51</v>
      </c>
      <c r="F65" s="88">
        <f t="shared" si="0"/>
        <v>0</v>
      </c>
      <c r="G65" s="87">
        <f t="shared" si="1"/>
        <v>0</v>
      </c>
      <c r="H65" s="86">
        <f t="shared" si="2"/>
        <v>0</v>
      </c>
      <c r="I65" s="91">
        <f t="shared" si="3"/>
        <v>0</v>
      </c>
      <c r="J65" s="92">
        <f t="shared" si="4"/>
        <v>0</v>
      </c>
    </row>
    <row r="66" spans="5:10">
      <c r="E66" s="83">
        <v>52</v>
      </c>
      <c r="F66" s="88">
        <f t="shared" si="0"/>
        <v>0</v>
      </c>
      <c r="G66" s="87">
        <f t="shared" si="1"/>
        <v>0</v>
      </c>
      <c r="H66" s="86">
        <f t="shared" si="2"/>
        <v>0</v>
      </c>
      <c r="I66" s="91">
        <f t="shared" si="3"/>
        <v>0</v>
      </c>
      <c r="J66" s="92">
        <f t="shared" si="4"/>
        <v>0</v>
      </c>
    </row>
    <row r="67" spans="5:10">
      <c r="E67" s="83">
        <v>53</v>
      </c>
      <c r="F67" s="88">
        <f t="shared" si="0"/>
        <v>0</v>
      </c>
      <c r="G67" s="87">
        <f t="shared" si="1"/>
        <v>0</v>
      </c>
      <c r="H67" s="86">
        <f t="shared" si="2"/>
        <v>0</v>
      </c>
      <c r="I67" s="91">
        <f t="shared" si="3"/>
        <v>0</v>
      </c>
      <c r="J67" s="92">
        <f t="shared" si="4"/>
        <v>0</v>
      </c>
    </row>
    <row r="68" spans="5:10">
      <c r="E68" s="83">
        <v>54</v>
      </c>
      <c r="F68" s="88">
        <f t="shared" si="0"/>
        <v>0</v>
      </c>
      <c r="G68" s="87">
        <f t="shared" si="1"/>
        <v>0</v>
      </c>
      <c r="H68" s="86">
        <f t="shared" si="2"/>
        <v>0</v>
      </c>
      <c r="I68" s="91">
        <f t="shared" si="3"/>
        <v>0</v>
      </c>
      <c r="J68" s="92">
        <f t="shared" si="4"/>
        <v>0</v>
      </c>
    </row>
    <row r="69" spans="5:10">
      <c r="E69" s="83">
        <v>55</v>
      </c>
      <c r="F69" s="88">
        <f t="shared" si="0"/>
        <v>0</v>
      </c>
      <c r="G69" s="87">
        <f t="shared" si="1"/>
        <v>0</v>
      </c>
      <c r="H69" s="86">
        <f t="shared" si="2"/>
        <v>0</v>
      </c>
      <c r="I69" s="91">
        <f t="shared" si="3"/>
        <v>0</v>
      </c>
      <c r="J69" s="92">
        <f t="shared" si="4"/>
        <v>0</v>
      </c>
    </row>
    <row r="70" spans="5:10">
      <c r="E70" s="83">
        <v>56</v>
      </c>
      <c r="F70" s="88">
        <f t="shared" si="0"/>
        <v>0</v>
      </c>
      <c r="G70" s="87">
        <f t="shared" si="1"/>
        <v>0</v>
      </c>
      <c r="H70" s="86">
        <f t="shared" si="2"/>
        <v>0</v>
      </c>
      <c r="I70" s="91">
        <f t="shared" si="3"/>
        <v>0</v>
      </c>
      <c r="J70" s="92">
        <f t="shared" si="4"/>
        <v>0</v>
      </c>
    </row>
    <row r="71" spans="5:10">
      <c r="E71" s="83">
        <v>57</v>
      </c>
      <c r="F71" s="88">
        <f t="shared" si="0"/>
        <v>0</v>
      </c>
      <c r="G71" s="87">
        <f t="shared" si="1"/>
        <v>0</v>
      </c>
      <c r="H71" s="86">
        <f t="shared" si="2"/>
        <v>0</v>
      </c>
      <c r="I71" s="91">
        <f t="shared" si="3"/>
        <v>0</v>
      </c>
      <c r="J71" s="92">
        <f t="shared" si="4"/>
        <v>0</v>
      </c>
    </row>
    <row r="72" spans="5:10">
      <c r="E72" s="83">
        <v>58</v>
      </c>
      <c r="F72" s="88">
        <f t="shared" si="0"/>
        <v>0</v>
      </c>
      <c r="G72" s="87">
        <f t="shared" si="1"/>
        <v>0</v>
      </c>
      <c r="H72" s="86">
        <f t="shared" si="2"/>
        <v>0</v>
      </c>
      <c r="I72" s="91">
        <f t="shared" si="3"/>
        <v>0</v>
      </c>
      <c r="J72" s="92">
        <f t="shared" si="4"/>
        <v>0</v>
      </c>
    </row>
    <row r="73" spans="5:10">
      <c r="E73" s="83">
        <v>59</v>
      </c>
      <c r="F73" s="88">
        <f t="shared" si="0"/>
        <v>0</v>
      </c>
      <c r="G73" s="87">
        <f t="shared" si="1"/>
        <v>0</v>
      </c>
      <c r="H73" s="86">
        <f t="shared" si="2"/>
        <v>0</v>
      </c>
      <c r="I73" s="91">
        <f t="shared" si="3"/>
        <v>0</v>
      </c>
      <c r="J73" s="92">
        <f t="shared" si="4"/>
        <v>0</v>
      </c>
    </row>
    <row r="74" spans="5:10">
      <c r="E74" s="83">
        <v>60</v>
      </c>
      <c r="F74" s="88">
        <f t="shared" si="0"/>
        <v>0</v>
      </c>
      <c r="G74" s="87">
        <f t="shared" si="1"/>
        <v>0</v>
      </c>
      <c r="H74" s="86">
        <f t="shared" si="2"/>
        <v>0</v>
      </c>
      <c r="I74" s="91">
        <f t="shared" si="3"/>
        <v>0</v>
      </c>
      <c r="J74" s="92">
        <f t="shared" si="4"/>
        <v>0</v>
      </c>
    </row>
    <row r="75" spans="5:10">
      <c r="E75" s="83">
        <v>61</v>
      </c>
      <c r="F75" s="88">
        <f t="shared" si="0"/>
        <v>0</v>
      </c>
      <c r="G75" s="87">
        <f t="shared" si="1"/>
        <v>0</v>
      </c>
      <c r="H75" s="86">
        <f t="shared" si="2"/>
        <v>0</v>
      </c>
      <c r="I75" s="91">
        <f t="shared" si="3"/>
        <v>0</v>
      </c>
      <c r="J75" s="92">
        <f t="shared" si="4"/>
        <v>0</v>
      </c>
    </row>
    <row r="76" spans="5:10">
      <c r="E76" s="83">
        <v>62</v>
      </c>
      <c r="F76" s="88">
        <f t="shared" si="0"/>
        <v>0</v>
      </c>
      <c r="G76" s="87">
        <f t="shared" si="1"/>
        <v>0</v>
      </c>
      <c r="H76" s="86">
        <f t="shared" si="2"/>
        <v>0</v>
      </c>
      <c r="I76" s="91">
        <f t="shared" si="3"/>
        <v>0</v>
      </c>
      <c r="J76" s="92">
        <f t="shared" si="4"/>
        <v>0</v>
      </c>
    </row>
    <row r="77" spans="5:10">
      <c r="E77" s="83">
        <v>63</v>
      </c>
      <c r="F77" s="88">
        <f t="shared" si="0"/>
        <v>0</v>
      </c>
      <c r="G77" s="87">
        <f t="shared" si="1"/>
        <v>0</v>
      </c>
      <c r="H77" s="86">
        <f t="shared" si="2"/>
        <v>0</v>
      </c>
      <c r="I77" s="91">
        <f t="shared" si="3"/>
        <v>0</v>
      </c>
      <c r="J77" s="92">
        <f t="shared" si="4"/>
        <v>0</v>
      </c>
    </row>
    <row r="78" spans="5:10">
      <c r="E78" s="83">
        <v>64</v>
      </c>
      <c r="F78" s="88">
        <f t="shared" si="0"/>
        <v>0</v>
      </c>
      <c r="G78" s="87">
        <f t="shared" si="1"/>
        <v>0</v>
      </c>
      <c r="H78" s="86">
        <f t="shared" si="2"/>
        <v>0</v>
      </c>
      <c r="I78" s="91">
        <f t="shared" si="3"/>
        <v>0</v>
      </c>
      <c r="J78" s="92">
        <f t="shared" si="4"/>
        <v>0</v>
      </c>
    </row>
    <row r="79" spans="5:10">
      <c r="E79" s="83">
        <v>65</v>
      </c>
      <c r="F79" s="88">
        <f t="shared" si="0"/>
        <v>0</v>
      </c>
      <c r="G79" s="87">
        <f t="shared" si="1"/>
        <v>0</v>
      </c>
      <c r="H79" s="86">
        <f t="shared" si="2"/>
        <v>0</v>
      </c>
      <c r="I79" s="91">
        <f t="shared" si="3"/>
        <v>0</v>
      </c>
      <c r="J79" s="92">
        <f t="shared" si="4"/>
        <v>0</v>
      </c>
    </row>
    <row r="80" spans="5:10">
      <c r="E80" s="83">
        <v>66</v>
      </c>
      <c r="F80" s="88">
        <f t="shared" si="0"/>
        <v>0</v>
      </c>
      <c r="G80" s="87">
        <f t="shared" si="1"/>
        <v>0</v>
      </c>
      <c r="H80" s="86">
        <f t="shared" si="2"/>
        <v>0</v>
      </c>
      <c r="I80" s="91">
        <f t="shared" si="3"/>
        <v>0</v>
      </c>
      <c r="J80" s="92">
        <f t="shared" si="4"/>
        <v>0</v>
      </c>
    </row>
    <row r="81" spans="5:10">
      <c r="E81" s="83">
        <v>67</v>
      </c>
      <c r="F81" s="88">
        <f t="shared" ref="F81:F86" si="5">J80</f>
        <v>0</v>
      </c>
      <c r="G81" s="87">
        <f t="shared" ref="G81:G86" si="6">$F$12</f>
        <v>0</v>
      </c>
      <c r="H81" s="86">
        <f t="shared" ref="H81:H86" si="7">F81*$F$10</f>
        <v>0</v>
      </c>
      <c r="I81" s="91">
        <f t="shared" ref="I81:I86" si="8">G81-H81</f>
        <v>0</v>
      </c>
      <c r="J81" s="92">
        <f t="shared" ref="J81:J86" si="9">F81-I81</f>
        <v>0</v>
      </c>
    </row>
    <row r="82" spans="5:10">
      <c r="E82" s="83">
        <v>68</v>
      </c>
      <c r="F82" s="88">
        <f t="shared" si="5"/>
        <v>0</v>
      </c>
      <c r="G82" s="87">
        <f t="shared" si="6"/>
        <v>0</v>
      </c>
      <c r="H82" s="86">
        <f t="shared" si="7"/>
        <v>0</v>
      </c>
      <c r="I82" s="91">
        <f t="shared" si="8"/>
        <v>0</v>
      </c>
      <c r="J82" s="92">
        <f t="shared" si="9"/>
        <v>0</v>
      </c>
    </row>
    <row r="83" spans="5:10">
      <c r="E83" s="83">
        <v>69</v>
      </c>
      <c r="F83" s="88">
        <f t="shared" si="5"/>
        <v>0</v>
      </c>
      <c r="G83" s="87">
        <f t="shared" si="6"/>
        <v>0</v>
      </c>
      <c r="H83" s="86">
        <f t="shared" si="7"/>
        <v>0</v>
      </c>
      <c r="I83" s="91">
        <f t="shared" si="8"/>
        <v>0</v>
      </c>
      <c r="J83" s="92">
        <f t="shared" si="9"/>
        <v>0</v>
      </c>
    </row>
    <row r="84" spans="5:10">
      <c r="E84" s="83">
        <v>70</v>
      </c>
      <c r="F84" s="88">
        <f t="shared" si="5"/>
        <v>0</v>
      </c>
      <c r="G84" s="87">
        <f t="shared" si="6"/>
        <v>0</v>
      </c>
      <c r="H84" s="86">
        <f t="shared" si="7"/>
        <v>0</v>
      </c>
      <c r="I84" s="91">
        <f t="shared" si="8"/>
        <v>0</v>
      </c>
      <c r="J84" s="92">
        <f t="shared" si="9"/>
        <v>0</v>
      </c>
    </row>
    <row r="85" spans="5:10">
      <c r="E85" s="83">
        <v>71</v>
      </c>
      <c r="F85" s="88">
        <f t="shared" si="5"/>
        <v>0</v>
      </c>
      <c r="G85" s="87">
        <f t="shared" si="6"/>
        <v>0</v>
      </c>
      <c r="H85" s="86">
        <f t="shared" si="7"/>
        <v>0</v>
      </c>
      <c r="I85" s="91">
        <f t="shared" si="8"/>
        <v>0</v>
      </c>
      <c r="J85" s="92">
        <f t="shared" si="9"/>
        <v>0</v>
      </c>
    </row>
    <row r="86" spans="5:10" ht="15.75" thickBot="1">
      <c r="E86" s="84">
        <v>72</v>
      </c>
      <c r="F86" s="89">
        <f t="shared" si="5"/>
        <v>0</v>
      </c>
      <c r="G86" s="97">
        <f t="shared" si="6"/>
        <v>0</v>
      </c>
      <c r="H86" s="98">
        <f t="shared" si="7"/>
        <v>0</v>
      </c>
      <c r="I86" s="93">
        <f t="shared" si="8"/>
        <v>0</v>
      </c>
      <c r="J86" s="94">
        <f t="shared" si="9"/>
        <v>0</v>
      </c>
    </row>
    <row r="107" spans="2:6">
      <c r="C107" s="76"/>
      <c r="D107" s="75"/>
      <c r="E107" s="76"/>
      <c r="F107" s="77"/>
    </row>
    <row r="108" spans="2:6">
      <c r="B108" s="77"/>
      <c r="C108" s="76"/>
      <c r="D108" s="75"/>
      <c r="E108" s="76"/>
      <c r="F108" s="77"/>
    </row>
    <row r="109" spans="2:6">
      <c r="B109" s="77"/>
      <c r="C109" s="76"/>
      <c r="D109" s="75"/>
      <c r="E109" s="76"/>
      <c r="F109" s="77"/>
    </row>
    <row r="110" spans="2:6">
      <c r="B110" s="77"/>
      <c r="C110" s="76"/>
      <c r="D110" s="75"/>
      <c r="E110" s="76"/>
      <c r="F110" s="77"/>
    </row>
    <row r="111" spans="2:6">
      <c r="B111" s="77"/>
      <c r="C111" s="76"/>
      <c r="D111" s="75"/>
      <c r="E111" s="76"/>
      <c r="F111" s="77"/>
    </row>
    <row r="112" spans="2:6">
      <c r="B112" s="77"/>
      <c r="C112" s="76"/>
      <c r="D112" s="75"/>
      <c r="E112" s="76"/>
      <c r="F112" s="77"/>
    </row>
    <row r="113" spans="2:6">
      <c r="B113" s="77"/>
      <c r="C113" s="76"/>
      <c r="D113" s="75"/>
      <c r="E113" s="76"/>
      <c r="F113" s="77"/>
    </row>
    <row r="114" spans="2:6">
      <c r="B114" s="77"/>
      <c r="C114" s="76"/>
      <c r="D114" s="75"/>
      <c r="E114" s="76"/>
      <c r="F114" s="77"/>
    </row>
    <row r="115" spans="2:6">
      <c r="B115" s="77"/>
      <c r="C115" s="76"/>
      <c r="D115" s="75"/>
      <c r="E115" s="76"/>
      <c r="F115" s="77"/>
    </row>
    <row r="116" spans="2:6">
      <c r="B116" s="77"/>
      <c r="C116" s="76"/>
      <c r="D116" s="75"/>
      <c r="E116" s="76"/>
      <c r="F116" s="77"/>
    </row>
    <row r="117" spans="2:6">
      <c r="B117" s="77"/>
      <c r="C117" s="76"/>
      <c r="D117" s="75"/>
      <c r="E117" s="76"/>
      <c r="F117" s="77"/>
    </row>
    <row r="118" spans="2:6">
      <c r="B118" s="77"/>
      <c r="C118" s="76"/>
      <c r="D118" s="75"/>
      <c r="E118" s="76"/>
      <c r="F118" s="77"/>
    </row>
    <row r="119" spans="2:6">
      <c r="B119" s="77"/>
      <c r="C119" s="76"/>
      <c r="D119" s="75"/>
      <c r="E119" s="76"/>
      <c r="F119" s="77"/>
    </row>
    <row r="120" spans="2:6">
      <c r="B120" s="77"/>
      <c r="C120" s="76"/>
      <c r="D120" s="75"/>
      <c r="E120" s="76"/>
      <c r="F120" s="77"/>
    </row>
    <row r="121" spans="2:6">
      <c r="B121" s="77"/>
      <c r="C121" s="76"/>
      <c r="D121" s="75"/>
      <c r="E121" s="76"/>
      <c r="F121" s="77"/>
    </row>
    <row r="122" spans="2:6">
      <c r="B122" s="77"/>
    </row>
  </sheetData>
  <mergeCells count="7">
    <mergeCell ref="A24:B24"/>
    <mergeCell ref="A7:C7"/>
    <mergeCell ref="D7:F7"/>
    <mergeCell ref="A9:B9"/>
    <mergeCell ref="A15:B15"/>
    <mergeCell ref="A18:B18"/>
    <mergeCell ref="A21:B21"/>
  </mergeCells>
  <hyperlinks>
    <hyperlink ref="C15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26"/>
  <sheetViews>
    <sheetView showGridLines="0" topLeftCell="A32" workbookViewId="0">
      <selection activeCell="B35" sqref="B35"/>
    </sheetView>
  </sheetViews>
  <sheetFormatPr defaultColWidth="11.42578125" defaultRowHeight="15"/>
  <cols>
    <col min="1" max="1" width="45.85546875" style="4" bestFit="1" customWidth="1"/>
    <col min="2" max="2" width="17" style="119" bestFit="1" customWidth="1"/>
    <col min="3" max="3" width="18.28515625" style="119" customWidth="1"/>
    <col min="4" max="4" width="16.85546875" style="119" customWidth="1"/>
    <col min="5" max="5" width="17.7109375" style="119" customWidth="1"/>
    <col min="6" max="6" width="18.28515625" style="119" customWidth="1"/>
    <col min="7" max="7" width="18.85546875" style="4" customWidth="1"/>
    <col min="8" max="8" width="15.140625" style="4" customWidth="1"/>
    <col min="9" max="9" width="49.7109375" customWidth="1"/>
    <col min="10" max="10" width="12.140625" customWidth="1"/>
    <col min="11" max="11" width="7.7109375" customWidth="1"/>
    <col min="12" max="12" width="12.140625" customWidth="1"/>
    <col min="13" max="13" width="8.28515625" customWidth="1"/>
    <col min="14" max="14" width="8.7109375" customWidth="1"/>
    <col min="15" max="15" width="12.42578125" customWidth="1"/>
    <col min="16" max="17" width="8.7109375" customWidth="1"/>
    <col min="18" max="18" width="14" customWidth="1"/>
    <col min="19" max="20" width="8.7109375" customWidth="1"/>
    <col min="21" max="21" width="14.140625" customWidth="1"/>
    <col min="22" max="22" width="8.7109375" customWidth="1"/>
    <col min="23" max="23" width="8" customWidth="1"/>
    <col min="24" max="256" width="11.42578125" style="4"/>
    <col min="257" max="257" width="76.140625" style="4" customWidth="1"/>
    <col min="258" max="258" width="17" style="4" bestFit="1" customWidth="1"/>
    <col min="259" max="259" width="18.28515625" style="4" customWidth="1"/>
    <col min="260" max="260" width="16.85546875" style="4" customWidth="1"/>
    <col min="261" max="261" width="17.7109375" style="4" customWidth="1"/>
    <col min="262" max="262" width="18.28515625" style="4" customWidth="1"/>
    <col min="263" max="263" width="18.85546875" style="4" customWidth="1"/>
    <col min="264" max="264" width="15.140625" style="4" customWidth="1"/>
    <col min="265" max="265" width="49.7109375" style="4" customWidth="1"/>
    <col min="266" max="266" width="12.140625" style="4" customWidth="1"/>
    <col min="267" max="267" width="7.7109375" style="4" customWidth="1"/>
    <col min="268" max="268" width="12.140625" style="4" customWidth="1"/>
    <col min="269" max="269" width="8.28515625" style="4" customWidth="1"/>
    <col min="270" max="270" width="8.7109375" style="4" customWidth="1"/>
    <col min="271" max="271" width="12.42578125" style="4" customWidth="1"/>
    <col min="272" max="273" width="8.7109375" style="4" customWidth="1"/>
    <col min="274" max="274" width="14" style="4" customWidth="1"/>
    <col min="275" max="276" width="8.7109375" style="4" customWidth="1"/>
    <col min="277" max="277" width="14.140625" style="4" customWidth="1"/>
    <col min="278" max="278" width="8.7109375" style="4" customWidth="1"/>
    <col min="279" max="279" width="8" style="4" customWidth="1"/>
    <col min="280" max="512" width="11.42578125" style="4"/>
    <col min="513" max="513" width="76.140625" style="4" customWidth="1"/>
    <col min="514" max="514" width="17" style="4" bestFit="1" customWidth="1"/>
    <col min="515" max="515" width="18.28515625" style="4" customWidth="1"/>
    <col min="516" max="516" width="16.85546875" style="4" customWidth="1"/>
    <col min="517" max="517" width="17.7109375" style="4" customWidth="1"/>
    <col min="518" max="518" width="18.28515625" style="4" customWidth="1"/>
    <col min="519" max="519" width="18.85546875" style="4" customWidth="1"/>
    <col min="520" max="520" width="15.140625" style="4" customWidth="1"/>
    <col min="521" max="521" width="49.7109375" style="4" customWidth="1"/>
    <col min="522" max="522" width="12.140625" style="4" customWidth="1"/>
    <col min="523" max="523" width="7.7109375" style="4" customWidth="1"/>
    <col min="524" max="524" width="12.140625" style="4" customWidth="1"/>
    <col min="525" max="525" width="8.28515625" style="4" customWidth="1"/>
    <col min="526" max="526" width="8.7109375" style="4" customWidth="1"/>
    <col min="527" max="527" width="12.42578125" style="4" customWidth="1"/>
    <col min="528" max="529" width="8.7109375" style="4" customWidth="1"/>
    <col min="530" max="530" width="14" style="4" customWidth="1"/>
    <col min="531" max="532" width="8.7109375" style="4" customWidth="1"/>
    <col min="533" max="533" width="14.140625" style="4" customWidth="1"/>
    <col min="534" max="534" width="8.7109375" style="4" customWidth="1"/>
    <col min="535" max="535" width="8" style="4" customWidth="1"/>
    <col min="536" max="768" width="11.42578125" style="4"/>
    <col min="769" max="769" width="76.140625" style="4" customWidth="1"/>
    <col min="770" max="770" width="17" style="4" bestFit="1" customWidth="1"/>
    <col min="771" max="771" width="18.28515625" style="4" customWidth="1"/>
    <col min="772" max="772" width="16.85546875" style="4" customWidth="1"/>
    <col min="773" max="773" width="17.7109375" style="4" customWidth="1"/>
    <col min="774" max="774" width="18.28515625" style="4" customWidth="1"/>
    <col min="775" max="775" width="18.85546875" style="4" customWidth="1"/>
    <col min="776" max="776" width="15.140625" style="4" customWidth="1"/>
    <col min="777" max="777" width="49.7109375" style="4" customWidth="1"/>
    <col min="778" max="778" width="12.140625" style="4" customWidth="1"/>
    <col min="779" max="779" width="7.7109375" style="4" customWidth="1"/>
    <col min="780" max="780" width="12.140625" style="4" customWidth="1"/>
    <col min="781" max="781" width="8.28515625" style="4" customWidth="1"/>
    <col min="782" max="782" width="8.7109375" style="4" customWidth="1"/>
    <col min="783" max="783" width="12.42578125" style="4" customWidth="1"/>
    <col min="784" max="785" width="8.7109375" style="4" customWidth="1"/>
    <col min="786" max="786" width="14" style="4" customWidth="1"/>
    <col min="787" max="788" width="8.7109375" style="4" customWidth="1"/>
    <col min="789" max="789" width="14.140625" style="4" customWidth="1"/>
    <col min="790" max="790" width="8.7109375" style="4" customWidth="1"/>
    <col min="791" max="791" width="8" style="4" customWidth="1"/>
    <col min="792" max="1024" width="11.42578125" style="4"/>
    <col min="1025" max="1025" width="76.140625" style="4" customWidth="1"/>
    <col min="1026" max="1026" width="17" style="4" bestFit="1" customWidth="1"/>
    <col min="1027" max="1027" width="18.28515625" style="4" customWidth="1"/>
    <col min="1028" max="1028" width="16.85546875" style="4" customWidth="1"/>
    <col min="1029" max="1029" width="17.7109375" style="4" customWidth="1"/>
    <col min="1030" max="1030" width="18.28515625" style="4" customWidth="1"/>
    <col min="1031" max="1031" width="18.85546875" style="4" customWidth="1"/>
    <col min="1032" max="1032" width="15.140625" style="4" customWidth="1"/>
    <col min="1033" max="1033" width="49.7109375" style="4" customWidth="1"/>
    <col min="1034" max="1034" width="12.140625" style="4" customWidth="1"/>
    <col min="1035" max="1035" width="7.7109375" style="4" customWidth="1"/>
    <col min="1036" max="1036" width="12.140625" style="4" customWidth="1"/>
    <col min="1037" max="1037" width="8.28515625" style="4" customWidth="1"/>
    <col min="1038" max="1038" width="8.7109375" style="4" customWidth="1"/>
    <col min="1039" max="1039" width="12.42578125" style="4" customWidth="1"/>
    <col min="1040" max="1041" width="8.7109375" style="4" customWidth="1"/>
    <col min="1042" max="1042" width="14" style="4" customWidth="1"/>
    <col min="1043" max="1044" width="8.7109375" style="4" customWidth="1"/>
    <col min="1045" max="1045" width="14.140625" style="4" customWidth="1"/>
    <col min="1046" max="1046" width="8.7109375" style="4" customWidth="1"/>
    <col min="1047" max="1047" width="8" style="4" customWidth="1"/>
    <col min="1048" max="1280" width="11.42578125" style="4"/>
    <col min="1281" max="1281" width="76.140625" style="4" customWidth="1"/>
    <col min="1282" max="1282" width="17" style="4" bestFit="1" customWidth="1"/>
    <col min="1283" max="1283" width="18.28515625" style="4" customWidth="1"/>
    <col min="1284" max="1284" width="16.85546875" style="4" customWidth="1"/>
    <col min="1285" max="1285" width="17.7109375" style="4" customWidth="1"/>
    <col min="1286" max="1286" width="18.28515625" style="4" customWidth="1"/>
    <col min="1287" max="1287" width="18.85546875" style="4" customWidth="1"/>
    <col min="1288" max="1288" width="15.140625" style="4" customWidth="1"/>
    <col min="1289" max="1289" width="49.7109375" style="4" customWidth="1"/>
    <col min="1290" max="1290" width="12.140625" style="4" customWidth="1"/>
    <col min="1291" max="1291" width="7.7109375" style="4" customWidth="1"/>
    <col min="1292" max="1292" width="12.140625" style="4" customWidth="1"/>
    <col min="1293" max="1293" width="8.28515625" style="4" customWidth="1"/>
    <col min="1294" max="1294" width="8.7109375" style="4" customWidth="1"/>
    <col min="1295" max="1295" width="12.42578125" style="4" customWidth="1"/>
    <col min="1296" max="1297" width="8.7109375" style="4" customWidth="1"/>
    <col min="1298" max="1298" width="14" style="4" customWidth="1"/>
    <col min="1299" max="1300" width="8.7109375" style="4" customWidth="1"/>
    <col min="1301" max="1301" width="14.140625" style="4" customWidth="1"/>
    <col min="1302" max="1302" width="8.7109375" style="4" customWidth="1"/>
    <col min="1303" max="1303" width="8" style="4" customWidth="1"/>
    <col min="1304" max="1536" width="11.42578125" style="4"/>
    <col min="1537" max="1537" width="76.140625" style="4" customWidth="1"/>
    <col min="1538" max="1538" width="17" style="4" bestFit="1" customWidth="1"/>
    <col min="1539" max="1539" width="18.28515625" style="4" customWidth="1"/>
    <col min="1540" max="1540" width="16.85546875" style="4" customWidth="1"/>
    <col min="1541" max="1541" width="17.7109375" style="4" customWidth="1"/>
    <col min="1542" max="1542" width="18.28515625" style="4" customWidth="1"/>
    <col min="1543" max="1543" width="18.85546875" style="4" customWidth="1"/>
    <col min="1544" max="1544" width="15.140625" style="4" customWidth="1"/>
    <col min="1545" max="1545" width="49.7109375" style="4" customWidth="1"/>
    <col min="1546" max="1546" width="12.140625" style="4" customWidth="1"/>
    <col min="1547" max="1547" width="7.7109375" style="4" customWidth="1"/>
    <col min="1548" max="1548" width="12.140625" style="4" customWidth="1"/>
    <col min="1549" max="1549" width="8.28515625" style="4" customWidth="1"/>
    <col min="1550" max="1550" width="8.7109375" style="4" customWidth="1"/>
    <col min="1551" max="1551" width="12.42578125" style="4" customWidth="1"/>
    <col min="1552" max="1553" width="8.7109375" style="4" customWidth="1"/>
    <col min="1554" max="1554" width="14" style="4" customWidth="1"/>
    <col min="1555" max="1556" width="8.7109375" style="4" customWidth="1"/>
    <col min="1557" max="1557" width="14.140625" style="4" customWidth="1"/>
    <col min="1558" max="1558" width="8.7109375" style="4" customWidth="1"/>
    <col min="1559" max="1559" width="8" style="4" customWidth="1"/>
    <col min="1560" max="1792" width="11.42578125" style="4"/>
    <col min="1793" max="1793" width="76.140625" style="4" customWidth="1"/>
    <col min="1794" max="1794" width="17" style="4" bestFit="1" customWidth="1"/>
    <col min="1795" max="1795" width="18.28515625" style="4" customWidth="1"/>
    <col min="1796" max="1796" width="16.85546875" style="4" customWidth="1"/>
    <col min="1797" max="1797" width="17.7109375" style="4" customWidth="1"/>
    <col min="1798" max="1798" width="18.28515625" style="4" customWidth="1"/>
    <col min="1799" max="1799" width="18.85546875" style="4" customWidth="1"/>
    <col min="1800" max="1800" width="15.140625" style="4" customWidth="1"/>
    <col min="1801" max="1801" width="49.7109375" style="4" customWidth="1"/>
    <col min="1802" max="1802" width="12.140625" style="4" customWidth="1"/>
    <col min="1803" max="1803" width="7.7109375" style="4" customWidth="1"/>
    <col min="1804" max="1804" width="12.140625" style="4" customWidth="1"/>
    <col min="1805" max="1805" width="8.28515625" style="4" customWidth="1"/>
    <col min="1806" max="1806" width="8.7109375" style="4" customWidth="1"/>
    <col min="1807" max="1807" width="12.42578125" style="4" customWidth="1"/>
    <col min="1808" max="1809" width="8.7109375" style="4" customWidth="1"/>
    <col min="1810" max="1810" width="14" style="4" customWidth="1"/>
    <col min="1811" max="1812" width="8.7109375" style="4" customWidth="1"/>
    <col min="1813" max="1813" width="14.140625" style="4" customWidth="1"/>
    <col min="1814" max="1814" width="8.7109375" style="4" customWidth="1"/>
    <col min="1815" max="1815" width="8" style="4" customWidth="1"/>
    <col min="1816" max="2048" width="11.42578125" style="4"/>
    <col min="2049" max="2049" width="76.140625" style="4" customWidth="1"/>
    <col min="2050" max="2050" width="17" style="4" bestFit="1" customWidth="1"/>
    <col min="2051" max="2051" width="18.28515625" style="4" customWidth="1"/>
    <col min="2052" max="2052" width="16.85546875" style="4" customWidth="1"/>
    <col min="2053" max="2053" width="17.7109375" style="4" customWidth="1"/>
    <col min="2054" max="2054" width="18.28515625" style="4" customWidth="1"/>
    <col min="2055" max="2055" width="18.85546875" style="4" customWidth="1"/>
    <col min="2056" max="2056" width="15.140625" style="4" customWidth="1"/>
    <col min="2057" max="2057" width="49.7109375" style="4" customWidth="1"/>
    <col min="2058" max="2058" width="12.140625" style="4" customWidth="1"/>
    <col min="2059" max="2059" width="7.7109375" style="4" customWidth="1"/>
    <col min="2060" max="2060" width="12.140625" style="4" customWidth="1"/>
    <col min="2061" max="2061" width="8.28515625" style="4" customWidth="1"/>
    <col min="2062" max="2062" width="8.7109375" style="4" customWidth="1"/>
    <col min="2063" max="2063" width="12.42578125" style="4" customWidth="1"/>
    <col min="2064" max="2065" width="8.7109375" style="4" customWidth="1"/>
    <col min="2066" max="2066" width="14" style="4" customWidth="1"/>
    <col min="2067" max="2068" width="8.7109375" style="4" customWidth="1"/>
    <col min="2069" max="2069" width="14.140625" style="4" customWidth="1"/>
    <col min="2070" max="2070" width="8.7109375" style="4" customWidth="1"/>
    <col min="2071" max="2071" width="8" style="4" customWidth="1"/>
    <col min="2072" max="2304" width="11.42578125" style="4"/>
    <col min="2305" max="2305" width="76.140625" style="4" customWidth="1"/>
    <col min="2306" max="2306" width="17" style="4" bestFit="1" customWidth="1"/>
    <col min="2307" max="2307" width="18.28515625" style="4" customWidth="1"/>
    <col min="2308" max="2308" width="16.85546875" style="4" customWidth="1"/>
    <col min="2309" max="2309" width="17.7109375" style="4" customWidth="1"/>
    <col min="2310" max="2310" width="18.28515625" style="4" customWidth="1"/>
    <col min="2311" max="2311" width="18.85546875" style="4" customWidth="1"/>
    <col min="2312" max="2312" width="15.140625" style="4" customWidth="1"/>
    <col min="2313" max="2313" width="49.7109375" style="4" customWidth="1"/>
    <col min="2314" max="2314" width="12.140625" style="4" customWidth="1"/>
    <col min="2315" max="2315" width="7.7109375" style="4" customWidth="1"/>
    <col min="2316" max="2316" width="12.140625" style="4" customWidth="1"/>
    <col min="2317" max="2317" width="8.28515625" style="4" customWidth="1"/>
    <col min="2318" max="2318" width="8.7109375" style="4" customWidth="1"/>
    <col min="2319" max="2319" width="12.42578125" style="4" customWidth="1"/>
    <col min="2320" max="2321" width="8.7109375" style="4" customWidth="1"/>
    <col min="2322" max="2322" width="14" style="4" customWidth="1"/>
    <col min="2323" max="2324" width="8.7109375" style="4" customWidth="1"/>
    <col min="2325" max="2325" width="14.140625" style="4" customWidth="1"/>
    <col min="2326" max="2326" width="8.7109375" style="4" customWidth="1"/>
    <col min="2327" max="2327" width="8" style="4" customWidth="1"/>
    <col min="2328" max="2560" width="11.42578125" style="4"/>
    <col min="2561" max="2561" width="76.140625" style="4" customWidth="1"/>
    <col min="2562" max="2562" width="17" style="4" bestFit="1" customWidth="1"/>
    <col min="2563" max="2563" width="18.28515625" style="4" customWidth="1"/>
    <col min="2564" max="2564" width="16.85546875" style="4" customWidth="1"/>
    <col min="2565" max="2565" width="17.7109375" style="4" customWidth="1"/>
    <col min="2566" max="2566" width="18.28515625" style="4" customWidth="1"/>
    <col min="2567" max="2567" width="18.85546875" style="4" customWidth="1"/>
    <col min="2568" max="2568" width="15.140625" style="4" customWidth="1"/>
    <col min="2569" max="2569" width="49.7109375" style="4" customWidth="1"/>
    <col min="2570" max="2570" width="12.140625" style="4" customWidth="1"/>
    <col min="2571" max="2571" width="7.7109375" style="4" customWidth="1"/>
    <col min="2572" max="2572" width="12.140625" style="4" customWidth="1"/>
    <col min="2573" max="2573" width="8.28515625" style="4" customWidth="1"/>
    <col min="2574" max="2574" width="8.7109375" style="4" customWidth="1"/>
    <col min="2575" max="2575" width="12.42578125" style="4" customWidth="1"/>
    <col min="2576" max="2577" width="8.7109375" style="4" customWidth="1"/>
    <col min="2578" max="2578" width="14" style="4" customWidth="1"/>
    <col min="2579" max="2580" width="8.7109375" style="4" customWidth="1"/>
    <col min="2581" max="2581" width="14.140625" style="4" customWidth="1"/>
    <col min="2582" max="2582" width="8.7109375" style="4" customWidth="1"/>
    <col min="2583" max="2583" width="8" style="4" customWidth="1"/>
    <col min="2584" max="2816" width="11.42578125" style="4"/>
    <col min="2817" max="2817" width="76.140625" style="4" customWidth="1"/>
    <col min="2818" max="2818" width="17" style="4" bestFit="1" customWidth="1"/>
    <col min="2819" max="2819" width="18.28515625" style="4" customWidth="1"/>
    <col min="2820" max="2820" width="16.85546875" style="4" customWidth="1"/>
    <col min="2821" max="2821" width="17.7109375" style="4" customWidth="1"/>
    <col min="2822" max="2822" width="18.28515625" style="4" customWidth="1"/>
    <col min="2823" max="2823" width="18.85546875" style="4" customWidth="1"/>
    <col min="2824" max="2824" width="15.140625" style="4" customWidth="1"/>
    <col min="2825" max="2825" width="49.7109375" style="4" customWidth="1"/>
    <col min="2826" max="2826" width="12.140625" style="4" customWidth="1"/>
    <col min="2827" max="2827" width="7.7109375" style="4" customWidth="1"/>
    <col min="2828" max="2828" width="12.140625" style="4" customWidth="1"/>
    <col min="2829" max="2829" width="8.28515625" style="4" customWidth="1"/>
    <col min="2830" max="2830" width="8.7109375" style="4" customWidth="1"/>
    <col min="2831" max="2831" width="12.42578125" style="4" customWidth="1"/>
    <col min="2832" max="2833" width="8.7109375" style="4" customWidth="1"/>
    <col min="2834" max="2834" width="14" style="4" customWidth="1"/>
    <col min="2835" max="2836" width="8.7109375" style="4" customWidth="1"/>
    <col min="2837" max="2837" width="14.140625" style="4" customWidth="1"/>
    <col min="2838" max="2838" width="8.7109375" style="4" customWidth="1"/>
    <col min="2839" max="2839" width="8" style="4" customWidth="1"/>
    <col min="2840" max="3072" width="11.42578125" style="4"/>
    <col min="3073" max="3073" width="76.140625" style="4" customWidth="1"/>
    <col min="3074" max="3074" width="17" style="4" bestFit="1" customWidth="1"/>
    <col min="3075" max="3075" width="18.28515625" style="4" customWidth="1"/>
    <col min="3076" max="3076" width="16.85546875" style="4" customWidth="1"/>
    <col min="3077" max="3077" width="17.7109375" style="4" customWidth="1"/>
    <col min="3078" max="3078" width="18.28515625" style="4" customWidth="1"/>
    <col min="3079" max="3079" width="18.85546875" style="4" customWidth="1"/>
    <col min="3080" max="3080" width="15.140625" style="4" customWidth="1"/>
    <col min="3081" max="3081" width="49.7109375" style="4" customWidth="1"/>
    <col min="3082" max="3082" width="12.140625" style="4" customWidth="1"/>
    <col min="3083" max="3083" width="7.7109375" style="4" customWidth="1"/>
    <col min="3084" max="3084" width="12.140625" style="4" customWidth="1"/>
    <col min="3085" max="3085" width="8.28515625" style="4" customWidth="1"/>
    <col min="3086" max="3086" width="8.7109375" style="4" customWidth="1"/>
    <col min="3087" max="3087" width="12.42578125" style="4" customWidth="1"/>
    <col min="3088" max="3089" width="8.7109375" style="4" customWidth="1"/>
    <col min="3090" max="3090" width="14" style="4" customWidth="1"/>
    <col min="3091" max="3092" width="8.7109375" style="4" customWidth="1"/>
    <col min="3093" max="3093" width="14.140625" style="4" customWidth="1"/>
    <col min="3094" max="3094" width="8.7109375" style="4" customWidth="1"/>
    <col min="3095" max="3095" width="8" style="4" customWidth="1"/>
    <col min="3096" max="3328" width="11.42578125" style="4"/>
    <col min="3329" max="3329" width="76.140625" style="4" customWidth="1"/>
    <col min="3330" max="3330" width="17" style="4" bestFit="1" customWidth="1"/>
    <col min="3331" max="3331" width="18.28515625" style="4" customWidth="1"/>
    <col min="3332" max="3332" width="16.85546875" style="4" customWidth="1"/>
    <col min="3333" max="3333" width="17.7109375" style="4" customWidth="1"/>
    <col min="3334" max="3334" width="18.28515625" style="4" customWidth="1"/>
    <col min="3335" max="3335" width="18.85546875" style="4" customWidth="1"/>
    <col min="3336" max="3336" width="15.140625" style="4" customWidth="1"/>
    <col min="3337" max="3337" width="49.7109375" style="4" customWidth="1"/>
    <col min="3338" max="3338" width="12.140625" style="4" customWidth="1"/>
    <col min="3339" max="3339" width="7.7109375" style="4" customWidth="1"/>
    <col min="3340" max="3340" width="12.140625" style="4" customWidth="1"/>
    <col min="3341" max="3341" width="8.28515625" style="4" customWidth="1"/>
    <col min="3342" max="3342" width="8.7109375" style="4" customWidth="1"/>
    <col min="3343" max="3343" width="12.42578125" style="4" customWidth="1"/>
    <col min="3344" max="3345" width="8.7109375" style="4" customWidth="1"/>
    <col min="3346" max="3346" width="14" style="4" customWidth="1"/>
    <col min="3347" max="3348" width="8.7109375" style="4" customWidth="1"/>
    <col min="3349" max="3349" width="14.140625" style="4" customWidth="1"/>
    <col min="3350" max="3350" width="8.7109375" style="4" customWidth="1"/>
    <col min="3351" max="3351" width="8" style="4" customWidth="1"/>
    <col min="3352" max="3584" width="11.42578125" style="4"/>
    <col min="3585" max="3585" width="76.140625" style="4" customWidth="1"/>
    <col min="3586" max="3586" width="17" style="4" bestFit="1" customWidth="1"/>
    <col min="3587" max="3587" width="18.28515625" style="4" customWidth="1"/>
    <col min="3588" max="3588" width="16.85546875" style="4" customWidth="1"/>
    <col min="3589" max="3589" width="17.7109375" style="4" customWidth="1"/>
    <col min="3590" max="3590" width="18.28515625" style="4" customWidth="1"/>
    <col min="3591" max="3591" width="18.85546875" style="4" customWidth="1"/>
    <col min="3592" max="3592" width="15.140625" style="4" customWidth="1"/>
    <col min="3593" max="3593" width="49.7109375" style="4" customWidth="1"/>
    <col min="3594" max="3594" width="12.140625" style="4" customWidth="1"/>
    <col min="3595" max="3595" width="7.7109375" style="4" customWidth="1"/>
    <col min="3596" max="3596" width="12.140625" style="4" customWidth="1"/>
    <col min="3597" max="3597" width="8.28515625" style="4" customWidth="1"/>
    <col min="3598" max="3598" width="8.7109375" style="4" customWidth="1"/>
    <col min="3599" max="3599" width="12.42578125" style="4" customWidth="1"/>
    <col min="3600" max="3601" width="8.7109375" style="4" customWidth="1"/>
    <col min="3602" max="3602" width="14" style="4" customWidth="1"/>
    <col min="3603" max="3604" width="8.7109375" style="4" customWidth="1"/>
    <col min="3605" max="3605" width="14.140625" style="4" customWidth="1"/>
    <col min="3606" max="3606" width="8.7109375" style="4" customWidth="1"/>
    <col min="3607" max="3607" width="8" style="4" customWidth="1"/>
    <col min="3608" max="3840" width="11.42578125" style="4"/>
    <col min="3841" max="3841" width="76.140625" style="4" customWidth="1"/>
    <col min="3842" max="3842" width="17" style="4" bestFit="1" customWidth="1"/>
    <col min="3843" max="3843" width="18.28515625" style="4" customWidth="1"/>
    <col min="3844" max="3844" width="16.85546875" style="4" customWidth="1"/>
    <col min="3845" max="3845" width="17.7109375" style="4" customWidth="1"/>
    <col min="3846" max="3846" width="18.28515625" style="4" customWidth="1"/>
    <col min="3847" max="3847" width="18.85546875" style="4" customWidth="1"/>
    <col min="3848" max="3848" width="15.140625" style="4" customWidth="1"/>
    <col min="3849" max="3849" width="49.7109375" style="4" customWidth="1"/>
    <col min="3850" max="3850" width="12.140625" style="4" customWidth="1"/>
    <col min="3851" max="3851" width="7.7109375" style="4" customWidth="1"/>
    <col min="3852" max="3852" width="12.140625" style="4" customWidth="1"/>
    <col min="3853" max="3853" width="8.28515625" style="4" customWidth="1"/>
    <col min="3854" max="3854" width="8.7109375" style="4" customWidth="1"/>
    <col min="3855" max="3855" width="12.42578125" style="4" customWidth="1"/>
    <col min="3856" max="3857" width="8.7109375" style="4" customWidth="1"/>
    <col min="3858" max="3858" width="14" style="4" customWidth="1"/>
    <col min="3859" max="3860" width="8.7109375" style="4" customWidth="1"/>
    <col min="3861" max="3861" width="14.140625" style="4" customWidth="1"/>
    <col min="3862" max="3862" width="8.7109375" style="4" customWidth="1"/>
    <col min="3863" max="3863" width="8" style="4" customWidth="1"/>
    <col min="3864" max="4096" width="11.42578125" style="4"/>
    <col min="4097" max="4097" width="76.140625" style="4" customWidth="1"/>
    <col min="4098" max="4098" width="17" style="4" bestFit="1" customWidth="1"/>
    <col min="4099" max="4099" width="18.28515625" style="4" customWidth="1"/>
    <col min="4100" max="4100" width="16.85546875" style="4" customWidth="1"/>
    <col min="4101" max="4101" width="17.7109375" style="4" customWidth="1"/>
    <col min="4102" max="4102" width="18.28515625" style="4" customWidth="1"/>
    <col min="4103" max="4103" width="18.85546875" style="4" customWidth="1"/>
    <col min="4104" max="4104" width="15.140625" style="4" customWidth="1"/>
    <col min="4105" max="4105" width="49.7109375" style="4" customWidth="1"/>
    <col min="4106" max="4106" width="12.140625" style="4" customWidth="1"/>
    <col min="4107" max="4107" width="7.7109375" style="4" customWidth="1"/>
    <col min="4108" max="4108" width="12.140625" style="4" customWidth="1"/>
    <col min="4109" max="4109" width="8.28515625" style="4" customWidth="1"/>
    <col min="4110" max="4110" width="8.7109375" style="4" customWidth="1"/>
    <col min="4111" max="4111" width="12.42578125" style="4" customWidth="1"/>
    <col min="4112" max="4113" width="8.7109375" style="4" customWidth="1"/>
    <col min="4114" max="4114" width="14" style="4" customWidth="1"/>
    <col min="4115" max="4116" width="8.7109375" style="4" customWidth="1"/>
    <col min="4117" max="4117" width="14.140625" style="4" customWidth="1"/>
    <col min="4118" max="4118" width="8.7109375" style="4" customWidth="1"/>
    <col min="4119" max="4119" width="8" style="4" customWidth="1"/>
    <col min="4120" max="4352" width="11.42578125" style="4"/>
    <col min="4353" max="4353" width="76.140625" style="4" customWidth="1"/>
    <col min="4354" max="4354" width="17" style="4" bestFit="1" customWidth="1"/>
    <col min="4355" max="4355" width="18.28515625" style="4" customWidth="1"/>
    <col min="4356" max="4356" width="16.85546875" style="4" customWidth="1"/>
    <col min="4357" max="4357" width="17.7109375" style="4" customWidth="1"/>
    <col min="4358" max="4358" width="18.28515625" style="4" customWidth="1"/>
    <col min="4359" max="4359" width="18.85546875" style="4" customWidth="1"/>
    <col min="4360" max="4360" width="15.140625" style="4" customWidth="1"/>
    <col min="4361" max="4361" width="49.7109375" style="4" customWidth="1"/>
    <col min="4362" max="4362" width="12.140625" style="4" customWidth="1"/>
    <col min="4363" max="4363" width="7.7109375" style="4" customWidth="1"/>
    <col min="4364" max="4364" width="12.140625" style="4" customWidth="1"/>
    <col min="4365" max="4365" width="8.28515625" style="4" customWidth="1"/>
    <col min="4366" max="4366" width="8.7109375" style="4" customWidth="1"/>
    <col min="4367" max="4367" width="12.42578125" style="4" customWidth="1"/>
    <col min="4368" max="4369" width="8.7109375" style="4" customWidth="1"/>
    <col min="4370" max="4370" width="14" style="4" customWidth="1"/>
    <col min="4371" max="4372" width="8.7109375" style="4" customWidth="1"/>
    <col min="4373" max="4373" width="14.140625" style="4" customWidth="1"/>
    <col min="4374" max="4374" width="8.7109375" style="4" customWidth="1"/>
    <col min="4375" max="4375" width="8" style="4" customWidth="1"/>
    <col min="4376" max="4608" width="11.42578125" style="4"/>
    <col min="4609" max="4609" width="76.140625" style="4" customWidth="1"/>
    <col min="4610" max="4610" width="17" style="4" bestFit="1" customWidth="1"/>
    <col min="4611" max="4611" width="18.28515625" style="4" customWidth="1"/>
    <col min="4612" max="4612" width="16.85546875" style="4" customWidth="1"/>
    <col min="4613" max="4613" width="17.7109375" style="4" customWidth="1"/>
    <col min="4614" max="4614" width="18.28515625" style="4" customWidth="1"/>
    <col min="4615" max="4615" width="18.85546875" style="4" customWidth="1"/>
    <col min="4616" max="4616" width="15.140625" style="4" customWidth="1"/>
    <col min="4617" max="4617" width="49.7109375" style="4" customWidth="1"/>
    <col min="4618" max="4618" width="12.140625" style="4" customWidth="1"/>
    <col min="4619" max="4619" width="7.7109375" style="4" customWidth="1"/>
    <col min="4620" max="4620" width="12.140625" style="4" customWidth="1"/>
    <col min="4621" max="4621" width="8.28515625" style="4" customWidth="1"/>
    <col min="4622" max="4622" width="8.7109375" style="4" customWidth="1"/>
    <col min="4623" max="4623" width="12.42578125" style="4" customWidth="1"/>
    <col min="4624" max="4625" width="8.7109375" style="4" customWidth="1"/>
    <col min="4626" max="4626" width="14" style="4" customWidth="1"/>
    <col min="4627" max="4628" width="8.7109375" style="4" customWidth="1"/>
    <col min="4629" max="4629" width="14.140625" style="4" customWidth="1"/>
    <col min="4630" max="4630" width="8.7109375" style="4" customWidth="1"/>
    <col min="4631" max="4631" width="8" style="4" customWidth="1"/>
    <col min="4632" max="4864" width="11.42578125" style="4"/>
    <col min="4865" max="4865" width="76.140625" style="4" customWidth="1"/>
    <col min="4866" max="4866" width="17" style="4" bestFit="1" customWidth="1"/>
    <col min="4867" max="4867" width="18.28515625" style="4" customWidth="1"/>
    <col min="4868" max="4868" width="16.85546875" style="4" customWidth="1"/>
    <col min="4869" max="4869" width="17.7109375" style="4" customWidth="1"/>
    <col min="4870" max="4870" width="18.28515625" style="4" customWidth="1"/>
    <col min="4871" max="4871" width="18.85546875" style="4" customWidth="1"/>
    <col min="4872" max="4872" width="15.140625" style="4" customWidth="1"/>
    <col min="4873" max="4873" width="49.7109375" style="4" customWidth="1"/>
    <col min="4874" max="4874" width="12.140625" style="4" customWidth="1"/>
    <col min="4875" max="4875" width="7.7109375" style="4" customWidth="1"/>
    <col min="4876" max="4876" width="12.140625" style="4" customWidth="1"/>
    <col min="4877" max="4877" width="8.28515625" style="4" customWidth="1"/>
    <col min="4878" max="4878" width="8.7109375" style="4" customWidth="1"/>
    <col min="4879" max="4879" width="12.42578125" style="4" customWidth="1"/>
    <col min="4880" max="4881" width="8.7109375" style="4" customWidth="1"/>
    <col min="4882" max="4882" width="14" style="4" customWidth="1"/>
    <col min="4883" max="4884" width="8.7109375" style="4" customWidth="1"/>
    <col min="4885" max="4885" width="14.140625" style="4" customWidth="1"/>
    <col min="4886" max="4886" width="8.7109375" style="4" customWidth="1"/>
    <col min="4887" max="4887" width="8" style="4" customWidth="1"/>
    <col min="4888" max="5120" width="11.42578125" style="4"/>
    <col min="5121" max="5121" width="76.140625" style="4" customWidth="1"/>
    <col min="5122" max="5122" width="17" style="4" bestFit="1" customWidth="1"/>
    <col min="5123" max="5123" width="18.28515625" style="4" customWidth="1"/>
    <col min="5124" max="5124" width="16.85546875" style="4" customWidth="1"/>
    <col min="5125" max="5125" width="17.7109375" style="4" customWidth="1"/>
    <col min="5126" max="5126" width="18.28515625" style="4" customWidth="1"/>
    <col min="5127" max="5127" width="18.85546875" style="4" customWidth="1"/>
    <col min="5128" max="5128" width="15.140625" style="4" customWidth="1"/>
    <col min="5129" max="5129" width="49.7109375" style="4" customWidth="1"/>
    <col min="5130" max="5130" width="12.140625" style="4" customWidth="1"/>
    <col min="5131" max="5131" width="7.7109375" style="4" customWidth="1"/>
    <col min="5132" max="5132" width="12.140625" style="4" customWidth="1"/>
    <col min="5133" max="5133" width="8.28515625" style="4" customWidth="1"/>
    <col min="5134" max="5134" width="8.7109375" style="4" customWidth="1"/>
    <col min="5135" max="5135" width="12.42578125" style="4" customWidth="1"/>
    <col min="5136" max="5137" width="8.7109375" style="4" customWidth="1"/>
    <col min="5138" max="5138" width="14" style="4" customWidth="1"/>
    <col min="5139" max="5140" width="8.7109375" style="4" customWidth="1"/>
    <col min="5141" max="5141" width="14.140625" style="4" customWidth="1"/>
    <col min="5142" max="5142" width="8.7109375" style="4" customWidth="1"/>
    <col min="5143" max="5143" width="8" style="4" customWidth="1"/>
    <col min="5144" max="5376" width="11.42578125" style="4"/>
    <col min="5377" max="5377" width="76.140625" style="4" customWidth="1"/>
    <col min="5378" max="5378" width="17" style="4" bestFit="1" customWidth="1"/>
    <col min="5379" max="5379" width="18.28515625" style="4" customWidth="1"/>
    <col min="5380" max="5380" width="16.85546875" style="4" customWidth="1"/>
    <col min="5381" max="5381" width="17.7109375" style="4" customWidth="1"/>
    <col min="5382" max="5382" width="18.28515625" style="4" customWidth="1"/>
    <col min="5383" max="5383" width="18.85546875" style="4" customWidth="1"/>
    <col min="5384" max="5384" width="15.140625" style="4" customWidth="1"/>
    <col min="5385" max="5385" width="49.7109375" style="4" customWidth="1"/>
    <col min="5386" max="5386" width="12.140625" style="4" customWidth="1"/>
    <col min="5387" max="5387" width="7.7109375" style="4" customWidth="1"/>
    <col min="5388" max="5388" width="12.140625" style="4" customWidth="1"/>
    <col min="5389" max="5389" width="8.28515625" style="4" customWidth="1"/>
    <col min="5390" max="5390" width="8.7109375" style="4" customWidth="1"/>
    <col min="5391" max="5391" width="12.42578125" style="4" customWidth="1"/>
    <col min="5392" max="5393" width="8.7109375" style="4" customWidth="1"/>
    <col min="5394" max="5394" width="14" style="4" customWidth="1"/>
    <col min="5395" max="5396" width="8.7109375" style="4" customWidth="1"/>
    <col min="5397" max="5397" width="14.140625" style="4" customWidth="1"/>
    <col min="5398" max="5398" width="8.7109375" style="4" customWidth="1"/>
    <col min="5399" max="5399" width="8" style="4" customWidth="1"/>
    <col min="5400" max="5632" width="11.42578125" style="4"/>
    <col min="5633" max="5633" width="76.140625" style="4" customWidth="1"/>
    <col min="5634" max="5634" width="17" style="4" bestFit="1" customWidth="1"/>
    <col min="5635" max="5635" width="18.28515625" style="4" customWidth="1"/>
    <col min="5636" max="5636" width="16.85546875" style="4" customWidth="1"/>
    <col min="5637" max="5637" width="17.7109375" style="4" customWidth="1"/>
    <col min="5638" max="5638" width="18.28515625" style="4" customWidth="1"/>
    <col min="5639" max="5639" width="18.85546875" style="4" customWidth="1"/>
    <col min="5640" max="5640" width="15.140625" style="4" customWidth="1"/>
    <col min="5641" max="5641" width="49.7109375" style="4" customWidth="1"/>
    <col min="5642" max="5642" width="12.140625" style="4" customWidth="1"/>
    <col min="5643" max="5643" width="7.7109375" style="4" customWidth="1"/>
    <col min="5644" max="5644" width="12.140625" style="4" customWidth="1"/>
    <col min="5645" max="5645" width="8.28515625" style="4" customWidth="1"/>
    <col min="5646" max="5646" width="8.7109375" style="4" customWidth="1"/>
    <col min="5647" max="5647" width="12.42578125" style="4" customWidth="1"/>
    <col min="5648" max="5649" width="8.7109375" style="4" customWidth="1"/>
    <col min="5650" max="5650" width="14" style="4" customWidth="1"/>
    <col min="5651" max="5652" width="8.7109375" style="4" customWidth="1"/>
    <col min="5653" max="5653" width="14.140625" style="4" customWidth="1"/>
    <col min="5654" max="5654" width="8.7109375" style="4" customWidth="1"/>
    <col min="5655" max="5655" width="8" style="4" customWidth="1"/>
    <col min="5656" max="5888" width="11.42578125" style="4"/>
    <col min="5889" max="5889" width="76.140625" style="4" customWidth="1"/>
    <col min="5890" max="5890" width="17" style="4" bestFit="1" customWidth="1"/>
    <col min="5891" max="5891" width="18.28515625" style="4" customWidth="1"/>
    <col min="5892" max="5892" width="16.85546875" style="4" customWidth="1"/>
    <col min="5893" max="5893" width="17.7109375" style="4" customWidth="1"/>
    <col min="5894" max="5894" width="18.28515625" style="4" customWidth="1"/>
    <col min="5895" max="5895" width="18.85546875" style="4" customWidth="1"/>
    <col min="5896" max="5896" width="15.140625" style="4" customWidth="1"/>
    <col min="5897" max="5897" width="49.7109375" style="4" customWidth="1"/>
    <col min="5898" max="5898" width="12.140625" style="4" customWidth="1"/>
    <col min="5899" max="5899" width="7.7109375" style="4" customWidth="1"/>
    <col min="5900" max="5900" width="12.140625" style="4" customWidth="1"/>
    <col min="5901" max="5901" width="8.28515625" style="4" customWidth="1"/>
    <col min="5902" max="5902" width="8.7109375" style="4" customWidth="1"/>
    <col min="5903" max="5903" width="12.42578125" style="4" customWidth="1"/>
    <col min="5904" max="5905" width="8.7109375" style="4" customWidth="1"/>
    <col min="5906" max="5906" width="14" style="4" customWidth="1"/>
    <col min="5907" max="5908" width="8.7109375" style="4" customWidth="1"/>
    <col min="5909" max="5909" width="14.140625" style="4" customWidth="1"/>
    <col min="5910" max="5910" width="8.7109375" style="4" customWidth="1"/>
    <col min="5911" max="5911" width="8" style="4" customWidth="1"/>
    <col min="5912" max="6144" width="11.42578125" style="4"/>
    <col min="6145" max="6145" width="76.140625" style="4" customWidth="1"/>
    <col min="6146" max="6146" width="17" style="4" bestFit="1" customWidth="1"/>
    <col min="6147" max="6147" width="18.28515625" style="4" customWidth="1"/>
    <col min="6148" max="6148" width="16.85546875" style="4" customWidth="1"/>
    <col min="6149" max="6149" width="17.7109375" style="4" customWidth="1"/>
    <col min="6150" max="6150" width="18.28515625" style="4" customWidth="1"/>
    <col min="6151" max="6151" width="18.85546875" style="4" customWidth="1"/>
    <col min="6152" max="6152" width="15.140625" style="4" customWidth="1"/>
    <col min="6153" max="6153" width="49.7109375" style="4" customWidth="1"/>
    <col min="6154" max="6154" width="12.140625" style="4" customWidth="1"/>
    <col min="6155" max="6155" width="7.7109375" style="4" customWidth="1"/>
    <col min="6156" max="6156" width="12.140625" style="4" customWidth="1"/>
    <col min="6157" max="6157" width="8.28515625" style="4" customWidth="1"/>
    <col min="6158" max="6158" width="8.7109375" style="4" customWidth="1"/>
    <col min="6159" max="6159" width="12.42578125" style="4" customWidth="1"/>
    <col min="6160" max="6161" width="8.7109375" style="4" customWidth="1"/>
    <col min="6162" max="6162" width="14" style="4" customWidth="1"/>
    <col min="6163" max="6164" width="8.7109375" style="4" customWidth="1"/>
    <col min="6165" max="6165" width="14.140625" style="4" customWidth="1"/>
    <col min="6166" max="6166" width="8.7109375" style="4" customWidth="1"/>
    <col min="6167" max="6167" width="8" style="4" customWidth="1"/>
    <col min="6168" max="6400" width="11.42578125" style="4"/>
    <col min="6401" max="6401" width="76.140625" style="4" customWidth="1"/>
    <col min="6402" max="6402" width="17" style="4" bestFit="1" customWidth="1"/>
    <col min="6403" max="6403" width="18.28515625" style="4" customWidth="1"/>
    <col min="6404" max="6404" width="16.85546875" style="4" customWidth="1"/>
    <col min="6405" max="6405" width="17.7109375" style="4" customWidth="1"/>
    <col min="6406" max="6406" width="18.28515625" style="4" customWidth="1"/>
    <col min="6407" max="6407" width="18.85546875" style="4" customWidth="1"/>
    <col min="6408" max="6408" width="15.140625" style="4" customWidth="1"/>
    <col min="6409" max="6409" width="49.7109375" style="4" customWidth="1"/>
    <col min="6410" max="6410" width="12.140625" style="4" customWidth="1"/>
    <col min="6411" max="6411" width="7.7109375" style="4" customWidth="1"/>
    <col min="6412" max="6412" width="12.140625" style="4" customWidth="1"/>
    <col min="6413" max="6413" width="8.28515625" style="4" customWidth="1"/>
    <col min="6414" max="6414" width="8.7109375" style="4" customWidth="1"/>
    <col min="6415" max="6415" width="12.42578125" style="4" customWidth="1"/>
    <col min="6416" max="6417" width="8.7109375" style="4" customWidth="1"/>
    <col min="6418" max="6418" width="14" style="4" customWidth="1"/>
    <col min="6419" max="6420" width="8.7109375" style="4" customWidth="1"/>
    <col min="6421" max="6421" width="14.140625" style="4" customWidth="1"/>
    <col min="6422" max="6422" width="8.7109375" style="4" customWidth="1"/>
    <col min="6423" max="6423" width="8" style="4" customWidth="1"/>
    <col min="6424" max="6656" width="11.42578125" style="4"/>
    <col min="6657" max="6657" width="76.140625" style="4" customWidth="1"/>
    <col min="6658" max="6658" width="17" style="4" bestFit="1" customWidth="1"/>
    <col min="6659" max="6659" width="18.28515625" style="4" customWidth="1"/>
    <col min="6660" max="6660" width="16.85546875" style="4" customWidth="1"/>
    <col min="6661" max="6661" width="17.7109375" style="4" customWidth="1"/>
    <col min="6662" max="6662" width="18.28515625" style="4" customWidth="1"/>
    <col min="6663" max="6663" width="18.85546875" style="4" customWidth="1"/>
    <col min="6664" max="6664" width="15.140625" style="4" customWidth="1"/>
    <col min="6665" max="6665" width="49.7109375" style="4" customWidth="1"/>
    <col min="6666" max="6666" width="12.140625" style="4" customWidth="1"/>
    <col min="6667" max="6667" width="7.7109375" style="4" customWidth="1"/>
    <col min="6668" max="6668" width="12.140625" style="4" customWidth="1"/>
    <col min="6669" max="6669" width="8.28515625" style="4" customWidth="1"/>
    <col min="6670" max="6670" width="8.7109375" style="4" customWidth="1"/>
    <col min="6671" max="6671" width="12.42578125" style="4" customWidth="1"/>
    <col min="6672" max="6673" width="8.7109375" style="4" customWidth="1"/>
    <col min="6674" max="6674" width="14" style="4" customWidth="1"/>
    <col min="6675" max="6676" width="8.7109375" style="4" customWidth="1"/>
    <col min="6677" max="6677" width="14.140625" style="4" customWidth="1"/>
    <col min="6678" max="6678" width="8.7109375" style="4" customWidth="1"/>
    <col min="6679" max="6679" width="8" style="4" customWidth="1"/>
    <col min="6680" max="6912" width="11.42578125" style="4"/>
    <col min="6913" max="6913" width="76.140625" style="4" customWidth="1"/>
    <col min="6914" max="6914" width="17" style="4" bestFit="1" customWidth="1"/>
    <col min="6915" max="6915" width="18.28515625" style="4" customWidth="1"/>
    <col min="6916" max="6916" width="16.85546875" style="4" customWidth="1"/>
    <col min="6917" max="6917" width="17.7109375" style="4" customWidth="1"/>
    <col min="6918" max="6918" width="18.28515625" style="4" customWidth="1"/>
    <col min="6919" max="6919" width="18.85546875" style="4" customWidth="1"/>
    <col min="6920" max="6920" width="15.140625" style="4" customWidth="1"/>
    <col min="6921" max="6921" width="49.7109375" style="4" customWidth="1"/>
    <col min="6922" max="6922" width="12.140625" style="4" customWidth="1"/>
    <col min="6923" max="6923" width="7.7109375" style="4" customWidth="1"/>
    <col min="6924" max="6924" width="12.140625" style="4" customWidth="1"/>
    <col min="6925" max="6925" width="8.28515625" style="4" customWidth="1"/>
    <col min="6926" max="6926" width="8.7109375" style="4" customWidth="1"/>
    <col min="6927" max="6927" width="12.42578125" style="4" customWidth="1"/>
    <col min="6928" max="6929" width="8.7109375" style="4" customWidth="1"/>
    <col min="6930" max="6930" width="14" style="4" customWidth="1"/>
    <col min="6931" max="6932" width="8.7109375" style="4" customWidth="1"/>
    <col min="6933" max="6933" width="14.140625" style="4" customWidth="1"/>
    <col min="6934" max="6934" width="8.7109375" style="4" customWidth="1"/>
    <col min="6935" max="6935" width="8" style="4" customWidth="1"/>
    <col min="6936" max="7168" width="11.42578125" style="4"/>
    <col min="7169" max="7169" width="76.140625" style="4" customWidth="1"/>
    <col min="7170" max="7170" width="17" style="4" bestFit="1" customWidth="1"/>
    <col min="7171" max="7171" width="18.28515625" style="4" customWidth="1"/>
    <col min="7172" max="7172" width="16.85546875" style="4" customWidth="1"/>
    <col min="7173" max="7173" width="17.7109375" style="4" customWidth="1"/>
    <col min="7174" max="7174" width="18.28515625" style="4" customWidth="1"/>
    <col min="7175" max="7175" width="18.85546875" style="4" customWidth="1"/>
    <col min="7176" max="7176" width="15.140625" style="4" customWidth="1"/>
    <col min="7177" max="7177" width="49.7109375" style="4" customWidth="1"/>
    <col min="7178" max="7178" width="12.140625" style="4" customWidth="1"/>
    <col min="7179" max="7179" width="7.7109375" style="4" customWidth="1"/>
    <col min="7180" max="7180" width="12.140625" style="4" customWidth="1"/>
    <col min="7181" max="7181" width="8.28515625" style="4" customWidth="1"/>
    <col min="7182" max="7182" width="8.7109375" style="4" customWidth="1"/>
    <col min="7183" max="7183" width="12.42578125" style="4" customWidth="1"/>
    <col min="7184" max="7185" width="8.7109375" style="4" customWidth="1"/>
    <col min="7186" max="7186" width="14" style="4" customWidth="1"/>
    <col min="7187" max="7188" width="8.7109375" style="4" customWidth="1"/>
    <col min="7189" max="7189" width="14.140625" style="4" customWidth="1"/>
    <col min="7190" max="7190" width="8.7109375" style="4" customWidth="1"/>
    <col min="7191" max="7191" width="8" style="4" customWidth="1"/>
    <col min="7192" max="7424" width="11.42578125" style="4"/>
    <col min="7425" max="7425" width="76.140625" style="4" customWidth="1"/>
    <col min="7426" max="7426" width="17" style="4" bestFit="1" customWidth="1"/>
    <col min="7427" max="7427" width="18.28515625" style="4" customWidth="1"/>
    <col min="7428" max="7428" width="16.85546875" style="4" customWidth="1"/>
    <col min="7429" max="7429" width="17.7109375" style="4" customWidth="1"/>
    <col min="7430" max="7430" width="18.28515625" style="4" customWidth="1"/>
    <col min="7431" max="7431" width="18.85546875" style="4" customWidth="1"/>
    <col min="7432" max="7432" width="15.140625" style="4" customWidth="1"/>
    <col min="7433" max="7433" width="49.7109375" style="4" customWidth="1"/>
    <col min="7434" max="7434" width="12.140625" style="4" customWidth="1"/>
    <col min="7435" max="7435" width="7.7109375" style="4" customWidth="1"/>
    <col min="7436" max="7436" width="12.140625" style="4" customWidth="1"/>
    <col min="7437" max="7437" width="8.28515625" style="4" customWidth="1"/>
    <col min="7438" max="7438" width="8.7109375" style="4" customWidth="1"/>
    <col min="7439" max="7439" width="12.42578125" style="4" customWidth="1"/>
    <col min="7440" max="7441" width="8.7109375" style="4" customWidth="1"/>
    <col min="7442" max="7442" width="14" style="4" customWidth="1"/>
    <col min="7443" max="7444" width="8.7109375" style="4" customWidth="1"/>
    <col min="7445" max="7445" width="14.140625" style="4" customWidth="1"/>
    <col min="7446" max="7446" width="8.7109375" style="4" customWidth="1"/>
    <col min="7447" max="7447" width="8" style="4" customWidth="1"/>
    <col min="7448" max="7680" width="11.42578125" style="4"/>
    <col min="7681" max="7681" width="76.140625" style="4" customWidth="1"/>
    <col min="7682" max="7682" width="17" style="4" bestFit="1" customWidth="1"/>
    <col min="7683" max="7683" width="18.28515625" style="4" customWidth="1"/>
    <col min="7684" max="7684" width="16.85546875" style="4" customWidth="1"/>
    <col min="7685" max="7685" width="17.7109375" style="4" customWidth="1"/>
    <col min="7686" max="7686" width="18.28515625" style="4" customWidth="1"/>
    <col min="7687" max="7687" width="18.85546875" style="4" customWidth="1"/>
    <col min="7688" max="7688" width="15.140625" style="4" customWidth="1"/>
    <col min="7689" max="7689" width="49.7109375" style="4" customWidth="1"/>
    <col min="7690" max="7690" width="12.140625" style="4" customWidth="1"/>
    <col min="7691" max="7691" width="7.7109375" style="4" customWidth="1"/>
    <col min="7692" max="7692" width="12.140625" style="4" customWidth="1"/>
    <col min="7693" max="7693" width="8.28515625" style="4" customWidth="1"/>
    <col min="7694" max="7694" width="8.7109375" style="4" customWidth="1"/>
    <col min="7695" max="7695" width="12.42578125" style="4" customWidth="1"/>
    <col min="7696" max="7697" width="8.7109375" style="4" customWidth="1"/>
    <col min="7698" max="7698" width="14" style="4" customWidth="1"/>
    <col min="7699" max="7700" width="8.7109375" style="4" customWidth="1"/>
    <col min="7701" max="7701" width="14.140625" style="4" customWidth="1"/>
    <col min="7702" max="7702" width="8.7109375" style="4" customWidth="1"/>
    <col min="7703" max="7703" width="8" style="4" customWidth="1"/>
    <col min="7704" max="7936" width="11.42578125" style="4"/>
    <col min="7937" max="7937" width="76.140625" style="4" customWidth="1"/>
    <col min="7938" max="7938" width="17" style="4" bestFit="1" customWidth="1"/>
    <col min="7939" max="7939" width="18.28515625" style="4" customWidth="1"/>
    <col min="7940" max="7940" width="16.85546875" style="4" customWidth="1"/>
    <col min="7941" max="7941" width="17.7109375" style="4" customWidth="1"/>
    <col min="7942" max="7942" width="18.28515625" style="4" customWidth="1"/>
    <col min="7943" max="7943" width="18.85546875" style="4" customWidth="1"/>
    <col min="7944" max="7944" width="15.140625" style="4" customWidth="1"/>
    <col min="7945" max="7945" width="49.7109375" style="4" customWidth="1"/>
    <col min="7946" max="7946" width="12.140625" style="4" customWidth="1"/>
    <col min="7947" max="7947" width="7.7109375" style="4" customWidth="1"/>
    <col min="7948" max="7948" width="12.140625" style="4" customWidth="1"/>
    <col min="7949" max="7949" width="8.28515625" style="4" customWidth="1"/>
    <col min="7950" max="7950" width="8.7109375" style="4" customWidth="1"/>
    <col min="7951" max="7951" width="12.42578125" style="4" customWidth="1"/>
    <col min="7952" max="7953" width="8.7109375" style="4" customWidth="1"/>
    <col min="7954" max="7954" width="14" style="4" customWidth="1"/>
    <col min="7955" max="7956" width="8.7109375" style="4" customWidth="1"/>
    <col min="7957" max="7957" width="14.140625" style="4" customWidth="1"/>
    <col min="7958" max="7958" width="8.7109375" style="4" customWidth="1"/>
    <col min="7959" max="7959" width="8" style="4" customWidth="1"/>
    <col min="7960" max="8192" width="11.42578125" style="4"/>
    <col min="8193" max="8193" width="76.140625" style="4" customWidth="1"/>
    <col min="8194" max="8194" width="17" style="4" bestFit="1" customWidth="1"/>
    <col min="8195" max="8195" width="18.28515625" style="4" customWidth="1"/>
    <col min="8196" max="8196" width="16.85546875" style="4" customWidth="1"/>
    <col min="8197" max="8197" width="17.7109375" style="4" customWidth="1"/>
    <col min="8198" max="8198" width="18.28515625" style="4" customWidth="1"/>
    <col min="8199" max="8199" width="18.85546875" style="4" customWidth="1"/>
    <col min="8200" max="8200" width="15.140625" style="4" customWidth="1"/>
    <col min="8201" max="8201" width="49.7109375" style="4" customWidth="1"/>
    <col min="8202" max="8202" width="12.140625" style="4" customWidth="1"/>
    <col min="8203" max="8203" width="7.7109375" style="4" customWidth="1"/>
    <col min="8204" max="8204" width="12.140625" style="4" customWidth="1"/>
    <col min="8205" max="8205" width="8.28515625" style="4" customWidth="1"/>
    <col min="8206" max="8206" width="8.7109375" style="4" customWidth="1"/>
    <col min="8207" max="8207" width="12.42578125" style="4" customWidth="1"/>
    <col min="8208" max="8209" width="8.7109375" style="4" customWidth="1"/>
    <col min="8210" max="8210" width="14" style="4" customWidth="1"/>
    <col min="8211" max="8212" width="8.7109375" style="4" customWidth="1"/>
    <col min="8213" max="8213" width="14.140625" style="4" customWidth="1"/>
    <col min="8214" max="8214" width="8.7109375" style="4" customWidth="1"/>
    <col min="8215" max="8215" width="8" style="4" customWidth="1"/>
    <col min="8216" max="8448" width="11.42578125" style="4"/>
    <col min="8449" max="8449" width="76.140625" style="4" customWidth="1"/>
    <col min="8450" max="8450" width="17" style="4" bestFit="1" customWidth="1"/>
    <col min="8451" max="8451" width="18.28515625" style="4" customWidth="1"/>
    <col min="8452" max="8452" width="16.85546875" style="4" customWidth="1"/>
    <col min="8453" max="8453" width="17.7109375" style="4" customWidth="1"/>
    <col min="8454" max="8454" width="18.28515625" style="4" customWidth="1"/>
    <col min="8455" max="8455" width="18.85546875" style="4" customWidth="1"/>
    <col min="8456" max="8456" width="15.140625" style="4" customWidth="1"/>
    <col min="8457" max="8457" width="49.7109375" style="4" customWidth="1"/>
    <col min="8458" max="8458" width="12.140625" style="4" customWidth="1"/>
    <col min="8459" max="8459" width="7.7109375" style="4" customWidth="1"/>
    <col min="8460" max="8460" width="12.140625" style="4" customWidth="1"/>
    <col min="8461" max="8461" width="8.28515625" style="4" customWidth="1"/>
    <col min="8462" max="8462" width="8.7109375" style="4" customWidth="1"/>
    <col min="8463" max="8463" width="12.42578125" style="4" customWidth="1"/>
    <col min="8464" max="8465" width="8.7109375" style="4" customWidth="1"/>
    <col min="8466" max="8466" width="14" style="4" customWidth="1"/>
    <col min="8467" max="8468" width="8.7109375" style="4" customWidth="1"/>
    <col min="8469" max="8469" width="14.140625" style="4" customWidth="1"/>
    <col min="8470" max="8470" width="8.7109375" style="4" customWidth="1"/>
    <col min="8471" max="8471" width="8" style="4" customWidth="1"/>
    <col min="8472" max="8704" width="11.42578125" style="4"/>
    <col min="8705" max="8705" width="76.140625" style="4" customWidth="1"/>
    <col min="8706" max="8706" width="17" style="4" bestFit="1" customWidth="1"/>
    <col min="8707" max="8707" width="18.28515625" style="4" customWidth="1"/>
    <col min="8708" max="8708" width="16.85546875" style="4" customWidth="1"/>
    <col min="8709" max="8709" width="17.7109375" style="4" customWidth="1"/>
    <col min="8710" max="8710" width="18.28515625" style="4" customWidth="1"/>
    <col min="8711" max="8711" width="18.85546875" style="4" customWidth="1"/>
    <col min="8712" max="8712" width="15.140625" style="4" customWidth="1"/>
    <col min="8713" max="8713" width="49.7109375" style="4" customWidth="1"/>
    <col min="8714" max="8714" width="12.140625" style="4" customWidth="1"/>
    <col min="8715" max="8715" width="7.7109375" style="4" customWidth="1"/>
    <col min="8716" max="8716" width="12.140625" style="4" customWidth="1"/>
    <col min="8717" max="8717" width="8.28515625" style="4" customWidth="1"/>
    <col min="8718" max="8718" width="8.7109375" style="4" customWidth="1"/>
    <col min="8719" max="8719" width="12.42578125" style="4" customWidth="1"/>
    <col min="8720" max="8721" width="8.7109375" style="4" customWidth="1"/>
    <col min="8722" max="8722" width="14" style="4" customWidth="1"/>
    <col min="8723" max="8724" width="8.7109375" style="4" customWidth="1"/>
    <col min="8725" max="8725" width="14.140625" style="4" customWidth="1"/>
    <col min="8726" max="8726" width="8.7109375" style="4" customWidth="1"/>
    <col min="8727" max="8727" width="8" style="4" customWidth="1"/>
    <col min="8728" max="8960" width="11.42578125" style="4"/>
    <col min="8961" max="8961" width="76.140625" style="4" customWidth="1"/>
    <col min="8962" max="8962" width="17" style="4" bestFit="1" customWidth="1"/>
    <col min="8963" max="8963" width="18.28515625" style="4" customWidth="1"/>
    <col min="8964" max="8964" width="16.85546875" style="4" customWidth="1"/>
    <col min="8965" max="8965" width="17.7109375" style="4" customWidth="1"/>
    <col min="8966" max="8966" width="18.28515625" style="4" customWidth="1"/>
    <col min="8967" max="8967" width="18.85546875" style="4" customWidth="1"/>
    <col min="8968" max="8968" width="15.140625" style="4" customWidth="1"/>
    <col min="8969" max="8969" width="49.7109375" style="4" customWidth="1"/>
    <col min="8970" max="8970" width="12.140625" style="4" customWidth="1"/>
    <col min="8971" max="8971" width="7.7109375" style="4" customWidth="1"/>
    <col min="8972" max="8972" width="12.140625" style="4" customWidth="1"/>
    <col min="8973" max="8973" width="8.28515625" style="4" customWidth="1"/>
    <col min="8974" max="8974" width="8.7109375" style="4" customWidth="1"/>
    <col min="8975" max="8975" width="12.42578125" style="4" customWidth="1"/>
    <col min="8976" max="8977" width="8.7109375" style="4" customWidth="1"/>
    <col min="8978" max="8978" width="14" style="4" customWidth="1"/>
    <col min="8979" max="8980" width="8.7109375" style="4" customWidth="1"/>
    <col min="8981" max="8981" width="14.140625" style="4" customWidth="1"/>
    <col min="8982" max="8982" width="8.7109375" style="4" customWidth="1"/>
    <col min="8983" max="8983" width="8" style="4" customWidth="1"/>
    <col min="8984" max="9216" width="11.42578125" style="4"/>
    <col min="9217" max="9217" width="76.140625" style="4" customWidth="1"/>
    <col min="9218" max="9218" width="17" style="4" bestFit="1" customWidth="1"/>
    <col min="9219" max="9219" width="18.28515625" style="4" customWidth="1"/>
    <col min="9220" max="9220" width="16.85546875" style="4" customWidth="1"/>
    <col min="9221" max="9221" width="17.7109375" style="4" customWidth="1"/>
    <col min="9222" max="9222" width="18.28515625" style="4" customWidth="1"/>
    <col min="9223" max="9223" width="18.85546875" style="4" customWidth="1"/>
    <col min="9224" max="9224" width="15.140625" style="4" customWidth="1"/>
    <col min="9225" max="9225" width="49.7109375" style="4" customWidth="1"/>
    <col min="9226" max="9226" width="12.140625" style="4" customWidth="1"/>
    <col min="9227" max="9227" width="7.7109375" style="4" customWidth="1"/>
    <col min="9228" max="9228" width="12.140625" style="4" customWidth="1"/>
    <col min="9229" max="9229" width="8.28515625" style="4" customWidth="1"/>
    <col min="9230" max="9230" width="8.7109375" style="4" customWidth="1"/>
    <col min="9231" max="9231" width="12.42578125" style="4" customWidth="1"/>
    <col min="9232" max="9233" width="8.7109375" style="4" customWidth="1"/>
    <col min="9234" max="9234" width="14" style="4" customWidth="1"/>
    <col min="9235" max="9236" width="8.7109375" style="4" customWidth="1"/>
    <col min="9237" max="9237" width="14.140625" style="4" customWidth="1"/>
    <col min="9238" max="9238" width="8.7109375" style="4" customWidth="1"/>
    <col min="9239" max="9239" width="8" style="4" customWidth="1"/>
    <col min="9240" max="9472" width="11.42578125" style="4"/>
    <col min="9473" max="9473" width="76.140625" style="4" customWidth="1"/>
    <col min="9474" max="9474" width="17" style="4" bestFit="1" customWidth="1"/>
    <col min="9475" max="9475" width="18.28515625" style="4" customWidth="1"/>
    <col min="9476" max="9476" width="16.85546875" style="4" customWidth="1"/>
    <col min="9477" max="9477" width="17.7109375" style="4" customWidth="1"/>
    <col min="9478" max="9478" width="18.28515625" style="4" customWidth="1"/>
    <col min="9479" max="9479" width="18.85546875" style="4" customWidth="1"/>
    <col min="9480" max="9480" width="15.140625" style="4" customWidth="1"/>
    <col min="9481" max="9481" width="49.7109375" style="4" customWidth="1"/>
    <col min="9482" max="9482" width="12.140625" style="4" customWidth="1"/>
    <col min="9483" max="9483" width="7.7109375" style="4" customWidth="1"/>
    <col min="9484" max="9484" width="12.140625" style="4" customWidth="1"/>
    <col min="9485" max="9485" width="8.28515625" style="4" customWidth="1"/>
    <col min="9486" max="9486" width="8.7109375" style="4" customWidth="1"/>
    <col min="9487" max="9487" width="12.42578125" style="4" customWidth="1"/>
    <col min="9488" max="9489" width="8.7109375" style="4" customWidth="1"/>
    <col min="9490" max="9490" width="14" style="4" customWidth="1"/>
    <col min="9491" max="9492" width="8.7109375" style="4" customWidth="1"/>
    <col min="9493" max="9493" width="14.140625" style="4" customWidth="1"/>
    <col min="9494" max="9494" width="8.7109375" style="4" customWidth="1"/>
    <col min="9495" max="9495" width="8" style="4" customWidth="1"/>
    <col min="9496" max="9728" width="11.42578125" style="4"/>
    <col min="9729" max="9729" width="76.140625" style="4" customWidth="1"/>
    <col min="9730" max="9730" width="17" style="4" bestFit="1" customWidth="1"/>
    <col min="9731" max="9731" width="18.28515625" style="4" customWidth="1"/>
    <col min="9732" max="9732" width="16.85546875" style="4" customWidth="1"/>
    <col min="9733" max="9733" width="17.7109375" style="4" customWidth="1"/>
    <col min="9734" max="9734" width="18.28515625" style="4" customWidth="1"/>
    <col min="9735" max="9735" width="18.85546875" style="4" customWidth="1"/>
    <col min="9736" max="9736" width="15.140625" style="4" customWidth="1"/>
    <col min="9737" max="9737" width="49.7109375" style="4" customWidth="1"/>
    <col min="9738" max="9738" width="12.140625" style="4" customWidth="1"/>
    <col min="9739" max="9739" width="7.7109375" style="4" customWidth="1"/>
    <col min="9740" max="9740" width="12.140625" style="4" customWidth="1"/>
    <col min="9741" max="9741" width="8.28515625" style="4" customWidth="1"/>
    <col min="9742" max="9742" width="8.7109375" style="4" customWidth="1"/>
    <col min="9743" max="9743" width="12.42578125" style="4" customWidth="1"/>
    <col min="9744" max="9745" width="8.7109375" style="4" customWidth="1"/>
    <col min="9746" max="9746" width="14" style="4" customWidth="1"/>
    <col min="9747" max="9748" width="8.7109375" style="4" customWidth="1"/>
    <col min="9749" max="9749" width="14.140625" style="4" customWidth="1"/>
    <col min="9750" max="9750" width="8.7109375" style="4" customWidth="1"/>
    <col min="9751" max="9751" width="8" style="4" customWidth="1"/>
    <col min="9752" max="9984" width="11.42578125" style="4"/>
    <col min="9985" max="9985" width="76.140625" style="4" customWidth="1"/>
    <col min="9986" max="9986" width="17" style="4" bestFit="1" customWidth="1"/>
    <col min="9987" max="9987" width="18.28515625" style="4" customWidth="1"/>
    <col min="9988" max="9988" width="16.85546875" style="4" customWidth="1"/>
    <col min="9989" max="9989" width="17.7109375" style="4" customWidth="1"/>
    <col min="9990" max="9990" width="18.28515625" style="4" customWidth="1"/>
    <col min="9991" max="9991" width="18.85546875" style="4" customWidth="1"/>
    <col min="9992" max="9992" width="15.140625" style="4" customWidth="1"/>
    <col min="9993" max="9993" width="49.7109375" style="4" customWidth="1"/>
    <col min="9994" max="9994" width="12.140625" style="4" customWidth="1"/>
    <col min="9995" max="9995" width="7.7109375" style="4" customWidth="1"/>
    <col min="9996" max="9996" width="12.140625" style="4" customWidth="1"/>
    <col min="9997" max="9997" width="8.28515625" style="4" customWidth="1"/>
    <col min="9998" max="9998" width="8.7109375" style="4" customWidth="1"/>
    <col min="9999" max="9999" width="12.42578125" style="4" customWidth="1"/>
    <col min="10000" max="10001" width="8.7109375" style="4" customWidth="1"/>
    <col min="10002" max="10002" width="14" style="4" customWidth="1"/>
    <col min="10003" max="10004" width="8.7109375" style="4" customWidth="1"/>
    <col min="10005" max="10005" width="14.140625" style="4" customWidth="1"/>
    <col min="10006" max="10006" width="8.7109375" style="4" customWidth="1"/>
    <col min="10007" max="10007" width="8" style="4" customWidth="1"/>
    <col min="10008" max="10240" width="11.42578125" style="4"/>
    <col min="10241" max="10241" width="76.140625" style="4" customWidth="1"/>
    <col min="10242" max="10242" width="17" style="4" bestFit="1" customWidth="1"/>
    <col min="10243" max="10243" width="18.28515625" style="4" customWidth="1"/>
    <col min="10244" max="10244" width="16.85546875" style="4" customWidth="1"/>
    <col min="10245" max="10245" width="17.7109375" style="4" customWidth="1"/>
    <col min="10246" max="10246" width="18.28515625" style="4" customWidth="1"/>
    <col min="10247" max="10247" width="18.85546875" style="4" customWidth="1"/>
    <col min="10248" max="10248" width="15.140625" style="4" customWidth="1"/>
    <col min="10249" max="10249" width="49.7109375" style="4" customWidth="1"/>
    <col min="10250" max="10250" width="12.140625" style="4" customWidth="1"/>
    <col min="10251" max="10251" width="7.7109375" style="4" customWidth="1"/>
    <col min="10252" max="10252" width="12.140625" style="4" customWidth="1"/>
    <col min="10253" max="10253" width="8.28515625" style="4" customWidth="1"/>
    <col min="10254" max="10254" width="8.7109375" style="4" customWidth="1"/>
    <col min="10255" max="10255" width="12.42578125" style="4" customWidth="1"/>
    <col min="10256" max="10257" width="8.7109375" style="4" customWidth="1"/>
    <col min="10258" max="10258" width="14" style="4" customWidth="1"/>
    <col min="10259" max="10260" width="8.7109375" style="4" customWidth="1"/>
    <col min="10261" max="10261" width="14.140625" style="4" customWidth="1"/>
    <col min="10262" max="10262" width="8.7109375" style="4" customWidth="1"/>
    <col min="10263" max="10263" width="8" style="4" customWidth="1"/>
    <col min="10264" max="10496" width="11.42578125" style="4"/>
    <col min="10497" max="10497" width="76.140625" style="4" customWidth="1"/>
    <col min="10498" max="10498" width="17" style="4" bestFit="1" customWidth="1"/>
    <col min="10499" max="10499" width="18.28515625" style="4" customWidth="1"/>
    <col min="10500" max="10500" width="16.85546875" style="4" customWidth="1"/>
    <col min="10501" max="10501" width="17.7109375" style="4" customWidth="1"/>
    <col min="10502" max="10502" width="18.28515625" style="4" customWidth="1"/>
    <col min="10503" max="10503" width="18.85546875" style="4" customWidth="1"/>
    <col min="10504" max="10504" width="15.140625" style="4" customWidth="1"/>
    <col min="10505" max="10505" width="49.7109375" style="4" customWidth="1"/>
    <col min="10506" max="10506" width="12.140625" style="4" customWidth="1"/>
    <col min="10507" max="10507" width="7.7109375" style="4" customWidth="1"/>
    <col min="10508" max="10508" width="12.140625" style="4" customWidth="1"/>
    <col min="10509" max="10509" width="8.28515625" style="4" customWidth="1"/>
    <col min="10510" max="10510" width="8.7109375" style="4" customWidth="1"/>
    <col min="10511" max="10511" width="12.42578125" style="4" customWidth="1"/>
    <col min="10512" max="10513" width="8.7109375" style="4" customWidth="1"/>
    <col min="10514" max="10514" width="14" style="4" customWidth="1"/>
    <col min="10515" max="10516" width="8.7109375" style="4" customWidth="1"/>
    <col min="10517" max="10517" width="14.140625" style="4" customWidth="1"/>
    <col min="10518" max="10518" width="8.7109375" style="4" customWidth="1"/>
    <col min="10519" max="10519" width="8" style="4" customWidth="1"/>
    <col min="10520" max="10752" width="11.42578125" style="4"/>
    <col min="10753" max="10753" width="76.140625" style="4" customWidth="1"/>
    <col min="10754" max="10754" width="17" style="4" bestFit="1" customWidth="1"/>
    <col min="10755" max="10755" width="18.28515625" style="4" customWidth="1"/>
    <col min="10756" max="10756" width="16.85546875" style="4" customWidth="1"/>
    <col min="10757" max="10757" width="17.7109375" style="4" customWidth="1"/>
    <col min="10758" max="10758" width="18.28515625" style="4" customWidth="1"/>
    <col min="10759" max="10759" width="18.85546875" style="4" customWidth="1"/>
    <col min="10760" max="10760" width="15.140625" style="4" customWidth="1"/>
    <col min="10761" max="10761" width="49.7109375" style="4" customWidth="1"/>
    <col min="10762" max="10762" width="12.140625" style="4" customWidth="1"/>
    <col min="10763" max="10763" width="7.7109375" style="4" customWidth="1"/>
    <col min="10764" max="10764" width="12.140625" style="4" customWidth="1"/>
    <col min="10765" max="10765" width="8.28515625" style="4" customWidth="1"/>
    <col min="10766" max="10766" width="8.7109375" style="4" customWidth="1"/>
    <col min="10767" max="10767" width="12.42578125" style="4" customWidth="1"/>
    <col min="10768" max="10769" width="8.7109375" style="4" customWidth="1"/>
    <col min="10770" max="10770" width="14" style="4" customWidth="1"/>
    <col min="10771" max="10772" width="8.7109375" style="4" customWidth="1"/>
    <col min="10773" max="10773" width="14.140625" style="4" customWidth="1"/>
    <col min="10774" max="10774" width="8.7109375" style="4" customWidth="1"/>
    <col min="10775" max="10775" width="8" style="4" customWidth="1"/>
    <col min="10776" max="11008" width="11.42578125" style="4"/>
    <col min="11009" max="11009" width="76.140625" style="4" customWidth="1"/>
    <col min="11010" max="11010" width="17" style="4" bestFit="1" customWidth="1"/>
    <col min="11011" max="11011" width="18.28515625" style="4" customWidth="1"/>
    <col min="11012" max="11012" width="16.85546875" style="4" customWidth="1"/>
    <col min="11013" max="11013" width="17.7109375" style="4" customWidth="1"/>
    <col min="11014" max="11014" width="18.28515625" style="4" customWidth="1"/>
    <col min="11015" max="11015" width="18.85546875" style="4" customWidth="1"/>
    <col min="11016" max="11016" width="15.140625" style="4" customWidth="1"/>
    <col min="11017" max="11017" width="49.7109375" style="4" customWidth="1"/>
    <col min="11018" max="11018" width="12.140625" style="4" customWidth="1"/>
    <col min="11019" max="11019" width="7.7109375" style="4" customWidth="1"/>
    <col min="11020" max="11020" width="12.140625" style="4" customWidth="1"/>
    <col min="11021" max="11021" width="8.28515625" style="4" customWidth="1"/>
    <col min="11022" max="11022" width="8.7109375" style="4" customWidth="1"/>
    <col min="11023" max="11023" width="12.42578125" style="4" customWidth="1"/>
    <col min="11024" max="11025" width="8.7109375" style="4" customWidth="1"/>
    <col min="11026" max="11026" width="14" style="4" customWidth="1"/>
    <col min="11027" max="11028" width="8.7109375" style="4" customWidth="1"/>
    <col min="11029" max="11029" width="14.140625" style="4" customWidth="1"/>
    <col min="11030" max="11030" width="8.7109375" style="4" customWidth="1"/>
    <col min="11031" max="11031" width="8" style="4" customWidth="1"/>
    <col min="11032" max="11264" width="11.42578125" style="4"/>
    <col min="11265" max="11265" width="76.140625" style="4" customWidth="1"/>
    <col min="11266" max="11266" width="17" style="4" bestFit="1" customWidth="1"/>
    <col min="11267" max="11267" width="18.28515625" style="4" customWidth="1"/>
    <col min="11268" max="11268" width="16.85546875" style="4" customWidth="1"/>
    <col min="11269" max="11269" width="17.7109375" style="4" customWidth="1"/>
    <col min="11270" max="11270" width="18.28515625" style="4" customWidth="1"/>
    <col min="11271" max="11271" width="18.85546875" style="4" customWidth="1"/>
    <col min="11272" max="11272" width="15.140625" style="4" customWidth="1"/>
    <col min="11273" max="11273" width="49.7109375" style="4" customWidth="1"/>
    <col min="11274" max="11274" width="12.140625" style="4" customWidth="1"/>
    <col min="11275" max="11275" width="7.7109375" style="4" customWidth="1"/>
    <col min="11276" max="11276" width="12.140625" style="4" customWidth="1"/>
    <col min="11277" max="11277" width="8.28515625" style="4" customWidth="1"/>
    <col min="11278" max="11278" width="8.7109375" style="4" customWidth="1"/>
    <col min="11279" max="11279" width="12.42578125" style="4" customWidth="1"/>
    <col min="11280" max="11281" width="8.7109375" style="4" customWidth="1"/>
    <col min="11282" max="11282" width="14" style="4" customWidth="1"/>
    <col min="11283" max="11284" width="8.7109375" style="4" customWidth="1"/>
    <col min="11285" max="11285" width="14.140625" style="4" customWidth="1"/>
    <col min="11286" max="11286" width="8.7109375" style="4" customWidth="1"/>
    <col min="11287" max="11287" width="8" style="4" customWidth="1"/>
    <col min="11288" max="11520" width="11.42578125" style="4"/>
    <col min="11521" max="11521" width="76.140625" style="4" customWidth="1"/>
    <col min="11522" max="11522" width="17" style="4" bestFit="1" customWidth="1"/>
    <col min="11523" max="11523" width="18.28515625" style="4" customWidth="1"/>
    <col min="11524" max="11524" width="16.85546875" style="4" customWidth="1"/>
    <col min="11525" max="11525" width="17.7109375" style="4" customWidth="1"/>
    <col min="11526" max="11526" width="18.28515625" style="4" customWidth="1"/>
    <col min="11527" max="11527" width="18.85546875" style="4" customWidth="1"/>
    <col min="11528" max="11528" width="15.140625" style="4" customWidth="1"/>
    <col min="11529" max="11529" width="49.7109375" style="4" customWidth="1"/>
    <col min="11530" max="11530" width="12.140625" style="4" customWidth="1"/>
    <col min="11531" max="11531" width="7.7109375" style="4" customWidth="1"/>
    <col min="11532" max="11532" width="12.140625" style="4" customWidth="1"/>
    <col min="11533" max="11533" width="8.28515625" style="4" customWidth="1"/>
    <col min="11534" max="11534" width="8.7109375" style="4" customWidth="1"/>
    <col min="11535" max="11535" width="12.42578125" style="4" customWidth="1"/>
    <col min="11536" max="11537" width="8.7109375" style="4" customWidth="1"/>
    <col min="11538" max="11538" width="14" style="4" customWidth="1"/>
    <col min="11539" max="11540" width="8.7109375" style="4" customWidth="1"/>
    <col min="11541" max="11541" width="14.140625" style="4" customWidth="1"/>
    <col min="11542" max="11542" width="8.7109375" style="4" customWidth="1"/>
    <col min="11543" max="11543" width="8" style="4" customWidth="1"/>
    <col min="11544" max="11776" width="11.42578125" style="4"/>
    <col min="11777" max="11777" width="76.140625" style="4" customWidth="1"/>
    <col min="11778" max="11778" width="17" style="4" bestFit="1" customWidth="1"/>
    <col min="11779" max="11779" width="18.28515625" style="4" customWidth="1"/>
    <col min="11780" max="11780" width="16.85546875" style="4" customWidth="1"/>
    <col min="11781" max="11781" width="17.7109375" style="4" customWidth="1"/>
    <col min="11782" max="11782" width="18.28515625" style="4" customWidth="1"/>
    <col min="11783" max="11783" width="18.85546875" style="4" customWidth="1"/>
    <col min="11784" max="11784" width="15.140625" style="4" customWidth="1"/>
    <col min="11785" max="11785" width="49.7109375" style="4" customWidth="1"/>
    <col min="11786" max="11786" width="12.140625" style="4" customWidth="1"/>
    <col min="11787" max="11787" width="7.7109375" style="4" customWidth="1"/>
    <col min="11788" max="11788" width="12.140625" style="4" customWidth="1"/>
    <col min="11789" max="11789" width="8.28515625" style="4" customWidth="1"/>
    <col min="11790" max="11790" width="8.7109375" style="4" customWidth="1"/>
    <col min="11791" max="11791" width="12.42578125" style="4" customWidth="1"/>
    <col min="11792" max="11793" width="8.7109375" style="4" customWidth="1"/>
    <col min="11794" max="11794" width="14" style="4" customWidth="1"/>
    <col min="11795" max="11796" width="8.7109375" style="4" customWidth="1"/>
    <col min="11797" max="11797" width="14.140625" style="4" customWidth="1"/>
    <col min="11798" max="11798" width="8.7109375" style="4" customWidth="1"/>
    <col min="11799" max="11799" width="8" style="4" customWidth="1"/>
    <col min="11800" max="12032" width="11.42578125" style="4"/>
    <col min="12033" max="12033" width="76.140625" style="4" customWidth="1"/>
    <col min="12034" max="12034" width="17" style="4" bestFit="1" customWidth="1"/>
    <col min="12035" max="12035" width="18.28515625" style="4" customWidth="1"/>
    <col min="12036" max="12036" width="16.85546875" style="4" customWidth="1"/>
    <col min="12037" max="12037" width="17.7109375" style="4" customWidth="1"/>
    <col min="12038" max="12038" width="18.28515625" style="4" customWidth="1"/>
    <col min="12039" max="12039" width="18.85546875" style="4" customWidth="1"/>
    <col min="12040" max="12040" width="15.140625" style="4" customWidth="1"/>
    <col min="12041" max="12041" width="49.7109375" style="4" customWidth="1"/>
    <col min="12042" max="12042" width="12.140625" style="4" customWidth="1"/>
    <col min="12043" max="12043" width="7.7109375" style="4" customWidth="1"/>
    <col min="12044" max="12044" width="12.140625" style="4" customWidth="1"/>
    <col min="12045" max="12045" width="8.28515625" style="4" customWidth="1"/>
    <col min="12046" max="12046" width="8.7109375" style="4" customWidth="1"/>
    <col min="12047" max="12047" width="12.42578125" style="4" customWidth="1"/>
    <col min="12048" max="12049" width="8.7109375" style="4" customWidth="1"/>
    <col min="12050" max="12050" width="14" style="4" customWidth="1"/>
    <col min="12051" max="12052" width="8.7109375" style="4" customWidth="1"/>
    <col min="12053" max="12053" width="14.140625" style="4" customWidth="1"/>
    <col min="12054" max="12054" width="8.7109375" style="4" customWidth="1"/>
    <col min="12055" max="12055" width="8" style="4" customWidth="1"/>
    <col min="12056" max="12288" width="11.42578125" style="4"/>
    <col min="12289" max="12289" width="76.140625" style="4" customWidth="1"/>
    <col min="12290" max="12290" width="17" style="4" bestFit="1" customWidth="1"/>
    <col min="12291" max="12291" width="18.28515625" style="4" customWidth="1"/>
    <col min="12292" max="12292" width="16.85546875" style="4" customWidth="1"/>
    <col min="12293" max="12293" width="17.7109375" style="4" customWidth="1"/>
    <col min="12294" max="12294" width="18.28515625" style="4" customWidth="1"/>
    <col min="12295" max="12295" width="18.85546875" style="4" customWidth="1"/>
    <col min="12296" max="12296" width="15.140625" style="4" customWidth="1"/>
    <col min="12297" max="12297" width="49.7109375" style="4" customWidth="1"/>
    <col min="12298" max="12298" width="12.140625" style="4" customWidth="1"/>
    <col min="12299" max="12299" width="7.7109375" style="4" customWidth="1"/>
    <col min="12300" max="12300" width="12.140625" style="4" customWidth="1"/>
    <col min="12301" max="12301" width="8.28515625" style="4" customWidth="1"/>
    <col min="12302" max="12302" width="8.7109375" style="4" customWidth="1"/>
    <col min="12303" max="12303" width="12.42578125" style="4" customWidth="1"/>
    <col min="12304" max="12305" width="8.7109375" style="4" customWidth="1"/>
    <col min="12306" max="12306" width="14" style="4" customWidth="1"/>
    <col min="12307" max="12308" width="8.7109375" style="4" customWidth="1"/>
    <col min="12309" max="12309" width="14.140625" style="4" customWidth="1"/>
    <col min="12310" max="12310" width="8.7109375" style="4" customWidth="1"/>
    <col min="12311" max="12311" width="8" style="4" customWidth="1"/>
    <col min="12312" max="12544" width="11.42578125" style="4"/>
    <col min="12545" max="12545" width="76.140625" style="4" customWidth="1"/>
    <col min="12546" max="12546" width="17" style="4" bestFit="1" customWidth="1"/>
    <col min="12547" max="12547" width="18.28515625" style="4" customWidth="1"/>
    <col min="12548" max="12548" width="16.85546875" style="4" customWidth="1"/>
    <col min="12549" max="12549" width="17.7109375" style="4" customWidth="1"/>
    <col min="12550" max="12550" width="18.28515625" style="4" customWidth="1"/>
    <col min="12551" max="12551" width="18.85546875" style="4" customWidth="1"/>
    <col min="12552" max="12552" width="15.140625" style="4" customWidth="1"/>
    <col min="12553" max="12553" width="49.7109375" style="4" customWidth="1"/>
    <col min="12554" max="12554" width="12.140625" style="4" customWidth="1"/>
    <col min="12555" max="12555" width="7.7109375" style="4" customWidth="1"/>
    <col min="12556" max="12556" width="12.140625" style="4" customWidth="1"/>
    <col min="12557" max="12557" width="8.28515625" style="4" customWidth="1"/>
    <col min="12558" max="12558" width="8.7109375" style="4" customWidth="1"/>
    <col min="12559" max="12559" width="12.42578125" style="4" customWidth="1"/>
    <col min="12560" max="12561" width="8.7109375" style="4" customWidth="1"/>
    <col min="12562" max="12562" width="14" style="4" customWidth="1"/>
    <col min="12563" max="12564" width="8.7109375" style="4" customWidth="1"/>
    <col min="12565" max="12565" width="14.140625" style="4" customWidth="1"/>
    <col min="12566" max="12566" width="8.7109375" style="4" customWidth="1"/>
    <col min="12567" max="12567" width="8" style="4" customWidth="1"/>
    <col min="12568" max="12800" width="11.42578125" style="4"/>
    <col min="12801" max="12801" width="76.140625" style="4" customWidth="1"/>
    <col min="12802" max="12802" width="17" style="4" bestFit="1" customWidth="1"/>
    <col min="12803" max="12803" width="18.28515625" style="4" customWidth="1"/>
    <col min="12804" max="12804" width="16.85546875" style="4" customWidth="1"/>
    <col min="12805" max="12805" width="17.7109375" style="4" customWidth="1"/>
    <col min="12806" max="12806" width="18.28515625" style="4" customWidth="1"/>
    <col min="12807" max="12807" width="18.85546875" style="4" customWidth="1"/>
    <col min="12808" max="12808" width="15.140625" style="4" customWidth="1"/>
    <col min="12809" max="12809" width="49.7109375" style="4" customWidth="1"/>
    <col min="12810" max="12810" width="12.140625" style="4" customWidth="1"/>
    <col min="12811" max="12811" width="7.7109375" style="4" customWidth="1"/>
    <col min="12812" max="12812" width="12.140625" style="4" customWidth="1"/>
    <col min="12813" max="12813" width="8.28515625" style="4" customWidth="1"/>
    <col min="12814" max="12814" width="8.7109375" style="4" customWidth="1"/>
    <col min="12815" max="12815" width="12.42578125" style="4" customWidth="1"/>
    <col min="12816" max="12817" width="8.7109375" style="4" customWidth="1"/>
    <col min="12818" max="12818" width="14" style="4" customWidth="1"/>
    <col min="12819" max="12820" width="8.7109375" style="4" customWidth="1"/>
    <col min="12821" max="12821" width="14.140625" style="4" customWidth="1"/>
    <col min="12822" max="12822" width="8.7109375" style="4" customWidth="1"/>
    <col min="12823" max="12823" width="8" style="4" customWidth="1"/>
    <col min="12824" max="13056" width="11.42578125" style="4"/>
    <col min="13057" max="13057" width="76.140625" style="4" customWidth="1"/>
    <col min="13058" max="13058" width="17" style="4" bestFit="1" customWidth="1"/>
    <col min="13059" max="13059" width="18.28515625" style="4" customWidth="1"/>
    <col min="13060" max="13060" width="16.85546875" style="4" customWidth="1"/>
    <col min="13061" max="13061" width="17.7109375" style="4" customWidth="1"/>
    <col min="13062" max="13062" width="18.28515625" style="4" customWidth="1"/>
    <col min="13063" max="13063" width="18.85546875" style="4" customWidth="1"/>
    <col min="13064" max="13064" width="15.140625" style="4" customWidth="1"/>
    <col min="13065" max="13065" width="49.7109375" style="4" customWidth="1"/>
    <col min="13066" max="13066" width="12.140625" style="4" customWidth="1"/>
    <col min="13067" max="13067" width="7.7109375" style="4" customWidth="1"/>
    <col min="13068" max="13068" width="12.140625" style="4" customWidth="1"/>
    <col min="13069" max="13069" width="8.28515625" style="4" customWidth="1"/>
    <col min="13070" max="13070" width="8.7109375" style="4" customWidth="1"/>
    <col min="13071" max="13071" width="12.42578125" style="4" customWidth="1"/>
    <col min="13072" max="13073" width="8.7109375" style="4" customWidth="1"/>
    <col min="13074" max="13074" width="14" style="4" customWidth="1"/>
    <col min="13075" max="13076" width="8.7109375" style="4" customWidth="1"/>
    <col min="13077" max="13077" width="14.140625" style="4" customWidth="1"/>
    <col min="13078" max="13078" width="8.7109375" style="4" customWidth="1"/>
    <col min="13079" max="13079" width="8" style="4" customWidth="1"/>
    <col min="13080" max="13312" width="11.42578125" style="4"/>
    <col min="13313" max="13313" width="76.140625" style="4" customWidth="1"/>
    <col min="13314" max="13314" width="17" style="4" bestFit="1" customWidth="1"/>
    <col min="13315" max="13315" width="18.28515625" style="4" customWidth="1"/>
    <col min="13316" max="13316" width="16.85546875" style="4" customWidth="1"/>
    <col min="13317" max="13317" width="17.7109375" style="4" customWidth="1"/>
    <col min="13318" max="13318" width="18.28515625" style="4" customWidth="1"/>
    <col min="13319" max="13319" width="18.85546875" style="4" customWidth="1"/>
    <col min="13320" max="13320" width="15.140625" style="4" customWidth="1"/>
    <col min="13321" max="13321" width="49.7109375" style="4" customWidth="1"/>
    <col min="13322" max="13322" width="12.140625" style="4" customWidth="1"/>
    <col min="13323" max="13323" width="7.7109375" style="4" customWidth="1"/>
    <col min="13324" max="13324" width="12.140625" style="4" customWidth="1"/>
    <col min="13325" max="13325" width="8.28515625" style="4" customWidth="1"/>
    <col min="13326" max="13326" width="8.7109375" style="4" customWidth="1"/>
    <col min="13327" max="13327" width="12.42578125" style="4" customWidth="1"/>
    <col min="13328" max="13329" width="8.7109375" style="4" customWidth="1"/>
    <col min="13330" max="13330" width="14" style="4" customWidth="1"/>
    <col min="13331" max="13332" width="8.7109375" style="4" customWidth="1"/>
    <col min="13333" max="13333" width="14.140625" style="4" customWidth="1"/>
    <col min="13334" max="13334" width="8.7109375" style="4" customWidth="1"/>
    <col min="13335" max="13335" width="8" style="4" customWidth="1"/>
    <col min="13336" max="13568" width="11.42578125" style="4"/>
    <col min="13569" max="13569" width="76.140625" style="4" customWidth="1"/>
    <col min="13570" max="13570" width="17" style="4" bestFit="1" customWidth="1"/>
    <col min="13571" max="13571" width="18.28515625" style="4" customWidth="1"/>
    <col min="13572" max="13572" width="16.85546875" style="4" customWidth="1"/>
    <col min="13573" max="13573" width="17.7109375" style="4" customWidth="1"/>
    <col min="13574" max="13574" width="18.28515625" style="4" customWidth="1"/>
    <col min="13575" max="13575" width="18.85546875" style="4" customWidth="1"/>
    <col min="13576" max="13576" width="15.140625" style="4" customWidth="1"/>
    <col min="13577" max="13577" width="49.7109375" style="4" customWidth="1"/>
    <col min="13578" max="13578" width="12.140625" style="4" customWidth="1"/>
    <col min="13579" max="13579" width="7.7109375" style="4" customWidth="1"/>
    <col min="13580" max="13580" width="12.140625" style="4" customWidth="1"/>
    <col min="13581" max="13581" width="8.28515625" style="4" customWidth="1"/>
    <col min="13582" max="13582" width="8.7109375" style="4" customWidth="1"/>
    <col min="13583" max="13583" width="12.42578125" style="4" customWidth="1"/>
    <col min="13584" max="13585" width="8.7109375" style="4" customWidth="1"/>
    <col min="13586" max="13586" width="14" style="4" customWidth="1"/>
    <col min="13587" max="13588" width="8.7109375" style="4" customWidth="1"/>
    <col min="13589" max="13589" width="14.140625" style="4" customWidth="1"/>
    <col min="13590" max="13590" width="8.7109375" style="4" customWidth="1"/>
    <col min="13591" max="13591" width="8" style="4" customWidth="1"/>
    <col min="13592" max="13824" width="11.42578125" style="4"/>
    <col min="13825" max="13825" width="76.140625" style="4" customWidth="1"/>
    <col min="13826" max="13826" width="17" style="4" bestFit="1" customWidth="1"/>
    <col min="13827" max="13827" width="18.28515625" style="4" customWidth="1"/>
    <col min="13828" max="13828" width="16.85546875" style="4" customWidth="1"/>
    <col min="13829" max="13829" width="17.7109375" style="4" customWidth="1"/>
    <col min="13830" max="13830" width="18.28515625" style="4" customWidth="1"/>
    <col min="13831" max="13831" width="18.85546875" style="4" customWidth="1"/>
    <col min="13832" max="13832" width="15.140625" style="4" customWidth="1"/>
    <col min="13833" max="13833" width="49.7109375" style="4" customWidth="1"/>
    <col min="13834" max="13834" width="12.140625" style="4" customWidth="1"/>
    <col min="13835" max="13835" width="7.7109375" style="4" customWidth="1"/>
    <col min="13836" max="13836" width="12.140625" style="4" customWidth="1"/>
    <col min="13837" max="13837" width="8.28515625" style="4" customWidth="1"/>
    <col min="13838" max="13838" width="8.7109375" style="4" customWidth="1"/>
    <col min="13839" max="13839" width="12.42578125" style="4" customWidth="1"/>
    <col min="13840" max="13841" width="8.7109375" style="4" customWidth="1"/>
    <col min="13842" max="13842" width="14" style="4" customWidth="1"/>
    <col min="13843" max="13844" width="8.7109375" style="4" customWidth="1"/>
    <col min="13845" max="13845" width="14.140625" style="4" customWidth="1"/>
    <col min="13846" max="13846" width="8.7109375" style="4" customWidth="1"/>
    <col min="13847" max="13847" width="8" style="4" customWidth="1"/>
    <col min="13848" max="14080" width="11.42578125" style="4"/>
    <col min="14081" max="14081" width="76.140625" style="4" customWidth="1"/>
    <col min="14082" max="14082" width="17" style="4" bestFit="1" customWidth="1"/>
    <col min="14083" max="14083" width="18.28515625" style="4" customWidth="1"/>
    <col min="14084" max="14084" width="16.85546875" style="4" customWidth="1"/>
    <col min="14085" max="14085" width="17.7109375" style="4" customWidth="1"/>
    <col min="14086" max="14086" width="18.28515625" style="4" customWidth="1"/>
    <col min="14087" max="14087" width="18.85546875" style="4" customWidth="1"/>
    <col min="14088" max="14088" width="15.140625" style="4" customWidth="1"/>
    <col min="14089" max="14089" width="49.7109375" style="4" customWidth="1"/>
    <col min="14090" max="14090" width="12.140625" style="4" customWidth="1"/>
    <col min="14091" max="14091" width="7.7109375" style="4" customWidth="1"/>
    <col min="14092" max="14092" width="12.140625" style="4" customWidth="1"/>
    <col min="14093" max="14093" width="8.28515625" style="4" customWidth="1"/>
    <col min="14094" max="14094" width="8.7109375" style="4" customWidth="1"/>
    <col min="14095" max="14095" width="12.42578125" style="4" customWidth="1"/>
    <col min="14096" max="14097" width="8.7109375" style="4" customWidth="1"/>
    <col min="14098" max="14098" width="14" style="4" customWidth="1"/>
    <col min="14099" max="14100" width="8.7109375" style="4" customWidth="1"/>
    <col min="14101" max="14101" width="14.140625" style="4" customWidth="1"/>
    <col min="14102" max="14102" width="8.7109375" style="4" customWidth="1"/>
    <col min="14103" max="14103" width="8" style="4" customWidth="1"/>
    <col min="14104" max="14336" width="11.42578125" style="4"/>
    <col min="14337" max="14337" width="76.140625" style="4" customWidth="1"/>
    <col min="14338" max="14338" width="17" style="4" bestFit="1" customWidth="1"/>
    <col min="14339" max="14339" width="18.28515625" style="4" customWidth="1"/>
    <col min="14340" max="14340" width="16.85546875" style="4" customWidth="1"/>
    <col min="14341" max="14341" width="17.7109375" style="4" customWidth="1"/>
    <col min="14342" max="14342" width="18.28515625" style="4" customWidth="1"/>
    <col min="14343" max="14343" width="18.85546875" style="4" customWidth="1"/>
    <col min="14344" max="14344" width="15.140625" style="4" customWidth="1"/>
    <col min="14345" max="14345" width="49.7109375" style="4" customWidth="1"/>
    <col min="14346" max="14346" width="12.140625" style="4" customWidth="1"/>
    <col min="14347" max="14347" width="7.7109375" style="4" customWidth="1"/>
    <col min="14348" max="14348" width="12.140625" style="4" customWidth="1"/>
    <col min="14349" max="14349" width="8.28515625" style="4" customWidth="1"/>
    <col min="14350" max="14350" width="8.7109375" style="4" customWidth="1"/>
    <col min="14351" max="14351" width="12.42578125" style="4" customWidth="1"/>
    <col min="14352" max="14353" width="8.7109375" style="4" customWidth="1"/>
    <col min="14354" max="14354" width="14" style="4" customWidth="1"/>
    <col min="14355" max="14356" width="8.7109375" style="4" customWidth="1"/>
    <col min="14357" max="14357" width="14.140625" style="4" customWidth="1"/>
    <col min="14358" max="14358" width="8.7109375" style="4" customWidth="1"/>
    <col min="14359" max="14359" width="8" style="4" customWidth="1"/>
    <col min="14360" max="14592" width="11.42578125" style="4"/>
    <col min="14593" max="14593" width="76.140625" style="4" customWidth="1"/>
    <col min="14594" max="14594" width="17" style="4" bestFit="1" customWidth="1"/>
    <col min="14595" max="14595" width="18.28515625" style="4" customWidth="1"/>
    <col min="14596" max="14596" width="16.85546875" style="4" customWidth="1"/>
    <col min="14597" max="14597" width="17.7109375" style="4" customWidth="1"/>
    <col min="14598" max="14598" width="18.28515625" style="4" customWidth="1"/>
    <col min="14599" max="14599" width="18.85546875" style="4" customWidth="1"/>
    <col min="14600" max="14600" width="15.140625" style="4" customWidth="1"/>
    <col min="14601" max="14601" width="49.7109375" style="4" customWidth="1"/>
    <col min="14602" max="14602" width="12.140625" style="4" customWidth="1"/>
    <col min="14603" max="14603" width="7.7109375" style="4" customWidth="1"/>
    <col min="14604" max="14604" width="12.140625" style="4" customWidth="1"/>
    <col min="14605" max="14605" width="8.28515625" style="4" customWidth="1"/>
    <col min="14606" max="14606" width="8.7109375" style="4" customWidth="1"/>
    <col min="14607" max="14607" width="12.42578125" style="4" customWidth="1"/>
    <col min="14608" max="14609" width="8.7109375" style="4" customWidth="1"/>
    <col min="14610" max="14610" width="14" style="4" customWidth="1"/>
    <col min="14611" max="14612" width="8.7109375" style="4" customWidth="1"/>
    <col min="14613" max="14613" width="14.140625" style="4" customWidth="1"/>
    <col min="14614" max="14614" width="8.7109375" style="4" customWidth="1"/>
    <col min="14615" max="14615" width="8" style="4" customWidth="1"/>
    <col min="14616" max="14848" width="11.42578125" style="4"/>
    <col min="14849" max="14849" width="76.140625" style="4" customWidth="1"/>
    <col min="14850" max="14850" width="17" style="4" bestFit="1" customWidth="1"/>
    <col min="14851" max="14851" width="18.28515625" style="4" customWidth="1"/>
    <col min="14852" max="14852" width="16.85546875" style="4" customWidth="1"/>
    <col min="14853" max="14853" width="17.7109375" style="4" customWidth="1"/>
    <col min="14854" max="14854" width="18.28515625" style="4" customWidth="1"/>
    <col min="14855" max="14855" width="18.85546875" style="4" customWidth="1"/>
    <col min="14856" max="14856" width="15.140625" style="4" customWidth="1"/>
    <col min="14857" max="14857" width="49.7109375" style="4" customWidth="1"/>
    <col min="14858" max="14858" width="12.140625" style="4" customWidth="1"/>
    <col min="14859" max="14859" width="7.7109375" style="4" customWidth="1"/>
    <col min="14860" max="14860" width="12.140625" style="4" customWidth="1"/>
    <col min="14861" max="14861" width="8.28515625" style="4" customWidth="1"/>
    <col min="14862" max="14862" width="8.7109375" style="4" customWidth="1"/>
    <col min="14863" max="14863" width="12.42578125" style="4" customWidth="1"/>
    <col min="14864" max="14865" width="8.7109375" style="4" customWidth="1"/>
    <col min="14866" max="14866" width="14" style="4" customWidth="1"/>
    <col min="14867" max="14868" width="8.7109375" style="4" customWidth="1"/>
    <col min="14869" max="14869" width="14.140625" style="4" customWidth="1"/>
    <col min="14870" max="14870" width="8.7109375" style="4" customWidth="1"/>
    <col min="14871" max="14871" width="8" style="4" customWidth="1"/>
    <col min="14872" max="15104" width="11.42578125" style="4"/>
    <col min="15105" max="15105" width="76.140625" style="4" customWidth="1"/>
    <col min="15106" max="15106" width="17" style="4" bestFit="1" customWidth="1"/>
    <col min="15107" max="15107" width="18.28515625" style="4" customWidth="1"/>
    <col min="15108" max="15108" width="16.85546875" style="4" customWidth="1"/>
    <col min="15109" max="15109" width="17.7109375" style="4" customWidth="1"/>
    <col min="15110" max="15110" width="18.28515625" style="4" customWidth="1"/>
    <col min="15111" max="15111" width="18.85546875" style="4" customWidth="1"/>
    <col min="15112" max="15112" width="15.140625" style="4" customWidth="1"/>
    <col min="15113" max="15113" width="49.7109375" style="4" customWidth="1"/>
    <col min="15114" max="15114" width="12.140625" style="4" customWidth="1"/>
    <col min="15115" max="15115" width="7.7109375" style="4" customWidth="1"/>
    <col min="15116" max="15116" width="12.140625" style="4" customWidth="1"/>
    <col min="15117" max="15117" width="8.28515625" style="4" customWidth="1"/>
    <col min="15118" max="15118" width="8.7109375" style="4" customWidth="1"/>
    <col min="15119" max="15119" width="12.42578125" style="4" customWidth="1"/>
    <col min="15120" max="15121" width="8.7109375" style="4" customWidth="1"/>
    <col min="15122" max="15122" width="14" style="4" customWidth="1"/>
    <col min="15123" max="15124" width="8.7109375" style="4" customWidth="1"/>
    <col min="15125" max="15125" width="14.140625" style="4" customWidth="1"/>
    <col min="15126" max="15126" width="8.7109375" style="4" customWidth="1"/>
    <col min="15127" max="15127" width="8" style="4" customWidth="1"/>
    <col min="15128" max="15360" width="11.42578125" style="4"/>
    <col min="15361" max="15361" width="76.140625" style="4" customWidth="1"/>
    <col min="15362" max="15362" width="17" style="4" bestFit="1" customWidth="1"/>
    <col min="15363" max="15363" width="18.28515625" style="4" customWidth="1"/>
    <col min="15364" max="15364" width="16.85546875" style="4" customWidth="1"/>
    <col min="15365" max="15365" width="17.7109375" style="4" customWidth="1"/>
    <col min="15366" max="15366" width="18.28515625" style="4" customWidth="1"/>
    <col min="15367" max="15367" width="18.85546875" style="4" customWidth="1"/>
    <col min="15368" max="15368" width="15.140625" style="4" customWidth="1"/>
    <col min="15369" max="15369" width="49.7109375" style="4" customWidth="1"/>
    <col min="15370" max="15370" width="12.140625" style="4" customWidth="1"/>
    <col min="15371" max="15371" width="7.7109375" style="4" customWidth="1"/>
    <col min="15372" max="15372" width="12.140625" style="4" customWidth="1"/>
    <col min="15373" max="15373" width="8.28515625" style="4" customWidth="1"/>
    <col min="15374" max="15374" width="8.7109375" style="4" customWidth="1"/>
    <col min="15375" max="15375" width="12.42578125" style="4" customWidth="1"/>
    <col min="15376" max="15377" width="8.7109375" style="4" customWidth="1"/>
    <col min="15378" max="15378" width="14" style="4" customWidth="1"/>
    <col min="15379" max="15380" width="8.7109375" style="4" customWidth="1"/>
    <col min="15381" max="15381" width="14.140625" style="4" customWidth="1"/>
    <col min="15382" max="15382" width="8.7109375" style="4" customWidth="1"/>
    <col min="15383" max="15383" width="8" style="4" customWidth="1"/>
    <col min="15384" max="15616" width="11.42578125" style="4"/>
    <col min="15617" max="15617" width="76.140625" style="4" customWidth="1"/>
    <col min="15618" max="15618" width="17" style="4" bestFit="1" customWidth="1"/>
    <col min="15619" max="15619" width="18.28515625" style="4" customWidth="1"/>
    <col min="15620" max="15620" width="16.85546875" style="4" customWidth="1"/>
    <col min="15621" max="15621" width="17.7109375" style="4" customWidth="1"/>
    <col min="15622" max="15622" width="18.28515625" style="4" customWidth="1"/>
    <col min="15623" max="15623" width="18.85546875" style="4" customWidth="1"/>
    <col min="15624" max="15624" width="15.140625" style="4" customWidth="1"/>
    <col min="15625" max="15625" width="49.7109375" style="4" customWidth="1"/>
    <col min="15626" max="15626" width="12.140625" style="4" customWidth="1"/>
    <col min="15627" max="15627" width="7.7109375" style="4" customWidth="1"/>
    <col min="15628" max="15628" width="12.140625" style="4" customWidth="1"/>
    <col min="15629" max="15629" width="8.28515625" style="4" customWidth="1"/>
    <col min="15630" max="15630" width="8.7109375" style="4" customWidth="1"/>
    <col min="15631" max="15631" width="12.42578125" style="4" customWidth="1"/>
    <col min="15632" max="15633" width="8.7109375" style="4" customWidth="1"/>
    <col min="15634" max="15634" width="14" style="4" customWidth="1"/>
    <col min="15635" max="15636" width="8.7109375" style="4" customWidth="1"/>
    <col min="15637" max="15637" width="14.140625" style="4" customWidth="1"/>
    <col min="15638" max="15638" width="8.7109375" style="4" customWidth="1"/>
    <col min="15639" max="15639" width="8" style="4" customWidth="1"/>
    <col min="15640" max="15872" width="11.42578125" style="4"/>
    <col min="15873" max="15873" width="76.140625" style="4" customWidth="1"/>
    <col min="15874" max="15874" width="17" style="4" bestFit="1" customWidth="1"/>
    <col min="15875" max="15875" width="18.28515625" style="4" customWidth="1"/>
    <col min="15876" max="15876" width="16.85546875" style="4" customWidth="1"/>
    <col min="15877" max="15877" width="17.7109375" style="4" customWidth="1"/>
    <col min="15878" max="15878" width="18.28515625" style="4" customWidth="1"/>
    <col min="15879" max="15879" width="18.85546875" style="4" customWidth="1"/>
    <col min="15880" max="15880" width="15.140625" style="4" customWidth="1"/>
    <col min="15881" max="15881" width="49.7109375" style="4" customWidth="1"/>
    <col min="15882" max="15882" width="12.140625" style="4" customWidth="1"/>
    <col min="15883" max="15883" width="7.7109375" style="4" customWidth="1"/>
    <col min="15884" max="15884" width="12.140625" style="4" customWidth="1"/>
    <col min="15885" max="15885" width="8.28515625" style="4" customWidth="1"/>
    <col min="15886" max="15886" width="8.7109375" style="4" customWidth="1"/>
    <col min="15887" max="15887" width="12.42578125" style="4" customWidth="1"/>
    <col min="15888" max="15889" width="8.7109375" style="4" customWidth="1"/>
    <col min="15890" max="15890" width="14" style="4" customWidth="1"/>
    <col min="15891" max="15892" width="8.7109375" style="4" customWidth="1"/>
    <col min="15893" max="15893" width="14.140625" style="4" customWidth="1"/>
    <col min="15894" max="15894" width="8.7109375" style="4" customWidth="1"/>
    <col min="15895" max="15895" width="8" style="4" customWidth="1"/>
    <col min="15896" max="16128" width="11.42578125" style="4"/>
    <col min="16129" max="16129" width="76.140625" style="4" customWidth="1"/>
    <col min="16130" max="16130" width="17" style="4" bestFit="1" customWidth="1"/>
    <col min="16131" max="16131" width="18.28515625" style="4" customWidth="1"/>
    <col min="16132" max="16132" width="16.85546875" style="4" customWidth="1"/>
    <col min="16133" max="16133" width="17.7109375" style="4" customWidth="1"/>
    <col min="16134" max="16134" width="18.28515625" style="4" customWidth="1"/>
    <col min="16135" max="16135" width="18.85546875" style="4" customWidth="1"/>
    <col min="16136" max="16136" width="15.140625" style="4" customWidth="1"/>
    <col min="16137" max="16137" width="49.7109375" style="4" customWidth="1"/>
    <col min="16138" max="16138" width="12.140625" style="4" customWidth="1"/>
    <col min="16139" max="16139" width="7.7109375" style="4" customWidth="1"/>
    <col min="16140" max="16140" width="12.140625" style="4" customWidth="1"/>
    <col min="16141" max="16141" width="8.28515625" style="4" customWidth="1"/>
    <col min="16142" max="16142" width="8.7109375" style="4" customWidth="1"/>
    <col min="16143" max="16143" width="12.42578125" style="4" customWidth="1"/>
    <col min="16144" max="16145" width="8.7109375" style="4" customWidth="1"/>
    <col min="16146" max="16146" width="14" style="4" customWidth="1"/>
    <col min="16147" max="16148" width="8.7109375" style="4" customWidth="1"/>
    <col min="16149" max="16149" width="14.140625" style="4" customWidth="1"/>
    <col min="16150" max="16150" width="8.7109375" style="4" customWidth="1"/>
    <col min="16151" max="16151" width="8" style="4" customWidth="1"/>
    <col min="16152" max="16384" width="11.42578125" style="4"/>
  </cols>
  <sheetData>
    <row r="1" spans="1:10" customFormat="1">
      <c r="A1" s="25"/>
      <c r="B1" s="117"/>
      <c r="C1" s="117"/>
      <c r="D1" s="117"/>
      <c r="E1" s="117"/>
      <c r="F1" s="117"/>
      <c r="G1" s="25"/>
      <c r="H1" s="25"/>
      <c r="I1" s="25"/>
      <c r="J1" s="25"/>
    </row>
    <row r="2" spans="1:10" customFormat="1">
      <c r="A2" s="25"/>
      <c r="B2" s="117"/>
      <c r="C2" s="117"/>
      <c r="D2" s="117"/>
      <c r="E2" s="117"/>
      <c r="F2" s="117"/>
      <c r="G2" s="25"/>
      <c r="H2" s="25"/>
      <c r="I2" s="25"/>
      <c r="J2" s="25"/>
    </row>
    <row r="3" spans="1:10" customFormat="1">
      <c r="A3" s="25"/>
      <c r="B3" s="117"/>
      <c r="C3" s="117"/>
      <c r="D3" s="117"/>
      <c r="E3" s="117"/>
      <c r="F3" s="117"/>
      <c r="G3" s="25"/>
      <c r="H3" s="25"/>
      <c r="I3" s="25"/>
      <c r="J3" s="25"/>
    </row>
    <row r="4" spans="1:10" customFormat="1">
      <c r="A4" s="25"/>
      <c r="B4" s="117"/>
      <c r="C4" s="117"/>
      <c r="D4" s="117"/>
      <c r="E4" s="117"/>
      <c r="F4" s="117"/>
      <c r="G4" s="25"/>
      <c r="H4" s="25"/>
      <c r="I4" s="25"/>
      <c r="J4" s="25"/>
    </row>
    <row r="5" spans="1:10" customFormat="1">
      <c r="A5" s="25"/>
      <c r="B5" s="117"/>
      <c r="C5" s="117"/>
      <c r="D5" s="117"/>
      <c r="E5" s="117"/>
      <c r="F5" s="117"/>
      <c r="G5" s="25"/>
      <c r="H5" s="25"/>
      <c r="I5" s="25"/>
      <c r="J5" s="25"/>
    </row>
    <row r="6" spans="1:10" customFormat="1">
      <c r="A6" s="25"/>
      <c r="B6" s="117"/>
      <c r="C6" s="117"/>
      <c r="D6" s="117"/>
      <c r="E6" s="117"/>
      <c r="F6" s="117"/>
      <c r="G6" s="25"/>
      <c r="H6" s="25"/>
      <c r="I6" s="25"/>
      <c r="J6" s="25"/>
    </row>
    <row r="7" spans="1:10" customFormat="1" ht="15" customHeight="1">
      <c r="A7" s="4"/>
      <c r="B7" s="118"/>
      <c r="C7" s="118"/>
      <c r="D7" s="119"/>
      <c r="E7" s="119"/>
      <c r="F7" s="119"/>
      <c r="G7" s="25"/>
      <c r="H7" s="25"/>
      <c r="I7" s="25"/>
      <c r="J7" s="25"/>
    </row>
    <row r="8" spans="1:10">
      <c r="A8" s="99" t="s">
        <v>0</v>
      </c>
      <c r="B8" s="459" t="str">
        <f>Inicio!E8</f>
        <v>Savon D'amour</v>
      </c>
      <c r="C8" s="459"/>
      <c r="D8" s="459"/>
    </row>
    <row r="9" spans="1:10" ht="15.75" thickBot="1"/>
    <row r="10" spans="1:10">
      <c r="A10" s="453" t="s">
        <v>148</v>
      </c>
      <c r="B10" s="454"/>
      <c r="C10" s="454"/>
      <c r="D10" s="454"/>
      <c r="E10" s="454"/>
      <c r="F10" s="455"/>
      <c r="G10" s="111"/>
    </row>
    <row r="11" spans="1:10">
      <c r="A11" s="142" t="s">
        <v>149</v>
      </c>
      <c r="B11" s="139" t="s">
        <v>150</v>
      </c>
      <c r="C11" s="139" t="s">
        <v>151</v>
      </c>
      <c r="D11" s="139" t="s">
        <v>152</v>
      </c>
      <c r="E11" s="139" t="s">
        <v>153</v>
      </c>
      <c r="F11" s="143" t="s">
        <v>154</v>
      </c>
      <c r="G11" s="111"/>
    </row>
    <row r="12" spans="1:10">
      <c r="A12" s="144" t="s">
        <v>155</v>
      </c>
      <c r="B12" s="140">
        <f>Ventas!D22</f>
        <v>316219200</v>
      </c>
      <c r="C12" s="140">
        <f>Ventas!F22</f>
        <v>341995348.80000001</v>
      </c>
      <c r="D12" s="140">
        <f>Ventas!H22</f>
        <v>377036554.35600001</v>
      </c>
      <c r="E12" s="140">
        <f>Ventas!J22</f>
        <v>407861801.94312</v>
      </c>
      <c r="F12" s="145">
        <f>Ventas!L22</f>
        <v>441132998.90738398</v>
      </c>
      <c r="G12" s="111"/>
    </row>
    <row r="13" spans="1:10">
      <c r="A13" s="144" t="s">
        <v>156</v>
      </c>
      <c r="B13" s="140">
        <f>Ventas!D43</f>
        <v>0</v>
      </c>
      <c r="C13" s="140">
        <f>Ventas!F43</f>
        <v>0</v>
      </c>
      <c r="D13" s="140">
        <f>Ventas!H43</f>
        <v>0</v>
      </c>
      <c r="E13" s="140">
        <f>Ventas!J43</f>
        <v>0</v>
      </c>
      <c r="F13" s="145">
        <f>Ventas!L43</f>
        <v>0</v>
      </c>
      <c r="G13" s="111"/>
    </row>
    <row r="14" spans="1:10">
      <c r="A14" s="144" t="s">
        <v>157</v>
      </c>
      <c r="B14" s="141">
        <f>B12-B13</f>
        <v>316219200</v>
      </c>
      <c r="C14" s="141">
        <f t="shared" ref="C14:F14" si="0">C12-C13</f>
        <v>341995348.80000001</v>
      </c>
      <c r="D14" s="141">
        <f t="shared" si="0"/>
        <v>377036554.35600001</v>
      </c>
      <c r="E14" s="141">
        <f t="shared" si="0"/>
        <v>407861801.94312</v>
      </c>
      <c r="F14" s="146">
        <f t="shared" si="0"/>
        <v>441132998.90738398</v>
      </c>
      <c r="G14" s="111"/>
    </row>
    <row r="15" spans="1:10">
      <c r="A15" s="144" t="s">
        <v>158</v>
      </c>
      <c r="B15" s="140">
        <f>Ventas!E39</f>
        <v>184493985.35999998</v>
      </c>
      <c r="C15" s="140">
        <f>Ventas!H39</f>
        <v>199530245.16684002</v>
      </c>
      <c r="D15" s="140">
        <f>Ventas!K39</f>
        <v>219962142.27192438</v>
      </c>
      <c r="E15" s="140">
        <f>Ventas!N39</f>
        <v>237722936.9661361</v>
      </c>
      <c r="F15" s="145">
        <f>Ventas!Q39</f>
        <v>257097356.3288762</v>
      </c>
      <c r="G15" s="111"/>
    </row>
    <row r="16" spans="1:10" ht="15.75" thickBot="1">
      <c r="A16" s="147" t="s">
        <v>159</v>
      </c>
      <c r="B16" s="148">
        <f>B14-B15</f>
        <v>131725214.64000002</v>
      </c>
      <c r="C16" s="148">
        <f>C14-C15</f>
        <v>142465103.63316</v>
      </c>
      <c r="D16" s="148">
        <f>D14-D15</f>
        <v>157074412.08407563</v>
      </c>
      <c r="E16" s="148">
        <f>E14-E15</f>
        <v>170138864.9769839</v>
      </c>
      <c r="F16" s="149">
        <f>F14-F15</f>
        <v>184035642.57850778</v>
      </c>
      <c r="G16" s="111"/>
    </row>
    <row r="17" spans="1:7" ht="5.25" customHeight="1" thickBot="1">
      <c r="A17" s="138"/>
      <c r="B17" s="135">
        <v>12</v>
      </c>
      <c r="C17" s="124"/>
      <c r="D17" s="124"/>
      <c r="E17" s="124"/>
      <c r="F17" s="124"/>
      <c r="G17" s="111"/>
    </row>
    <row r="18" spans="1:7">
      <c r="A18" s="150" t="s">
        <v>160</v>
      </c>
      <c r="B18" s="151">
        <f>(Costos!H22+Costos!B57+Costos!B72)*12</f>
        <v>81532881.359999999</v>
      </c>
      <c r="C18" s="151">
        <f>(B18*Inicio!F31)+'Estado Financiero'!B18</f>
        <v>83978867.800799996</v>
      </c>
      <c r="D18" s="151">
        <f>(C18*Inicio!G31)+'Estado Financiero'!C18</f>
        <v>87338022.512832001</v>
      </c>
      <c r="E18" s="151">
        <f>(D18*Inicio!H31)+'Estado Financiero'!D18</f>
        <v>91704923.6384736</v>
      </c>
      <c r="F18" s="152">
        <f>(E18*Inicio!I31)+'Estado Financiero'!E18</f>
        <v>94456071.347627804</v>
      </c>
      <c r="G18" s="111"/>
    </row>
    <row r="19" spans="1:7">
      <c r="A19" s="144" t="s">
        <v>161</v>
      </c>
      <c r="B19" s="140">
        <f>Costos!H38*12</f>
        <v>0</v>
      </c>
      <c r="C19" s="140">
        <f>(B19*Inicio!F31)+'Estado Financiero'!B19</f>
        <v>0</v>
      </c>
      <c r="D19" s="140">
        <f>(C19*Inicio!G31)+'Estado Financiero'!C19</f>
        <v>0</v>
      </c>
      <c r="E19" s="140">
        <f>(D19*Inicio!H31)+'Estado Financiero'!D19</f>
        <v>0</v>
      </c>
      <c r="F19" s="145">
        <f>(E19*Inicio!I31)+'Estado Financiero'!E19</f>
        <v>0</v>
      </c>
      <c r="G19" s="111"/>
    </row>
    <row r="20" spans="1:7" ht="15.75" thickBot="1">
      <c r="A20" s="147" t="s">
        <v>162</v>
      </c>
      <c r="B20" s="148">
        <f>B16-B18-B19</f>
        <v>50192333.280000016</v>
      </c>
      <c r="C20" s="148">
        <f t="shared" ref="C20:F20" si="1">C16-C18-C19</f>
        <v>58486235.832359999</v>
      </c>
      <c r="D20" s="148">
        <f t="shared" si="1"/>
        <v>69736389.571243629</v>
      </c>
      <c r="E20" s="148">
        <f t="shared" si="1"/>
        <v>78433941.338510305</v>
      </c>
      <c r="F20" s="149">
        <f t="shared" si="1"/>
        <v>89579571.230879977</v>
      </c>
      <c r="G20" s="111"/>
    </row>
    <row r="21" spans="1:7" ht="6.75" customHeight="1" thickBot="1">
      <c r="A21" s="138"/>
      <c r="B21" s="120"/>
      <c r="C21" s="120"/>
      <c r="D21" s="120"/>
      <c r="E21" s="120"/>
      <c r="F21" s="120"/>
      <c r="G21" s="111"/>
    </row>
    <row r="22" spans="1:7">
      <c r="A22" s="150" t="s">
        <v>163</v>
      </c>
      <c r="B22" s="154">
        <v>0</v>
      </c>
      <c r="C22" s="154">
        <v>0</v>
      </c>
      <c r="D22" s="154">
        <v>0</v>
      </c>
      <c r="E22" s="154">
        <v>0</v>
      </c>
      <c r="F22" s="155">
        <v>0</v>
      </c>
      <c r="G22" s="111"/>
    </row>
    <row r="23" spans="1:7">
      <c r="A23" s="144" t="s">
        <v>164</v>
      </c>
      <c r="B23" s="153">
        <v>0</v>
      </c>
      <c r="C23" s="153">
        <v>0</v>
      </c>
      <c r="D23" s="153">
        <v>0</v>
      </c>
      <c r="E23" s="153">
        <v>0</v>
      </c>
      <c r="F23" s="156">
        <v>0</v>
      </c>
      <c r="G23" s="111"/>
    </row>
    <row r="24" spans="1:7">
      <c r="A24" s="144" t="s">
        <v>165</v>
      </c>
      <c r="B24" s="141">
        <f>B20+B22-B23</f>
        <v>50192333.280000016</v>
      </c>
      <c r="C24" s="141">
        <f t="shared" ref="C24:F24" si="2">C20+C22-C23</f>
        <v>58486235.832359999</v>
      </c>
      <c r="D24" s="141">
        <f t="shared" si="2"/>
        <v>69736389.571243629</v>
      </c>
      <c r="E24" s="141">
        <f t="shared" si="2"/>
        <v>78433941.338510305</v>
      </c>
      <c r="F24" s="146">
        <f t="shared" si="2"/>
        <v>89579571.230879977</v>
      </c>
      <c r="G24" s="111"/>
    </row>
    <row r="25" spans="1:7">
      <c r="A25" s="157">
        <v>0.35</v>
      </c>
      <c r="B25" s="140">
        <f>B24*$A$25</f>
        <v>17567316.648000006</v>
      </c>
      <c r="C25" s="140">
        <f t="shared" ref="C25:F25" si="3">C24*$A$25</f>
        <v>20470182.541325998</v>
      </c>
      <c r="D25" s="140">
        <f t="shared" si="3"/>
        <v>24407736.349935267</v>
      </c>
      <c r="E25" s="140">
        <f t="shared" si="3"/>
        <v>27451879.468478605</v>
      </c>
      <c r="F25" s="145">
        <f t="shared" si="3"/>
        <v>31352849.930807989</v>
      </c>
      <c r="G25" s="111"/>
    </row>
    <row r="26" spans="1:7">
      <c r="A26" s="144" t="s">
        <v>166</v>
      </c>
      <c r="B26" s="141">
        <f>B24-B25</f>
        <v>32625016.63200001</v>
      </c>
      <c r="C26" s="141">
        <f t="shared" ref="C26:F26" si="4">C24-C25</f>
        <v>38016053.291033998</v>
      </c>
      <c r="D26" s="141">
        <f t="shared" si="4"/>
        <v>45328653.221308365</v>
      </c>
      <c r="E26" s="141">
        <f t="shared" si="4"/>
        <v>50982061.8700317</v>
      </c>
      <c r="F26" s="146">
        <f t="shared" si="4"/>
        <v>58226721.300071985</v>
      </c>
      <c r="G26" s="111"/>
    </row>
    <row r="27" spans="1:7">
      <c r="A27" s="158">
        <v>0.1</v>
      </c>
      <c r="B27" s="140">
        <f>B26*$A$27</f>
        <v>3262501.6632000012</v>
      </c>
      <c r="C27" s="140">
        <f t="shared" ref="C27:F27" si="5">C26*$A$27</f>
        <v>3801605.3291034</v>
      </c>
      <c r="D27" s="140">
        <f t="shared" si="5"/>
        <v>4532865.3221308365</v>
      </c>
      <c r="E27" s="140">
        <f t="shared" si="5"/>
        <v>5098206.1870031701</v>
      </c>
      <c r="F27" s="145">
        <f t="shared" si="5"/>
        <v>5822672.130007199</v>
      </c>
      <c r="G27" s="111"/>
    </row>
    <row r="28" spans="1:7" ht="15.75" thickBot="1">
      <c r="A28" s="147" t="s">
        <v>167</v>
      </c>
      <c r="B28" s="148">
        <f>B26-B27</f>
        <v>29362514.968800008</v>
      </c>
      <c r="C28" s="148">
        <f t="shared" ref="C28:F28" si="6">C26-C27</f>
        <v>34214447.961930595</v>
      </c>
      <c r="D28" s="148">
        <f t="shared" si="6"/>
        <v>40795787.899177529</v>
      </c>
      <c r="E28" s="148">
        <f t="shared" si="6"/>
        <v>45883855.683028527</v>
      </c>
      <c r="F28" s="149">
        <f t="shared" si="6"/>
        <v>52404049.170064785</v>
      </c>
      <c r="G28" s="111"/>
    </row>
    <row r="29" spans="1:7">
      <c r="A29" s="110"/>
      <c r="B29" s="162"/>
      <c r="C29" s="120"/>
      <c r="D29" s="120"/>
      <c r="E29" s="120"/>
      <c r="F29" s="120"/>
      <c r="G29" s="111"/>
    </row>
    <row r="30" spans="1:7" ht="15.75" thickBot="1">
      <c r="A30" s="111"/>
      <c r="G30" s="111"/>
    </row>
    <row r="31" spans="1:7">
      <c r="A31" s="456" t="s">
        <v>168</v>
      </c>
      <c r="B31" s="457"/>
      <c r="C31" s="457"/>
      <c r="D31" s="457"/>
      <c r="E31" s="457"/>
      <c r="F31" s="457"/>
      <c r="G31" s="458"/>
    </row>
    <row r="32" spans="1:7">
      <c r="A32" s="167"/>
      <c r="B32" s="139" t="s">
        <v>169</v>
      </c>
      <c r="C32" s="139" t="s">
        <v>150</v>
      </c>
      <c r="D32" s="139" t="s">
        <v>151</v>
      </c>
      <c r="E32" s="139" t="s">
        <v>152</v>
      </c>
      <c r="F32" s="139" t="s">
        <v>153</v>
      </c>
      <c r="G32" s="168" t="s">
        <v>170</v>
      </c>
    </row>
    <row r="33" spans="1:7">
      <c r="A33" s="142" t="s">
        <v>171</v>
      </c>
      <c r="B33" s="460"/>
      <c r="C33" s="461"/>
      <c r="D33" s="461"/>
      <c r="E33" s="461"/>
      <c r="F33" s="461"/>
      <c r="G33" s="462"/>
    </row>
    <row r="34" spans="1:7">
      <c r="A34" s="169" t="s">
        <v>172</v>
      </c>
      <c r="B34" s="463"/>
      <c r="C34" s="464"/>
      <c r="D34" s="464"/>
      <c r="E34" s="464"/>
      <c r="F34" s="464"/>
      <c r="G34" s="465"/>
    </row>
    <row r="35" spans="1:7">
      <c r="A35" s="170" t="s">
        <v>143</v>
      </c>
      <c r="B35" s="140">
        <f>Inversión!B25</f>
        <v>16500000</v>
      </c>
      <c r="C35" s="193">
        <f>B16+B22</f>
        <v>131725214.64000002</v>
      </c>
      <c r="D35" s="193">
        <f t="shared" ref="D35:G35" si="7">C16+C22</f>
        <v>142465103.63316</v>
      </c>
      <c r="E35" s="193">
        <f t="shared" si="7"/>
        <v>157074412.08407563</v>
      </c>
      <c r="F35" s="193">
        <f t="shared" si="7"/>
        <v>170138864.9769839</v>
      </c>
      <c r="G35" s="196">
        <f t="shared" si="7"/>
        <v>184035642.57850778</v>
      </c>
    </row>
    <row r="36" spans="1:7">
      <c r="A36" s="170" t="s">
        <v>173</v>
      </c>
      <c r="B36" s="140"/>
      <c r="C36" s="193">
        <f>C66+C74</f>
        <v>0</v>
      </c>
      <c r="D36" s="193">
        <f t="shared" ref="D36:G36" si="8">D66+D74</f>
        <v>0</v>
      </c>
      <c r="E36" s="193">
        <f t="shared" si="8"/>
        <v>0</v>
      </c>
      <c r="F36" s="193">
        <f t="shared" si="8"/>
        <v>0</v>
      </c>
      <c r="G36" s="196">
        <f t="shared" si="8"/>
        <v>0</v>
      </c>
    </row>
    <row r="37" spans="1:7">
      <c r="A37" s="170" t="s">
        <v>174</v>
      </c>
      <c r="B37" s="140"/>
      <c r="C37" s="165">
        <v>0</v>
      </c>
      <c r="D37" s="165">
        <v>0</v>
      </c>
      <c r="E37" s="165">
        <v>0</v>
      </c>
      <c r="F37" s="165">
        <v>0</v>
      </c>
      <c r="G37" s="172">
        <v>0</v>
      </c>
    </row>
    <row r="38" spans="1:7">
      <c r="A38" s="170" t="s">
        <v>175</v>
      </c>
      <c r="B38" s="140"/>
      <c r="C38" s="165">
        <v>0</v>
      </c>
      <c r="D38" s="165">
        <v>0</v>
      </c>
      <c r="E38" s="165">
        <v>0</v>
      </c>
      <c r="F38" s="165">
        <v>0</v>
      </c>
      <c r="G38" s="172">
        <v>0</v>
      </c>
    </row>
    <row r="39" spans="1:7">
      <c r="A39" s="170" t="s">
        <v>176</v>
      </c>
      <c r="B39" s="140"/>
      <c r="C39" s="165">
        <v>0</v>
      </c>
      <c r="D39" s="165">
        <v>0</v>
      </c>
      <c r="E39" s="165">
        <v>0</v>
      </c>
      <c r="F39" s="165">
        <v>0</v>
      </c>
      <c r="G39" s="172">
        <v>0</v>
      </c>
    </row>
    <row r="40" spans="1:7">
      <c r="A40" s="170" t="s">
        <v>177</v>
      </c>
      <c r="B40" s="140"/>
      <c r="C40" s="165">
        <v>0</v>
      </c>
      <c r="D40" s="165">
        <v>0</v>
      </c>
      <c r="E40" s="165">
        <v>0</v>
      </c>
      <c r="F40" s="165">
        <v>0</v>
      </c>
      <c r="G40" s="172">
        <v>0</v>
      </c>
    </row>
    <row r="41" spans="1:7">
      <c r="A41" s="170" t="s">
        <v>178</v>
      </c>
      <c r="B41" s="140"/>
      <c r="C41" s="165">
        <v>0</v>
      </c>
      <c r="D41" s="165">
        <v>0</v>
      </c>
      <c r="E41" s="165">
        <v>0</v>
      </c>
      <c r="F41" s="165">
        <v>0</v>
      </c>
      <c r="G41" s="172">
        <v>0</v>
      </c>
    </row>
    <row r="42" spans="1:7">
      <c r="A42" s="170" t="s">
        <v>179</v>
      </c>
      <c r="B42" s="140"/>
      <c r="C42" s="165">
        <v>0</v>
      </c>
      <c r="D42" s="165">
        <v>0</v>
      </c>
      <c r="E42" s="165">
        <v>0</v>
      </c>
      <c r="F42" s="165">
        <v>0</v>
      </c>
      <c r="G42" s="172">
        <v>0</v>
      </c>
    </row>
    <row r="43" spans="1:7">
      <c r="A43" s="170" t="s">
        <v>180</v>
      </c>
      <c r="B43" s="140">
        <f>Inversión!B22+Inversión!B23</f>
        <v>0</v>
      </c>
      <c r="C43" s="165">
        <v>0</v>
      </c>
      <c r="D43" s="165">
        <v>0</v>
      </c>
      <c r="E43" s="165">
        <v>0</v>
      </c>
      <c r="F43" s="165">
        <v>0</v>
      </c>
      <c r="G43" s="172">
        <v>0</v>
      </c>
    </row>
    <row r="44" spans="1:7">
      <c r="A44" s="170" t="s">
        <v>181</v>
      </c>
      <c r="B44" s="140">
        <f>Inversión!B16+Inversión!B17+Inversión!B19+Inversión!B20</f>
        <v>200000</v>
      </c>
      <c r="C44" s="165">
        <v>0</v>
      </c>
      <c r="D44" s="165">
        <v>0</v>
      </c>
      <c r="E44" s="165">
        <v>0</v>
      </c>
      <c r="F44" s="165">
        <v>0</v>
      </c>
      <c r="G44" s="172">
        <v>0</v>
      </c>
    </row>
    <row r="45" spans="1:7" ht="15.75" thickBot="1">
      <c r="A45" s="173" t="s">
        <v>182</v>
      </c>
      <c r="B45" s="174">
        <f t="shared" ref="B45:G45" si="9">SUM(B35:B44)</f>
        <v>16700000</v>
      </c>
      <c r="C45" s="174">
        <f t="shared" si="9"/>
        <v>131725214.64000002</v>
      </c>
      <c r="D45" s="174">
        <f t="shared" si="9"/>
        <v>142465103.63316</v>
      </c>
      <c r="E45" s="174">
        <f t="shared" si="9"/>
        <v>157074412.08407563</v>
      </c>
      <c r="F45" s="174">
        <f t="shared" si="9"/>
        <v>170138864.9769839</v>
      </c>
      <c r="G45" s="175">
        <f t="shared" si="9"/>
        <v>184035642.57850778</v>
      </c>
    </row>
    <row r="46" spans="1:7" ht="7.5" customHeight="1" thickBot="1">
      <c r="A46" s="204"/>
      <c r="B46" s="137"/>
      <c r="C46" s="137"/>
      <c r="D46" s="137"/>
      <c r="E46" s="137"/>
      <c r="F46" s="137"/>
      <c r="G46" s="205"/>
    </row>
    <row r="47" spans="1:7">
      <c r="A47" s="176" t="s">
        <v>183</v>
      </c>
      <c r="B47" s="450"/>
      <c r="C47" s="451"/>
      <c r="D47" s="451"/>
      <c r="E47" s="451"/>
      <c r="F47" s="451"/>
      <c r="G47" s="452"/>
    </row>
    <row r="48" spans="1:7">
      <c r="A48" s="170" t="s">
        <v>119</v>
      </c>
      <c r="B48" s="140">
        <v>0</v>
      </c>
      <c r="C48" s="140">
        <f>(B48*Inicio!F31)+'Estado Financiero'!B48</f>
        <v>0</v>
      </c>
      <c r="D48" s="140">
        <f>(C48*Inicio!G31)+'Estado Financiero'!C48</f>
        <v>0</v>
      </c>
      <c r="E48" s="140">
        <f>(D48*Inicio!H31)+'Estado Financiero'!D48</f>
        <v>0</v>
      </c>
      <c r="F48" s="140">
        <f>(E48*Inicio!I31)+'Estado Financiero'!E48</f>
        <v>0</v>
      </c>
      <c r="G48" s="145">
        <f>(F48*Inicio!J31)+'Estado Financiero'!F48</f>
        <v>0</v>
      </c>
    </row>
    <row r="49" spans="1:7">
      <c r="A49" s="170" t="s">
        <v>121</v>
      </c>
      <c r="B49" s="140">
        <v>0</v>
      </c>
      <c r="C49" s="140">
        <f>B49</f>
        <v>0</v>
      </c>
      <c r="D49" s="140">
        <f>C49-(C49/45)</f>
        <v>0</v>
      </c>
      <c r="E49" s="140">
        <f t="shared" ref="E49:G49" si="10">D49-(D49/45)</f>
        <v>0</v>
      </c>
      <c r="F49" s="140">
        <f t="shared" si="10"/>
        <v>0</v>
      </c>
      <c r="G49" s="145">
        <f t="shared" si="10"/>
        <v>0</v>
      </c>
    </row>
    <row r="50" spans="1:7">
      <c r="A50" s="170" t="s">
        <v>124</v>
      </c>
      <c r="B50" s="140">
        <f>Inversión!B12</f>
        <v>0</v>
      </c>
      <c r="C50" s="140">
        <f t="shared" ref="C50" si="11">B50-(B50/5)</f>
        <v>0</v>
      </c>
      <c r="D50" s="140">
        <f t="shared" ref="D50:G50" si="12">C50-(C50/5)</f>
        <v>0</v>
      </c>
      <c r="E50" s="140">
        <f t="shared" si="12"/>
        <v>0</v>
      </c>
      <c r="F50" s="140">
        <f t="shared" si="12"/>
        <v>0</v>
      </c>
      <c r="G50" s="145">
        <f t="shared" si="12"/>
        <v>0</v>
      </c>
    </row>
    <row r="51" spans="1:7">
      <c r="A51" s="170" t="s">
        <v>184</v>
      </c>
      <c r="B51" s="140">
        <f>Inversión!B13</f>
        <v>7500000</v>
      </c>
      <c r="C51" s="140">
        <f>B51-(B51/10)</f>
        <v>6750000</v>
      </c>
      <c r="D51" s="140">
        <f>C51-(C51/10)</f>
        <v>6075000</v>
      </c>
      <c r="E51" s="140">
        <f t="shared" ref="E51:G52" si="13">D51-(D51/10)</f>
        <v>5467500</v>
      </c>
      <c r="F51" s="140">
        <f t="shared" si="13"/>
        <v>4920750</v>
      </c>
      <c r="G51" s="145">
        <f t="shared" si="13"/>
        <v>4428675</v>
      </c>
    </row>
    <row r="52" spans="1:7">
      <c r="A52" s="170" t="s">
        <v>185</v>
      </c>
      <c r="B52" s="140">
        <f>Inversión!B14</f>
        <v>800000</v>
      </c>
      <c r="C52" s="140">
        <f>B52-(B52/10)</f>
        <v>720000</v>
      </c>
      <c r="D52" s="140">
        <f>C52-(C52/10)</f>
        <v>648000</v>
      </c>
      <c r="E52" s="140">
        <f t="shared" si="13"/>
        <v>583200</v>
      </c>
      <c r="F52" s="140">
        <f t="shared" si="13"/>
        <v>524880</v>
      </c>
      <c r="G52" s="145">
        <f t="shared" si="13"/>
        <v>472392</v>
      </c>
    </row>
    <row r="53" spans="1:7">
      <c r="A53" s="170" t="s">
        <v>186</v>
      </c>
      <c r="B53" s="140"/>
      <c r="C53" s="140">
        <f>(B49/45)+(B50/5)+(B51/10)+(B52/10)</f>
        <v>830000</v>
      </c>
      <c r="D53" s="140">
        <f t="shared" ref="D53:G53" si="14">(C49/45)+(C50/5)+(C51/10)+(C52/10)</f>
        <v>747000</v>
      </c>
      <c r="E53" s="140">
        <f t="shared" si="14"/>
        <v>672300</v>
      </c>
      <c r="F53" s="140">
        <f t="shared" si="14"/>
        <v>605070</v>
      </c>
      <c r="G53" s="145">
        <f t="shared" si="14"/>
        <v>544563</v>
      </c>
    </row>
    <row r="54" spans="1:7" ht="15.75" thickBot="1">
      <c r="A54" s="177" t="s">
        <v>187</v>
      </c>
      <c r="B54" s="174">
        <f>SUM(B48:B52)-B53</f>
        <v>8300000</v>
      </c>
      <c r="C54" s="174">
        <f t="shared" ref="C54:G54" si="15">SUM(C48:C52)-C53</f>
        <v>6640000</v>
      </c>
      <c r="D54" s="174">
        <f t="shared" si="15"/>
        <v>5976000</v>
      </c>
      <c r="E54" s="174">
        <f t="shared" si="15"/>
        <v>5378400</v>
      </c>
      <c r="F54" s="174">
        <f t="shared" si="15"/>
        <v>4840560</v>
      </c>
      <c r="G54" s="175">
        <f t="shared" si="15"/>
        <v>4356504</v>
      </c>
    </row>
    <row r="55" spans="1:7" ht="6.75" customHeight="1" thickBot="1">
      <c r="A55" s="206"/>
      <c r="B55" s="137"/>
      <c r="C55" s="137"/>
      <c r="D55" s="137"/>
      <c r="E55" s="137"/>
      <c r="F55" s="137"/>
      <c r="G55" s="205"/>
    </row>
    <row r="56" spans="1:7">
      <c r="A56" s="176" t="s">
        <v>188</v>
      </c>
      <c r="B56" s="450"/>
      <c r="C56" s="451"/>
      <c r="D56" s="451"/>
      <c r="E56" s="451"/>
      <c r="F56" s="451"/>
      <c r="G56" s="452"/>
    </row>
    <row r="57" spans="1:7">
      <c r="A57" s="179" t="s">
        <v>189</v>
      </c>
      <c r="B57" s="178">
        <v>0</v>
      </c>
      <c r="C57" s="178">
        <v>0</v>
      </c>
      <c r="D57" s="178">
        <v>0</v>
      </c>
      <c r="E57" s="178">
        <v>0</v>
      </c>
      <c r="F57" s="178">
        <v>0</v>
      </c>
      <c r="G57" s="180">
        <v>0</v>
      </c>
    </row>
    <row r="58" spans="1:7">
      <c r="A58" s="179" t="s">
        <v>190</v>
      </c>
      <c r="B58" s="178">
        <v>0</v>
      </c>
      <c r="C58" s="178">
        <v>0</v>
      </c>
      <c r="D58" s="178">
        <v>0</v>
      </c>
      <c r="E58" s="178">
        <v>0</v>
      </c>
      <c r="F58" s="178">
        <v>0</v>
      </c>
      <c r="G58" s="180">
        <v>0</v>
      </c>
    </row>
    <row r="59" spans="1:7">
      <c r="A59" s="179" t="s">
        <v>191</v>
      </c>
      <c r="B59" s="178">
        <v>0</v>
      </c>
      <c r="C59" s="178">
        <v>0</v>
      </c>
      <c r="D59" s="178">
        <v>0</v>
      </c>
      <c r="E59" s="178">
        <v>0</v>
      </c>
      <c r="F59" s="178">
        <v>0</v>
      </c>
      <c r="G59" s="180">
        <v>0</v>
      </c>
    </row>
    <row r="60" spans="1:7">
      <c r="A60" s="142" t="s">
        <v>192</v>
      </c>
      <c r="B60" s="166">
        <f>SUM(B57:B59)</f>
        <v>0</v>
      </c>
      <c r="C60" s="166">
        <f t="shared" ref="C60:G60" si="16">SUM(C57:C59)</f>
        <v>0</v>
      </c>
      <c r="D60" s="166">
        <f t="shared" si="16"/>
        <v>0</v>
      </c>
      <c r="E60" s="166">
        <f t="shared" si="16"/>
        <v>0</v>
      </c>
      <c r="F60" s="166">
        <f t="shared" si="16"/>
        <v>0</v>
      </c>
      <c r="G60" s="181">
        <f t="shared" si="16"/>
        <v>0</v>
      </c>
    </row>
    <row r="61" spans="1:7" ht="15.75" thickBot="1">
      <c r="A61" s="173" t="s">
        <v>193</v>
      </c>
      <c r="B61" s="174">
        <f>B45+B54+B60</f>
        <v>25000000</v>
      </c>
      <c r="C61" s="174">
        <f t="shared" ref="C61:G61" si="17">C45+C54+C60</f>
        <v>138365214.64000002</v>
      </c>
      <c r="D61" s="174">
        <f t="shared" si="17"/>
        <v>148441103.63316</v>
      </c>
      <c r="E61" s="174">
        <f t="shared" si="17"/>
        <v>162452812.08407563</v>
      </c>
      <c r="F61" s="174">
        <f t="shared" si="17"/>
        <v>174979424.9769839</v>
      </c>
      <c r="G61" s="175">
        <f t="shared" si="17"/>
        <v>188392146.57850778</v>
      </c>
    </row>
    <row r="62" spans="1:7" ht="8.25" customHeight="1" thickBot="1">
      <c r="A62" s="112"/>
      <c r="B62" s="137"/>
      <c r="C62" s="137"/>
      <c r="D62" s="137"/>
      <c r="E62" s="137"/>
      <c r="F62" s="137"/>
      <c r="G62" s="137"/>
    </row>
    <row r="63" spans="1:7">
      <c r="A63" s="185" t="s">
        <v>194</v>
      </c>
      <c r="B63" s="466"/>
      <c r="C63" s="467"/>
      <c r="D63" s="467"/>
      <c r="E63" s="467"/>
      <c r="F63" s="467"/>
      <c r="G63" s="468"/>
    </row>
    <row r="64" spans="1:7">
      <c r="A64" s="142" t="s">
        <v>195</v>
      </c>
      <c r="B64" s="469"/>
      <c r="C64" s="470"/>
      <c r="D64" s="470"/>
      <c r="E64" s="470"/>
      <c r="F64" s="470"/>
      <c r="G64" s="471"/>
    </row>
    <row r="65" spans="1:7">
      <c r="A65" s="186" t="s">
        <v>196</v>
      </c>
      <c r="B65" s="140"/>
      <c r="C65" s="140">
        <f>(Costos!H42*12)-C69</f>
        <v>47734656</v>
      </c>
      <c r="D65" s="140">
        <f>(C65*Inicio!F31)+'Estado Financiero'!C65</f>
        <v>49166695.68</v>
      </c>
      <c r="E65" s="140">
        <f>(D65*Inicio!G31)+'Estado Financiero'!D65</f>
        <v>51133363.507200003</v>
      </c>
      <c r="F65" s="140">
        <f>(E65*Inicio!H31)+'Estado Financiero'!E65</f>
        <v>53690031.682560004</v>
      </c>
      <c r="G65" s="145">
        <f>(F65*Inicio!I31)+'Estado Financiero'!F65</f>
        <v>55300732.633036807</v>
      </c>
    </row>
    <row r="66" spans="1:7">
      <c r="A66" s="170" t="s">
        <v>197</v>
      </c>
      <c r="B66" s="140"/>
      <c r="C66" s="164">
        <f>Inversión!$F$12*12</f>
        <v>0</v>
      </c>
      <c r="D66" s="164">
        <f>Inversión!$F$12*12</f>
        <v>0</v>
      </c>
      <c r="E66" s="164">
        <f>Inversión!$F$12*12</f>
        <v>0</v>
      </c>
      <c r="F66" s="164">
        <f>Inversión!$F$12*12</f>
        <v>0</v>
      </c>
      <c r="G66" s="171">
        <f>Inversión!$F$12*12</f>
        <v>0</v>
      </c>
    </row>
    <row r="67" spans="1:7">
      <c r="A67" s="170" t="s">
        <v>198</v>
      </c>
      <c r="B67" s="140"/>
      <c r="C67" s="182">
        <v>0</v>
      </c>
      <c r="D67" s="182">
        <v>0</v>
      </c>
      <c r="E67" s="182">
        <v>0</v>
      </c>
      <c r="F67" s="182">
        <v>0</v>
      </c>
      <c r="G67" s="187">
        <v>0</v>
      </c>
    </row>
    <row r="68" spans="1:7">
      <c r="A68" s="170" t="s">
        <v>199</v>
      </c>
      <c r="B68" s="140"/>
      <c r="C68" s="140">
        <f>B25</f>
        <v>17567316.648000006</v>
      </c>
      <c r="D68" s="140">
        <f t="shared" ref="D68:G68" si="18">C25</f>
        <v>20470182.541325998</v>
      </c>
      <c r="E68" s="140">
        <f t="shared" si="18"/>
        <v>24407736.349935267</v>
      </c>
      <c r="F68" s="140">
        <f t="shared" si="18"/>
        <v>27451879.468478605</v>
      </c>
      <c r="G68" s="145">
        <f t="shared" si="18"/>
        <v>31352849.930807989</v>
      </c>
    </row>
    <row r="69" spans="1:7">
      <c r="A69" s="170" t="s">
        <v>200</v>
      </c>
      <c r="B69" s="140"/>
      <c r="C69" s="140">
        <f>(Costos!E42)*12</f>
        <v>18498225.359999999</v>
      </c>
      <c r="D69" s="140">
        <f>(C69*Inicio!F31)+'Estado Financiero'!C69</f>
        <v>19053172.1208</v>
      </c>
      <c r="E69" s="140">
        <f>(D69*Inicio!G31)+'Estado Financiero'!D69</f>
        <v>19815299.005631998</v>
      </c>
      <c r="F69" s="140">
        <f>(E69*Inicio!H31)+'Estado Financiero'!E69</f>
        <v>20806063.9559136</v>
      </c>
      <c r="G69" s="145">
        <f>(F69*Inicio!I31)+'Estado Financiero'!F69</f>
        <v>21430245.874591008</v>
      </c>
    </row>
    <row r="70" spans="1:7">
      <c r="A70" s="179" t="s">
        <v>201</v>
      </c>
      <c r="B70" s="183"/>
      <c r="C70" s="184">
        <f>(Costos!B57+Costos!B72)*12</f>
        <v>15300000</v>
      </c>
      <c r="D70" s="184">
        <f>(C70*Inicio!F31)+'Estado Financiero'!C70</f>
        <v>15759000</v>
      </c>
      <c r="E70" s="184">
        <f>(D70*Inicio!G31)+'Estado Financiero'!D70</f>
        <v>16389360</v>
      </c>
      <c r="F70" s="184">
        <f>(E70*Inicio!H31)+'Estado Financiero'!E70</f>
        <v>17208828</v>
      </c>
      <c r="G70" s="188">
        <f>(F70*Inicio!I31)+'Estado Financiero'!F70</f>
        <v>17725092.84</v>
      </c>
    </row>
    <row r="71" spans="1:7" ht="15.75" thickBot="1">
      <c r="A71" s="177" t="s">
        <v>202</v>
      </c>
      <c r="B71" s="174"/>
      <c r="C71" s="174">
        <f>SUM(C65:C70)</f>
        <v>99100198.008000001</v>
      </c>
      <c r="D71" s="174">
        <f t="shared" ref="D71:G71" si="19">SUM(D65:D70)</f>
        <v>104449050.342126</v>
      </c>
      <c r="E71" s="174">
        <f t="shared" si="19"/>
        <v>111745758.86276726</v>
      </c>
      <c r="F71" s="174">
        <f t="shared" si="19"/>
        <v>119156803.10695222</v>
      </c>
      <c r="G71" s="175">
        <f t="shared" si="19"/>
        <v>125808921.27843581</v>
      </c>
    </row>
    <row r="72" spans="1:7" ht="8.25" customHeight="1" thickBot="1">
      <c r="A72" s="113"/>
      <c r="B72" s="120"/>
      <c r="C72" s="120"/>
      <c r="D72" s="120"/>
      <c r="E72" s="120"/>
      <c r="F72" s="120"/>
      <c r="G72" s="136"/>
    </row>
    <row r="73" spans="1:7">
      <c r="A73" s="185" t="s">
        <v>203</v>
      </c>
      <c r="B73" s="450"/>
      <c r="C73" s="451"/>
      <c r="D73" s="451"/>
      <c r="E73" s="451"/>
      <c r="F73" s="451"/>
      <c r="G73" s="452"/>
    </row>
    <row r="74" spans="1:7">
      <c r="A74" s="170" t="s">
        <v>204</v>
      </c>
      <c r="B74" s="140"/>
      <c r="C74" s="164">
        <f>Inversión!G12-'Estado Financiero'!C66</f>
        <v>0</v>
      </c>
      <c r="D74" s="164">
        <f>IF(C74-D66&lt;0,0,C74-D66)</f>
        <v>0</v>
      </c>
      <c r="E74" s="164">
        <f>IF(D74-E66&lt;0,0,D74-E66)</f>
        <v>0</v>
      </c>
      <c r="F74" s="164">
        <f>IF(E74-F66&lt;0,0,E74-F66)</f>
        <v>0</v>
      </c>
      <c r="G74" s="190">
        <v>0</v>
      </c>
    </row>
    <row r="75" spans="1:7">
      <c r="A75" s="179" t="s">
        <v>205</v>
      </c>
      <c r="B75" s="183"/>
      <c r="C75" s="189">
        <v>0</v>
      </c>
      <c r="D75" s="189">
        <v>0</v>
      </c>
      <c r="E75" s="189">
        <v>0</v>
      </c>
      <c r="F75" s="189">
        <v>0</v>
      </c>
      <c r="G75" s="191">
        <v>0</v>
      </c>
    </row>
    <row r="76" spans="1:7">
      <c r="A76" s="179" t="s">
        <v>206</v>
      </c>
      <c r="B76" s="183"/>
      <c r="C76" s="189">
        <v>0</v>
      </c>
      <c r="D76" s="189">
        <v>0</v>
      </c>
      <c r="E76" s="189">
        <v>0</v>
      </c>
      <c r="F76" s="189">
        <v>0</v>
      </c>
      <c r="G76" s="191">
        <v>0</v>
      </c>
    </row>
    <row r="77" spans="1:7">
      <c r="A77" s="179" t="s">
        <v>207</v>
      </c>
      <c r="B77" s="183"/>
      <c r="C77" s="189">
        <v>0</v>
      </c>
      <c r="D77" s="189">
        <v>0</v>
      </c>
      <c r="E77" s="189">
        <v>0</v>
      </c>
      <c r="F77" s="189">
        <v>0</v>
      </c>
      <c r="G77" s="191">
        <v>0</v>
      </c>
    </row>
    <row r="78" spans="1:7">
      <c r="A78" s="169" t="s">
        <v>208</v>
      </c>
      <c r="B78" s="140"/>
      <c r="C78" s="141">
        <f>SUM(C74:C76)</f>
        <v>0</v>
      </c>
      <c r="D78" s="141">
        <f t="shared" ref="D78:G78" si="20">SUM(D74:D76)</f>
        <v>0</v>
      </c>
      <c r="E78" s="141">
        <f t="shared" si="20"/>
        <v>0</v>
      </c>
      <c r="F78" s="141">
        <f t="shared" si="20"/>
        <v>0</v>
      </c>
      <c r="G78" s="146">
        <f t="shared" si="20"/>
        <v>0</v>
      </c>
    </row>
    <row r="79" spans="1:7" ht="15.75" thickBot="1">
      <c r="A79" s="173" t="s">
        <v>209</v>
      </c>
      <c r="B79" s="192"/>
      <c r="C79" s="174">
        <f>C71+C78</f>
        <v>99100198.008000001</v>
      </c>
      <c r="D79" s="148">
        <f t="shared" ref="D79:G79" si="21">D71+D78</f>
        <v>104449050.342126</v>
      </c>
      <c r="E79" s="148">
        <f t="shared" si="21"/>
        <v>111745758.86276726</v>
      </c>
      <c r="F79" s="148">
        <f t="shared" si="21"/>
        <v>119156803.10695222</v>
      </c>
      <c r="G79" s="149">
        <f t="shared" si="21"/>
        <v>125808921.27843581</v>
      </c>
    </row>
    <row r="80" spans="1:7" ht="6" customHeight="1" thickBot="1">
      <c r="B80" s="120"/>
      <c r="C80" s="120"/>
      <c r="D80" s="120"/>
      <c r="E80" s="120"/>
      <c r="F80" s="120"/>
      <c r="G80" s="136"/>
    </row>
    <row r="81" spans="1:8">
      <c r="A81" s="185" t="s">
        <v>210</v>
      </c>
      <c r="B81" s="450"/>
      <c r="C81" s="451"/>
      <c r="D81" s="451"/>
      <c r="E81" s="451"/>
      <c r="F81" s="451"/>
      <c r="G81" s="452"/>
    </row>
    <row r="82" spans="1:8">
      <c r="A82" s="170" t="s">
        <v>211</v>
      </c>
      <c r="B82" s="140">
        <f>Inversión!B27</f>
        <v>25000000</v>
      </c>
      <c r="C82" s="140"/>
      <c r="D82" s="140"/>
      <c r="E82" s="140"/>
      <c r="F82" s="140"/>
      <c r="G82" s="145"/>
    </row>
    <row r="83" spans="1:8">
      <c r="A83" s="170" t="s">
        <v>212</v>
      </c>
      <c r="B83" s="140"/>
      <c r="C83" s="165">
        <v>0</v>
      </c>
      <c r="D83" s="165">
        <v>0</v>
      </c>
      <c r="E83" s="165">
        <v>0</v>
      </c>
      <c r="F83" s="165">
        <v>0</v>
      </c>
      <c r="G83" s="194">
        <v>0</v>
      </c>
    </row>
    <row r="84" spans="1:8">
      <c r="A84" s="170" t="s">
        <v>213</v>
      </c>
      <c r="B84" s="140"/>
      <c r="C84" s="140">
        <f>C48-B48</f>
        <v>0</v>
      </c>
      <c r="D84" s="140">
        <f t="shared" ref="D84:G84" si="22">D48-C48</f>
        <v>0</v>
      </c>
      <c r="E84" s="140">
        <f t="shared" si="22"/>
        <v>0</v>
      </c>
      <c r="F84" s="140">
        <f t="shared" si="22"/>
        <v>0</v>
      </c>
      <c r="G84" s="145">
        <f t="shared" si="22"/>
        <v>0</v>
      </c>
    </row>
    <row r="85" spans="1:8">
      <c r="A85" s="195" t="s">
        <v>214</v>
      </c>
      <c r="B85" s="140"/>
      <c r="C85" s="193">
        <f>B27</f>
        <v>3262501.6632000012</v>
      </c>
      <c r="D85" s="193">
        <f t="shared" ref="D85:G85" si="23">C27</f>
        <v>3801605.3291034</v>
      </c>
      <c r="E85" s="193">
        <f t="shared" si="23"/>
        <v>4532865.3221308365</v>
      </c>
      <c r="F85" s="193">
        <f t="shared" si="23"/>
        <v>5098206.1870031701</v>
      </c>
      <c r="G85" s="196">
        <f t="shared" si="23"/>
        <v>5822672.130007199</v>
      </c>
    </row>
    <row r="86" spans="1:8">
      <c r="A86" s="195" t="s">
        <v>215</v>
      </c>
      <c r="B86" s="140"/>
      <c r="C86" s="193">
        <f>B28</f>
        <v>29362514.968800008</v>
      </c>
      <c r="D86" s="193">
        <f t="shared" ref="D86:G86" si="24">C28</f>
        <v>34214447.961930595</v>
      </c>
      <c r="E86" s="193">
        <f t="shared" si="24"/>
        <v>40795787.899177529</v>
      </c>
      <c r="F86" s="193">
        <f t="shared" si="24"/>
        <v>45883855.683028527</v>
      </c>
      <c r="G86" s="196">
        <f t="shared" si="24"/>
        <v>52404049.170064785</v>
      </c>
    </row>
    <row r="87" spans="1:8" ht="15.75" thickBot="1">
      <c r="A87" s="197" t="s">
        <v>216</v>
      </c>
      <c r="B87" s="192"/>
      <c r="C87" s="198">
        <f>SUM(C82:C86)</f>
        <v>32625016.63200001</v>
      </c>
      <c r="D87" s="198">
        <f t="shared" ref="D87:G87" si="25">SUM(D82:D86)</f>
        <v>38016053.291033998</v>
      </c>
      <c r="E87" s="198">
        <f t="shared" si="25"/>
        <v>45328653.221308365</v>
      </c>
      <c r="F87" s="198">
        <f t="shared" si="25"/>
        <v>50982061.8700317</v>
      </c>
      <c r="G87" s="199">
        <f t="shared" si="25"/>
        <v>58226721.300071985</v>
      </c>
    </row>
    <row r="88" spans="1:8" ht="5.25" customHeight="1" thickBot="1">
      <c r="A88" s="114"/>
      <c r="B88" s="120"/>
      <c r="C88" s="120"/>
      <c r="D88" s="120"/>
      <c r="E88" s="120"/>
      <c r="F88" s="120"/>
      <c r="G88" s="160"/>
    </row>
    <row r="89" spans="1:8" ht="15.75" thickBot="1">
      <c r="A89" s="200" t="s">
        <v>217</v>
      </c>
      <c r="B89" s="201">
        <f>-B82</f>
        <v>-25000000</v>
      </c>
      <c r="C89" s="201">
        <f>C79+C87</f>
        <v>131725214.64000002</v>
      </c>
      <c r="D89" s="201">
        <f t="shared" ref="D89:G89" si="26">D79+D87</f>
        <v>142465103.63316</v>
      </c>
      <c r="E89" s="201">
        <f t="shared" si="26"/>
        <v>157074412.08407563</v>
      </c>
      <c r="F89" s="201">
        <f t="shared" si="26"/>
        <v>170138864.9769839</v>
      </c>
      <c r="G89" s="202">
        <f t="shared" si="26"/>
        <v>184035642.57850778</v>
      </c>
    </row>
    <row r="90" spans="1:8">
      <c r="B90" s="4"/>
      <c r="C90" s="4"/>
      <c r="D90" s="4"/>
      <c r="E90" s="4"/>
      <c r="F90" s="4"/>
      <c r="G90"/>
    </row>
    <row r="91" spans="1:8">
      <c r="B91" s="4"/>
      <c r="C91" s="134"/>
      <c r="D91" s="134"/>
      <c r="E91" s="134"/>
      <c r="F91" s="134"/>
      <c r="G91" s="134"/>
      <c r="H91" s="134"/>
    </row>
    <row r="92" spans="1:8">
      <c r="B92" s="4"/>
      <c r="C92" s="4"/>
      <c r="D92" s="4"/>
      <c r="E92" s="4"/>
      <c r="F92" s="4"/>
      <c r="G92"/>
    </row>
    <row r="93" spans="1:8">
      <c r="B93" s="4"/>
      <c r="C93" s="203"/>
      <c r="D93" s="203"/>
      <c r="E93" s="203"/>
      <c r="F93" s="203"/>
      <c r="G93" s="203"/>
    </row>
    <row r="94" spans="1:8">
      <c r="B94" s="4"/>
      <c r="C94" s="203"/>
      <c r="D94" s="203"/>
      <c r="E94" s="203"/>
      <c r="F94" s="203"/>
      <c r="G94" s="203"/>
    </row>
    <row r="95" spans="1:8">
      <c r="B95" s="4"/>
      <c r="C95" s="203"/>
      <c r="D95" s="203"/>
      <c r="E95" s="203"/>
      <c r="F95" s="203"/>
      <c r="G95" s="203"/>
    </row>
    <row r="96" spans="1:8">
      <c r="B96" s="4"/>
      <c r="C96" s="4"/>
      <c r="D96" s="4"/>
      <c r="E96" s="4"/>
      <c r="F96" s="4"/>
      <c r="G96"/>
    </row>
    <row r="97" spans="2:7">
      <c r="B97" s="4"/>
      <c r="C97" s="4"/>
      <c r="D97" s="4"/>
      <c r="E97" s="4"/>
      <c r="F97" s="4"/>
      <c r="G97"/>
    </row>
    <row r="98" spans="2:7">
      <c r="B98" s="4"/>
      <c r="C98" s="4"/>
      <c r="D98" s="4"/>
      <c r="E98" s="4"/>
      <c r="F98" s="4"/>
      <c r="G98"/>
    </row>
    <row r="99" spans="2:7">
      <c r="B99" s="4"/>
      <c r="C99" s="4"/>
      <c r="D99" s="4"/>
      <c r="E99" s="4"/>
      <c r="F99" s="4"/>
      <c r="G99"/>
    </row>
    <row r="100" spans="2:7">
      <c r="B100" s="4"/>
      <c r="C100" s="4"/>
      <c r="D100" s="4"/>
      <c r="E100" s="4"/>
      <c r="F100" s="4"/>
      <c r="G100"/>
    </row>
    <row r="101" spans="2:7">
      <c r="B101" s="4"/>
      <c r="C101" s="4"/>
      <c r="D101" s="4"/>
      <c r="E101" s="4"/>
      <c r="F101" s="4"/>
      <c r="G101"/>
    </row>
    <row r="102" spans="2:7">
      <c r="B102" s="4"/>
      <c r="C102" s="4"/>
      <c r="D102" s="4"/>
      <c r="E102" s="4"/>
      <c r="F102" s="4"/>
      <c r="G102"/>
    </row>
    <row r="103" spans="2:7">
      <c r="B103" s="4"/>
      <c r="C103" s="4"/>
      <c r="D103" s="4"/>
      <c r="E103" s="4"/>
      <c r="F103" s="4"/>
      <c r="G103"/>
    </row>
    <row r="104" spans="2:7">
      <c r="B104" s="4"/>
      <c r="C104" s="4"/>
      <c r="D104" s="4"/>
      <c r="E104" s="4"/>
      <c r="F104" s="4"/>
      <c r="G104"/>
    </row>
    <row r="105" spans="2:7">
      <c r="B105" s="4"/>
      <c r="C105" s="4"/>
      <c r="D105" s="4"/>
      <c r="E105" s="4"/>
      <c r="F105" s="4"/>
      <c r="G105"/>
    </row>
    <row r="106" spans="2:7">
      <c r="B106" s="4"/>
      <c r="C106" s="4"/>
      <c r="D106" s="4"/>
      <c r="E106" s="4"/>
      <c r="F106" s="4"/>
      <c r="G106"/>
    </row>
    <row r="107" spans="2:7">
      <c r="B107" s="4"/>
      <c r="C107" s="4"/>
      <c r="D107" s="4"/>
      <c r="E107" s="4"/>
      <c r="F107" s="4"/>
      <c r="G107"/>
    </row>
    <row r="108" spans="2:7">
      <c r="B108" s="4"/>
      <c r="C108" s="4"/>
      <c r="D108" s="4"/>
      <c r="E108" s="4"/>
      <c r="F108" s="4"/>
      <c r="G108"/>
    </row>
    <row r="109" spans="2:7">
      <c r="B109" s="4"/>
      <c r="C109" s="4"/>
      <c r="D109" s="4"/>
      <c r="E109" s="4"/>
      <c r="F109" s="4"/>
      <c r="G109"/>
    </row>
    <row r="110" spans="2:7">
      <c r="B110" s="4"/>
      <c r="C110" s="4"/>
      <c r="D110" s="4"/>
      <c r="E110" s="4"/>
      <c r="F110" s="4"/>
      <c r="G110"/>
    </row>
    <row r="111" spans="2:7">
      <c r="B111" s="4"/>
      <c r="C111" s="4"/>
      <c r="D111" s="4"/>
      <c r="E111" s="4"/>
      <c r="F111" s="4"/>
      <c r="G111"/>
    </row>
    <row r="112" spans="2:7">
      <c r="B112" s="4"/>
      <c r="C112" s="4"/>
      <c r="D112" s="4"/>
      <c r="E112" s="4"/>
      <c r="F112" s="4"/>
      <c r="G112"/>
    </row>
    <row r="113" spans="2:8">
      <c r="B113" s="4"/>
      <c r="C113" s="4"/>
      <c r="D113" s="4"/>
      <c r="E113" s="4"/>
      <c r="F113" s="4"/>
      <c r="G113"/>
    </row>
    <row r="114" spans="2:8">
      <c r="B114" s="4"/>
      <c r="C114" s="4"/>
      <c r="D114" s="4"/>
      <c r="E114" s="4"/>
      <c r="F114" s="4"/>
      <c r="G114"/>
    </row>
    <row r="115" spans="2:8">
      <c r="B115" s="4"/>
      <c r="C115" s="4"/>
      <c r="D115" s="4"/>
      <c r="E115" s="4"/>
      <c r="F115" s="4"/>
      <c r="G115"/>
    </row>
    <row r="116" spans="2:8">
      <c r="B116" s="4"/>
      <c r="C116" s="4"/>
      <c r="D116" s="4"/>
      <c r="E116" s="4"/>
      <c r="F116" s="4"/>
      <c r="G116"/>
    </row>
    <row r="117" spans="2:8">
      <c r="B117" s="4"/>
      <c r="C117" s="4"/>
      <c r="D117" s="4"/>
      <c r="E117" s="4"/>
      <c r="F117" s="4"/>
      <c r="G117"/>
    </row>
    <row r="118" spans="2:8">
      <c r="B118" s="4"/>
      <c r="C118" s="4"/>
      <c r="D118" s="4"/>
      <c r="E118" s="4"/>
      <c r="F118" s="4"/>
      <c r="G118"/>
    </row>
    <row r="119" spans="2:8">
      <c r="B119" s="4"/>
      <c r="C119" s="4"/>
      <c r="D119" s="4"/>
      <c r="E119" s="4"/>
      <c r="F119" s="4"/>
      <c r="G119"/>
    </row>
    <row r="120" spans="2:8">
      <c r="G120" s="115"/>
    </row>
    <row r="121" spans="2:8">
      <c r="G121"/>
    </row>
    <row r="122" spans="2:8">
      <c r="G122"/>
    </row>
    <row r="123" spans="2:8">
      <c r="G123"/>
    </row>
    <row r="124" spans="2:8">
      <c r="G124"/>
    </row>
    <row r="126" spans="2:8">
      <c r="H126" s="116"/>
    </row>
  </sheetData>
  <protectedRanges>
    <protectedRange sqref="B67:B69" name="Rango2"/>
    <protectedRange sqref="B38:B41" name="Rango1"/>
  </protectedRanges>
  <mergeCells count="9">
    <mergeCell ref="B73:G73"/>
    <mergeCell ref="B81:G81"/>
    <mergeCell ref="A10:F10"/>
    <mergeCell ref="A31:G31"/>
    <mergeCell ref="B8:D8"/>
    <mergeCell ref="B33:G34"/>
    <mergeCell ref="B47:G47"/>
    <mergeCell ref="B56:G56"/>
    <mergeCell ref="B63:G64"/>
  </mergeCells>
  <pageMargins left="0.7" right="0.7" top="0.75" bottom="0.75" header="0.3" footer="0.3"/>
  <ignoredErrors>
    <ignoredError sqref="B15 C15:F15 B27:F27" formula="1"/>
    <ignoredError sqref="C70:G70" unlocked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3"/>
  <sheetViews>
    <sheetView showGridLines="0" topLeftCell="A4" workbookViewId="0">
      <selection activeCell="A8" sqref="A8"/>
    </sheetView>
  </sheetViews>
  <sheetFormatPr defaultColWidth="11.42578125" defaultRowHeight="15"/>
  <cols>
    <col min="1" max="1" width="59" bestFit="1" customWidth="1"/>
    <col min="2" max="3" width="13.5703125" bestFit="1" customWidth="1"/>
    <col min="4" max="7" width="14.28515625" bestFit="1" customWidth="1"/>
  </cols>
  <sheetData>
    <row r="1" spans="1:10">
      <c r="A1" s="25"/>
      <c r="B1" s="25"/>
      <c r="C1" s="25"/>
      <c r="D1" s="25"/>
      <c r="E1" s="25"/>
      <c r="F1" s="25"/>
      <c r="G1" s="25"/>
      <c r="H1" s="25"/>
      <c r="I1" s="25"/>
      <c r="J1" s="25"/>
    </row>
    <row r="2" spans="1:10">
      <c r="A2" s="25"/>
      <c r="B2" s="25"/>
      <c r="C2" s="25"/>
      <c r="D2" s="25"/>
      <c r="E2" s="25"/>
      <c r="F2" s="25"/>
      <c r="G2" s="25"/>
      <c r="H2" s="25"/>
      <c r="I2" s="25"/>
      <c r="J2" s="25"/>
    </row>
    <row r="3" spans="1:10">
      <c r="A3" s="25"/>
      <c r="B3" s="25"/>
      <c r="C3" s="25"/>
      <c r="D3" s="25"/>
      <c r="E3" s="25"/>
      <c r="F3" s="25"/>
      <c r="G3" s="25"/>
      <c r="H3" s="25"/>
      <c r="I3" s="25"/>
      <c r="J3" s="25"/>
    </row>
    <row r="4" spans="1:10">
      <c r="A4" s="25"/>
      <c r="B4" s="25"/>
      <c r="C4" s="25"/>
      <c r="D4" s="25"/>
      <c r="E4" s="25"/>
      <c r="F4" s="25"/>
      <c r="G4" s="25"/>
      <c r="H4" s="25"/>
      <c r="I4" s="25"/>
      <c r="J4" s="25"/>
    </row>
    <row r="5" spans="1:10">
      <c r="A5" s="25"/>
      <c r="B5" s="25"/>
      <c r="C5" s="25"/>
      <c r="D5" s="25"/>
      <c r="E5" s="25"/>
      <c r="F5" s="25"/>
      <c r="G5" s="25"/>
      <c r="H5" s="25"/>
      <c r="I5" s="25"/>
      <c r="J5" s="25"/>
    </row>
    <row r="6" spans="1:10">
      <c r="A6" s="25"/>
      <c r="B6" s="25"/>
      <c r="C6" s="25"/>
      <c r="D6" s="25"/>
      <c r="E6" s="25"/>
      <c r="F6" s="25"/>
      <c r="G6" s="25"/>
      <c r="H6" s="25"/>
      <c r="I6" s="25"/>
      <c r="J6" s="25"/>
    </row>
    <row r="7" spans="1:10" ht="15" customHeight="1">
      <c r="A7" s="417" t="s">
        <v>0</v>
      </c>
      <c r="B7" s="417"/>
      <c r="C7" s="417"/>
      <c r="D7" s="444" t="str">
        <f>Inicio!E8</f>
        <v>Savon D'amour</v>
      </c>
      <c r="E7" s="444"/>
      <c r="F7" s="444"/>
      <c r="G7" s="25"/>
      <c r="H7" s="25"/>
      <c r="I7" s="25"/>
      <c r="J7" s="25"/>
    </row>
    <row r="8" spans="1:10" ht="15.75" thickBot="1"/>
    <row r="9" spans="1:10">
      <c r="A9" s="207" t="s">
        <v>149</v>
      </c>
      <c r="B9" s="483" t="s">
        <v>169</v>
      </c>
      <c r="C9" s="483" t="s">
        <v>150</v>
      </c>
      <c r="D9" s="483" t="s">
        <v>151</v>
      </c>
      <c r="E9" s="483" t="s">
        <v>152</v>
      </c>
      <c r="F9" s="483" t="s">
        <v>153</v>
      </c>
      <c r="G9" s="484" t="s">
        <v>170</v>
      </c>
    </row>
    <row r="10" spans="1:10">
      <c r="A10" s="481" t="s">
        <v>218</v>
      </c>
      <c r="B10" s="485"/>
      <c r="C10" s="486">
        <f>B32</f>
        <v>16500000</v>
      </c>
      <c r="D10" s="486">
        <f>C32</f>
        <v>49125016.632000014</v>
      </c>
      <c r="E10" s="486">
        <f t="shared" ref="E10:G10" si="0">D32</f>
        <v>87141069.923034027</v>
      </c>
      <c r="F10" s="486">
        <f t="shared" si="0"/>
        <v>132469723.14434238</v>
      </c>
      <c r="G10" s="487">
        <f t="shared" si="0"/>
        <v>183451785.01437408</v>
      </c>
      <c r="H10" t="s">
        <v>219</v>
      </c>
    </row>
    <row r="11" spans="1:10">
      <c r="A11" s="482" t="s">
        <v>220</v>
      </c>
      <c r="B11" s="499"/>
      <c r="C11" s="500"/>
      <c r="D11" s="500"/>
      <c r="E11" s="500"/>
      <c r="F11" s="500"/>
      <c r="G11" s="501"/>
    </row>
    <row r="12" spans="1:10">
      <c r="A12" s="497" t="s">
        <v>221</v>
      </c>
      <c r="B12" s="488"/>
      <c r="C12" s="489">
        <f>'Estado Financiero'!C35</f>
        <v>131725214.64000002</v>
      </c>
      <c r="D12" s="489">
        <f>'Estado Financiero'!D35</f>
        <v>142465103.63316</v>
      </c>
      <c r="E12" s="489">
        <f>'Estado Financiero'!E35</f>
        <v>157074412.08407563</v>
      </c>
      <c r="F12" s="489">
        <f>'Estado Financiero'!F35</f>
        <v>170138864.9769839</v>
      </c>
      <c r="G12" s="490">
        <f>'Estado Financiero'!G35</f>
        <v>184035642.57850778</v>
      </c>
    </row>
    <row r="13" spans="1:10">
      <c r="A13" s="481" t="s">
        <v>222</v>
      </c>
      <c r="B13" s="491"/>
      <c r="C13" s="140">
        <f>'Estado Financiero'!C38</f>
        <v>0</v>
      </c>
      <c r="D13" s="140">
        <f>'Estado Financiero'!D38</f>
        <v>0</v>
      </c>
      <c r="E13" s="140">
        <f>'Estado Financiero'!E38</f>
        <v>0</v>
      </c>
      <c r="F13" s="140">
        <f>'Estado Financiero'!F38</f>
        <v>0</v>
      </c>
      <c r="G13" s="492">
        <f>'Estado Financiero'!G38</f>
        <v>0</v>
      </c>
    </row>
    <row r="14" spans="1:10">
      <c r="A14" s="481" t="s">
        <v>223</v>
      </c>
      <c r="B14" s="493">
        <v>0</v>
      </c>
      <c r="C14" s="140"/>
      <c r="D14" s="140"/>
      <c r="E14" s="140"/>
      <c r="F14" s="140"/>
      <c r="G14" s="492"/>
    </row>
    <row r="15" spans="1:10">
      <c r="A15" s="481" t="s">
        <v>224</v>
      </c>
      <c r="B15" s="491">
        <v>25000000</v>
      </c>
      <c r="C15" s="140">
        <f>'Estado Financiero'!C83</f>
        <v>0</v>
      </c>
      <c r="D15" s="140">
        <f>'Estado Financiero'!D83</f>
        <v>0</v>
      </c>
      <c r="E15" s="140">
        <f>'Estado Financiero'!E83</f>
        <v>0</v>
      </c>
      <c r="F15" s="140">
        <f>'Estado Financiero'!F83</f>
        <v>0</v>
      </c>
      <c r="G15" s="492">
        <f>'Estado Financiero'!G83</f>
        <v>0</v>
      </c>
    </row>
    <row r="16" spans="1:10" s="4" customFormat="1">
      <c r="A16" s="498" t="s">
        <v>225</v>
      </c>
      <c r="B16" s="494">
        <f>SUM(B12:B15)</f>
        <v>25000000</v>
      </c>
      <c r="C16" s="495">
        <f>SUM(C12:C15)+C10</f>
        <v>148225214.64000002</v>
      </c>
      <c r="D16" s="495">
        <f t="shared" ref="D16:G16" si="1">SUM(D12:D15)+D10</f>
        <v>191590120.26516002</v>
      </c>
      <c r="E16" s="495">
        <f t="shared" si="1"/>
        <v>244215482.00710964</v>
      </c>
      <c r="F16" s="495">
        <f t="shared" si="1"/>
        <v>302608588.12132627</v>
      </c>
      <c r="G16" s="496">
        <f t="shared" si="1"/>
        <v>367487427.59288186</v>
      </c>
    </row>
    <row r="17" spans="1:8">
      <c r="A17" s="210" t="s">
        <v>226</v>
      </c>
      <c r="B17" s="472"/>
      <c r="C17" s="473"/>
      <c r="D17" s="473"/>
      <c r="E17" s="473"/>
      <c r="F17" s="473"/>
      <c r="G17" s="474"/>
    </row>
    <row r="18" spans="1:8" ht="15.75" thickBot="1">
      <c r="A18" s="211" t="s">
        <v>227</v>
      </c>
      <c r="B18" s="472"/>
      <c r="C18" s="473"/>
      <c r="D18" s="473"/>
      <c r="E18" s="473"/>
      <c r="F18" s="473"/>
      <c r="G18" s="474"/>
    </row>
    <row r="19" spans="1:8">
      <c r="A19" s="215" t="s">
        <v>228</v>
      </c>
      <c r="B19" s="151">
        <f>'Estado Financiero'!B48</f>
        <v>0</v>
      </c>
      <c r="C19" s="151">
        <f>'Estado Financiero'!C48</f>
        <v>0</v>
      </c>
      <c r="D19" s="151">
        <f>'Estado Financiero'!D48</f>
        <v>0</v>
      </c>
      <c r="E19" s="151">
        <f>'Estado Financiero'!E48</f>
        <v>0</v>
      </c>
      <c r="F19" s="151">
        <f>'Estado Financiero'!F48</f>
        <v>0</v>
      </c>
      <c r="G19" s="152">
        <f>'Estado Financiero'!G48</f>
        <v>0</v>
      </c>
    </row>
    <row r="20" spans="1:8">
      <c r="A20" s="208" t="s">
        <v>229</v>
      </c>
      <c r="B20" s="140">
        <f>'Estado Financiero'!B49</f>
        <v>0</v>
      </c>
      <c r="C20" s="140">
        <f>'Estado Financiero'!C49</f>
        <v>0</v>
      </c>
      <c r="D20" s="140">
        <f>'Estado Financiero'!D49</f>
        <v>0</v>
      </c>
      <c r="E20" s="140">
        <f>'Estado Financiero'!E49</f>
        <v>0</v>
      </c>
      <c r="F20" s="140">
        <f>'Estado Financiero'!F49</f>
        <v>0</v>
      </c>
      <c r="G20" s="145">
        <f>'Estado Financiero'!G49</f>
        <v>0</v>
      </c>
    </row>
    <row r="21" spans="1:8">
      <c r="A21" s="208" t="s">
        <v>230</v>
      </c>
      <c r="B21" s="140">
        <f>'Estado Financiero'!B50</f>
        <v>0</v>
      </c>
      <c r="C21" s="140">
        <f>'Estado Financiero'!C50</f>
        <v>0</v>
      </c>
      <c r="D21" s="140">
        <f>'Estado Financiero'!D50</f>
        <v>0</v>
      </c>
      <c r="E21" s="140">
        <f>'Estado Financiero'!E50</f>
        <v>0</v>
      </c>
      <c r="F21" s="140">
        <f>'Estado Financiero'!F50</f>
        <v>0</v>
      </c>
      <c r="G21" s="145">
        <f>'Estado Financiero'!G50</f>
        <v>0</v>
      </c>
    </row>
    <row r="22" spans="1:8">
      <c r="A22" s="208" t="s">
        <v>231</v>
      </c>
      <c r="B22" s="140">
        <f>'Estado Financiero'!B51</f>
        <v>7500000</v>
      </c>
      <c r="C22" s="140">
        <v>0</v>
      </c>
      <c r="D22" s="140">
        <v>0</v>
      </c>
      <c r="E22" s="140">
        <v>0</v>
      </c>
      <c r="F22" s="140">
        <v>0</v>
      </c>
      <c r="G22" s="145">
        <v>0</v>
      </c>
      <c r="H22" t="s">
        <v>232</v>
      </c>
    </row>
    <row r="23" spans="1:8">
      <c r="A23" s="208" t="s">
        <v>233</v>
      </c>
      <c r="B23" s="140">
        <f>'Estado Financiero'!B52</f>
        <v>800000</v>
      </c>
      <c r="C23" s="140">
        <v>0</v>
      </c>
      <c r="D23" s="140">
        <v>0</v>
      </c>
      <c r="E23" s="140">
        <v>0</v>
      </c>
      <c r="F23" s="140">
        <v>0</v>
      </c>
      <c r="G23" s="145">
        <v>0</v>
      </c>
      <c r="H23" t="s">
        <v>232</v>
      </c>
    </row>
    <row r="24" spans="1:8">
      <c r="A24" s="195" t="s">
        <v>234</v>
      </c>
      <c r="B24" s="140"/>
      <c r="C24" s="140">
        <f>'Estado Financiero'!C77</f>
        <v>0</v>
      </c>
      <c r="D24" s="140">
        <f>'Estado Financiero'!D77</f>
        <v>0</v>
      </c>
      <c r="E24" s="140">
        <f>'Estado Financiero'!E77</f>
        <v>0</v>
      </c>
      <c r="F24" s="140">
        <f>'Estado Financiero'!F77</f>
        <v>0</v>
      </c>
      <c r="G24" s="145">
        <f>'Estado Financiero'!G77</f>
        <v>0</v>
      </c>
    </row>
    <row r="25" spans="1:8">
      <c r="A25" s="195" t="s">
        <v>174</v>
      </c>
      <c r="B25" s="140"/>
      <c r="C25" s="140">
        <f>'Estado Financiero'!C37</f>
        <v>0</v>
      </c>
      <c r="D25" s="140">
        <f>'Estado Financiero'!D37</f>
        <v>0</v>
      </c>
      <c r="E25" s="140">
        <f>'Estado Financiero'!E37</f>
        <v>0</v>
      </c>
      <c r="F25" s="140">
        <f>'Estado Financiero'!F37</f>
        <v>0</v>
      </c>
      <c r="G25" s="145">
        <f>'Estado Financiero'!G37</f>
        <v>0</v>
      </c>
    </row>
    <row r="26" spans="1:8">
      <c r="A26" s="195" t="s">
        <v>235</v>
      </c>
      <c r="B26" s="140"/>
      <c r="C26" s="140">
        <f>'Estado Financiero'!C65</f>
        <v>47734656</v>
      </c>
      <c r="D26" s="140">
        <f>'Estado Financiero'!D65</f>
        <v>49166695.68</v>
      </c>
      <c r="E26" s="140">
        <f>'Estado Financiero'!E65</f>
        <v>51133363.507200003</v>
      </c>
      <c r="F26" s="140">
        <f>'Estado Financiero'!F65</f>
        <v>53690031.682560004</v>
      </c>
      <c r="G26" s="145">
        <f>'Estado Financiero'!G65</f>
        <v>55300732.633036807</v>
      </c>
    </row>
    <row r="27" spans="1:8">
      <c r="A27" s="195" t="s">
        <v>236</v>
      </c>
      <c r="B27" s="140"/>
      <c r="C27" s="140">
        <f>'Estado Financiero'!C69</f>
        <v>18498225.359999999</v>
      </c>
      <c r="D27" s="140">
        <f>'Estado Financiero'!D69</f>
        <v>19053172.1208</v>
      </c>
      <c r="E27" s="140">
        <f>'Estado Financiero'!E69</f>
        <v>19815299.005631998</v>
      </c>
      <c r="F27" s="140">
        <f>'Estado Financiero'!F69</f>
        <v>20806063.9559136</v>
      </c>
      <c r="G27" s="145">
        <f>'Estado Financiero'!G69</f>
        <v>21430245.874591008</v>
      </c>
    </row>
    <row r="28" spans="1:8">
      <c r="A28" s="195" t="s">
        <v>237</v>
      </c>
      <c r="B28" s="140"/>
      <c r="C28" s="140">
        <f>'Estado Financiero'!B25</f>
        <v>17567316.648000006</v>
      </c>
      <c r="D28" s="140">
        <f>'Estado Financiero'!C25</f>
        <v>20470182.541325998</v>
      </c>
      <c r="E28" s="140">
        <f>'Estado Financiero'!D25</f>
        <v>24407736.349935267</v>
      </c>
      <c r="F28" s="140">
        <f>'Estado Financiero'!E25</f>
        <v>27451879.468478605</v>
      </c>
      <c r="G28" s="145">
        <f>'Estado Financiero'!F25</f>
        <v>31352849.930807989</v>
      </c>
    </row>
    <row r="29" spans="1:8">
      <c r="A29" s="195" t="s">
        <v>238</v>
      </c>
      <c r="B29" s="164">
        <f>'Estado Financiero'!C66</f>
        <v>0</v>
      </c>
      <c r="C29" s="164">
        <f>'Estado Financiero'!C66</f>
        <v>0</v>
      </c>
      <c r="D29" s="164">
        <f>'Estado Financiero'!D66</f>
        <v>0</v>
      </c>
      <c r="E29" s="164">
        <f>'Estado Financiero'!E66</f>
        <v>0</v>
      </c>
      <c r="F29" s="164">
        <f>'Estado Financiero'!F66</f>
        <v>0</v>
      </c>
      <c r="G29" s="171">
        <f>'Estado Financiero'!G66</f>
        <v>0</v>
      </c>
    </row>
    <row r="30" spans="1:8">
      <c r="A30" s="195" t="s">
        <v>239</v>
      </c>
      <c r="B30" s="140">
        <f>Inversión!B16+Inversión!B17+Inversión!B19+Inversión!B20</f>
        <v>200000</v>
      </c>
      <c r="C30" s="140">
        <f>'Estado Financiero'!C70</f>
        <v>15300000</v>
      </c>
      <c r="D30" s="140">
        <f>'Estado Financiero'!D70</f>
        <v>15759000</v>
      </c>
      <c r="E30" s="140">
        <f>'Estado Financiero'!E70</f>
        <v>16389360</v>
      </c>
      <c r="F30" s="140">
        <f>'Estado Financiero'!F70</f>
        <v>17208828</v>
      </c>
      <c r="G30" s="145">
        <f>'Estado Financiero'!G70</f>
        <v>17725092.84</v>
      </c>
    </row>
    <row r="31" spans="1:8" ht="15.75" thickBot="1">
      <c r="A31" s="216" t="s">
        <v>240</v>
      </c>
      <c r="B31" s="192">
        <f t="shared" ref="B31:G31" si="2">SUM(B19:B30)</f>
        <v>8500000</v>
      </c>
      <c r="C31" s="192">
        <f t="shared" si="2"/>
        <v>99100198.008000001</v>
      </c>
      <c r="D31" s="192">
        <f t="shared" si="2"/>
        <v>104449050.342126</v>
      </c>
      <c r="E31" s="192">
        <f t="shared" si="2"/>
        <v>111745758.86276726</v>
      </c>
      <c r="F31" s="192">
        <f t="shared" si="2"/>
        <v>119156803.10695221</v>
      </c>
      <c r="G31" s="217">
        <f t="shared" si="2"/>
        <v>125808921.27843581</v>
      </c>
    </row>
    <row r="32" spans="1:8">
      <c r="A32" s="212" t="s">
        <v>241</v>
      </c>
      <c r="B32" s="213">
        <f t="shared" ref="B32:G32" si="3">B16-B31</f>
        <v>16500000</v>
      </c>
      <c r="C32" s="213">
        <f t="shared" si="3"/>
        <v>49125016.632000014</v>
      </c>
      <c r="D32" s="213">
        <f t="shared" si="3"/>
        <v>87141069.923034027</v>
      </c>
      <c r="E32" s="213">
        <f t="shared" si="3"/>
        <v>132469723.14434238</v>
      </c>
      <c r="F32" s="213">
        <f t="shared" si="3"/>
        <v>183451785.01437408</v>
      </c>
      <c r="G32" s="214">
        <f t="shared" si="3"/>
        <v>241678506.31444603</v>
      </c>
    </row>
    <row r="33" spans="1:8" s="4" customFormat="1" ht="15.75" thickBot="1">
      <c r="A33" s="209" t="s">
        <v>242</v>
      </c>
      <c r="B33" s="148">
        <f>B32</f>
        <v>16500000</v>
      </c>
      <c r="C33" s="148">
        <f t="shared" ref="C33:G33" si="4">C32</f>
        <v>49125016.632000014</v>
      </c>
      <c r="D33" s="148">
        <f t="shared" si="4"/>
        <v>87141069.923034027</v>
      </c>
      <c r="E33" s="148">
        <f t="shared" si="4"/>
        <v>132469723.14434238</v>
      </c>
      <c r="F33" s="148">
        <f t="shared" si="4"/>
        <v>183451785.01437408</v>
      </c>
      <c r="G33" s="149">
        <f t="shared" si="4"/>
        <v>241678506.31444603</v>
      </c>
      <c r="H33" s="4" t="s">
        <v>243</v>
      </c>
    </row>
  </sheetData>
  <protectedRanges>
    <protectedRange sqref="B24:B30" name="Rango6"/>
    <protectedRange sqref="C15:G15" name="Rango4"/>
    <protectedRange sqref="B12:B13" name="Rango3"/>
    <protectedRange sqref="B19:G23" name="Rango5"/>
  </protectedRanges>
  <mergeCells count="3">
    <mergeCell ref="A7:C7"/>
    <mergeCell ref="D7:F7"/>
    <mergeCell ref="B17:G1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6"/>
  <sheetViews>
    <sheetView showGridLines="0" tabSelected="1" topLeftCell="A10" workbookViewId="0">
      <selection activeCell="F18" sqref="A18:F20"/>
    </sheetView>
  </sheetViews>
  <sheetFormatPr defaultColWidth="61.42578125" defaultRowHeight="15"/>
  <cols>
    <col min="1" max="1" width="61.42578125" style="1"/>
    <col min="2" max="2" width="18.28515625" style="1" customWidth="1"/>
    <col min="3" max="3" width="18.28515625" style="220" customWidth="1"/>
    <col min="4" max="9" width="18.28515625" style="1" customWidth="1"/>
    <col min="10" max="16384" width="61.42578125" style="1"/>
  </cols>
  <sheetData>
    <row r="1" spans="1:10">
      <c r="A1" s="218"/>
      <c r="B1" s="218"/>
      <c r="C1" s="218"/>
      <c r="D1" s="218"/>
      <c r="E1" s="218"/>
      <c r="F1" s="218"/>
      <c r="G1" s="218"/>
      <c r="H1" s="218"/>
      <c r="I1" s="218"/>
      <c r="J1" s="218"/>
    </row>
    <row r="2" spans="1:10">
      <c r="A2" s="218"/>
      <c r="B2" s="218"/>
      <c r="C2" s="218"/>
      <c r="D2" s="218"/>
      <c r="E2" s="218"/>
      <c r="F2" s="218"/>
      <c r="G2" s="218"/>
      <c r="H2" s="218"/>
      <c r="I2" s="218"/>
      <c r="J2" s="218"/>
    </row>
    <row r="3" spans="1:10">
      <c r="A3" s="218"/>
      <c r="B3" s="218"/>
      <c r="C3" s="218"/>
      <c r="D3" s="218"/>
      <c r="E3" s="218"/>
      <c r="F3" s="218"/>
      <c r="G3" s="218"/>
      <c r="H3" s="218"/>
      <c r="I3" s="218"/>
      <c r="J3" s="218"/>
    </row>
    <row r="4" spans="1:10">
      <c r="A4" s="218"/>
      <c r="B4" s="218"/>
      <c r="C4" s="218"/>
      <c r="D4" s="218"/>
      <c r="E4" s="218"/>
      <c r="F4" s="218"/>
      <c r="G4" s="218"/>
      <c r="H4" s="218"/>
      <c r="I4" s="218"/>
      <c r="J4" s="218"/>
    </row>
    <row r="5" spans="1:10">
      <c r="A5" s="218"/>
      <c r="B5" s="218"/>
      <c r="C5" s="218"/>
      <c r="D5" s="218"/>
      <c r="E5" s="218"/>
      <c r="F5" s="218"/>
      <c r="G5" s="218"/>
      <c r="H5" s="218"/>
      <c r="I5" s="218"/>
      <c r="J5" s="218"/>
    </row>
    <row r="6" spans="1:10">
      <c r="A6" s="218"/>
      <c r="B6" s="218"/>
      <c r="C6" s="218"/>
      <c r="D6" s="218"/>
      <c r="E6" s="218"/>
      <c r="F6" s="218"/>
      <c r="G6" s="218"/>
      <c r="H6" s="218"/>
      <c r="I6" s="218"/>
      <c r="J6" s="218"/>
    </row>
    <row r="7" spans="1:10" ht="15" customHeight="1">
      <c r="B7" s="218"/>
      <c r="C7" s="218"/>
      <c r="E7" s="232"/>
      <c r="F7" s="232"/>
      <c r="G7" s="218"/>
      <c r="H7" s="218"/>
      <c r="I7" s="218"/>
      <c r="J7" s="218"/>
    </row>
    <row r="8" spans="1:10">
      <c r="A8" s="265" t="s">
        <v>0</v>
      </c>
      <c r="B8" s="480" t="str">
        <f>Inicio!E8</f>
        <v>Savon D'amour</v>
      </c>
      <c r="C8" s="480"/>
    </row>
    <row r="9" spans="1:10" ht="15.75" thickBot="1"/>
    <row r="10" spans="1:10" ht="15.75" thickBot="1">
      <c r="A10" s="475" t="s">
        <v>244</v>
      </c>
      <c r="B10" s="476"/>
      <c r="C10" s="476"/>
      <c r="D10" s="476"/>
      <c r="E10" s="476"/>
      <c r="F10" s="477"/>
      <c r="G10" s="221"/>
    </row>
    <row r="11" spans="1:10">
      <c r="A11" s="233"/>
      <c r="B11" s="234"/>
      <c r="C11" s="234"/>
      <c r="D11" s="234"/>
      <c r="E11" s="234"/>
      <c r="F11" s="234"/>
      <c r="G11" s="221"/>
    </row>
    <row r="12" spans="1:10" ht="15.75" thickBot="1">
      <c r="A12" s="250" t="s">
        <v>245</v>
      </c>
      <c r="B12" s="234"/>
      <c r="C12" s="234"/>
      <c r="D12" s="234"/>
      <c r="E12" s="234"/>
      <c r="F12" s="234"/>
      <c r="G12" s="221"/>
    </row>
    <row r="13" spans="1:10" s="219" customFormat="1">
      <c r="A13" s="267" t="s">
        <v>149</v>
      </c>
      <c r="B13" s="268" t="s">
        <v>246</v>
      </c>
      <c r="C13" s="268" t="s">
        <v>247</v>
      </c>
      <c r="D13" s="268" t="s">
        <v>152</v>
      </c>
      <c r="E13" s="268" t="s">
        <v>248</v>
      </c>
      <c r="F13" s="269" t="s">
        <v>170</v>
      </c>
      <c r="G13" s="231"/>
    </row>
    <row r="14" spans="1:10">
      <c r="A14" s="355" t="s">
        <v>249</v>
      </c>
      <c r="B14" s="356"/>
      <c r="C14" s="356"/>
      <c r="D14" s="356"/>
      <c r="E14" s="356"/>
      <c r="F14" s="357"/>
      <c r="G14" s="221"/>
    </row>
    <row r="15" spans="1:10">
      <c r="A15" s="358" t="s">
        <v>250</v>
      </c>
      <c r="B15" s="251">
        <f>'Estado Financiero'!C45-'Estado Financiero'!C71</f>
        <v>32625016.632000014</v>
      </c>
      <c r="C15" s="251">
        <f>'Estado Financiero'!D45-'Estado Financiero'!D71</f>
        <v>38016053.291033998</v>
      </c>
      <c r="D15" s="251">
        <f>'Estado Financiero'!E45-'Estado Financiero'!E71</f>
        <v>45328653.221308365</v>
      </c>
      <c r="E15" s="251">
        <f>'Estado Financiero'!F45-'Estado Financiero'!F71</f>
        <v>50982061.870031685</v>
      </c>
      <c r="F15" s="366">
        <f>'Estado Financiero'!G45-'Estado Financiero'!G71</f>
        <v>58226721.30007197</v>
      </c>
      <c r="G15" s="221"/>
    </row>
    <row r="16" spans="1:10">
      <c r="A16" s="358" t="s">
        <v>251</v>
      </c>
      <c r="B16" s="252">
        <f>'Estado Financiero'!C45/'Estado Financiero'!C71</f>
        <v>1.3292124262896661</v>
      </c>
      <c r="C16" s="252">
        <f>'Estado Financiero'!D45/'Estado Financiero'!D71</f>
        <v>1.3639674383492362</v>
      </c>
      <c r="D16" s="252">
        <f>'Estado Financiero'!E45/'Estado Financiero'!E71</f>
        <v>1.4056409270706691</v>
      </c>
      <c r="E16" s="252">
        <f>'Estado Financiero'!F45/'Estado Financiero'!F71</f>
        <v>1.4278569124103762</v>
      </c>
      <c r="F16" s="367">
        <f>'Estado Financiero'!G45/'Estado Financiero'!G71</f>
        <v>1.4628186992495282</v>
      </c>
      <c r="G16" s="221"/>
    </row>
    <row r="17" spans="1:7">
      <c r="A17" s="371" t="s">
        <v>252</v>
      </c>
      <c r="B17" s="365">
        <f>('Estado Financiero'!C45-'Estado Financiero'!C43)/'Estado Financiero'!C71</f>
        <v>1.3292124262896661</v>
      </c>
      <c r="C17" s="365">
        <f>('Estado Financiero'!D45-'Estado Financiero'!D43)/'Estado Financiero'!D71</f>
        <v>1.3639674383492362</v>
      </c>
      <c r="D17" s="365">
        <f>('Estado Financiero'!E45-'Estado Financiero'!E43)/'Estado Financiero'!E71</f>
        <v>1.4056409270706691</v>
      </c>
      <c r="E17" s="365">
        <f>('Estado Financiero'!F45-'Estado Financiero'!F43)/'Estado Financiero'!F71</f>
        <v>1.4278569124103762</v>
      </c>
      <c r="F17" s="372">
        <f>('Estado Financiero'!G45-'Estado Financiero'!G43)/'Estado Financiero'!G71</f>
        <v>1.4628186992495282</v>
      </c>
      <c r="G17" s="221"/>
    </row>
    <row r="18" spans="1:7">
      <c r="A18" s="368" t="s">
        <v>253</v>
      </c>
      <c r="B18" s="369"/>
      <c r="C18" s="369"/>
      <c r="D18" s="369"/>
      <c r="E18" s="369"/>
      <c r="F18" s="370"/>
      <c r="G18" s="221"/>
    </row>
    <row r="19" spans="1:7">
      <c r="A19" s="376" t="s">
        <v>254</v>
      </c>
      <c r="B19" s="364"/>
      <c r="C19" s="364"/>
      <c r="D19" s="364"/>
      <c r="E19" s="364"/>
      <c r="F19" s="377"/>
      <c r="G19" s="221"/>
    </row>
    <row r="20" spans="1:7" ht="6.75" customHeight="1">
      <c r="A20" s="502"/>
      <c r="B20" s="503"/>
      <c r="C20" s="503"/>
      <c r="D20" s="503"/>
      <c r="E20" s="503"/>
      <c r="F20" s="504"/>
      <c r="G20" s="221"/>
    </row>
    <row r="21" spans="1:7">
      <c r="A21" s="373" t="s">
        <v>255</v>
      </c>
      <c r="B21" s="374"/>
      <c r="C21" s="374"/>
      <c r="D21" s="374"/>
      <c r="E21" s="374"/>
      <c r="F21" s="375"/>
      <c r="G21" s="221"/>
    </row>
    <row r="22" spans="1:7">
      <c r="A22" s="358" t="s">
        <v>256</v>
      </c>
      <c r="B22" s="253">
        <f>'Estado Financiero'!C79/'Estado Financiero'!C61</f>
        <v>0.71622190783890216</v>
      </c>
      <c r="C22" s="253">
        <f>'Estado Financiero'!D79/('Estado Financiero'!D61)</f>
        <v>0.70363967786341164</v>
      </c>
      <c r="D22" s="253">
        <f>'Estado Financiero'!E79/('Estado Financiero'!E61)</f>
        <v>0.687865955837899</v>
      </c>
      <c r="E22" s="253">
        <f>'Estado Financiero'!F79/('Estado Financiero'!F61)</f>
        <v>0.68097608117426167</v>
      </c>
      <c r="F22" s="359">
        <f>'Estado Financiero'!G79/('Estado Financiero'!G61)</f>
        <v>0.66780342792053726</v>
      </c>
      <c r="G22" s="221"/>
    </row>
    <row r="23" spans="1:7">
      <c r="A23" s="358" t="s">
        <v>257</v>
      </c>
      <c r="B23" s="254">
        <f>('Estado Financiero'!C66+'Estado Financiero'!C74)/'Estado Financiero'!B54</f>
        <v>0</v>
      </c>
      <c r="C23" s="254">
        <f>('Estado Financiero'!D66+'Estado Financiero'!D74)/'Estado Financiero'!C54</f>
        <v>0</v>
      </c>
      <c r="D23" s="254">
        <f>('Estado Financiero'!E66+'Estado Financiero'!E74)/'Estado Financiero'!D54</f>
        <v>0</v>
      </c>
      <c r="E23" s="254">
        <f>('Estado Financiero'!F66+'Estado Financiero'!F74)/'Estado Financiero'!E54</f>
        <v>0</v>
      </c>
      <c r="F23" s="360">
        <f>('Estado Financiero'!G66+'Estado Financiero'!G74)/'Estado Financiero'!F54</f>
        <v>0</v>
      </c>
      <c r="G23" s="221"/>
    </row>
    <row r="24" spans="1:7">
      <c r="A24" s="358" t="s">
        <v>258</v>
      </c>
      <c r="B24" s="254">
        <f>'Estado Financiero'!C67/'Estado Financiero'!C71</f>
        <v>0</v>
      </c>
      <c r="C24" s="254">
        <f>'Estado Financiero'!D67/'Estado Financiero'!D71</f>
        <v>0</v>
      </c>
      <c r="D24" s="254">
        <f>'Estado Financiero'!E67/'Estado Financiero'!E71</f>
        <v>0</v>
      </c>
      <c r="E24" s="254">
        <f>'Estado Financiero'!F67/'Estado Financiero'!F71</f>
        <v>0</v>
      </c>
      <c r="F24" s="360">
        <f>'Estado Financiero'!G67/'Estado Financiero'!G71</f>
        <v>0</v>
      </c>
      <c r="G24" s="221"/>
    </row>
    <row r="25" spans="1:7" ht="15.75" thickBot="1">
      <c r="A25" s="361" t="s">
        <v>259</v>
      </c>
      <c r="B25" s="362">
        <f>('Estado Financiero'!C78/'Estado Financiero'!C87)</f>
        <v>0</v>
      </c>
      <c r="C25" s="362">
        <f>('Estado Financiero'!D78/'Estado Financiero'!D87)</f>
        <v>0</v>
      </c>
      <c r="D25" s="362">
        <f>('Estado Financiero'!E78/'Estado Financiero'!E87)</f>
        <v>0</v>
      </c>
      <c r="E25" s="362">
        <f>('Estado Financiero'!F78/'Estado Financiero'!F87)</f>
        <v>0</v>
      </c>
      <c r="F25" s="363">
        <f>('Estado Financiero'!G78/'Estado Financiero'!G87)</f>
        <v>0</v>
      </c>
      <c r="G25" s="221"/>
    </row>
    <row r="26" spans="1:7" ht="6.75" customHeight="1" thickBot="1">
      <c r="A26" s="270"/>
      <c r="B26" s="260"/>
      <c r="C26" s="260"/>
      <c r="D26" s="260"/>
      <c r="E26" s="260"/>
      <c r="F26" s="271"/>
      <c r="G26" s="221"/>
    </row>
    <row r="27" spans="1:7">
      <c r="A27" s="272" t="s">
        <v>260</v>
      </c>
      <c r="B27" s="255"/>
      <c r="C27" s="255"/>
      <c r="D27" s="255"/>
      <c r="E27" s="255"/>
      <c r="F27" s="256"/>
      <c r="G27" s="221"/>
    </row>
    <row r="28" spans="1:7">
      <c r="A28" s="257" t="s">
        <v>261</v>
      </c>
      <c r="B28" s="253">
        <f>'Estado Financiero'!B28/Inversión!$B$27</f>
        <v>1.1745005987520003</v>
      </c>
      <c r="C28" s="253">
        <f>'Estado Financiero'!C28/Inversión!$B$27</f>
        <v>1.3685779184772238</v>
      </c>
      <c r="D28" s="253">
        <f>'Estado Financiero'!D28/Inversión!$B$27</f>
        <v>1.6318315159671011</v>
      </c>
      <c r="E28" s="253">
        <f>'Estado Financiero'!E28/Inversión!$B$27</f>
        <v>1.8353542273211412</v>
      </c>
      <c r="F28" s="261">
        <f>'Estado Financiero'!F28/Inversión!$B$27</f>
        <v>2.0961619668025913</v>
      </c>
      <c r="G28" s="221"/>
    </row>
    <row r="29" spans="1:7">
      <c r="A29" s="257" t="s">
        <v>262</v>
      </c>
      <c r="B29" s="253">
        <f>'Estado Financiero'!B28/'Estado Financiero'!C87</f>
        <v>0.89999999999999991</v>
      </c>
      <c r="C29" s="253">
        <f>'Estado Financiero'!C28/'Estado Financiero'!D87</f>
        <v>0.89999999999999991</v>
      </c>
      <c r="D29" s="253">
        <f>'Estado Financiero'!D28/'Estado Financiero'!E87</f>
        <v>0.9</v>
      </c>
      <c r="E29" s="253">
        <f>'Estado Financiero'!E28/'Estado Financiero'!F87</f>
        <v>0.89999999999999991</v>
      </c>
      <c r="F29" s="261">
        <f>'Estado Financiero'!F28/'Estado Financiero'!G87</f>
        <v>0.9</v>
      </c>
      <c r="G29" s="221"/>
    </row>
    <row r="30" spans="1:7">
      <c r="A30" s="257" t="s">
        <v>263</v>
      </c>
      <c r="B30" s="253">
        <f>'Estado Financiero'!B12/('Estado Financiero'!B13+'Estado Financiero'!B15)-1</f>
        <v>0.7139810784777989</v>
      </c>
      <c r="C30" s="253">
        <f>'Estado Financiero'!C12/('Estado Financiero'!C13+'Estado Financiero'!C15)-1</f>
        <v>0.71400254890698811</v>
      </c>
      <c r="D30" s="253">
        <f>'Estado Financiero'!D12/('Estado Financiero'!D13+'Estado Financiero'!D15)-1</f>
        <v>0.71409748269270401</v>
      </c>
      <c r="E30" s="253">
        <f>'Estado Financiero'!E12/('Estado Financiero'!E13+'Estado Financiero'!E15)-1</f>
        <v>0.71570235143620309</v>
      </c>
      <c r="F30" s="261">
        <f>'Estado Financiero'!F12/('Estado Financiero'!F13+'Estado Financiero'!F15)-1</f>
        <v>0.7158208283678007</v>
      </c>
      <c r="G30" s="221"/>
    </row>
    <row r="31" spans="1:7">
      <c r="A31" s="257" t="s">
        <v>264</v>
      </c>
      <c r="B31" s="254">
        <f>('Estado Financiero'!B12-('Estado Financiero'!B13+'Estado Financiero'!B15))/'Estado Financiero'!B12</f>
        <v>0.41656298744668263</v>
      </c>
      <c r="C31" s="254">
        <f>('Estado Financiero'!C12-('Estado Financiero'!C13+'Estado Financiero'!C15))/'Estado Financiero'!C12</f>
        <v>0.41657029586233951</v>
      </c>
      <c r="D31" s="254">
        <f>('Estado Financiero'!D12-('Estado Financiero'!D13+'Estado Financiero'!D15))/'Estado Financiero'!D12</f>
        <v>0.41660260860480147</v>
      </c>
      <c r="E31" s="254">
        <f>('Estado Financiero'!E12-('Estado Financiero'!E13+'Estado Financiero'!E15))/'Estado Financiero'!E12</f>
        <v>0.41714831878448694</v>
      </c>
      <c r="F31" s="262">
        <f>('Estado Financiero'!F12-('Estado Financiero'!F13+'Estado Financiero'!F15))/'Estado Financiero'!F12</f>
        <v>0.41718856452438308</v>
      </c>
      <c r="G31" s="221"/>
    </row>
    <row r="32" spans="1:7" ht="15.75" thickBot="1">
      <c r="A32" s="259" t="s">
        <v>265</v>
      </c>
      <c r="B32" s="263">
        <f>'Estado Financiero'!B20/'Estado Financiero'!B12</f>
        <v>0.15872639384325815</v>
      </c>
      <c r="C32" s="263">
        <f>'Estado Financiero'!C20/'Estado Financiero'!C12</f>
        <v>0.17101471127481016</v>
      </c>
      <c r="D32" s="263">
        <f>'Estado Financiero'!D20/'Estado Financiero'!D12</f>
        <v>0.18495922680589252</v>
      </c>
      <c r="E32" s="263">
        <f>'Estado Financiero'!E20/'Estado Financiero'!E12</f>
        <v>0.19230519005417582</v>
      </c>
      <c r="F32" s="264">
        <f>'Estado Financiero'!F20/'Estado Financiero'!F12</f>
        <v>0.20306703749833785</v>
      </c>
      <c r="G32" s="221"/>
    </row>
    <row r="33" spans="1:7">
      <c r="A33" s="223"/>
      <c r="B33" s="266"/>
      <c r="C33" s="266"/>
      <c r="D33" s="266"/>
      <c r="E33" s="266"/>
      <c r="F33" s="266"/>
      <c r="G33" s="221"/>
    </row>
    <row r="34" spans="1:7">
      <c r="A34" s="222"/>
      <c r="B34" s="223"/>
      <c r="C34" s="223"/>
      <c r="D34" s="221"/>
      <c r="E34" s="221"/>
      <c r="F34" s="221"/>
      <c r="G34" s="221"/>
    </row>
    <row r="35" spans="1:7" ht="15.75" thickBot="1">
      <c r="A35" s="222" t="s">
        <v>266</v>
      </c>
      <c r="B35" s="221"/>
      <c r="C35" s="223"/>
      <c r="D35" s="221"/>
      <c r="E35" s="221"/>
      <c r="F35" s="221"/>
      <c r="G35" s="221"/>
    </row>
    <row r="36" spans="1:7">
      <c r="A36" s="281" t="s">
        <v>149</v>
      </c>
      <c r="B36" s="282" t="s">
        <v>150</v>
      </c>
      <c r="C36" s="282" t="s">
        <v>151</v>
      </c>
      <c r="D36" s="282" t="s">
        <v>152</v>
      </c>
      <c r="E36" s="283" t="s">
        <v>153</v>
      </c>
      <c r="F36" s="284" t="s">
        <v>170</v>
      </c>
      <c r="G36" s="221"/>
    </row>
    <row r="37" spans="1:7">
      <c r="A37" s="257" t="s">
        <v>158</v>
      </c>
      <c r="B37" s="273">
        <f>'Estado Financiero'!B15</f>
        <v>184493985.35999998</v>
      </c>
      <c r="C37" s="273">
        <f>'Estado Financiero'!C15</f>
        <v>199530245.16684002</v>
      </c>
      <c r="D37" s="273">
        <f>'Estado Financiero'!D15</f>
        <v>219962142.27192438</v>
      </c>
      <c r="E37" s="273">
        <f>'Estado Financiero'!E15</f>
        <v>237722936.9661361</v>
      </c>
      <c r="F37" s="276">
        <f>'Estado Financiero'!F15</f>
        <v>257097356.3288762</v>
      </c>
      <c r="G37" s="223"/>
    </row>
    <row r="38" spans="1:7">
      <c r="A38" s="277" t="s">
        <v>267</v>
      </c>
      <c r="B38" s="251">
        <f>'Estado Financiero'!B18+'Estado Financiero'!B19</f>
        <v>81532881.359999999</v>
      </c>
      <c r="C38" s="251">
        <f>'Estado Financiero'!C18+'Estado Financiero'!C19</f>
        <v>83978867.800799996</v>
      </c>
      <c r="D38" s="251">
        <f>'Estado Financiero'!D18+'Estado Financiero'!D19</f>
        <v>87338022.512832001</v>
      </c>
      <c r="E38" s="251">
        <f>'Estado Financiero'!E18+'Estado Financiero'!E19</f>
        <v>91704923.6384736</v>
      </c>
      <c r="F38" s="258">
        <f>'Estado Financiero'!F18+'Estado Financiero'!F19</f>
        <v>94456071.347627804</v>
      </c>
      <c r="G38" s="223"/>
    </row>
    <row r="39" spans="1:7">
      <c r="A39" s="277" t="s">
        <v>268</v>
      </c>
      <c r="B39" s="251">
        <f>'Estado Financiero'!B22</f>
        <v>0</v>
      </c>
      <c r="C39" s="251">
        <f>'Estado Financiero'!C22</f>
        <v>0</v>
      </c>
      <c r="D39" s="251">
        <f>'Estado Financiero'!D22</f>
        <v>0</v>
      </c>
      <c r="E39" s="251">
        <f>'Estado Financiero'!E22</f>
        <v>0</v>
      </c>
      <c r="F39" s="258">
        <f>'Estado Financiero'!F22</f>
        <v>0</v>
      </c>
      <c r="G39" s="223"/>
    </row>
    <row r="40" spans="1:7">
      <c r="A40" s="277" t="s">
        <v>269</v>
      </c>
      <c r="B40" s="251">
        <f>'Estado Financiero'!B23</f>
        <v>0</v>
      </c>
      <c r="C40" s="251">
        <f>'Estado Financiero'!C23</f>
        <v>0</v>
      </c>
      <c r="D40" s="251">
        <f>'Estado Financiero'!D23</f>
        <v>0</v>
      </c>
      <c r="E40" s="251">
        <f>'Estado Financiero'!E23</f>
        <v>0</v>
      </c>
      <c r="F40" s="258">
        <f>'Estado Financiero'!F23</f>
        <v>0</v>
      </c>
      <c r="G40" s="223"/>
    </row>
    <row r="41" spans="1:7">
      <c r="A41" s="277" t="s">
        <v>270</v>
      </c>
      <c r="B41" s="251">
        <f>'Estado Financiero'!B25</f>
        <v>17567316.648000006</v>
      </c>
      <c r="C41" s="251">
        <f>'Estado Financiero'!C25</f>
        <v>20470182.541325998</v>
      </c>
      <c r="D41" s="251">
        <f>'Estado Financiero'!D25</f>
        <v>24407736.349935267</v>
      </c>
      <c r="E41" s="251">
        <f>'Estado Financiero'!E25</f>
        <v>27451879.468478605</v>
      </c>
      <c r="F41" s="258">
        <f>'Estado Financiero'!F25</f>
        <v>31352849.930807989</v>
      </c>
      <c r="G41" s="223"/>
    </row>
    <row r="42" spans="1:7">
      <c r="A42" s="278" t="s">
        <v>271</v>
      </c>
      <c r="B42" s="274">
        <f>SUM(B37:B41)</f>
        <v>283594183.36799997</v>
      </c>
      <c r="C42" s="274">
        <f t="shared" ref="C42:F42" si="0">SUM(C37:C41)</f>
        <v>303979295.50896603</v>
      </c>
      <c r="D42" s="274">
        <f t="shared" si="0"/>
        <v>331707901.13469166</v>
      </c>
      <c r="E42" s="274">
        <f t="shared" si="0"/>
        <v>356879740.07308835</v>
      </c>
      <c r="F42" s="279">
        <f t="shared" si="0"/>
        <v>382906277.60731202</v>
      </c>
      <c r="G42" s="223"/>
    </row>
    <row r="43" spans="1:7">
      <c r="A43" s="257" t="s">
        <v>272</v>
      </c>
      <c r="B43" s="273">
        <f>'Estado Financiero'!B12</f>
        <v>316219200</v>
      </c>
      <c r="C43" s="273">
        <f>'Estado Financiero'!C12</f>
        <v>341995348.80000001</v>
      </c>
      <c r="D43" s="273">
        <f>'Estado Financiero'!D12</f>
        <v>377036554.35600001</v>
      </c>
      <c r="E43" s="273">
        <f>'Estado Financiero'!E12</f>
        <v>407861801.94312</v>
      </c>
      <c r="F43" s="276">
        <f>'Estado Financiero'!F12</f>
        <v>441132998.90738398</v>
      </c>
      <c r="G43" s="223"/>
    </row>
    <row r="44" spans="1:7" ht="15.75" thickBot="1">
      <c r="A44" s="280" t="s">
        <v>273</v>
      </c>
      <c r="B44" s="285">
        <f>B42/B43</f>
        <v>0.8968278440018822</v>
      </c>
      <c r="C44" s="285">
        <f t="shared" ref="C44:F44" si="1">C42/C43</f>
        <v>0.88884043767137344</v>
      </c>
      <c r="D44" s="285">
        <f t="shared" si="1"/>
        <v>0.87977650257616991</v>
      </c>
      <c r="E44" s="285">
        <f t="shared" si="1"/>
        <v>0.87500162646478585</v>
      </c>
      <c r="F44" s="286">
        <f t="shared" si="1"/>
        <v>0.86800642562608044</v>
      </c>
      <c r="G44" s="223"/>
    </row>
    <row r="45" spans="1:7">
      <c r="A45" s="233"/>
      <c r="B45" s="221"/>
      <c r="C45" s="221"/>
      <c r="D45" s="221"/>
      <c r="E45" s="221"/>
      <c r="F45" s="221"/>
      <c r="G45" s="223"/>
    </row>
    <row r="46" spans="1:7">
      <c r="A46" s="222" t="s">
        <v>274</v>
      </c>
      <c r="B46" s="223"/>
      <c r="C46" s="223"/>
      <c r="D46" s="223"/>
      <c r="E46" s="223"/>
      <c r="F46" s="223"/>
      <c r="G46" s="223"/>
    </row>
    <row r="47" spans="1:7">
      <c r="A47" s="222"/>
      <c r="B47" s="223"/>
      <c r="C47" s="223"/>
      <c r="D47" s="223"/>
      <c r="E47" s="223"/>
      <c r="F47" s="223"/>
      <c r="G47" s="223"/>
    </row>
    <row r="48" spans="1:7" ht="15.75" thickBot="1">
      <c r="A48" s="478" t="s">
        <v>275</v>
      </c>
      <c r="B48" s="479"/>
      <c r="C48" s="479"/>
      <c r="D48" s="479"/>
      <c r="E48" s="479"/>
      <c r="F48" s="479"/>
      <c r="G48" s="479"/>
    </row>
    <row r="49" spans="1:7" ht="15.75" thickBot="1">
      <c r="A49" s="301" t="s">
        <v>149</v>
      </c>
      <c r="B49" s="302" t="s">
        <v>169</v>
      </c>
      <c r="C49" s="302" t="s">
        <v>150</v>
      </c>
      <c r="D49" s="302" t="s">
        <v>151</v>
      </c>
      <c r="E49" s="302" t="s">
        <v>276</v>
      </c>
      <c r="F49" s="302" t="s">
        <v>153</v>
      </c>
      <c r="G49" s="303" t="s">
        <v>170</v>
      </c>
    </row>
    <row r="50" spans="1:7">
      <c r="A50" s="305" t="s">
        <v>277</v>
      </c>
      <c r="B50" s="306">
        <f>'Estado Financiero'!B86</f>
        <v>0</v>
      </c>
      <c r="C50" s="307">
        <f>'Estado Financiero'!C86</f>
        <v>29362514.968800008</v>
      </c>
      <c r="D50" s="307">
        <f>'Estado Financiero'!D86</f>
        <v>34214447.961930595</v>
      </c>
      <c r="E50" s="307">
        <f>'Estado Financiero'!E86</f>
        <v>40795787.899177529</v>
      </c>
      <c r="F50" s="307">
        <f>'Estado Financiero'!F86</f>
        <v>45883855.683028527</v>
      </c>
      <c r="G50" s="308">
        <f>'Estado Financiero'!G86</f>
        <v>52404049.170064785</v>
      </c>
    </row>
    <row r="51" spans="1:7">
      <c r="A51" s="293" t="s">
        <v>278</v>
      </c>
      <c r="B51" s="288"/>
      <c r="C51" s="289">
        <f>'Estado Financiero'!C53</f>
        <v>830000</v>
      </c>
      <c r="D51" s="289">
        <f>'Estado Financiero'!D53</f>
        <v>747000</v>
      </c>
      <c r="E51" s="289">
        <f>'Estado Financiero'!E53</f>
        <v>672300</v>
      </c>
      <c r="F51" s="289">
        <f>'Estado Financiero'!F53</f>
        <v>605070</v>
      </c>
      <c r="G51" s="294">
        <f>'Estado Financiero'!G53</f>
        <v>544563</v>
      </c>
    </row>
    <row r="52" spans="1:7">
      <c r="A52" s="293" t="s">
        <v>279</v>
      </c>
      <c r="B52" s="290"/>
      <c r="C52" s="289">
        <f>'Estado Financiero'!C66</f>
        <v>0</v>
      </c>
      <c r="D52" s="289">
        <f>'Estado Financiero'!D66</f>
        <v>0</v>
      </c>
      <c r="E52" s="289">
        <f>'Estado Financiero'!E66</f>
        <v>0</v>
      </c>
      <c r="F52" s="289">
        <f>'Estado Financiero'!F66</f>
        <v>0</v>
      </c>
      <c r="G52" s="294">
        <f>'Estado Financiero'!G66</f>
        <v>0</v>
      </c>
    </row>
    <row r="53" spans="1:7">
      <c r="A53" s="293" t="s">
        <v>280</v>
      </c>
      <c r="B53" s="290"/>
      <c r="C53" s="289">
        <f>'Estado Financiero'!C74</f>
        <v>0</v>
      </c>
      <c r="D53" s="289">
        <f>'Estado Financiero'!D74</f>
        <v>0</v>
      </c>
      <c r="E53" s="289">
        <f>'Estado Financiero'!E74</f>
        <v>0</v>
      </c>
      <c r="F53" s="289">
        <f>'Estado Financiero'!F74</f>
        <v>0</v>
      </c>
      <c r="G53" s="294">
        <f>'Estado Financiero'!G74</f>
        <v>0</v>
      </c>
    </row>
    <row r="54" spans="1:7" s="219" customFormat="1" ht="15.75" thickBot="1">
      <c r="A54" s="309" t="s">
        <v>281</v>
      </c>
      <c r="B54" s="310">
        <f>B50+B51+B52-B53</f>
        <v>0</v>
      </c>
      <c r="C54" s="310">
        <f t="shared" ref="C54:G54" si="2">C50+C51+C52-C53</f>
        <v>30192514.968800008</v>
      </c>
      <c r="D54" s="310">
        <f t="shared" si="2"/>
        <v>34961447.961930595</v>
      </c>
      <c r="E54" s="310">
        <f t="shared" si="2"/>
        <v>41468087.899177529</v>
      </c>
      <c r="F54" s="310">
        <f t="shared" si="2"/>
        <v>46488925.683028527</v>
      </c>
      <c r="G54" s="311">
        <f t="shared" si="2"/>
        <v>52948612.170064785</v>
      </c>
    </row>
    <row r="55" spans="1:7">
      <c r="A55" s="305" t="s">
        <v>282</v>
      </c>
      <c r="B55" s="313">
        <f>Inversión!B27</f>
        <v>25000000</v>
      </c>
      <c r="C55" s="314"/>
      <c r="D55" s="314"/>
      <c r="E55" s="314"/>
      <c r="F55" s="314"/>
      <c r="G55" s="315"/>
    </row>
    <row r="56" spans="1:7">
      <c r="A56" s="293" t="s">
        <v>283</v>
      </c>
      <c r="B56" s="291"/>
      <c r="C56" s="291">
        <f>B15</f>
        <v>32625016.632000014</v>
      </c>
      <c r="D56" s="291">
        <f t="shared" ref="D56:G56" si="3">C15</f>
        <v>38016053.291033998</v>
      </c>
      <c r="E56" s="291">
        <f t="shared" si="3"/>
        <v>45328653.221308365</v>
      </c>
      <c r="F56" s="291">
        <f t="shared" si="3"/>
        <v>50982061.870031685</v>
      </c>
      <c r="G56" s="296">
        <f t="shared" si="3"/>
        <v>58226721.30007197</v>
      </c>
    </row>
    <row r="57" spans="1:7">
      <c r="A57" s="293" t="s">
        <v>284</v>
      </c>
      <c r="B57" s="291">
        <f>Inversión!F9</f>
        <v>0</v>
      </c>
      <c r="C57" s="292"/>
      <c r="D57" s="292"/>
      <c r="E57" s="292"/>
      <c r="F57" s="292"/>
      <c r="G57" s="295"/>
    </row>
    <row r="58" spans="1:7" s="219" customFormat="1" ht="15.75" thickBot="1">
      <c r="A58" s="309" t="s">
        <v>285</v>
      </c>
      <c r="B58" s="316">
        <f>B55+B56-B57</f>
        <v>25000000</v>
      </c>
      <c r="C58" s="316">
        <f t="shared" ref="C58:G58" si="4">C55+C56-C57</f>
        <v>32625016.632000014</v>
      </c>
      <c r="D58" s="316">
        <f t="shared" si="4"/>
        <v>38016053.291033998</v>
      </c>
      <c r="E58" s="316">
        <f t="shared" si="4"/>
        <v>45328653.221308365</v>
      </c>
      <c r="F58" s="316">
        <f t="shared" si="4"/>
        <v>50982061.870031685</v>
      </c>
      <c r="G58" s="317">
        <f t="shared" si="4"/>
        <v>58226721.30007197</v>
      </c>
    </row>
    <row r="59" spans="1:7" ht="4.5" customHeight="1">
      <c r="A59" s="300"/>
      <c r="B59" s="304"/>
      <c r="C59" s="304"/>
      <c r="D59" s="304"/>
      <c r="E59" s="304"/>
      <c r="F59" s="304"/>
      <c r="G59" s="312"/>
    </row>
    <row r="60" spans="1:7" ht="15.75" thickBot="1">
      <c r="A60" s="297" t="s">
        <v>286</v>
      </c>
      <c r="B60" s="298"/>
      <c r="C60" s="298">
        <f>C54-C58</f>
        <v>-2432501.6632000059</v>
      </c>
      <c r="D60" s="298">
        <f t="shared" ref="D60:G60" si="5">D54-D58</f>
        <v>-3054605.3291034028</v>
      </c>
      <c r="E60" s="298">
        <f t="shared" si="5"/>
        <v>-3860565.3221308365</v>
      </c>
      <c r="F60" s="298">
        <f t="shared" si="5"/>
        <v>-4493136.187003158</v>
      </c>
      <c r="G60" s="299">
        <f t="shared" si="5"/>
        <v>-5278109.130007185</v>
      </c>
    </row>
    <row r="61" spans="1:7" ht="15.75" thickBot="1">
      <c r="A61" s="287"/>
      <c r="B61" s="237"/>
      <c r="C61" s="237"/>
      <c r="D61" s="237"/>
      <c r="E61" s="237"/>
      <c r="F61" s="237"/>
      <c r="G61" s="237"/>
    </row>
    <row r="62" spans="1:7" ht="15.75" thickBot="1">
      <c r="A62" s="238" t="s">
        <v>287</v>
      </c>
      <c r="B62" s="239">
        <v>0.1</v>
      </c>
      <c r="C62" s="225"/>
      <c r="D62" s="223"/>
      <c r="E62" s="223"/>
      <c r="F62" s="223"/>
      <c r="G62" s="223"/>
    </row>
    <row r="63" spans="1:7" ht="15.75" thickBot="1">
      <c r="A63" s="222"/>
      <c r="B63" s="223"/>
      <c r="C63" s="223"/>
      <c r="D63" s="223"/>
      <c r="E63" s="223"/>
      <c r="F63" s="223"/>
      <c r="G63" s="223"/>
    </row>
    <row r="64" spans="1:7" ht="15.75" thickBot="1">
      <c r="A64" s="222"/>
      <c r="B64" s="267" t="s">
        <v>288</v>
      </c>
      <c r="C64" s="324" t="s">
        <v>289</v>
      </c>
      <c r="D64" s="325" t="s">
        <v>290</v>
      </c>
      <c r="E64" s="223"/>
      <c r="F64" s="223"/>
      <c r="G64" s="223"/>
    </row>
    <row r="65" spans="1:7">
      <c r="A65" s="222"/>
      <c r="B65" s="275" t="s">
        <v>169</v>
      </c>
      <c r="C65" s="326">
        <f>-(Inversión!B27-Inversión!F9)</f>
        <v>-25000000</v>
      </c>
      <c r="D65" s="327">
        <v>0</v>
      </c>
      <c r="E65" s="223"/>
      <c r="F65" s="223"/>
      <c r="G65" s="223"/>
    </row>
    <row r="66" spans="1:7">
      <c r="A66" s="222"/>
      <c r="B66" s="319" t="s">
        <v>150</v>
      </c>
      <c r="C66" s="318">
        <f>(C65*Inicio!F31)-'Evaluación financiera'!C65</f>
        <v>24250000</v>
      </c>
      <c r="D66" s="321">
        <f>C66/(1+$B$62)^1</f>
        <v>22045454.545454543</v>
      </c>
      <c r="E66" s="223"/>
      <c r="F66" s="223"/>
      <c r="G66" s="223"/>
    </row>
    <row r="67" spans="1:7">
      <c r="A67" s="222"/>
      <c r="B67" s="319" t="s">
        <v>151</v>
      </c>
      <c r="C67" s="318">
        <f>(C66*Inicio!G31)+'Evaluación financiera'!C66</f>
        <v>25220000</v>
      </c>
      <c r="D67" s="321">
        <f>C67/(1+$B$62)^2</f>
        <v>20842975.206611566</v>
      </c>
      <c r="E67" s="226"/>
      <c r="F67" s="226"/>
      <c r="G67" s="226"/>
    </row>
    <row r="68" spans="1:7">
      <c r="A68" s="222"/>
      <c r="B68" s="319" t="s">
        <v>152</v>
      </c>
      <c r="C68" s="318">
        <f>(C67*Inicio!H31)+'Evaluación financiera'!C67</f>
        <v>26481000</v>
      </c>
      <c r="D68" s="321">
        <f>C68/(1+$B$62)^3</f>
        <v>19895567.242674675</v>
      </c>
      <c r="E68" s="226"/>
      <c r="F68" s="226"/>
      <c r="G68" s="226"/>
    </row>
    <row r="69" spans="1:7" ht="15.75" thickBot="1">
      <c r="A69" s="222"/>
      <c r="B69" s="320" t="s">
        <v>153</v>
      </c>
      <c r="C69" s="322">
        <f>(C68*Inicio!I31)+'Evaluación financiera'!C68</f>
        <v>27275430</v>
      </c>
      <c r="D69" s="323">
        <f>C69/(1+$B$62)^4</f>
        <v>18629485.690868106</v>
      </c>
      <c r="E69" s="221"/>
      <c r="F69" s="221"/>
      <c r="G69" s="221"/>
    </row>
    <row r="70" spans="1:7">
      <c r="A70" s="222"/>
      <c r="B70" s="223"/>
      <c r="C70" s="223"/>
      <c r="D70" s="223"/>
      <c r="E70" s="223"/>
      <c r="F70" s="223"/>
      <c r="G70" s="223"/>
    </row>
    <row r="71" spans="1:7">
      <c r="A71" s="244"/>
      <c r="B71" s="227" t="s">
        <v>291</v>
      </c>
      <c r="C71" s="231">
        <f>SUM(D66:D69)-C65</f>
        <v>106413482.68560889</v>
      </c>
      <c r="D71" s="328"/>
      <c r="E71" s="228"/>
      <c r="F71" s="223"/>
      <c r="G71" s="223"/>
    </row>
    <row r="72" spans="1:7">
      <c r="A72" s="222"/>
      <c r="B72" s="229" t="s">
        <v>292</v>
      </c>
      <c r="C72" s="230">
        <f>IRR(C65:C69,B62)</f>
        <v>0.92934648251893015</v>
      </c>
      <c r="D72" s="223"/>
      <c r="E72" s="223"/>
      <c r="F72" s="223"/>
      <c r="G72" s="223"/>
    </row>
    <row r="73" spans="1:7">
      <c r="A73" s="222"/>
      <c r="B73" s="247"/>
      <c r="C73" s="248"/>
      <c r="D73" s="223"/>
      <c r="E73" s="223"/>
      <c r="F73" s="223"/>
      <c r="G73" s="223"/>
    </row>
    <row r="74" spans="1:7">
      <c r="A74" s="222" t="s">
        <v>293</v>
      </c>
      <c r="B74" s="223"/>
      <c r="C74" s="223"/>
      <c r="D74" s="223"/>
      <c r="E74" s="223"/>
      <c r="F74" s="223"/>
      <c r="G74" s="223"/>
    </row>
    <row r="75" spans="1:7" ht="15.75" thickBot="1">
      <c r="A75" s="223"/>
      <c r="B75" s="224"/>
      <c r="C75" s="224"/>
      <c r="D75" s="223"/>
      <c r="E75" s="223"/>
      <c r="F75" s="223"/>
      <c r="G75" s="223"/>
    </row>
    <row r="76" spans="1:7" ht="15.75" thickBot="1">
      <c r="A76" s="222"/>
      <c r="B76" s="235" t="s">
        <v>288</v>
      </c>
      <c r="C76" s="249" t="s">
        <v>289</v>
      </c>
      <c r="D76" s="223"/>
      <c r="E76" s="223"/>
      <c r="F76" s="223"/>
      <c r="G76" s="223"/>
    </row>
    <row r="77" spans="1:7">
      <c r="A77" s="222"/>
      <c r="B77" s="233" t="s">
        <v>169</v>
      </c>
      <c r="C77" s="236"/>
      <c r="D77" s="223"/>
      <c r="E77" s="223"/>
      <c r="F77" s="223"/>
      <c r="G77" s="223"/>
    </row>
    <row r="78" spans="1:7">
      <c r="A78" s="222"/>
      <c r="B78" s="240" t="s">
        <v>150</v>
      </c>
      <c r="C78" s="241"/>
      <c r="D78" s="223"/>
      <c r="E78" s="223"/>
      <c r="F78" s="223"/>
      <c r="G78" s="223"/>
    </row>
    <row r="79" spans="1:7">
      <c r="A79" s="222"/>
      <c r="B79" s="240" t="s">
        <v>151</v>
      </c>
      <c r="C79" s="241"/>
      <c r="D79" s="223"/>
      <c r="E79" s="223"/>
      <c r="F79" s="223"/>
      <c r="G79" s="223"/>
    </row>
    <row r="80" spans="1:7">
      <c r="A80" s="222"/>
      <c r="B80" s="240" t="s">
        <v>152</v>
      </c>
      <c r="C80" s="241"/>
      <c r="D80" s="223"/>
      <c r="E80" s="223"/>
      <c r="F80" s="223"/>
      <c r="G80" s="223"/>
    </row>
    <row r="81" spans="1:7">
      <c r="A81" s="222"/>
      <c r="B81" s="240" t="s">
        <v>153</v>
      </c>
      <c r="C81" s="241"/>
      <c r="D81" s="223"/>
      <c r="E81" s="223"/>
      <c r="F81" s="223"/>
      <c r="G81" s="223"/>
    </row>
    <row r="82" spans="1:7" ht="15.75" thickBot="1">
      <c r="A82" s="222"/>
      <c r="B82" s="242" t="s">
        <v>170</v>
      </c>
      <c r="C82" s="243"/>
      <c r="D82" s="223"/>
      <c r="E82" s="223"/>
      <c r="F82" s="223"/>
      <c r="G82" s="223"/>
    </row>
    <row r="83" spans="1:7">
      <c r="A83" s="222"/>
      <c r="B83" s="223"/>
      <c r="C83" s="223"/>
      <c r="D83" s="223"/>
      <c r="E83" s="223"/>
      <c r="F83" s="223"/>
      <c r="G83" s="223"/>
    </row>
    <row r="84" spans="1:7">
      <c r="A84" s="222"/>
      <c r="B84" s="245" t="s">
        <v>291</v>
      </c>
      <c r="C84" s="246"/>
      <c r="D84" s="223"/>
      <c r="E84" s="223"/>
      <c r="F84" s="223"/>
      <c r="G84" s="223"/>
    </row>
    <row r="85" spans="1:7">
      <c r="A85" s="222"/>
      <c r="B85" s="223" t="s">
        <v>294</v>
      </c>
      <c r="C85" s="226">
        <f>Inversión!B27</f>
        <v>25000000</v>
      </c>
      <c r="D85" s="223"/>
      <c r="E85" s="223"/>
      <c r="F85" s="223"/>
      <c r="G85" s="223"/>
    </row>
    <row r="86" spans="1:7">
      <c r="A86" s="222"/>
      <c r="B86" s="247" t="s">
        <v>295</v>
      </c>
      <c r="C86" s="246"/>
      <c r="D86" s="223"/>
      <c r="E86" s="223"/>
      <c r="F86" s="223"/>
      <c r="G86" s="223"/>
    </row>
  </sheetData>
  <mergeCells count="3">
    <mergeCell ref="A10:F10"/>
    <mergeCell ref="A48:G48"/>
    <mergeCell ref="B8:C8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selection activeCell="H15" sqref="H15"/>
    </sheetView>
  </sheetViews>
  <sheetFormatPr defaultColWidth="11.42578125" defaultRowHeight="15"/>
  <cols>
    <col min="1" max="1" width="20" bestFit="1" customWidth="1"/>
    <col min="3" max="3" width="14.42578125" bestFit="1" customWidth="1"/>
  </cols>
  <sheetData>
    <row r="1" spans="1:3" s="4" customFormat="1">
      <c r="A1" s="4" t="s">
        <v>296</v>
      </c>
    </row>
    <row r="3" spans="1:3">
      <c r="A3" t="s">
        <v>7</v>
      </c>
      <c r="C3" s="56"/>
    </row>
    <row r="4" spans="1:3">
      <c r="A4" t="s">
        <v>297</v>
      </c>
      <c r="C4" s="56"/>
    </row>
    <row r="5" spans="1:3">
      <c r="A5" t="s">
        <v>298</v>
      </c>
    </row>
    <row r="6" spans="1:3">
      <c r="A6" t="s">
        <v>299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3C29B820EFE14BAE97FE1BEFAF4BD6" ma:contentTypeVersion="13" ma:contentTypeDescription="Crear nuevo documento." ma:contentTypeScope="" ma:versionID="bbf4e2dab58abdd6885d0964e11563ce">
  <xsd:schema xmlns:xsd="http://www.w3.org/2001/XMLSchema" xmlns:xs="http://www.w3.org/2001/XMLSchema" xmlns:p="http://schemas.microsoft.com/office/2006/metadata/properties" xmlns:ns3="7dd16888-64e9-4e1a-bb89-a2531ddf5377" xmlns:ns4="bd95b973-9152-4f5b-b4e9-13cb3ff61757" targetNamespace="http://schemas.microsoft.com/office/2006/metadata/properties" ma:root="true" ma:fieldsID="6bf83087a815f6bc5698c76a02fe7804" ns3:_="" ns4:_="">
    <xsd:import namespace="7dd16888-64e9-4e1a-bb89-a2531ddf5377"/>
    <xsd:import namespace="bd95b973-9152-4f5b-b4e9-13cb3ff6175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d16888-64e9-4e1a-bb89-a2531ddf537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95b973-9152-4f5b-b4e9-13cb3ff617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769C8E-13B5-4F28-8699-2387A7E51BA5}"/>
</file>

<file path=customXml/itemProps2.xml><?xml version="1.0" encoding="utf-8"?>
<ds:datastoreItem xmlns:ds="http://schemas.openxmlformats.org/officeDocument/2006/customXml" ds:itemID="{DDDF1523-0739-49F4-BE1B-73CD6BC4C0EA}"/>
</file>

<file path=customXml/itemProps3.xml><?xml version="1.0" encoding="utf-8"?>
<ds:datastoreItem xmlns:ds="http://schemas.openxmlformats.org/officeDocument/2006/customXml" ds:itemID="{E23DCAD8-48C7-4477-B5E0-41BF08A2D4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personal</dc:creator>
  <cp:keywords/>
  <dc:description/>
  <cp:lastModifiedBy>Usuario invitado</cp:lastModifiedBy>
  <cp:revision/>
  <dcterms:created xsi:type="dcterms:W3CDTF">2021-03-23T19:45:36Z</dcterms:created>
  <dcterms:modified xsi:type="dcterms:W3CDTF">2021-11-04T01:55:51Z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0x010100A03C29B820EFE14BAE97FE1BEFAF4BD6</vt:lpwstr>
  </property>
</Properties>
</file>