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"/>
    </mc:Choice>
  </mc:AlternateContent>
  <xr:revisionPtr revIDLastSave="0" documentId="13_ncr:1_{256D4FD8-9084-4294-8D96-FD129C74E5AC}" xr6:coauthVersionLast="45" xr6:coauthVersionMax="45" xr10:uidLastSave="{00000000-0000-0000-0000-000000000000}"/>
  <bookViews>
    <workbookView xWindow="-120" yWindow="-120" windowWidth="29040" windowHeight="15840" xr2:uid="{F95DA856-8800-4DBC-A4BE-C8B7731327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5" i="1" s="1"/>
  <c r="S20" i="1" l="1"/>
  <c r="S21" i="1"/>
  <c r="S22" i="1"/>
  <c r="S23" i="1"/>
  <c r="Q20" i="1"/>
  <c r="R20" i="1" s="1"/>
  <c r="P20" i="1"/>
  <c r="P21" i="1"/>
  <c r="Q21" i="1" s="1"/>
  <c r="R21" i="1" s="1"/>
  <c r="P22" i="1"/>
  <c r="Q22" i="1" s="1"/>
  <c r="R22" i="1" s="1"/>
  <c r="P23" i="1"/>
  <c r="Q23" i="1" s="1"/>
  <c r="R23" i="1" s="1"/>
  <c r="N4" i="1"/>
  <c r="O6" i="1"/>
  <c r="P6" i="1" s="1"/>
  <c r="Q6" i="1" s="1"/>
  <c r="R6" i="1" s="1"/>
  <c r="C24" i="1"/>
  <c r="C12" i="1"/>
  <c r="C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C13" i="1"/>
  <c r="M2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1" i="1"/>
  <c r="L22" i="1"/>
  <c r="L23" i="1"/>
  <c r="C11" i="1"/>
  <c r="C10" i="1"/>
  <c r="K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O13" i="1" l="1"/>
  <c r="P13" i="1" s="1"/>
  <c r="Q13" i="1" s="1"/>
  <c r="R13" i="1" s="1"/>
  <c r="O5" i="1"/>
  <c r="P5" i="1" s="1"/>
  <c r="Q5" i="1" s="1"/>
  <c r="R5" i="1" s="1"/>
  <c r="O3" i="1"/>
  <c r="P3" i="1" s="1"/>
  <c r="Q3" i="1" s="1"/>
  <c r="R3" i="1" s="1"/>
  <c r="O12" i="1"/>
  <c r="P12" i="1" s="1"/>
  <c r="Q12" i="1" s="1"/>
  <c r="R12" i="1" s="1"/>
  <c r="O4" i="1"/>
  <c r="P4" i="1" s="1"/>
  <c r="Q4" i="1" s="1"/>
  <c r="R4" i="1" s="1"/>
  <c r="O19" i="1"/>
  <c r="P19" i="1" s="1"/>
  <c r="Q19" i="1" s="1"/>
  <c r="R19" i="1" s="1"/>
  <c r="O11" i="1"/>
  <c r="P11" i="1" s="1"/>
  <c r="Q11" i="1" s="1"/>
  <c r="R11" i="1" s="1"/>
  <c r="O18" i="1"/>
  <c r="P18" i="1" s="1"/>
  <c r="Q18" i="1" s="1"/>
  <c r="R18" i="1" s="1"/>
  <c r="O10" i="1"/>
  <c r="P10" i="1" s="1"/>
  <c r="Q10" i="1" s="1"/>
  <c r="R10" i="1" s="1"/>
  <c r="O17" i="1"/>
  <c r="P17" i="1" s="1"/>
  <c r="Q17" i="1" s="1"/>
  <c r="R17" i="1" s="1"/>
  <c r="O9" i="1"/>
  <c r="P9" i="1" s="1"/>
  <c r="Q9" i="1" s="1"/>
  <c r="R9" i="1" s="1"/>
  <c r="O16" i="1"/>
  <c r="P16" i="1" s="1"/>
  <c r="Q16" i="1" s="1"/>
  <c r="R16" i="1" s="1"/>
  <c r="O8" i="1"/>
  <c r="P8" i="1" s="1"/>
  <c r="Q8" i="1" s="1"/>
  <c r="R8" i="1" s="1"/>
  <c r="O15" i="1"/>
  <c r="P15" i="1" s="1"/>
  <c r="Q15" i="1" s="1"/>
  <c r="R15" i="1" s="1"/>
  <c r="O7" i="1"/>
  <c r="P7" i="1" s="1"/>
  <c r="Q7" i="1" s="1"/>
  <c r="R7" i="1" s="1"/>
  <c r="O14" i="1"/>
  <c r="P14" i="1" s="1"/>
  <c r="Q14" i="1" s="1"/>
  <c r="R14" i="1" s="1"/>
  <c r="L4" i="1"/>
  <c r="L19" i="1"/>
  <c r="L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<sst xmlns="http://schemas.openxmlformats.org/spreadsheetml/2006/main" count="53" uniqueCount="48">
  <si>
    <t>Load (Ohms)</t>
  </si>
  <si>
    <t>Voltage (V)</t>
  </si>
  <si>
    <t>Current (A)</t>
  </si>
  <si>
    <t>Frequency (Hz)</t>
  </si>
  <si>
    <t>Angular velocity (rpm)</t>
  </si>
  <si>
    <t>Power (mW)</t>
  </si>
  <si>
    <t>k_t</t>
  </si>
  <si>
    <t>T_max</t>
  </si>
  <si>
    <t>mNm</t>
  </si>
  <si>
    <t>Coils</t>
  </si>
  <si>
    <t>i_max</t>
  </si>
  <si>
    <t>A</t>
  </si>
  <si>
    <t>i_min</t>
  </si>
  <si>
    <t>omega_max</t>
  </si>
  <si>
    <t>rpm</t>
  </si>
  <si>
    <t>Motor constants (datasheet)</t>
  </si>
  <si>
    <t>Motor Constants (calculated)</t>
  </si>
  <si>
    <t>R_motor</t>
  </si>
  <si>
    <t>Ohm</t>
  </si>
  <si>
    <t>Nominal Voltage</t>
  </si>
  <si>
    <t>V</t>
  </si>
  <si>
    <t>mNm/A</t>
  </si>
  <si>
    <t>k_v</t>
  </si>
  <si>
    <t>mV/(rad/s)</t>
  </si>
  <si>
    <t>Measurements</t>
  </si>
  <si>
    <t>Gemiddelde:</t>
  </si>
  <si>
    <t>Standaard deviatie:</t>
  </si>
  <si>
    <t>Air/prop Constants</t>
  </si>
  <si>
    <t>d</t>
  </si>
  <si>
    <t>m</t>
  </si>
  <si>
    <t>rho</t>
  </si>
  <si>
    <t>kg/m^3</t>
  </si>
  <si>
    <t>k_t (mNm/A)</t>
  </si>
  <si>
    <t>c_t * u^2 (m^2/s^2)</t>
  </si>
  <si>
    <t>Torque EMK (mNm)</t>
  </si>
  <si>
    <t>T_friction</t>
  </si>
  <si>
    <t>v_in</t>
  </si>
  <si>
    <t>m/s</t>
  </si>
  <si>
    <t>c_t</t>
  </si>
  <si>
    <t>lambda</t>
  </si>
  <si>
    <t>T-test</t>
  </si>
  <si>
    <t>b</t>
  </si>
  <si>
    <t>a</t>
  </si>
  <si>
    <t>T_0</t>
  </si>
  <si>
    <t>mNm/rpm</t>
  </si>
  <si>
    <t>T_fric = a * rpm + b</t>
  </si>
  <si>
    <t>Torque Friction (mNm)</t>
  </si>
  <si>
    <t>Torque Total (mNm)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</si>
</sst>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Load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Sheet1!$F$4:$F$23</c:f>
              <c:numCache>
                <c:formatCode>0</c:formatCode>
                <c:ptCount val="20"/>
                <c:pt idx="0">
                  <c:v>1002800</c:v>
                </c:pt>
                <c:pt idx="1">
                  <c:v>332800</c:v>
                </c:pt>
                <c:pt idx="2">
                  <c:v>102800</c:v>
                </c:pt>
                <c:pt idx="3">
                  <c:v>49800</c:v>
                </c:pt>
                <c:pt idx="4">
                  <c:v>24800</c:v>
                </c:pt>
                <c:pt idx="5">
                  <c:v>10000</c:v>
                </c:pt>
                <c:pt idx="6">
                  <c:v>4700</c:v>
                </c:pt>
                <c:pt idx="7">
                  <c:v>3300</c:v>
                </c:pt>
                <c:pt idx="8">
                  <c:v>2200</c:v>
                </c:pt>
                <c:pt idx="9">
                  <c:v>1000</c:v>
                </c:pt>
                <c:pt idx="10">
                  <c:v>680</c:v>
                </c:pt>
                <c:pt idx="11">
                  <c:v>470</c:v>
                </c:pt>
                <c:pt idx="12">
                  <c:v>330</c:v>
                </c:pt>
                <c:pt idx="13">
                  <c:v>220</c:v>
                </c:pt>
                <c:pt idx="14">
                  <c:v>100</c:v>
                </c:pt>
                <c:pt idx="15">
                  <c:v>47</c:v>
                </c:pt>
                <c:pt idx="16">
                  <c:v>10</c:v>
                </c:pt>
                <c:pt idx="17" formatCode="0.00">
                  <c:v>4.7</c:v>
                </c:pt>
                <c:pt idx="18" formatCode="0.00">
                  <c:v>1.5</c:v>
                </c:pt>
                <c:pt idx="19" formatCode="0.00">
                  <c:v>0</c:v>
                </c:pt>
              </c:numCache>
            </c:numRef>
          </c:xVal>
          <c:yVal>
            <c:numRef>
              <c:f>Sheet1!$L$4:$L$23</c:f>
              <c:numCache>
                <c:formatCode>0.00</c:formatCode>
                <c:ptCount val="20"/>
                <c:pt idx="0">
                  <c:v>8.0920000000000002E-3</c:v>
                </c:pt>
                <c:pt idx="1">
                  <c:v>3.1489999999999997E-2</c:v>
                </c:pt>
                <c:pt idx="2">
                  <c:v>0.11253000000000001</c:v>
                </c:pt>
                <c:pt idx="3">
                  <c:v>0.22110000000000005</c:v>
                </c:pt>
                <c:pt idx="4">
                  <c:v>0.50634000000000012</c:v>
                </c:pt>
                <c:pt idx="5">
                  <c:v>0.97499999999999998</c:v>
                </c:pt>
                <c:pt idx="6">
                  <c:v>2.0100000000000002</c:v>
                </c:pt>
                <c:pt idx="7">
                  <c:v>2.6136000000000004</c:v>
                </c:pt>
                <c:pt idx="8">
                  <c:v>4.1715</c:v>
                </c:pt>
                <c:pt idx="9">
                  <c:v>5.4</c:v>
                </c:pt>
                <c:pt idx="10">
                  <c:v>7.6499999999999995</c:v>
                </c:pt>
                <c:pt idx="11">
                  <c:v>9.36</c:v>
                </c:pt>
                <c:pt idx="12">
                  <c:v>12.96</c:v>
                </c:pt>
                <c:pt idx="13">
                  <c:v>8.76</c:v>
                </c:pt>
                <c:pt idx="14">
                  <c:v>3.15</c:v>
                </c:pt>
                <c:pt idx="15">
                  <c:v>1.19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5-40AA-B8CA-88801BA2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3416"/>
        <c:axId val="215561448"/>
      </c:scatterChart>
      <c:valAx>
        <c:axId val="215563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Load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1448"/>
        <c:crosses val="autoZero"/>
        <c:crossBetween val="midCat"/>
      </c:valAx>
      <c:valAx>
        <c:axId val="2155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56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Power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Sheet1!$K$3:$K$19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Sheet1!$L$3:$L$19</c:f>
              <c:numCache>
                <c:formatCode>0.00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9CF-99FA-64C2B6C92F5B}"/>
            </c:ext>
          </c:extLst>
        </c:ser>
        <c:ser>
          <c:idx val="0"/>
          <c:order val="1"/>
          <c:tx>
            <c:strRef>
              <c:f>Sheet1!$L$2</c:f>
              <c:strCache>
                <c:ptCount val="1"/>
                <c:pt idx="0">
                  <c:v>Power (mW)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Sheet1!$K$3:$K$19</c:f>
              <c:numCache>
                <c:formatCode>0</c:formatCode>
                <c:ptCount val="17"/>
                <c:pt idx="0">
                  <c:v>1260</c:v>
                </c:pt>
                <c:pt idx="1">
                  <c:v>1230</c:v>
                </c:pt>
                <c:pt idx="2">
                  <c:v>1320</c:v>
                </c:pt>
                <c:pt idx="3">
                  <c:v>1410</c:v>
                </c:pt>
                <c:pt idx="4">
                  <c:v>1350</c:v>
                </c:pt>
                <c:pt idx="5">
                  <c:v>1340</c:v>
                </c:pt>
                <c:pt idx="6">
                  <c:v>1360</c:v>
                </c:pt>
                <c:pt idx="7">
                  <c:v>1260</c:v>
                </c:pt>
                <c:pt idx="8">
                  <c:v>1260</c:v>
                </c:pt>
                <c:pt idx="9">
                  <c:v>1250</c:v>
                </c:pt>
                <c:pt idx="10">
                  <c:v>1120</c:v>
                </c:pt>
                <c:pt idx="11">
                  <c:v>1070</c:v>
                </c:pt>
                <c:pt idx="12">
                  <c:v>1050</c:v>
                </c:pt>
                <c:pt idx="13">
                  <c:v>920</c:v>
                </c:pt>
                <c:pt idx="14">
                  <c:v>720</c:v>
                </c:pt>
                <c:pt idx="15">
                  <c:v>320</c:v>
                </c:pt>
                <c:pt idx="16">
                  <c:v>160</c:v>
                </c:pt>
              </c:numCache>
            </c:numRef>
          </c:xVal>
          <c:yVal>
            <c:numRef>
              <c:f>Sheet1!$L$3:$L$19</c:f>
              <c:numCache>
                <c:formatCode>0.00</c:formatCode>
                <c:ptCount val="17"/>
                <c:pt idx="0">
                  <c:v>0</c:v>
                </c:pt>
                <c:pt idx="1">
                  <c:v>8.0920000000000002E-3</c:v>
                </c:pt>
                <c:pt idx="2">
                  <c:v>3.1489999999999997E-2</c:v>
                </c:pt>
                <c:pt idx="3">
                  <c:v>0.11253000000000001</c:v>
                </c:pt>
                <c:pt idx="4">
                  <c:v>0.22110000000000005</c:v>
                </c:pt>
                <c:pt idx="5">
                  <c:v>0.50634000000000012</c:v>
                </c:pt>
                <c:pt idx="6">
                  <c:v>0.97499999999999998</c:v>
                </c:pt>
                <c:pt idx="7">
                  <c:v>2.0100000000000002</c:v>
                </c:pt>
                <c:pt idx="8">
                  <c:v>2.6136000000000004</c:v>
                </c:pt>
                <c:pt idx="9">
                  <c:v>4.1715</c:v>
                </c:pt>
                <c:pt idx="10">
                  <c:v>5.4</c:v>
                </c:pt>
                <c:pt idx="11">
                  <c:v>7.6499999999999995</c:v>
                </c:pt>
                <c:pt idx="12">
                  <c:v>9.36</c:v>
                </c:pt>
                <c:pt idx="13">
                  <c:v>12.96</c:v>
                </c:pt>
                <c:pt idx="14">
                  <c:v>8.76</c:v>
                </c:pt>
                <c:pt idx="15">
                  <c:v>3.15</c:v>
                </c:pt>
                <c:pt idx="1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9CF-99FA-64C2B6C9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Power</a:t>
                </a:r>
                <a:r>
                  <a:rPr lang="en-NL" baseline="0"/>
                  <a:t> (mW)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Torque</a:t>
            </a:r>
            <a:r>
              <a:rPr lang="en-NL"/>
              <a:t> vs. Angular</a:t>
            </a:r>
            <a:r>
              <a:rPr lang="en-NL" baseline="0"/>
              <a:t>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Sheet1!$K$4:$K$23</c:f>
              <c:numCache>
                <c:formatCode>0</c:formatCode>
                <c:ptCount val="20"/>
                <c:pt idx="0">
                  <c:v>1230</c:v>
                </c:pt>
                <c:pt idx="1">
                  <c:v>1320</c:v>
                </c:pt>
                <c:pt idx="2">
                  <c:v>1410</c:v>
                </c:pt>
                <c:pt idx="3">
                  <c:v>1350</c:v>
                </c:pt>
                <c:pt idx="4">
                  <c:v>1340</c:v>
                </c:pt>
                <c:pt idx="5">
                  <c:v>1360</c:v>
                </c:pt>
                <c:pt idx="6">
                  <c:v>1260</c:v>
                </c:pt>
                <c:pt idx="7">
                  <c:v>1260</c:v>
                </c:pt>
                <c:pt idx="8">
                  <c:v>1250</c:v>
                </c:pt>
                <c:pt idx="9">
                  <c:v>1120</c:v>
                </c:pt>
                <c:pt idx="10">
                  <c:v>1070</c:v>
                </c:pt>
                <c:pt idx="11">
                  <c:v>1050</c:v>
                </c:pt>
                <c:pt idx="12">
                  <c:v>920</c:v>
                </c:pt>
                <c:pt idx="13">
                  <c:v>720</c:v>
                </c:pt>
                <c:pt idx="14">
                  <c:v>320</c:v>
                </c:pt>
                <c:pt idx="15">
                  <c:v>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Sheet1!$N$4:$N$23</c:f>
              <c:numCache>
                <c:formatCode>0.00</c:formatCode>
                <c:ptCount val="20"/>
                <c:pt idx="0">
                  <c:v>6.4418862643278552E-5</c:v>
                </c:pt>
                <c:pt idx="1">
                  <c:v>2.1626332458814942E-4</c:v>
                </c:pt>
                <c:pt idx="2">
                  <c:v>7.592223097243545E-4</c:v>
                </c:pt>
                <c:pt idx="3">
                  <c:v>1.518444619448709E-3</c:v>
                </c:pt>
                <c:pt idx="4">
                  <c:v>3.3474801837846536E-3</c:v>
                </c:pt>
                <c:pt idx="5">
                  <c:v>6.9020209974941307E-3</c:v>
                </c:pt>
                <c:pt idx="6">
                  <c:v>1.5414513561070226E-2</c:v>
                </c:pt>
                <c:pt idx="7">
                  <c:v>2.0245928259316117E-2</c:v>
                </c:pt>
                <c:pt idx="8">
                  <c:v>3.1059094488723592E-2</c:v>
                </c:pt>
                <c:pt idx="9">
                  <c:v>4.6013473316627543E-2</c:v>
                </c:pt>
                <c:pt idx="10">
                  <c:v>6.9020209974941307E-2</c:v>
                </c:pt>
                <c:pt idx="11">
                  <c:v>9.2026946633255086E-2</c:v>
                </c:pt>
                <c:pt idx="12">
                  <c:v>0.13804041994988261</c:v>
                </c:pt>
                <c:pt idx="13">
                  <c:v>0.13804041994988261</c:v>
                </c:pt>
                <c:pt idx="14">
                  <c:v>0.11503368329156885</c:v>
                </c:pt>
                <c:pt idx="15">
                  <c:v>0.11503368329156885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3-4862-9B45-1C81FBE7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Angular velocity (rpm)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Torque</a:t>
                </a:r>
                <a:r>
                  <a:rPr lang="nl-NL" baseline="0"/>
                  <a:t> (mNm)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c_t vs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Sheet1!$S$4:$S$23</c:f>
              <c:numCache>
                <c:formatCode>0.00</c:formatCode>
                <c:ptCount val="20"/>
                <c:pt idx="0">
                  <c:v>7.7283179278308909</c:v>
                </c:pt>
                <c:pt idx="1">
                  <c:v>8.2938046054770549</c:v>
                </c:pt>
                <c:pt idx="2">
                  <c:v>8.8592912831232162</c:v>
                </c:pt>
                <c:pt idx="3">
                  <c:v>8.4823001646924414</c:v>
                </c:pt>
                <c:pt idx="4">
                  <c:v>8.4194683116206441</c:v>
                </c:pt>
                <c:pt idx="5">
                  <c:v>8.5451320177642369</c:v>
                </c:pt>
                <c:pt idx="6">
                  <c:v>7.9168134870462783</c:v>
                </c:pt>
                <c:pt idx="7">
                  <c:v>7.9168134870462783</c:v>
                </c:pt>
                <c:pt idx="8">
                  <c:v>7.8539816339744828</c:v>
                </c:pt>
                <c:pt idx="9">
                  <c:v>7.0371675440411376</c:v>
                </c:pt>
                <c:pt idx="10">
                  <c:v>6.7230082786821574</c:v>
                </c:pt>
                <c:pt idx="11">
                  <c:v>6.5973445725385655</c:v>
                </c:pt>
                <c:pt idx="12">
                  <c:v>5.7805304826052186</c:v>
                </c:pt>
                <c:pt idx="13">
                  <c:v>4.5238934211693023</c:v>
                </c:pt>
                <c:pt idx="14">
                  <c:v>2.0106192982974678</c:v>
                </c:pt>
                <c:pt idx="15">
                  <c:v>1.0053096491487339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xVal>
          <c:yVal>
            <c:numRef>
              <c:f>Sheet1!$R$4:$R$23</c:f>
              <c:numCache>
                <c:formatCode>0.00</c:formatCode>
                <c:ptCount val="20"/>
                <c:pt idx="0">
                  <c:v>0.38791031847172214</c:v>
                </c:pt>
                <c:pt idx="1">
                  <c:v>0.39096258004248241</c:v>
                </c:pt>
                <c:pt idx="2">
                  <c:v>0.39418288944481067</c:v>
                </c:pt>
                <c:pt idx="3">
                  <c:v>0.39251775362708674</c:v>
                </c:pt>
                <c:pt idx="4">
                  <c:v>0.39297173331644825</c:v>
                </c:pt>
                <c:pt idx="5">
                  <c:v>0.39516277365517011</c:v>
                </c:pt>
                <c:pt idx="6">
                  <c:v>0.39550137475958608</c:v>
                </c:pt>
                <c:pt idx="7">
                  <c:v>0.39757725973777885</c:v>
                </c:pt>
                <c:pt idx="8">
                  <c:v>0.40189139696992265</c:v>
                </c:pt>
                <c:pt idx="9">
                  <c:v>0.40400217155478046</c:v>
                </c:pt>
                <c:pt idx="10">
                  <c:v>0.41222788285568907</c:v>
                </c:pt>
                <c:pt idx="11">
                  <c:v>0.42144926731374616</c:v>
                </c:pt>
                <c:pt idx="12">
                  <c:v>0.43690501675841475</c:v>
                </c:pt>
                <c:pt idx="13">
                  <c:v>0.43026719571075783</c:v>
                </c:pt>
                <c:pt idx="14">
                  <c:v>0.40710638705262109</c:v>
                </c:pt>
                <c:pt idx="15">
                  <c:v>0.40179613021449556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2-4502-9D01-AD9D6375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5568"/>
        <c:axId val="533553600"/>
      </c:scatterChart>
      <c:valAx>
        <c:axId val="533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3600"/>
        <c:crosses val="autoZero"/>
        <c:crossBetween val="midCat"/>
      </c:valAx>
      <c:valAx>
        <c:axId val="533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C_t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7620</xdr:rowOff>
    </xdr:from>
    <xdr:to>
      <xdr:col>8</xdr:col>
      <xdr:colOff>110490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76446-85CD-4433-B83F-84F368B33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0</xdr:rowOff>
    </xdr:from>
    <xdr:to>
      <xdr:col>16</xdr:col>
      <xdr:colOff>333375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376EB-6FC3-495C-9649-716BDEF1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16</xdr:row>
      <xdr:rowOff>144780</xdr:rowOff>
    </xdr:from>
    <xdr:to>
      <xdr:col>16</xdr:col>
      <xdr:colOff>340995</xdr:colOff>
      <xdr:row>31</xdr:row>
      <xdr:rowOff>34290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23CB697-A7EF-452B-9372-A6CA9184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16</xdr:row>
      <xdr:rowOff>129540</xdr:rowOff>
    </xdr:from>
    <xdr:to>
      <xdr:col>8</xdr:col>
      <xdr:colOff>104775</xdr:colOff>
      <xdr:row>31</xdr:row>
      <xdr:rowOff>19050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0BA9F54-6CDC-4E6C-AD87-3DFFA82E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4431-2A3A-4509-91B4-41CDE98B96BE}">
  <dimension ref="B1:V34"/>
  <sheetViews>
    <sheetView tabSelected="1" zoomScale="115" zoomScaleNormal="115" workbookViewId="0">
      <selection activeCell="C23" sqref="C23"/>
    </sheetView>
  </sheetViews>
  <sheetFormatPr defaultColWidth="9.140625" defaultRowHeight="15" x14ac:dyDescent="0.25"/>
  <cols>
    <col min="1" max="1" width="9.140625" style="1"/>
    <col min="2" max="2" width="25.85546875" style="1" bestFit="1" customWidth="1"/>
    <col min="3" max="3" width="12.7109375" style="1" bestFit="1" customWidth="1"/>
    <col min="4" max="4" width="16.85546875" style="1" customWidth="1"/>
    <col min="5" max="5" width="16" style="1" customWidth="1"/>
    <col min="6" max="6" width="15.5703125" style="2" bestFit="1" customWidth="1"/>
    <col min="7" max="7" width="10.85546875" style="3" bestFit="1" customWidth="1"/>
    <col min="8" max="8" width="11" style="4" bestFit="1" customWidth="1"/>
    <col min="9" max="9" width="13.7109375" style="2" customWidth="1"/>
    <col min="10" max="10" width="5.85546875" style="2" customWidth="1"/>
    <col min="11" max="11" width="19.7109375" style="1" bestFit="1" customWidth="1"/>
    <col min="12" max="12" width="11" style="1" bestFit="1" customWidth="1"/>
    <col min="13" max="13" width="12.85546875" style="1" bestFit="1" customWidth="1"/>
    <col min="14" max="14" width="17.42578125" style="1" bestFit="1" customWidth="1"/>
    <col min="15" max="15" width="20.140625" style="1" bestFit="1" customWidth="1"/>
    <col min="16" max="17" width="17.5703125" style="1" bestFit="1" customWidth="1"/>
    <col min="18" max="19" width="9.140625" style="1"/>
    <col min="20" max="20" width="10.42578125" style="1" customWidth="1"/>
    <col min="21" max="16384" width="9.140625" style="1"/>
  </cols>
  <sheetData>
    <row r="1" spans="2:22" x14ac:dyDescent="0.25">
      <c r="B1" s="5" t="s">
        <v>15</v>
      </c>
      <c r="F1" s="6" t="s">
        <v>24</v>
      </c>
    </row>
    <row r="2" spans="2:22" x14ac:dyDescent="0.25">
      <c r="B2" s="1" t="s">
        <v>7</v>
      </c>
      <c r="C2" s="1">
        <v>11.67</v>
      </c>
      <c r="D2" s="1" t="s">
        <v>8</v>
      </c>
      <c r="F2" s="2" t="s">
        <v>0</v>
      </c>
      <c r="G2" s="3" t="s">
        <v>2</v>
      </c>
      <c r="H2" s="4" t="s">
        <v>1</v>
      </c>
      <c r="I2" s="2" t="s">
        <v>3</v>
      </c>
      <c r="K2" s="2" t="s">
        <v>4</v>
      </c>
      <c r="L2" s="1" t="s">
        <v>5</v>
      </c>
      <c r="M2" s="1" t="s">
        <v>32</v>
      </c>
      <c r="N2" s="1" t="s">
        <v>34</v>
      </c>
      <c r="O2" s="1" t="s">
        <v>46</v>
      </c>
      <c r="P2" s="1" t="s">
        <v>47</v>
      </c>
      <c r="Q2" s="1" t="s">
        <v>33</v>
      </c>
      <c r="R2" s="1" t="s">
        <v>38</v>
      </c>
      <c r="S2" s="1" t="s">
        <v>39</v>
      </c>
    </row>
    <row r="3" spans="2:22" x14ac:dyDescent="0.25">
      <c r="B3" s="1" t="s">
        <v>10</v>
      </c>
      <c r="C3" s="1">
        <v>0.54</v>
      </c>
      <c r="D3" s="1" t="s">
        <v>11</v>
      </c>
      <c r="F3" s="2">
        <v>1000000000000</v>
      </c>
      <c r="G3" s="3">
        <v>0</v>
      </c>
      <c r="H3" s="4">
        <v>3.15</v>
      </c>
      <c r="I3" s="2">
        <v>126</v>
      </c>
      <c r="K3" s="2">
        <f t="shared" ref="K3:K23" si="0">I3*60/$C$5</f>
        <v>1260</v>
      </c>
      <c r="L3" s="4">
        <f t="shared" ref="L3:L19" si="1">G3*H3*1000</f>
        <v>0</v>
      </c>
      <c r="M3" s="4">
        <f t="shared" ref="M3:M18" si="2">(H3 + C$10*G3)  /(K3 * PI() / 30) * 1000</f>
        <v>23.8732414637843</v>
      </c>
      <c r="N3" s="4">
        <f>G3 *M$25</f>
        <v>0</v>
      </c>
      <c r="O3" s="4">
        <f>C$25*K3+C$23</f>
        <v>0.90507538605439031</v>
      </c>
      <c r="P3" s="4">
        <f>N3+O3</f>
        <v>0.90507538605439031</v>
      </c>
      <c r="Q3" s="4">
        <f t="shared" ref="Q3:Q19" si="3">P3 / (0.5*C$17 *C$16^2/4) / 1000</f>
        <v>0.38887831316249483</v>
      </c>
      <c r="R3" s="4">
        <f t="shared" ref="R3:R23" si="4">Q3/C$18</f>
        <v>0.38887831316249483</v>
      </c>
      <c r="S3" s="4">
        <f t="shared" ref="S3:S19" si="5">C$16 / 2 *K3/30*PI() / C$18</f>
        <v>7.9168134870462783</v>
      </c>
      <c r="T3" s="4"/>
      <c r="U3" s="4"/>
      <c r="V3" s="4"/>
    </row>
    <row r="4" spans="2:22" x14ac:dyDescent="0.25">
      <c r="B4" s="1" t="s">
        <v>12</v>
      </c>
      <c r="C4" s="1">
        <v>0.05</v>
      </c>
      <c r="D4" s="1" t="s">
        <v>11</v>
      </c>
      <c r="F4" s="2">
        <v>1002800</v>
      </c>
      <c r="G4" s="3">
        <v>2.7999999999999999E-6</v>
      </c>
      <c r="H4" s="4">
        <v>2.89</v>
      </c>
      <c r="I4" s="2">
        <v>123</v>
      </c>
      <c r="K4" s="2">
        <f t="shared" si="0"/>
        <v>1230</v>
      </c>
      <c r="L4" s="4">
        <f t="shared" si="1"/>
        <v>8.0920000000000002E-3</v>
      </c>
      <c r="M4" s="4">
        <f t="shared" si="2"/>
        <v>22.437448219990948</v>
      </c>
      <c r="N4" s="4">
        <f>G4 *M$25</f>
        <v>6.4418862643278552E-5</v>
      </c>
      <c r="O4" s="4">
        <f t="shared" ref="O4:O19" si="6">C$25*K4+C$23</f>
        <v>0.90275805634844275</v>
      </c>
      <c r="P4" s="4">
        <f t="shared" ref="P4:P23" si="7">N4+O4</f>
        <v>0.90282247521108605</v>
      </c>
      <c r="Q4" s="4">
        <f t="shared" si="3"/>
        <v>0.38791031847172214</v>
      </c>
      <c r="R4" s="4">
        <f t="shared" si="4"/>
        <v>0.38791031847172214</v>
      </c>
      <c r="S4" s="4">
        <f t="shared" si="5"/>
        <v>7.7283179278308909</v>
      </c>
      <c r="T4" s="4"/>
      <c r="U4" s="4"/>
      <c r="V4" s="4"/>
    </row>
    <row r="5" spans="2:22" x14ac:dyDescent="0.25">
      <c r="B5" s="1" t="s">
        <v>9</v>
      </c>
      <c r="C5" s="1">
        <v>6</v>
      </c>
      <c r="F5" s="2">
        <v>332800</v>
      </c>
      <c r="G5" s="3">
        <v>9.3999999999999998E-6</v>
      </c>
      <c r="H5" s="4">
        <v>3.35</v>
      </c>
      <c r="I5" s="2">
        <v>132</v>
      </c>
      <c r="K5" s="2">
        <f t="shared" si="0"/>
        <v>1320</v>
      </c>
      <c r="L5" s="4">
        <f t="shared" si="1"/>
        <v>3.1489999999999997E-2</v>
      </c>
      <c r="M5" s="4">
        <f t="shared" si="2"/>
        <v>24.236468411685141</v>
      </c>
      <c r="N5" s="4">
        <f t="shared" ref="N5:N23" si="8">G5 *M$25</f>
        <v>2.1626332458814942E-4</v>
      </c>
      <c r="O5" s="4">
        <f t="shared" si="6"/>
        <v>0.90971004546628531</v>
      </c>
      <c r="P5" s="4">
        <f t="shared" si="7"/>
        <v>0.90992630879087344</v>
      </c>
      <c r="Q5" s="4">
        <f t="shared" si="3"/>
        <v>0.39096258004248241</v>
      </c>
      <c r="R5" s="4">
        <f t="shared" si="4"/>
        <v>0.39096258004248241</v>
      </c>
      <c r="S5" s="4">
        <f t="shared" si="5"/>
        <v>8.2938046054770549</v>
      </c>
      <c r="T5" s="4"/>
      <c r="U5" s="4"/>
      <c r="V5" s="4"/>
    </row>
    <row r="6" spans="2:22" x14ac:dyDescent="0.25">
      <c r="B6" s="1" t="s">
        <v>13</v>
      </c>
      <c r="C6" s="1">
        <v>4500</v>
      </c>
      <c r="D6" s="1" t="s">
        <v>14</v>
      </c>
      <c r="F6" s="2">
        <v>102800</v>
      </c>
      <c r="G6" s="3">
        <v>3.3000000000000003E-5</v>
      </c>
      <c r="H6" s="4">
        <v>3.41</v>
      </c>
      <c r="I6" s="2">
        <v>141</v>
      </c>
      <c r="K6" s="2">
        <f t="shared" si="0"/>
        <v>1410</v>
      </c>
      <c r="L6" s="4">
        <f t="shared" si="1"/>
        <v>0.11253000000000001</v>
      </c>
      <c r="M6" s="4">
        <f t="shared" si="2"/>
        <v>23.099364662480731</v>
      </c>
      <c r="N6" s="4">
        <f t="shared" si="8"/>
        <v>7.592223097243545E-4</v>
      </c>
      <c r="O6" s="4">
        <f t="shared" si="6"/>
        <v>0.91666203458412787</v>
      </c>
      <c r="P6" s="4">
        <f t="shared" si="7"/>
        <v>0.91742125689385223</v>
      </c>
      <c r="Q6" s="4">
        <f t="shared" si="3"/>
        <v>0.39418288944481067</v>
      </c>
      <c r="R6" s="4">
        <f t="shared" si="4"/>
        <v>0.39418288944481067</v>
      </c>
      <c r="S6" s="4">
        <f t="shared" si="5"/>
        <v>8.8592912831232162</v>
      </c>
      <c r="T6" s="4"/>
      <c r="U6" s="4"/>
      <c r="V6" s="4"/>
    </row>
    <row r="7" spans="2:22" x14ac:dyDescent="0.25">
      <c r="B7" s="1" t="s">
        <v>19</v>
      </c>
      <c r="C7" s="1">
        <v>12</v>
      </c>
      <c r="D7" s="1" t="s">
        <v>20</v>
      </c>
      <c r="F7" s="2">
        <v>49800</v>
      </c>
      <c r="G7" s="3">
        <v>6.6000000000000005E-5</v>
      </c>
      <c r="H7" s="4">
        <v>3.35</v>
      </c>
      <c r="I7" s="2">
        <v>135</v>
      </c>
      <c r="K7" s="2">
        <f t="shared" si="0"/>
        <v>1350</v>
      </c>
      <c r="L7" s="4">
        <f t="shared" si="1"/>
        <v>0.22110000000000005</v>
      </c>
      <c r="M7" s="4">
        <f t="shared" si="2"/>
        <v>23.706777182565222</v>
      </c>
      <c r="N7" s="4">
        <f t="shared" si="8"/>
        <v>1.518444619448709E-3</v>
      </c>
      <c r="O7" s="4">
        <f t="shared" si="6"/>
        <v>0.91202737517223287</v>
      </c>
      <c r="P7" s="4">
        <f t="shared" si="7"/>
        <v>0.91354581979168159</v>
      </c>
      <c r="Q7" s="4">
        <f t="shared" si="3"/>
        <v>0.39251775362708674</v>
      </c>
      <c r="R7" s="4">
        <f t="shared" si="4"/>
        <v>0.39251775362708674</v>
      </c>
      <c r="S7" s="4">
        <f t="shared" si="5"/>
        <v>8.4823001646924414</v>
      </c>
      <c r="T7" s="4"/>
      <c r="U7" s="4"/>
      <c r="V7" s="4"/>
    </row>
    <row r="8" spans="2:22" x14ac:dyDescent="0.25">
      <c r="F8" s="2">
        <v>24800</v>
      </c>
      <c r="G8" s="3">
        <v>1.4550000000000001E-4</v>
      </c>
      <c r="H8" s="4">
        <v>3.48</v>
      </c>
      <c r="I8" s="2">
        <v>134</v>
      </c>
      <c r="K8" s="2">
        <f t="shared" si="0"/>
        <v>1340</v>
      </c>
      <c r="L8" s="4">
        <f t="shared" si="1"/>
        <v>0.50634000000000012</v>
      </c>
      <c r="M8" s="4">
        <f t="shared" si="2"/>
        <v>24.822707594438487</v>
      </c>
      <c r="N8" s="4">
        <f t="shared" si="8"/>
        <v>3.3474801837846536E-3</v>
      </c>
      <c r="O8" s="4">
        <f t="shared" si="6"/>
        <v>0.91125493193691698</v>
      </c>
      <c r="P8" s="4">
        <f t="shared" si="7"/>
        <v>0.91460241212070159</v>
      </c>
      <c r="Q8" s="4">
        <f t="shared" si="3"/>
        <v>0.39297173331644825</v>
      </c>
      <c r="R8" s="4">
        <f t="shared" si="4"/>
        <v>0.39297173331644825</v>
      </c>
      <c r="S8" s="4">
        <f t="shared" si="5"/>
        <v>8.4194683116206441</v>
      </c>
      <c r="T8" s="4"/>
      <c r="U8" s="4"/>
      <c r="V8" s="4"/>
    </row>
    <row r="9" spans="2:22" x14ac:dyDescent="0.25">
      <c r="B9" s="5" t="s">
        <v>16</v>
      </c>
      <c r="F9" s="2">
        <v>10000</v>
      </c>
      <c r="G9" s="3">
        <v>2.9999999999999997E-4</v>
      </c>
      <c r="H9" s="4">
        <v>3.25</v>
      </c>
      <c r="I9" s="2">
        <v>136</v>
      </c>
      <c r="K9" s="2">
        <f t="shared" si="0"/>
        <v>1360</v>
      </c>
      <c r="L9" s="4">
        <f t="shared" si="1"/>
        <v>0.97499999999999998</v>
      </c>
      <c r="M9" s="4">
        <f t="shared" si="2"/>
        <v>22.866820500114962</v>
      </c>
      <c r="N9" s="4">
        <f t="shared" si="8"/>
        <v>6.9020209974941307E-3</v>
      </c>
      <c r="O9" s="4">
        <f t="shared" si="6"/>
        <v>0.91279981840754865</v>
      </c>
      <c r="P9" s="4">
        <f t="shared" si="7"/>
        <v>0.9197018394050428</v>
      </c>
      <c r="Q9" s="4">
        <f t="shared" si="3"/>
        <v>0.39516277365517011</v>
      </c>
      <c r="R9" s="4">
        <f t="shared" si="4"/>
        <v>0.39516277365517011</v>
      </c>
      <c r="S9" s="4">
        <f t="shared" si="5"/>
        <v>8.5451320177642369</v>
      </c>
      <c r="T9" s="4"/>
      <c r="U9" s="4"/>
      <c r="V9" s="4"/>
    </row>
    <row r="10" spans="2:22" x14ac:dyDescent="0.25">
      <c r="B10" s="1" t="s">
        <v>17</v>
      </c>
      <c r="C10" s="1">
        <f>C7/C3</f>
        <v>22.222222222222221</v>
      </c>
      <c r="D10" s="1" t="s">
        <v>18</v>
      </c>
      <c r="F10" s="2">
        <v>4700</v>
      </c>
      <c r="G10" s="3">
        <v>6.7000000000000002E-4</v>
      </c>
      <c r="H10" s="4">
        <v>3</v>
      </c>
      <c r="I10" s="2">
        <v>126</v>
      </c>
      <c r="K10" s="2">
        <f t="shared" si="0"/>
        <v>1260</v>
      </c>
      <c r="L10" s="4">
        <f t="shared" si="1"/>
        <v>2.0100000000000002</v>
      </c>
      <c r="M10" s="4">
        <f t="shared" si="2"/>
        <v>22.849260454261838</v>
      </c>
      <c r="N10" s="4">
        <f t="shared" si="8"/>
        <v>1.5414513561070226E-2</v>
      </c>
      <c r="O10" s="4">
        <f t="shared" si="6"/>
        <v>0.90507538605439031</v>
      </c>
      <c r="P10" s="4">
        <f t="shared" si="7"/>
        <v>0.92048989961546057</v>
      </c>
      <c r="Q10" s="4">
        <f t="shared" si="3"/>
        <v>0.39550137475958608</v>
      </c>
      <c r="R10" s="4">
        <f t="shared" si="4"/>
        <v>0.39550137475958608</v>
      </c>
      <c r="S10" s="4">
        <f t="shared" si="5"/>
        <v>7.9168134870462783</v>
      </c>
      <c r="T10" s="4"/>
      <c r="U10" s="4"/>
      <c r="V10" s="4"/>
    </row>
    <row r="11" spans="2:22" x14ac:dyDescent="0.25">
      <c r="B11" s="1" t="s">
        <v>6</v>
      </c>
      <c r="C11" s="1">
        <f>C2/(C3-C4)</f>
        <v>23.816326530612244</v>
      </c>
      <c r="D11" s="1" t="s">
        <v>21</v>
      </c>
      <c r="F11" s="2">
        <v>3300</v>
      </c>
      <c r="G11" s="3">
        <v>8.8000000000000003E-4</v>
      </c>
      <c r="H11" s="4">
        <v>2.97</v>
      </c>
      <c r="I11" s="2">
        <v>126</v>
      </c>
      <c r="K11" s="2">
        <f t="shared" si="0"/>
        <v>1260</v>
      </c>
      <c r="L11" s="4">
        <f t="shared" si="1"/>
        <v>2.6136000000000004</v>
      </c>
      <c r="M11" s="4">
        <f t="shared" si="2"/>
        <v>22.657264014976384</v>
      </c>
      <c r="N11" s="4">
        <f t="shared" si="8"/>
        <v>2.0245928259316117E-2</v>
      </c>
      <c r="O11" s="4">
        <f t="shared" si="6"/>
        <v>0.90507538605439031</v>
      </c>
      <c r="P11" s="4">
        <f t="shared" si="7"/>
        <v>0.92532131431370646</v>
      </c>
      <c r="Q11" s="4">
        <f t="shared" si="3"/>
        <v>0.39757725973777885</v>
      </c>
      <c r="R11" s="4">
        <f t="shared" si="4"/>
        <v>0.39757725973777885</v>
      </c>
      <c r="S11" s="4">
        <f t="shared" si="5"/>
        <v>7.9168134870462783</v>
      </c>
      <c r="T11" s="4"/>
      <c r="U11" s="4"/>
      <c r="V11" s="4"/>
    </row>
    <row r="12" spans="2:22" x14ac:dyDescent="0.25">
      <c r="B12" s="1" t="s">
        <v>22</v>
      </c>
      <c r="C12" s="1">
        <f>(C7-C10*C4)/(C6 * PI() / 30) * 1000</f>
        <v>23.106939885934434</v>
      </c>
      <c r="D12" s="1" t="s">
        <v>23</v>
      </c>
      <c r="F12" s="2">
        <v>2200</v>
      </c>
      <c r="G12" s="3">
        <v>1.3500000000000001E-3</v>
      </c>
      <c r="H12" s="4">
        <v>3.09</v>
      </c>
      <c r="I12" s="2">
        <v>125</v>
      </c>
      <c r="K12" s="2">
        <f t="shared" si="0"/>
        <v>1250</v>
      </c>
      <c r="L12" s="4">
        <f t="shared" si="1"/>
        <v>4.1715</v>
      </c>
      <c r="M12" s="4">
        <f t="shared" si="2"/>
        <v>23.835044277442243</v>
      </c>
      <c r="N12" s="4">
        <f t="shared" si="8"/>
        <v>3.1059094488723592E-2</v>
      </c>
      <c r="O12" s="4">
        <f t="shared" si="6"/>
        <v>0.90430294281907442</v>
      </c>
      <c r="P12" s="4">
        <f t="shared" si="7"/>
        <v>0.93536203730779799</v>
      </c>
      <c r="Q12" s="4">
        <f t="shared" si="3"/>
        <v>0.40189139696992265</v>
      </c>
      <c r="R12" s="4">
        <f t="shared" si="4"/>
        <v>0.40189139696992265</v>
      </c>
      <c r="S12" s="4">
        <f t="shared" si="5"/>
        <v>7.8539816339744828</v>
      </c>
      <c r="T12" s="4"/>
      <c r="U12" s="4"/>
      <c r="V12" s="4"/>
    </row>
    <row r="13" spans="2:22" x14ac:dyDescent="0.25">
      <c r="B13" s="1" t="s">
        <v>35</v>
      </c>
      <c r="C13" s="1">
        <f>C11*C4</f>
        <v>1.1908163265306122</v>
      </c>
      <c r="D13" s="1" t="s">
        <v>8</v>
      </c>
      <c r="F13" s="2">
        <v>1000</v>
      </c>
      <c r="G13" s="3">
        <v>2E-3</v>
      </c>
      <c r="H13" s="4">
        <v>2.7</v>
      </c>
      <c r="I13" s="2">
        <v>112</v>
      </c>
      <c r="K13" s="2">
        <f t="shared" si="0"/>
        <v>1120</v>
      </c>
      <c r="L13" s="4">
        <f t="shared" si="1"/>
        <v>5.4</v>
      </c>
      <c r="M13" s="4">
        <f t="shared" si="2"/>
        <v>23.399566037915566</v>
      </c>
      <c r="N13" s="4">
        <f t="shared" si="8"/>
        <v>4.6013473316627543E-2</v>
      </c>
      <c r="O13" s="4">
        <f t="shared" si="6"/>
        <v>0.89426118075996852</v>
      </c>
      <c r="P13" s="4">
        <f t="shared" si="7"/>
        <v>0.94027465407659605</v>
      </c>
      <c r="Q13" s="4">
        <f t="shared" si="3"/>
        <v>0.40400217155478046</v>
      </c>
      <c r="R13" s="4">
        <f t="shared" si="4"/>
        <v>0.40400217155478046</v>
      </c>
      <c r="S13" s="4">
        <f t="shared" si="5"/>
        <v>7.0371675440411376</v>
      </c>
      <c r="T13" s="4"/>
      <c r="U13" s="4"/>
      <c r="V13" s="4"/>
    </row>
    <row r="14" spans="2:22" x14ac:dyDescent="0.25">
      <c r="F14" s="2">
        <v>680</v>
      </c>
      <c r="G14" s="3">
        <v>3.0000000000000001E-3</v>
      </c>
      <c r="H14" s="4">
        <v>2.5499999999999998</v>
      </c>
      <c r="I14" s="2">
        <v>107</v>
      </c>
      <c r="K14" s="2">
        <f t="shared" si="0"/>
        <v>1070</v>
      </c>
      <c r="L14" s="4">
        <f t="shared" si="1"/>
        <v>7.6499999999999995</v>
      </c>
      <c r="M14" s="4">
        <f t="shared" si="2"/>
        <v>23.352641182642586</v>
      </c>
      <c r="N14" s="4">
        <f t="shared" si="8"/>
        <v>6.9020209974941307E-2</v>
      </c>
      <c r="O14" s="4">
        <f t="shared" si="6"/>
        <v>0.89039896458338941</v>
      </c>
      <c r="P14" s="4">
        <f t="shared" si="7"/>
        <v>0.9594191745583307</v>
      </c>
      <c r="Q14" s="4">
        <f t="shared" si="3"/>
        <v>0.41222788285568907</v>
      </c>
      <c r="R14" s="4">
        <f t="shared" si="4"/>
        <v>0.41222788285568907</v>
      </c>
      <c r="S14" s="4">
        <f t="shared" si="5"/>
        <v>6.7230082786821574</v>
      </c>
      <c r="T14" s="4"/>
      <c r="U14" s="4"/>
      <c r="V14" s="4"/>
    </row>
    <row r="15" spans="2:22" x14ac:dyDescent="0.25">
      <c r="B15" s="5" t="s">
        <v>27</v>
      </c>
      <c r="F15" s="2">
        <v>470</v>
      </c>
      <c r="G15" s="3">
        <v>4.0000000000000001E-3</v>
      </c>
      <c r="H15" s="4">
        <v>2.34</v>
      </c>
      <c r="I15" s="2">
        <v>105</v>
      </c>
      <c r="K15" s="2">
        <f t="shared" si="0"/>
        <v>1050</v>
      </c>
      <c r="L15" s="4">
        <f t="shared" si="1"/>
        <v>9.36</v>
      </c>
      <c r="M15" s="4">
        <f t="shared" si="2"/>
        <v>22.089695593579886</v>
      </c>
      <c r="N15" s="4">
        <f t="shared" si="8"/>
        <v>9.2026946633255086E-2</v>
      </c>
      <c r="O15" s="4">
        <f t="shared" si="6"/>
        <v>0.88885407811275763</v>
      </c>
      <c r="P15" s="4">
        <f t="shared" si="7"/>
        <v>0.98088102474601269</v>
      </c>
      <c r="Q15" s="4">
        <f t="shared" si="3"/>
        <v>0.42144926731374616</v>
      </c>
      <c r="R15" s="4">
        <f t="shared" si="4"/>
        <v>0.42144926731374616</v>
      </c>
      <c r="S15" s="4">
        <f t="shared" si="5"/>
        <v>6.5973445725385655</v>
      </c>
      <c r="T15" s="4"/>
      <c r="U15" s="4"/>
      <c r="V15" s="4"/>
    </row>
    <row r="16" spans="2:22" x14ac:dyDescent="0.25">
      <c r="B16" s="1" t="s">
        <v>28</v>
      </c>
      <c r="C16" s="1">
        <v>0.12</v>
      </c>
      <c r="D16" s="1" t="s">
        <v>29</v>
      </c>
      <c r="F16" s="2">
        <v>330</v>
      </c>
      <c r="G16" s="3">
        <v>6.0000000000000001E-3</v>
      </c>
      <c r="H16" s="4">
        <v>2.16</v>
      </c>
      <c r="I16" s="2">
        <v>92</v>
      </c>
      <c r="K16" s="2">
        <f t="shared" si="0"/>
        <v>920</v>
      </c>
      <c r="L16" s="4">
        <f t="shared" si="1"/>
        <v>12.96</v>
      </c>
      <c r="M16" s="4">
        <f t="shared" si="2"/>
        <v>23.804043662439998</v>
      </c>
      <c r="N16" s="4">
        <f t="shared" si="8"/>
        <v>0.13804041994988261</v>
      </c>
      <c r="O16" s="4">
        <f t="shared" si="6"/>
        <v>0.87881231605365184</v>
      </c>
      <c r="P16" s="4">
        <f t="shared" si="7"/>
        <v>1.0168527360035344</v>
      </c>
      <c r="Q16" s="4">
        <f t="shared" si="3"/>
        <v>0.43690501675841475</v>
      </c>
      <c r="R16" s="4">
        <f t="shared" si="4"/>
        <v>0.43690501675841475</v>
      </c>
      <c r="S16" s="4">
        <f t="shared" si="5"/>
        <v>5.7805304826052186</v>
      </c>
      <c r="T16" s="4"/>
      <c r="U16" s="4"/>
      <c r="V16" s="4"/>
    </row>
    <row r="17" spans="2:22" x14ac:dyDescent="0.25">
      <c r="B17" s="1" t="s">
        <v>30</v>
      </c>
      <c r="C17" s="1">
        <v>1.2929999999999999</v>
      </c>
      <c r="D17" s="1" t="s">
        <v>31</v>
      </c>
      <c r="F17" s="2">
        <v>220</v>
      </c>
      <c r="G17" s="3">
        <v>6.0000000000000001E-3</v>
      </c>
      <c r="H17" s="4">
        <v>1.46</v>
      </c>
      <c r="I17" s="2">
        <v>72</v>
      </c>
      <c r="K17" s="2">
        <f t="shared" si="0"/>
        <v>720</v>
      </c>
      <c r="L17" s="4">
        <f t="shared" si="1"/>
        <v>8.76</v>
      </c>
      <c r="M17" s="4">
        <f t="shared" si="2"/>
        <v>21.132239666090548</v>
      </c>
      <c r="N17" s="4">
        <f t="shared" si="8"/>
        <v>0.13804041994988261</v>
      </c>
      <c r="O17" s="4">
        <f t="shared" si="6"/>
        <v>0.86336345134733505</v>
      </c>
      <c r="P17" s="4">
        <f t="shared" si="7"/>
        <v>1.0014038712972178</v>
      </c>
      <c r="Q17" s="4">
        <f t="shared" si="3"/>
        <v>0.43026719571075783</v>
      </c>
      <c r="R17" s="4">
        <f t="shared" si="4"/>
        <v>0.43026719571075783</v>
      </c>
      <c r="S17" s="4">
        <f t="shared" si="5"/>
        <v>4.5238934211693023</v>
      </c>
      <c r="T17" s="4"/>
      <c r="U17" s="4"/>
      <c r="V17" s="4"/>
    </row>
    <row r="18" spans="2:22" x14ac:dyDescent="0.25">
      <c r="B18" s="1" t="s">
        <v>36</v>
      </c>
      <c r="C18" s="1">
        <v>1</v>
      </c>
      <c r="D18" s="1" t="s">
        <v>37</v>
      </c>
      <c r="F18" s="2">
        <v>100</v>
      </c>
      <c r="G18" s="3">
        <v>5.0000000000000001E-3</v>
      </c>
      <c r="H18" s="4">
        <v>0.63</v>
      </c>
      <c r="I18" s="2">
        <v>32</v>
      </c>
      <c r="K18" s="2">
        <f t="shared" si="0"/>
        <v>320</v>
      </c>
      <c r="L18" s="4">
        <f t="shared" si="1"/>
        <v>3.15</v>
      </c>
      <c r="M18" s="4">
        <f t="shared" si="2"/>
        <v>22.115905633811291</v>
      </c>
      <c r="N18" s="4">
        <f t="shared" si="8"/>
        <v>0.11503368329156885</v>
      </c>
      <c r="O18" s="4">
        <f t="shared" si="6"/>
        <v>0.83246572193470147</v>
      </c>
      <c r="P18" s="4">
        <f t="shared" si="7"/>
        <v>0.9474994052262703</v>
      </c>
      <c r="Q18" s="4">
        <f t="shared" si="3"/>
        <v>0.40710638705262109</v>
      </c>
      <c r="R18" s="4">
        <f t="shared" si="4"/>
        <v>0.40710638705262109</v>
      </c>
      <c r="S18" s="4">
        <f t="shared" si="5"/>
        <v>2.0106192982974678</v>
      </c>
      <c r="T18" s="4"/>
      <c r="U18" s="4"/>
      <c r="V18" s="4"/>
    </row>
    <row r="19" spans="2:22" x14ac:dyDescent="0.25">
      <c r="F19" s="2">
        <v>47</v>
      </c>
      <c r="G19" s="3">
        <v>5.0000000000000001E-3</v>
      </c>
      <c r="H19" s="4">
        <v>0.23799999999999999</v>
      </c>
      <c r="I19" s="2">
        <v>16</v>
      </c>
      <c r="K19" s="2">
        <f t="shared" si="0"/>
        <v>160</v>
      </c>
      <c r="L19" s="4">
        <f t="shared" si="1"/>
        <v>1.19</v>
      </c>
      <c r="M19" s="4">
        <f>(H19 + C$10*G19)  /(K19 * PI() / 30) * 1000</f>
        <v>20.836034633113968</v>
      </c>
      <c r="N19" s="4">
        <f t="shared" si="8"/>
        <v>0.11503368329156885</v>
      </c>
      <c r="O19" s="4">
        <f t="shared" si="6"/>
        <v>0.82010663016964813</v>
      </c>
      <c r="P19" s="4">
        <f t="shared" si="7"/>
        <v>0.93514031346121695</v>
      </c>
      <c r="Q19" s="4">
        <f t="shared" si="3"/>
        <v>0.40179613021449556</v>
      </c>
      <c r="R19" s="4">
        <f t="shared" si="4"/>
        <v>0.40179613021449556</v>
      </c>
      <c r="S19" s="4">
        <f t="shared" si="5"/>
        <v>1.0053096491487339</v>
      </c>
      <c r="T19" s="4"/>
      <c r="U19" s="4"/>
      <c r="V19" s="4"/>
    </row>
    <row r="20" spans="2:22" x14ac:dyDescent="0.25">
      <c r="F20" s="2">
        <v>10</v>
      </c>
      <c r="G20" s="3">
        <v>0</v>
      </c>
      <c r="H20" s="4">
        <v>0</v>
      </c>
      <c r="I20" s="2">
        <v>0</v>
      </c>
      <c r="K20" s="2">
        <f t="shared" si="0"/>
        <v>0</v>
      </c>
      <c r="L20" s="1">
        <f>G21*H20*1000</f>
        <v>0</v>
      </c>
      <c r="M20" s="1">
        <v>0</v>
      </c>
      <c r="N20" s="1">
        <f t="shared" si="8"/>
        <v>0</v>
      </c>
      <c r="O20" s="1">
        <v>0</v>
      </c>
      <c r="P20" s="1">
        <f t="shared" si="7"/>
        <v>0</v>
      </c>
      <c r="Q20" s="1">
        <f t="shared" ref="Q20:Q23" si="9">P20 / (0.5*C$17 *C$16^2/4) / 1000</f>
        <v>0</v>
      </c>
      <c r="R20" s="1">
        <f t="shared" si="4"/>
        <v>0</v>
      </c>
      <c r="S20" s="1">
        <f t="shared" ref="S20:S23" si="10">C$16 / 2 *K20/30*PI() / C$18</f>
        <v>0</v>
      </c>
    </row>
    <row r="21" spans="2:22" x14ac:dyDescent="0.25">
      <c r="F21" s="4">
        <v>4.7</v>
      </c>
      <c r="G21" s="3">
        <v>0</v>
      </c>
      <c r="H21" s="1">
        <v>0</v>
      </c>
      <c r="I21" s="1">
        <v>0</v>
      </c>
      <c r="K21" s="2">
        <f t="shared" si="0"/>
        <v>0</v>
      </c>
      <c r="L21" s="1">
        <f t="shared" ref="L21:L23" si="11">G22*H21*1000</f>
        <v>0</v>
      </c>
      <c r="M21" s="1">
        <v>0</v>
      </c>
      <c r="N21" s="1">
        <f t="shared" si="8"/>
        <v>0</v>
      </c>
      <c r="O21" s="1">
        <v>0</v>
      </c>
      <c r="P21" s="1">
        <f t="shared" si="7"/>
        <v>0</v>
      </c>
      <c r="Q21" s="1">
        <f t="shared" si="9"/>
        <v>0</v>
      </c>
      <c r="R21" s="1">
        <f t="shared" si="4"/>
        <v>0</v>
      </c>
      <c r="S21" s="1">
        <f t="shared" si="10"/>
        <v>0</v>
      </c>
    </row>
    <row r="22" spans="2:22" x14ac:dyDescent="0.25">
      <c r="B22" s="1" t="s">
        <v>40</v>
      </c>
      <c r="C22" s="1">
        <f>C12*C3</f>
        <v>12.477747538404595</v>
      </c>
      <c r="D22" s="1" t="s">
        <v>8</v>
      </c>
      <c r="F22" s="4">
        <v>1.5</v>
      </c>
      <c r="G22" s="3">
        <v>0</v>
      </c>
      <c r="H22" s="4">
        <v>0</v>
      </c>
      <c r="I22" s="2">
        <v>0</v>
      </c>
      <c r="K22" s="2">
        <f t="shared" si="0"/>
        <v>0</v>
      </c>
      <c r="L22" s="1">
        <f t="shared" si="11"/>
        <v>0</v>
      </c>
      <c r="M22" s="1">
        <v>0</v>
      </c>
      <c r="N22" s="1">
        <f t="shared" si="8"/>
        <v>0</v>
      </c>
      <c r="O22" s="1">
        <v>0</v>
      </c>
      <c r="P22" s="1">
        <f t="shared" si="7"/>
        <v>0</v>
      </c>
      <c r="Q22" s="1">
        <f t="shared" si="9"/>
        <v>0</v>
      </c>
      <c r="R22" s="1">
        <f t="shared" si="4"/>
        <v>0</v>
      </c>
      <c r="S22" s="1">
        <f t="shared" si="10"/>
        <v>0</v>
      </c>
    </row>
    <row r="23" spans="2:22" x14ac:dyDescent="0.25">
      <c r="B23" s="1" t="s">
        <v>41</v>
      </c>
      <c r="C23" s="1">
        <f>C22-C2</f>
        <v>0.80774753840459468</v>
      </c>
      <c r="D23" s="1" t="s">
        <v>8</v>
      </c>
      <c r="F23" s="4">
        <v>0</v>
      </c>
      <c r="G23" s="3">
        <v>0</v>
      </c>
      <c r="H23" s="4">
        <v>0</v>
      </c>
      <c r="I23" s="2">
        <v>0</v>
      </c>
      <c r="K23" s="2">
        <f t="shared" si="0"/>
        <v>0</v>
      </c>
      <c r="L23" s="1">
        <f t="shared" si="11"/>
        <v>0</v>
      </c>
      <c r="M23" s="1">
        <v>0</v>
      </c>
      <c r="N23" s="1">
        <f t="shared" si="8"/>
        <v>0</v>
      </c>
      <c r="O23" s="1">
        <v>0</v>
      </c>
      <c r="P23" s="1">
        <f t="shared" si="7"/>
        <v>0</v>
      </c>
      <c r="Q23" s="1">
        <f t="shared" si="9"/>
        <v>0</v>
      </c>
      <c r="R23" s="1">
        <f t="shared" si="4"/>
        <v>0</v>
      </c>
      <c r="S23" s="1">
        <f t="shared" si="10"/>
        <v>0</v>
      </c>
    </row>
    <row r="24" spans="2:22" x14ac:dyDescent="0.25">
      <c r="B24" s="1" t="s">
        <v>43</v>
      </c>
      <c r="C24" s="1">
        <f>C12*C4</f>
        <v>1.1553469942967218</v>
      </c>
      <c r="D24" s="1" t="s">
        <v>8</v>
      </c>
      <c r="F24" s="4"/>
    </row>
    <row r="25" spans="2:22" x14ac:dyDescent="0.25">
      <c r="B25" s="1" t="s">
        <v>42</v>
      </c>
      <c r="C25" s="1">
        <f>(C24-C23)/C6</f>
        <v>7.7244323531583815E-5</v>
      </c>
      <c r="D25" s="1" t="s">
        <v>44</v>
      </c>
      <c r="F25" s="4"/>
      <c r="K25" s="2" t="s">
        <v>25</v>
      </c>
      <c r="M25" s="1">
        <f>AVERAGE(M3:M19)</f>
        <v>23.00673665831377</v>
      </c>
    </row>
    <row r="26" spans="2:22" x14ac:dyDescent="0.25">
      <c r="F26" s="4"/>
      <c r="K26" s="2" t="s">
        <v>26</v>
      </c>
      <c r="M26" s="1">
        <f>_xlfn.STDEV.S(M3:M19)</f>
        <v>1.0608381398751274</v>
      </c>
    </row>
    <row r="27" spans="2:22" x14ac:dyDescent="0.25">
      <c r="B27" s="1" t="s">
        <v>45</v>
      </c>
      <c r="F27" s="4"/>
    </row>
    <row r="28" spans="2:22" x14ac:dyDescent="0.25">
      <c r="F28" s="4"/>
    </row>
    <row r="29" spans="2:22" x14ac:dyDescent="0.25">
      <c r="F29" s="4"/>
    </row>
    <row r="30" spans="2:22" x14ac:dyDescent="0.25">
      <c r="F30" s="4"/>
    </row>
    <row r="31" spans="2:22" x14ac:dyDescent="0.25">
      <c r="F31" s="4"/>
    </row>
    <row r="32" spans="2:22" x14ac:dyDescent="0.25">
      <c r="F32" s="4"/>
    </row>
    <row r="33" spans="6:6" x14ac:dyDescent="0.25">
      <c r="F33" s="4"/>
    </row>
    <row r="34" spans="6:6" x14ac:dyDescent="0.25">
      <c r="F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6733-C040-4D9C-93DE-CFC2ED8EA00D}">
  <dimension ref="A1"/>
  <sheetViews>
    <sheetView zoomScale="115" zoomScaleNormal="115"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2020-05-15T10:15:17Z</dcterms:created>
  <dcterms:modified xsi:type="dcterms:W3CDTF">2020-05-28T15:38:15Z</dcterms:modified>
</cp:coreProperties>
</file>