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\Documents\TUD-3\BEP\Code\"/>
    </mc:Choice>
  </mc:AlternateContent>
  <xr:revisionPtr revIDLastSave="0" documentId="13_ncr:1_{CC7A4D69-B4F9-488B-8D1F-43E956246C00}" xr6:coauthVersionLast="45" xr6:coauthVersionMax="45" xr10:uidLastSave="{00000000-0000-0000-0000-000000000000}"/>
  <bookViews>
    <workbookView xWindow="-108" yWindow="-108" windowWidth="23256" windowHeight="12576" xr2:uid="{F95DA856-8800-4DBC-A4BE-C8B7731327A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1" i="1" l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30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3" i="1"/>
  <c r="AA16" i="1"/>
  <c r="AA17" i="1"/>
  <c r="AA18" i="1"/>
  <c r="AA19" i="1"/>
  <c r="AA20" i="1"/>
  <c r="AA21" i="1"/>
  <c r="AA22" i="1"/>
  <c r="AA23" i="1"/>
  <c r="AA24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Y16" i="1"/>
  <c r="W16" i="1"/>
  <c r="W15" i="1"/>
  <c r="Z16" i="1"/>
  <c r="Y15" i="1"/>
  <c r="Y3" i="1"/>
  <c r="Z4" i="1" l="1"/>
  <c r="Z5" i="1"/>
  <c r="Z6" i="1"/>
  <c r="Z7" i="1"/>
  <c r="Z8" i="1"/>
  <c r="Z9" i="1"/>
  <c r="Z10" i="1"/>
  <c r="Z11" i="1"/>
  <c r="Z12" i="1"/>
  <c r="Z13" i="1"/>
  <c r="Z14" i="1"/>
  <c r="Z15" i="1"/>
  <c r="Z17" i="1"/>
  <c r="Z18" i="1"/>
  <c r="Z19" i="1"/>
  <c r="Z20" i="1"/>
  <c r="Z21" i="1"/>
  <c r="Z22" i="1"/>
  <c r="Z23" i="1"/>
  <c r="Z24" i="1"/>
  <c r="Z3" i="1"/>
  <c r="U4" i="1"/>
  <c r="U5" i="1"/>
  <c r="Y5" i="1" s="1"/>
  <c r="U6" i="1"/>
  <c r="Y6" i="1" s="1"/>
  <c r="U7" i="1"/>
  <c r="U8" i="1"/>
  <c r="U9" i="1"/>
  <c r="U10" i="1"/>
  <c r="Y10" i="1" s="1"/>
  <c r="U11" i="1"/>
  <c r="U12" i="1"/>
  <c r="U13" i="1"/>
  <c r="Y13" i="1" s="1"/>
  <c r="U14" i="1"/>
  <c r="Y14" i="1" s="1"/>
  <c r="U15" i="1"/>
  <c r="U16" i="1"/>
  <c r="U17" i="1"/>
  <c r="U18" i="1"/>
  <c r="Y18" i="1" s="1"/>
  <c r="U19" i="1"/>
  <c r="U20" i="1"/>
  <c r="U21" i="1"/>
  <c r="Y21" i="1" s="1"/>
  <c r="U22" i="1"/>
  <c r="Y22" i="1" s="1"/>
  <c r="U23" i="1"/>
  <c r="U24" i="1"/>
  <c r="U3" i="1"/>
  <c r="Y4" i="1"/>
  <c r="Y7" i="1"/>
  <c r="Y8" i="1"/>
  <c r="Y9" i="1"/>
  <c r="Y11" i="1"/>
  <c r="Y12" i="1"/>
  <c r="Y17" i="1"/>
  <c r="Y19" i="1"/>
  <c r="Y20" i="1"/>
  <c r="Y23" i="1"/>
  <c r="Y24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3" i="1"/>
  <c r="W3" i="1"/>
  <c r="R4" i="1"/>
  <c r="R5" i="1"/>
  <c r="T5" i="1" s="1"/>
  <c r="R6" i="1"/>
  <c r="R7" i="1"/>
  <c r="R8" i="1"/>
  <c r="R9" i="1"/>
  <c r="R10" i="1"/>
  <c r="T10" i="1" s="1"/>
  <c r="R11" i="1"/>
  <c r="T11" i="1" s="1"/>
  <c r="R12" i="1"/>
  <c r="R13" i="1"/>
  <c r="T13" i="1" s="1"/>
  <c r="R14" i="1"/>
  <c r="R15" i="1"/>
  <c r="T15" i="1" s="1"/>
  <c r="R16" i="1"/>
  <c r="R17" i="1"/>
  <c r="T17" i="1" s="1"/>
  <c r="R18" i="1"/>
  <c r="R19" i="1"/>
  <c r="T19" i="1" s="1"/>
  <c r="R20" i="1"/>
  <c r="R21" i="1"/>
  <c r="T21" i="1" s="1"/>
  <c r="R22" i="1"/>
  <c r="R23" i="1"/>
  <c r="R24" i="1"/>
  <c r="R3" i="1"/>
  <c r="Q23" i="1"/>
  <c r="Q24" i="1"/>
  <c r="Q3" i="1"/>
  <c r="Q4" i="1"/>
  <c r="Q5" i="1"/>
  <c r="Q6" i="1"/>
  <c r="Q7" i="1"/>
  <c r="Q8" i="1"/>
  <c r="Q9" i="1"/>
  <c r="S9" i="1" s="1"/>
  <c r="W9" i="1" s="1"/>
  <c r="Q10" i="1"/>
  <c r="S10" i="1" s="1"/>
  <c r="W10" i="1" s="1"/>
  <c r="Q11" i="1"/>
  <c r="Q12" i="1"/>
  <c r="Q13" i="1"/>
  <c r="Q14" i="1"/>
  <c r="Q16" i="1"/>
  <c r="Q17" i="1"/>
  <c r="Q18" i="1"/>
  <c r="Q19" i="1"/>
  <c r="Q20" i="1"/>
  <c r="Q21" i="1"/>
  <c r="S21" i="1" s="1"/>
  <c r="W21" i="1" s="1"/>
  <c r="Q22" i="1"/>
  <c r="S22" i="1" s="1"/>
  <c r="W22" i="1" s="1"/>
  <c r="Q15" i="1"/>
  <c r="W5" i="1"/>
  <c r="W6" i="1"/>
  <c r="W13" i="1"/>
  <c r="W14" i="1"/>
  <c r="W19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3" i="1"/>
  <c r="S20" i="1"/>
  <c r="W20" i="1" s="1"/>
  <c r="T20" i="1"/>
  <c r="T22" i="1"/>
  <c r="S23" i="1"/>
  <c r="W23" i="1" s="1"/>
  <c r="T23" i="1"/>
  <c r="S24" i="1"/>
  <c r="W24" i="1" s="1"/>
  <c r="T24" i="1"/>
  <c r="K18" i="1"/>
  <c r="O18" i="1" s="1"/>
  <c r="S4" i="1"/>
  <c r="W4" i="1" s="1"/>
  <c r="T4" i="1"/>
  <c r="S5" i="1"/>
  <c r="S6" i="1"/>
  <c r="T6" i="1"/>
  <c r="S7" i="1"/>
  <c r="W7" i="1" s="1"/>
  <c r="T7" i="1"/>
  <c r="S8" i="1"/>
  <c r="W8" i="1" s="1"/>
  <c r="T8" i="1"/>
  <c r="T9" i="1"/>
  <c r="S11" i="1"/>
  <c r="W11" i="1" s="1"/>
  <c r="S12" i="1"/>
  <c r="W12" i="1" s="1"/>
  <c r="T12" i="1"/>
  <c r="S13" i="1"/>
  <c r="S14" i="1"/>
  <c r="T14" i="1"/>
  <c r="S15" i="1"/>
  <c r="S16" i="1"/>
  <c r="T16" i="1"/>
  <c r="S17" i="1"/>
  <c r="W17" i="1" s="1"/>
  <c r="T18" i="1"/>
  <c r="S19" i="1"/>
  <c r="T3" i="1"/>
  <c r="S3" i="1"/>
  <c r="E19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AL21" i="1" l="1"/>
  <c r="AL22" i="1"/>
  <c r="AL23" i="1"/>
  <c r="C11" i="1"/>
  <c r="C10" i="1"/>
  <c r="AF23" i="1"/>
  <c r="AS23" i="1" s="1"/>
  <c r="AF4" i="1"/>
  <c r="AS4" i="1" s="1"/>
  <c r="AF5" i="1"/>
  <c r="AS5" i="1" s="1"/>
  <c r="AF6" i="1"/>
  <c r="AS6" i="1" s="1"/>
  <c r="AF7" i="1"/>
  <c r="AS7" i="1" s="1"/>
  <c r="AF8" i="1"/>
  <c r="AS8" i="1" s="1"/>
  <c r="AF9" i="1"/>
  <c r="AS9" i="1" s="1"/>
  <c r="AF10" i="1"/>
  <c r="AS10" i="1" s="1"/>
  <c r="AF11" i="1"/>
  <c r="AS11" i="1" s="1"/>
  <c r="AF12" i="1"/>
  <c r="AS12" i="1" s="1"/>
  <c r="AF13" i="1"/>
  <c r="AS13" i="1" s="1"/>
  <c r="AF14" i="1"/>
  <c r="AS14" i="1" s="1"/>
  <c r="AF15" i="1"/>
  <c r="AS15" i="1" s="1"/>
  <c r="AF16" i="1"/>
  <c r="AS16" i="1" s="1"/>
  <c r="AF17" i="1"/>
  <c r="AS17" i="1" s="1"/>
  <c r="AF18" i="1"/>
  <c r="AS18" i="1" s="1"/>
  <c r="AF19" i="1"/>
  <c r="AS19" i="1" s="1"/>
  <c r="AF20" i="1"/>
  <c r="AS20" i="1" s="1"/>
  <c r="AF21" i="1"/>
  <c r="AS21" i="1" s="1"/>
  <c r="AF22" i="1"/>
  <c r="AS22" i="1" s="1"/>
  <c r="AF3" i="1"/>
  <c r="AS3" i="1" s="1"/>
  <c r="C12" i="1" l="1"/>
  <c r="J17" i="1" s="1"/>
  <c r="P7" i="1"/>
  <c r="P15" i="1"/>
  <c r="P10" i="1"/>
  <c r="P20" i="1"/>
  <c r="P12" i="1"/>
  <c r="P13" i="1"/>
  <c r="P14" i="1"/>
  <c r="P8" i="1"/>
  <c r="P16" i="1"/>
  <c r="P9" i="1"/>
  <c r="P18" i="1"/>
  <c r="P22" i="1"/>
  <c r="P3" i="1"/>
  <c r="P19" i="1"/>
  <c r="P11" i="1"/>
  <c r="P21" i="1"/>
  <c r="P4" i="1"/>
  <c r="P5" i="1"/>
  <c r="P17" i="1"/>
  <c r="P6" i="1"/>
  <c r="C13" i="1"/>
  <c r="C22" i="1"/>
  <c r="C24" i="1"/>
  <c r="J9" i="1"/>
  <c r="J12" i="1"/>
  <c r="J19" i="1"/>
  <c r="J4" i="1"/>
  <c r="J20" i="1"/>
  <c r="J21" i="1"/>
  <c r="J8" i="1"/>
  <c r="J6" i="1"/>
  <c r="J22" i="1"/>
  <c r="J3" i="1"/>
  <c r="AM12" i="1"/>
  <c r="AM6" i="1"/>
  <c r="AM10" i="1"/>
  <c r="AM8" i="1"/>
  <c r="AM4" i="1"/>
  <c r="AM16" i="1"/>
  <c r="AM11" i="1"/>
  <c r="AM19" i="1"/>
  <c r="AM17" i="1"/>
  <c r="AM9" i="1"/>
  <c r="AM15" i="1"/>
  <c r="AM14" i="1"/>
  <c r="AM18" i="1"/>
  <c r="AM3" i="1"/>
  <c r="AM7" i="1"/>
  <c r="AM13" i="1"/>
  <c r="AM5" i="1"/>
  <c r="AL4" i="1"/>
  <c r="AL19" i="1"/>
  <c r="AL20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3" i="1"/>
  <c r="J14" i="1" l="1"/>
  <c r="J11" i="1"/>
  <c r="J23" i="1"/>
  <c r="J13" i="1"/>
  <c r="J15" i="1"/>
  <c r="J5" i="1"/>
  <c r="J10" i="1"/>
  <c r="J18" i="1"/>
  <c r="J7" i="1"/>
  <c r="J16" i="1"/>
  <c r="K17" i="1"/>
  <c r="O17" i="1" s="1"/>
  <c r="K10" i="1"/>
  <c r="O10" i="1" s="1"/>
  <c r="S18" i="1"/>
  <c r="W18" i="1" s="1"/>
  <c r="K4" i="1"/>
  <c r="O4" i="1" s="1"/>
  <c r="K12" i="1"/>
  <c r="O12" i="1" s="1"/>
  <c r="K20" i="1"/>
  <c r="O20" i="1" s="1"/>
  <c r="K13" i="1"/>
  <c r="O13" i="1" s="1"/>
  <c r="K11" i="1"/>
  <c r="O11" i="1" s="1"/>
  <c r="K19" i="1"/>
  <c r="O19" i="1" s="1"/>
  <c r="K5" i="1"/>
  <c r="O5" i="1" s="1"/>
  <c r="K21" i="1"/>
  <c r="O21" i="1" s="1"/>
  <c r="K9" i="1"/>
  <c r="O9" i="1" s="1"/>
  <c r="K6" i="1"/>
  <c r="O6" i="1" s="1"/>
  <c r="K14" i="1"/>
  <c r="O14" i="1" s="1"/>
  <c r="K22" i="1"/>
  <c r="O22" i="1" s="1"/>
  <c r="K7" i="1"/>
  <c r="O7" i="1" s="1"/>
  <c r="K15" i="1"/>
  <c r="O15" i="1" s="1"/>
  <c r="K23" i="1"/>
  <c r="K8" i="1"/>
  <c r="O8" i="1" s="1"/>
  <c r="K16" i="1"/>
  <c r="O16" i="1" s="1"/>
  <c r="K3" i="1"/>
  <c r="O3" i="1" s="1"/>
  <c r="AM25" i="1"/>
  <c r="AN3" i="1" s="1"/>
  <c r="AM26" i="1"/>
  <c r="C23" i="1"/>
  <c r="AG15" i="1" l="1"/>
  <c r="AH15" i="1"/>
  <c r="AG7" i="1"/>
  <c r="AH7" i="1"/>
  <c r="AG13" i="1"/>
  <c r="AH13" i="1"/>
  <c r="AG20" i="1"/>
  <c r="AH20" i="1"/>
  <c r="AH19" i="1"/>
  <c r="AG19" i="1"/>
  <c r="AH11" i="1"/>
  <c r="AG11" i="1"/>
  <c r="AH3" i="1"/>
  <c r="AG3" i="1"/>
  <c r="AH12" i="1"/>
  <c r="AG12" i="1"/>
  <c r="AG16" i="1"/>
  <c r="AH16" i="1"/>
  <c r="AH9" i="1"/>
  <c r="AG9" i="1"/>
  <c r="AH4" i="1"/>
  <c r="AG4" i="1"/>
  <c r="AG17" i="1"/>
  <c r="AH17" i="1"/>
  <c r="AG22" i="1"/>
  <c r="AH22" i="1"/>
  <c r="AG8" i="1"/>
  <c r="AH8" i="1"/>
  <c r="AG18" i="1"/>
  <c r="AH18" i="1"/>
  <c r="AG14" i="1"/>
  <c r="AH14" i="1"/>
  <c r="AG6" i="1"/>
  <c r="AH6" i="1"/>
  <c r="AG21" i="1"/>
  <c r="AH21" i="1"/>
  <c r="L23" i="1"/>
  <c r="O23" i="1"/>
  <c r="AG5" i="1"/>
  <c r="AH5" i="1"/>
  <c r="AH10" i="1"/>
  <c r="AG10" i="1"/>
  <c r="L14" i="1"/>
  <c r="N14" i="1" s="1"/>
  <c r="L3" i="1"/>
  <c r="N3" i="1" s="1"/>
  <c r="L12" i="1"/>
  <c r="N12" i="1" s="1"/>
  <c r="L4" i="1"/>
  <c r="N4" i="1" s="1"/>
  <c r="L8" i="1"/>
  <c r="N8" i="1" s="1"/>
  <c r="L18" i="1"/>
  <c r="N18" i="1" s="1"/>
  <c r="L5" i="1"/>
  <c r="N5" i="1" s="1"/>
  <c r="L10" i="1"/>
  <c r="N10" i="1" s="1"/>
  <c r="L15" i="1"/>
  <c r="N15" i="1" s="1"/>
  <c r="L19" i="1"/>
  <c r="N19" i="1" s="1"/>
  <c r="L17" i="1"/>
  <c r="N17" i="1" s="1"/>
  <c r="L7" i="1"/>
  <c r="N7" i="1" s="1"/>
  <c r="L11" i="1"/>
  <c r="N11" i="1" s="1"/>
  <c r="L20" i="1"/>
  <c r="L6" i="1"/>
  <c r="N6" i="1" s="1"/>
  <c r="L16" i="1"/>
  <c r="N16" i="1" s="1"/>
  <c r="L9" i="1"/>
  <c r="N9" i="1" s="1"/>
  <c r="L21" i="1"/>
  <c r="L22" i="1"/>
  <c r="L13" i="1"/>
  <c r="N13" i="1" s="1"/>
  <c r="C25" i="1"/>
  <c r="AN8" i="1"/>
  <c r="AN10" i="1"/>
  <c r="AN20" i="1"/>
  <c r="AP20" i="1" s="1"/>
  <c r="AQ20" i="1" s="1"/>
  <c r="AR20" i="1" s="1"/>
  <c r="AN21" i="1"/>
  <c r="AP21" i="1" s="1"/>
  <c r="AQ21" i="1" s="1"/>
  <c r="AR21" i="1" s="1"/>
  <c r="AN13" i="1"/>
  <c r="AN9" i="1"/>
  <c r="AN12" i="1"/>
  <c r="AN4" i="1"/>
  <c r="AN14" i="1"/>
  <c r="AN19" i="1"/>
  <c r="AN5" i="1"/>
  <c r="AN11" i="1"/>
  <c r="AN22" i="1"/>
  <c r="AP22" i="1" s="1"/>
  <c r="AQ22" i="1" s="1"/>
  <c r="AR22" i="1" s="1"/>
  <c r="AN16" i="1"/>
  <c r="AN18" i="1"/>
  <c r="AN15" i="1"/>
  <c r="AN23" i="1"/>
  <c r="AP23" i="1" s="1"/>
  <c r="AQ23" i="1" s="1"/>
  <c r="AR23" i="1" s="1"/>
  <c r="AN6" i="1"/>
  <c r="AN17" i="1"/>
  <c r="AN7" i="1"/>
  <c r="AG23" i="1" l="1"/>
  <c r="AH23" i="1"/>
  <c r="N25" i="1"/>
  <c r="N26" i="1"/>
  <c r="AO8" i="1"/>
  <c r="AP8" i="1" s="1"/>
  <c r="AQ8" i="1" s="1"/>
  <c r="AR8" i="1" s="1"/>
  <c r="AO11" i="1"/>
  <c r="AP11" i="1" s="1"/>
  <c r="AQ11" i="1" s="1"/>
  <c r="AR11" i="1" s="1"/>
  <c r="AO4" i="1"/>
  <c r="AP4" i="1" s="1"/>
  <c r="AQ4" i="1" s="1"/>
  <c r="AR4" i="1" s="1"/>
  <c r="AO12" i="1"/>
  <c r="AP12" i="1" s="1"/>
  <c r="AQ12" i="1" s="1"/>
  <c r="AR12" i="1" s="1"/>
  <c r="AO16" i="1"/>
  <c r="AP16" i="1" s="1"/>
  <c r="AQ16" i="1" s="1"/>
  <c r="AR16" i="1" s="1"/>
  <c r="AO9" i="1"/>
  <c r="AP9" i="1" s="1"/>
  <c r="AQ9" i="1" s="1"/>
  <c r="AR9" i="1" s="1"/>
  <c r="AO14" i="1"/>
  <c r="AP14" i="1" s="1"/>
  <c r="AQ14" i="1" s="1"/>
  <c r="AR14" i="1" s="1"/>
  <c r="AO6" i="1"/>
  <c r="AP6" i="1" s="1"/>
  <c r="AQ6" i="1" s="1"/>
  <c r="AR6" i="1" s="1"/>
  <c r="AO19" i="1"/>
  <c r="AP19" i="1" s="1"/>
  <c r="AQ19" i="1" s="1"/>
  <c r="AR19" i="1" s="1"/>
  <c r="AO13" i="1"/>
  <c r="AP13" i="1" s="1"/>
  <c r="AQ13" i="1" s="1"/>
  <c r="AR13" i="1" s="1"/>
  <c r="AO7" i="1"/>
  <c r="AP7" i="1" s="1"/>
  <c r="AQ7" i="1" s="1"/>
  <c r="AR7" i="1" s="1"/>
  <c r="AO18" i="1"/>
  <c r="AP18" i="1" s="1"/>
  <c r="AQ18" i="1" s="1"/>
  <c r="AR18" i="1" s="1"/>
  <c r="AO15" i="1"/>
  <c r="AP15" i="1" s="1"/>
  <c r="AQ15" i="1" s="1"/>
  <c r="AR15" i="1" s="1"/>
  <c r="AO5" i="1"/>
  <c r="AP5" i="1" s="1"/>
  <c r="AQ5" i="1" s="1"/>
  <c r="AR5" i="1" s="1"/>
  <c r="AO17" i="1"/>
  <c r="AP17" i="1" s="1"/>
  <c r="AQ17" i="1" s="1"/>
  <c r="AR17" i="1" s="1"/>
  <c r="AO3" i="1"/>
  <c r="AP3" i="1" s="1"/>
  <c r="AO10" i="1"/>
  <c r="AP10" i="1" s="1"/>
  <c r="AQ10" i="1" s="1"/>
  <c r="AR10" i="1" s="1"/>
  <c r="AR3" i="1" l="1"/>
  <c r="AQ3" i="1"/>
</calcChain>
</file>

<file path=xl/sharedStrings.xml><?xml version="1.0" encoding="utf-8"?>
<sst xmlns="http://schemas.openxmlformats.org/spreadsheetml/2006/main" count="102" uniqueCount="74">
  <si>
    <t>Load (Ohms)</t>
  </si>
  <si>
    <t>Voltage (V)</t>
  </si>
  <si>
    <t>Current (A)</t>
  </si>
  <si>
    <t>Frequency (Hz)</t>
  </si>
  <si>
    <t>Angular velocity (rpm)</t>
  </si>
  <si>
    <t>Power (mW)</t>
  </si>
  <si>
    <t>k_t</t>
  </si>
  <si>
    <t>T_max</t>
  </si>
  <si>
    <t>mNm</t>
  </si>
  <si>
    <t>Coils</t>
  </si>
  <si>
    <t>i_max</t>
  </si>
  <si>
    <t>A</t>
  </si>
  <si>
    <t>i_min</t>
  </si>
  <si>
    <t>omega_max</t>
  </si>
  <si>
    <t>rpm</t>
  </si>
  <si>
    <t>Motor constants (datasheet)</t>
  </si>
  <si>
    <t>Motor Constants (calculated)</t>
  </si>
  <si>
    <t>R_motor</t>
  </si>
  <si>
    <t>Ohm</t>
  </si>
  <si>
    <t>Nominal Voltage</t>
  </si>
  <si>
    <t>V</t>
  </si>
  <si>
    <t>mNm/A</t>
  </si>
  <si>
    <t>k_v</t>
  </si>
  <si>
    <t>mV/(rad/s)</t>
  </si>
  <si>
    <t>Measurements</t>
  </si>
  <si>
    <t>Gemiddelde:</t>
  </si>
  <si>
    <t>Standaard deviatie:</t>
  </si>
  <si>
    <t>Air/prop Constants</t>
  </si>
  <si>
    <t>d</t>
  </si>
  <si>
    <t>m</t>
  </si>
  <si>
    <t>rho</t>
  </si>
  <si>
    <t>kg/m^3</t>
  </si>
  <si>
    <t>k_t (mNm/A)</t>
  </si>
  <si>
    <t>c_t * u^2 (m^2/s^2)</t>
  </si>
  <si>
    <t>Torque EMK (mNm)</t>
  </si>
  <si>
    <t>T_friction</t>
  </si>
  <si>
    <t>v_in</t>
  </si>
  <si>
    <t>m/s</t>
  </si>
  <si>
    <t>c_t</t>
  </si>
  <si>
    <t>lambda</t>
  </si>
  <si>
    <t>T-test</t>
  </si>
  <si>
    <t>b</t>
  </si>
  <si>
    <t>a</t>
  </si>
  <si>
    <t>T_0</t>
  </si>
  <si>
    <t>mNm/rpm</t>
  </si>
  <si>
    <t>T_fric = a * rpm + b</t>
  </si>
  <si>
    <t>Torque Friction (mNm)</t>
  </si>
  <si>
    <t>Torque Total (mNm)</t>
  </si>
  <si>
    <t>Generator voltage</t>
  </si>
  <si>
    <t>Output voltage</t>
  </si>
  <si>
    <t>Real Voltage</t>
  </si>
  <si>
    <t>Diff</t>
  </si>
  <si>
    <t>Torque (mNm)</t>
  </si>
  <si>
    <t>T_friction (mNm)</t>
  </si>
  <si>
    <t>T_EMK (mNm)</t>
  </si>
  <si>
    <t>T_prop (mNm)</t>
  </si>
  <si>
    <t>i (A)</t>
  </si>
  <si>
    <t>Frequentie-versie</t>
  </si>
  <si>
    <t>Spanning-versie</t>
  </si>
  <si>
    <t>u_average</t>
  </si>
  <si>
    <t xml:space="preserve">c_t </t>
  </si>
  <si>
    <t>c_p</t>
  </si>
  <si>
    <t>R</t>
  </si>
  <si>
    <t>Vb</t>
  </si>
  <si>
    <t>Ib</t>
  </si>
  <si>
    <t>Va</t>
  </si>
  <si>
    <t>Ia</t>
  </si>
  <si>
    <t>f</t>
  </si>
  <si>
    <t>T_emk</t>
  </si>
  <si>
    <t>T_prop</t>
  </si>
  <si>
    <t>V_generator</t>
  </si>
  <si>
    <t>Eff</t>
  </si>
  <si>
    <t>Power_in</t>
  </si>
  <si>
    <t>Power_out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</si>
</sst>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/>
              <a:t>Power vs. Load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Sheet1!$F$4:$F$23</c:f>
              <c:numCache>
                <c:formatCode>0</c:formatCode>
                <c:ptCount val="20"/>
                <c:pt idx="0">
                  <c:v>1002800</c:v>
                </c:pt>
                <c:pt idx="1">
                  <c:v>332800</c:v>
                </c:pt>
                <c:pt idx="2">
                  <c:v>102800</c:v>
                </c:pt>
                <c:pt idx="3">
                  <c:v>49800</c:v>
                </c:pt>
                <c:pt idx="4">
                  <c:v>24800</c:v>
                </c:pt>
                <c:pt idx="5">
                  <c:v>10000</c:v>
                </c:pt>
                <c:pt idx="6">
                  <c:v>4700</c:v>
                </c:pt>
                <c:pt idx="7">
                  <c:v>3300</c:v>
                </c:pt>
                <c:pt idx="8">
                  <c:v>2200</c:v>
                </c:pt>
                <c:pt idx="9">
                  <c:v>1000</c:v>
                </c:pt>
                <c:pt idx="10">
                  <c:v>680</c:v>
                </c:pt>
                <c:pt idx="11">
                  <c:v>470</c:v>
                </c:pt>
                <c:pt idx="12">
                  <c:v>330</c:v>
                </c:pt>
                <c:pt idx="13">
                  <c:v>220</c:v>
                </c:pt>
                <c:pt idx="14">
                  <c:v>100</c:v>
                </c:pt>
                <c:pt idx="15">
                  <c:v>47</c:v>
                </c:pt>
                <c:pt idx="16">
                  <c:v>10</c:v>
                </c:pt>
                <c:pt idx="17" formatCode="0.00">
                  <c:v>4.7</c:v>
                </c:pt>
                <c:pt idx="18" formatCode="0.00">
                  <c:v>1.5</c:v>
                </c:pt>
                <c:pt idx="19" formatCode="0.00">
                  <c:v>0</c:v>
                </c:pt>
              </c:numCache>
            </c:numRef>
          </c:xVal>
          <c:yVal>
            <c:numRef>
              <c:f>Sheet1!$AL$4:$AL$23</c:f>
              <c:numCache>
                <c:formatCode>General</c:formatCode>
                <c:ptCount val="20"/>
                <c:pt idx="0">
                  <c:v>8.0920000000000002E-3</c:v>
                </c:pt>
                <c:pt idx="1">
                  <c:v>3.1489999999999997E-2</c:v>
                </c:pt>
                <c:pt idx="2">
                  <c:v>0.11253000000000001</c:v>
                </c:pt>
                <c:pt idx="3">
                  <c:v>0.22110000000000005</c:v>
                </c:pt>
                <c:pt idx="4">
                  <c:v>0.50634000000000012</c:v>
                </c:pt>
                <c:pt idx="5">
                  <c:v>0.97499999999999998</c:v>
                </c:pt>
                <c:pt idx="6">
                  <c:v>2.0100000000000002</c:v>
                </c:pt>
                <c:pt idx="7">
                  <c:v>2.6136000000000004</c:v>
                </c:pt>
                <c:pt idx="8">
                  <c:v>4.1715</c:v>
                </c:pt>
                <c:pt idx="9">
                  <c:v>5.4</c:v>
                </c:pt>
                <c:pt idx="10">
                  <c:v>7.6499999999999995</c:v>
                </c:pt>
                <c:pt idx="11">
                  <c:v>9.36</c:v>
                </c:pt>
                <c:pt idx="12">
                  <c:v>12.96</c:v>
                </c:pt>
                <c:pt idx="13">
                  <c:v>8.76</c:v>
                </c:pt>
                <c:pt idx="14">
                  <c:v>3.15</c:v>
                </c:pt>
                <c:pt idx="15">
                  <c:v>1.19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5-40AA-B8CA-88801BA2B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563416"/>
        <c:axId val="215561448"/>
      </c:scatterChart>
      <c:valAx>
        <c:axId val="2155634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L"/>
                  <a:t>Load resistance (Ohm)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5561448"/>
        <c:crosses val="autoZero"/>
        <c:crossBetween val="midCat"/>
      </c:valAx>
      <c:valAx>
        <c:axId val="21556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L"/>
                  <a:t>Power (mW)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5563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/>
              <a:t>Power vs. Angular</a:t>
            </a:r>
            <a:r>
              <a:rPr lang="en-NL" baseline="0"/>
              <a:t>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Sheet1!$AL$2</c:f>
              <c:strCache>
                <c:ptCount val="1"/>
                <c:pt idx="0">
                  <c:v>Power (mW)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Sheet1!$AF$3:$AF$19</c:f>
              <c:numCache>
                <c:formatCode>0</c:formatCode>
                <c:ptCount val="17"/>
                <c:pt idx="0">
                  <c:v>1260</c:v>
                </c:pt>
                <c:pt idx="1">
                  <c:v>1230</c:v>
                </c:pt>
                <c:pt idx="2">
                  <c:v>1320</c:v>
                </c:pt>
                <c:pt idx="3">
                  <c:v>1410</c:v>
                </c:pt>
                <c:pt idx="4">
                  <c:v>1350</c:v>
                </c:pt>
                <c:pt idx="5">
                  <c:v>1340</c:v>
                </c:pt>
                <c:pt idx="6">
                  <c:v>1360</c:v>
                </c:pt>
                <c:pt idx="7">
                  <c:v>1260</c:v>
                </c:pt>
                <c:pt idx="8">
                  <c:v>1260</c:v>
                </c:pt>
                <c:pt idx="9">
                  <c:v>1250</c:v>
                </c:pt>
                <c:pt idx="10">
                  <c:v>1120</c:v>
                </c:pt>
                <c:pt idx="11">
                  <c:v>1070</c:v>
                </c:pt>
                <c:pt idx="12">
                  <c:v>1050</c:v>
                </c:pt>
                <c:pt idx="13">
                  <c:v>920</c:v>
                </c:pt>
                <c:pt idx="14">
                  <c:v>720</c:v>
                </c:pt>
                <c:pt idx="15">
                  <c:v>320</c:v>
                </c:pt>
                <c:pt idx="16">
                  <c:v>160</c:v>
                </c:pt>
              </c:numCache>
            </c:numRef>
          </c:xVal>
          <c:yVal>
            <c:numRef>
              <c:f>Sheet1!$AL$3:$AL$19</c:f>
              <c:numCache>
                <c:formatCode>General</c:formatCode>
                <c:ptCount val="17"/>
                <c:pt idx="0">
                  <c:v>0</c:v>
                </c:pt>
                <c:pt idx="1">
                  <c:v>8.0920000000000002E-3</c:v>
                </c:pt>
                <c:pt idx="2">
                  <c:v>3.1489999999999997E-2</c:v>
                </c:pt>
                <c:pt idx="3">
                  <c:v>0.11253000000000001</c:v>
                </c:pt>
                <c:pt idx="4">
                  <c:v>0.22110000000000005</c:v>
                </c:pt>
                <c:pt idx="5">
                  <c:v>0.50634000000000012</c:v>
                </c:pt>
                <c:pt idx="6">
                  <c:v>0.97499999999999998</c:v>
                </c:pt>
                <c:pt idx="7">
                  <c:v>2.0100000000000002</c:v>
                </c:pt>
                <c:pt idx="8">
                  <c:v>2.6136000000000004</c:v>
                </c:pt>
                <c:pt idx="9">
                  <c:v>4.1715</c:v>
                </c:pt>
                <c:pt idx="10">
                  <c:v>5.4</c:v>
                </c:pt>
                <c:pt idx="11">
                  <c:v>7.6499999999999995</c:v>
                </c:pt>
                <c:pt idx="12">
                  <c:v>9.36</c:v>
                </c:pt>
                <c:pt idx="13">
                  <c:v>12.96</c:v>
                </c:pt>
                <c:pt idx="14">
                  <c:v>8.76</c:v>
                </c:pt>
                <c:pt idx="15">
                  <c:v>3.15</c:v>
                </c:pt>
                <c:pt idx="16">
                  <c:v>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0A-49CF-99FA-64C2B6C92F5B}"/>
            </c:ext>
          </c:extLst>
        </c:ser>
        <c:ser>
          <c:idx val="0"/>
          <c:order val="1"/>
          <c:tx>
            <c:strRef>
              <c:f>Sheet1!$AL$2</c:f>
              <c:strCache>
                <c:ptCount val="1"/>
                <c:pt idx="0">
                  <c:v>Power (mW)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Sheet1!$AF$3:$AF$19</c:f>
              <c:numCache>
                <c:formatCode>0</c:formatCode>
                <c:ptCount val="17"/>
                <c:pt idx="0">
                  <c:v>1260</c:v>
                </c:pt>
                <c:pt idx="1">
                  <c:v>1230</c:v>
                </c:pt>
                <c:pt idx="2">
                  <c:v>1320</c:v>
                </c:pt>
                <c:pt idx="3">
                  <c:v>1410</c:v>
                </c:pt>
                <c:pt idx="4">
                  <c:v>1350</c:v>
                </c:pt>
                <c:pt idx="5">
                  <c:v>1340</c:v>
                </c:pt>
                <c:pt idx="6">
                  <c:v>1360</c:v>
                </c:pt>
                <c:pt idx="7">
                  <c:v>1260</c:v>
                </c:pt>
                <c:pt idx="8">
                  <c:v>1260</c:v>
                </c:pt>
                <c:pt idx="9">
                  <c:v>1250</c:v>
                </c:pt>
                <c:pt idx="10">
                  <c:v>1120</c:v>
                </c:pt>
                <c:pt idx="11">
                  <c:v>1070</c:v>
                </c:pt>
                <c:pt idx="12">
                  <c:v>1050</c:v>
                </c:pt>
                <c:pt idx="13">
                  <c:v>920</c:v>
                </c:pt>
                <c:pt idx="14">
                  <c:v>720</c:v>
                </c:pt>
                <c:pt idx="15">
                  <c:v>320</c:v>
                </c:pt>
                <c:pt idx="16">
                  <c:v>160</c:v>
                </c:pt>
              </c:numCache>
            </c:numRef>
          </c:xVal>
          <c:yVal>
            <c:numRef>
              <c:f>Sheet1!$AL$3:$AL$19</c:f>
              <c:numCache>
                <c:formatCode>General</c:formatCode>
                <c:ptCount val="17"/>
                <c:pt idx="0">
                  <c:v>0</c:v>
                </c:pt>
                <c:pt idx="1">
                  <c:v>8.0920000000000002E-3</c:v>
                </c:pt>
                <c:pt idx="2">
                  <c:v>3.1489999999999997E-2</c:v>
                </c:pt>
                <c:pt idx="3">
                  <c:v>0.11253000000000001</c:v>
                </c:pt>
                <c:pt idx="4">
                  <c:v>0.22110000000000005</c:v>
                </c:pt>
                <c:pt idx="5">
                  <c:v>0.50634000000000012</c:v>
                </c:pt>
                <c:pt idx="6">
                  <c:v>0.97499999999999998</c:v>
                </c:pt>
                <c:pt idx="7">
                  <c:v>2.0100000000000002</c:v>
                </c:pt>
                <c:pt idx="8">
                  <c:v>2.6136000000000004</c:v>
                </c:pt>
                <c:pt idx="9">
                  <c:v>4.1715</c:v>
                </c:pt>
                <c:pt idx="10">
                  <c:v>5.4</c:v>
                </c:pt>
                <c:pt idx="11">
                  <c:v>7.6499999999999995</c:v>
                </c:pt>
                <c:pt idx="12">
                  <c:v>9.36</c:v>
                </c:pt>
                <c:pt idx="13">
                  <c:v>12.96</c:v>
                </c:pt>
                <c:pt idx="14">
                  <c:v>8.76</c:v>
                </c:pt>
                <c:pt idx="15">
                  <c:v>3.15</c:v>
                </c:pt>
                <c:pt idx="16">
                  <c:v>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0A-49CF-99FA-64C2B6C92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555568"/>
        <c:axId val="533553600"/>
      </c:scatterChart>
      <c:valAx>
        <c:axId val="53355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L"/>
                  <a:t>Angular velocity (rpm)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3553600"/>
        <c:crosses val="autoZero"/>
        <c:crossBetween val="midCat"/>
      </c:valAx>
      <c:valAx>
        <c:axId val="53355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L"/>
                  <a:t>Power</a:t>
                </a:r>
                <a:r>
                  <a:rPr lang="en-NL" baseline="0"/>
                  <a:t> (mW)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355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Torque</a:t>
            </a:r>
            <a:r>
              <a:rPr lang="en-NL"/>
              <a:t> vs. Angular</a:t>
            </a:r>
            <a:r>
              <a:rPr lang="en-NL" baseline="0"/>
              <a:t>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Sheet1!$AF$4:$AF$23</c:f>
              <c:numCache>
                <c:formatCode>0</c:formatCode>
                <c:ptCount val="20"/>
                <c:pt idx="0">
                  <c:v>1230</c:v>
                </c:pt>
                <c:pt idx="1">
                  <c:v>1320</c:v>
                </c:pt>
                <c:pt idx="2">
                  <c:v>1410</c:v>
                </c:pt>
                <c:pt idx="3">
                  <c:v>1350</c:v>
                </c:pt>
                <c:pt idx="4">
                  <c:v>1340</c:v>
                </c:pt>
                <c:pt idx="5">
                  <c:v>1360</c:v>
                </c:pt>
                <c:pt idx="6">
                  <c:v>1260</c:v>
                </c:pt>
                <c:pt idx="7">
                  <c:v>1260</c:v>
                </c:pt>
                <c:pt idx="8">
                  <c:v>1250</c:v>
                </c:pt>
                <c:pt idx="9">
                  <c:v>1120</c:v>
                </c:pt>
                <c:pt idx="10">
                  <c:v>1070</c:v>
                </c:pt>
                <c:pt idx="11">
                  <c:v>1050</c:v>
                </c:pt>
                <c:pt idx="12">
                  <c:v>920</c:v>
                </c:pt>
                <c:pt idx="13">
                  <c:v>720</c:v>
                </c:pt>
                <c:pt idx="14">
                  <c:v>320</c:v>
                </c:pt>
                <c:pt idx="15">
                  <c:v>160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Sheet1!$AN$4:$AN$23</c:f>
              <c:numCache>
                <c:formatCode>General</c:formatCode>
                <c:ptCount val="20"/>
                <c:pt idx="0">
                  <c:v>6.5406068651663649E-5</c:v>
                </c:pt>
                <c:pt idx="1">
                  <c:v>2.1957751618772799E-4</c:v>
                </c:pt>
                <c:pt idx="2">
                  <c:v>7.7085723768032172E-4</c:v>
                </c:pt>
                <c:pt idx="3">
                  <c:v>1.5417144753606434E-3</c:v>
                </c:pt>
                <c:pt idx="4">
                  <c:v>3.3987796388632368E-3</c:v>
                </c:pt>
                <c:pt idx="5">
                  <c:v>7.0077930698211055E-3</c:v>
                </c:pt>
                <c:pt idx="6">
                  <c:v>1.5650737855933804E-2</c:v>
                </c:pt>
                <c:pt idx="7">
                  <c:v>2.0556193004808578E-2</c:v>
                </c:pt>
                <c:pt idx="8">
                  <c:v>3.1535068814194975E-2</c:v>
                </c:pt>
                <c:pt idx="9">
                  <c:v>4.6718620465474044E-2</c:v>
                </c:pt>
                <c:pt idx="10">
                  <c:v>7.0077930698211055E-2</c:v>
                </c:pt>
                <c:pt idx="11">
                  <c:v>9.3437240930948087E-2</c:v>
                </c:pt>
                <c:pt idx="12">
                  <c:v>0.14015586139642211</c:v>
                </c:pt>
                <c:pt idx="13">
                  <c:v>0.14015586139642211</c:v>
                </c:pt>
                <c:pt idx="14">
                  <c:v>0.11679655116368511</c:v>
                </c:pt>
                <c:pt idx="15">
                  <c:v>0.11679655116368511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73-4862-9B45-1C81FBE78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555568"/>
        <c:axId val="533553600"/>
      </c:scatterChart>
      <c:valAx>
        <c:axId val="53355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L"/>
                  <a:t>Angular velocity (rpm)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3553600"/>
        <c:crosses val="autoZero"/>
        <c:crossBetween val="midCat"/>
      </c:valAx>
      <c:valAx>
        <c:axId val="53355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Torque</a:t>
                </a:r>
                <a:r>
                  <a:rPr lang="nl-NL" baseline="0"/>
                  <a:t> (mNm)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355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baseline="0"/>
              <a:t>c_t vs lambda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Sheet1!$AS$4:$AS$23</c:f>
              <c:numCache>
                <c:formatCode>General</c:formatCode>
                <c:ptCount val="20"/>
                <c:pt idx="0">
                  <c:v>2.5761059759436304</c:v>
                </c:pt>
                <c:pt idx="1">
                  <c:v>2.7646015351590183</c:v>
                </c:pt>
                <c:pt idx="2">
                  <c:v>2.9530970943744053</c:v>
                </c:pt>
                <c:pt idx="3">
                  <c:v>2.8274333882308138</c:v>
                </c:pt>
                <c:pt idx="4">
                  <c:v>2.8064894372068814</c:v>
                </c:pt>
                <c:pt idx="5">
                  <c:v>2.8483773392547458</c:v>
                </c:pt>
                <c:pt idx="6">
                  <c:v>2.638937829015426</c:v>
                </c:pt>
                <c:pt idx="7">
                  <c:v>2.638937829015426</c:v>
                </c:pt>
                <c:pt idx="8">
                  <c:v>2.6179938779914944</c:v>
                </c:pt>
                <c:pt idx="9">
                  <c:v>2.3457225146803791</c:v>
                </c:pt>
                <c:pt idx="10">
                  <c:v>2.2410027595607191</c:v>
                </c:pt>
                <c:pt idx="11">
                  <c:v>2.1991148575128552</c:v>
                </c:pt>
                <c:pt idx="12">
                  <c:v>1.9268434942017396</c:v>
                </c:pt>
                <c:pt idx="13">
                  <c:v>1.5079644737231008</c:v>
                </c:pt>
                <c:pt idx="14">
                  <c:v>0.67020643276582259</c:v>
                </c:pt>
                <c:pt idx="15">
                  <c:v>0.3351032163829113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Sheet1!$AR$4:$AR$23</c:f>
              <c:numCache>
                <c:formatCode>General</c:formatCode>
                <c:ptCount val="20"/>
                <c:pt idx="0">
                  <c:v>0.12930358087953575</c:v>
                </c:pt>
                <c:pt idx="1">
                  <c:v>0.13032133467710363</c:v>
                </c:pt>
                <c:pt idx="2">
                  <c:v>0.13139596285150931</c:v>
                </c:pt>
                <c:pt idx="3">
                  <c:v>0.13084258394884044</c:v>
                </c:pt>
                <c:pt idx="4">
                  <c:v>0.13099792494855209</c:v>
                </c:pt>
                <c:pt idx="5">
                  <c:v>0.13173607336904841</c:v>
                </c:pt>
                <c:pt idx="6">
                  <c:v>0.13186762394522131</c:v>
                </c:pt>
                <c:pt idx="7">
                  <c:v>0.13257018977674642</c:v>
                </c:pt>
                <c:pt idx="8">
                  <c:v>0.13403196866793696</c:v>
                </c:pt>
                <c:pt idx="9">
                  <c:v>0.13476838263376051</c:v>
                </c:pt>
                <c:pt idx="10">
                  <c:v>0.13756078245848022</c:v>
                </c:pt>
                <c:pt idx="11">
                  <c:v>0.14068507333558272</c:v>
                </c:pt>
                <c:pt idx="12">
                  <c:v>0.14593798193263927</c:v>
                </c:pt>
                <c:pt idx="13">
                  <c:v>0.14372537491675363</c:v>
                </c:pt>
                <c:pt idx="14">
                  <c:v>0.13595460930629125</c:v>
                </c:pt>
                <c:pt idx="15">
                  <c:v>0.13418452369358275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2-4502-9D01-AD9D63754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555568"/>
        <c:axId val="533553600"/>
      </c:scatterChart>
      <c:valAx>
        <c:axId val="53355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3553600"/>
        <c:crosses val="autoZero"/>
        <c:crossBetween val="midCat"/>
      </c:valAx>
      <c:valAx>
        <c:axId val="53355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aseline="0"/>
                  <a:t>C_t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355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2</xdr:row>
      <xdr:rowOff>7620</xdr:rowOff>
    </xdr:from>
    <xdr:to>
      <xdr:col>8</xdr:col>
      <xdr:colOff>110490</xdr:colOff>
      <xdr:row>16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676446-85CD-4433-B83F-84F368B33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</xdr:colOff>
      <xdr:row>2</xdr:row>
      <xdr:rowOff>0</xdr:rowOff>
    </xdr:from>
    <xdr:to>
      <xdr:col>16</xdr:col>
      <xdr:colOff>333375</xdr:colOff>
      <xdr:row>16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7376EB-6FC3-495C-9649-716BDEF11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30480</xdr:colOff>
      <xdr:row>16</xdr:row>
      <xdr:rowOff>144780</xdr:rowOff>
    </xdr:from>
    <xdr:to>
      <xdr:col>16</xdr:col>
      <xdr:colOff>340995</xdr:colOff>
      <xdr:row>31</xdr:row>
      <xdr:rowOff>34290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423CB697-A7EF-452B-9372-A6CA9184D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403860</xdr:colOff>
      <xdr:row>16</xdr:row>
      <xdr:rowOff>129540</xdr:rowOff>
    </xdr:from>
    <xdr:to>
      <xdr:col>8</xdr:col>
      <xdr:colOff>104775</xdr:colOff>
      <xdr:row>31</xdr:row>
      <xdr:rowOff>19050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60BA9F54-6CDC-4E6C-AD87-3DFFA82E1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E4431-2A3A-4509-91B4-41CDE98B96BE}">
  <dimension ref="B1:AS46"/>
  <sheetViews>
    <sheetView tabSelected="1" topLeftCell="O1" zoomScale="69" workbookViewId="0">
      <selection activeCell="C19" sqref="C19"/>
    </sheetView>
  </sheetViews>
  <sheetFormatPr defaultColWidth="9.109375" defaultRowHeight="14.4" x14ac:dyDescent="0.3"/>
  <cols>
    <col min="1" max="1" width="9.109375" style="1"/>
    <col min="2" max="2" width="25.88671875" style="1" bestFit="1" customWidth="1"/>
    <col min="3" max="3" width="12.6640625" style="1" bestFit="1" customWidth="1"/>
    <col min="4" max="4" width="16.88671875" style="1" customWidth="1"/>
    <col min="5" max="5" width="16" style="1" customWidth="1"/>
    <col min="6" max="6" width="15.5546875" style="2" bestFit="1" customWidth="1"/>
    <col min="7" max="7" width="10.88671875" style="3" bestFit="1" customWidth="1"/>
    <col min="8" max="8" width="11" style="4" bestFit="1" customWidth="1"/>
    <col min="9" max="9" width="13.6640625" style="2" customWidth="1"/>
    <col min="10" max="10" width="19.5546875" style="2" customWidth="1"/>
    <col min="11" max="11" width="19.6640625" style="1" bestFit="1" customWidth="1"/>
    <col min="12" max="12" width="13.33203125" style="1" bestFit="1" customWidth="1"/>
    <col min="13" max="13" width="12.88671875" style="1" bestFit="1" customWidth="1"/>
    <col min="14" max="14" width="17.44140625" style="1" bestFit="1" customWidth="1"/>
    <col min="15" max="15" width="20.109375" style="1" bestFit="1" customWidth="1"/>
    <col min="16" max="16" width="17.5546875" style="1" bestFit="1" customWidth="1"/>
    <col min="17" max="17" width="17.6640625" style="1" bestFit="1" customWidth="1"/>
    <col min="18" max="18" width="14.33203125" style="1" bestFit="1" customWidth="1"/>
    <col min="19" max="19" width="15.6640625" style="1" bestFit="1" customWidth="1"/>
    <col min="20" max="20" width="14.33203125" style="1" bestFit="1" customWidth="1"/>
    <col min="21" max="21" width="15.6640625" style="1" bestFit="1" customWidth="1"/>
    <col min="22" max="22" width="14.33203125" style="1" bestFit="1" customWidth="1"/>
    <col min="23" max="23" width="15.6640625" style="1" bestFit="1" customWidth="1"/>
    <col min="24" max="24" width="14.33203125" style="1" bestFit="1" customWidth="1"/>
    <col min="25" max="25" width="15.6640625" style="1" bestFit="1" customWidth="1"/>
    <col min="26" max="26" width="14.33203125" style="1" bestFit="1" customWidth="1"/>
    <col min="27" max="27" width="15.6640625" style="1" bestFit="1" customWidth="1"/>
    <col min="28" max="28" width="14.33203125" style="1" bestFit="1" customWidth="1"/>
    <col min="29" max="29" width="19.6640625" style="1" bestFit="1" customWidth="1"/>
    <col min="30" max="16384" width="9.109375" style="1"/>
  </cols>
  <sheetData>
    <row r="1" spans="2:45" x14ac:dyDescent="0.3">
      <c r="B1" s="5" t="s">
        <v>15</v>
      </c>
      <c r="F1" s="6" t="s">
        <v>24</v>
      </c>
      <c r="O1" s="1" t="s">
        <v>57</v>
      </c>
      <c r="P1" s="1" t="s">
        <v>58</v>
      </c>
      <c r="Q1" s="1" t="s">
        <v>57</v>
      </c>
      <c r="R1" s="1" t="s">
        <v>58</v>
      </c>
      <c r="S1" s="1" t="s">
        <v>57</v>
      </c>
      <c r="T1" s="1" t="s">
        <v>58</v>
      </c>
      <c r="U1" s="1" t="s">
        <v>57</v>
      </c>
      <c r="V1" s="1" t="s">
        <v>58</v>
      </c>
      <c r="W1" s="1" t="s">
        <v>57</v>
      </c>
      <c r="X1" s="1" t="s">
        <v>58</v>
      </c>
      <c r="Y1" s="1" t="s">
        <v>57</v>
      </c>
      <c r="Z1" s="1" t="s">
        <v>58</v>
      </c>
      <c r="AA1" s="1" t="s">
        <v>57</v>
      </c>
      <c r="AB1" s="1" t="s">
        <v>58</v>
      </c>
    </row>
    <row r="2" spans="2:45" x14ac:dyDescent="0.3">
      <c r="B2" s="1" t="s">
        <v>7</v>
      </c>
      <c r="C2" s="1">
        <v>11.67</v>
      </c>
      <c r="D2" s="1" t="s">
        <v>8</v>
      </c>
      <c r="F2" s="2" t="s">
        <v>0</v>
      </c>
      <c r="G2" s="3" t="s">
        <v>2</v>
      </c>
      <c r="H2" s="4" t="s">
        <v>1</v>
      </c>
      <c r="I2" s="2" t="s">
        <v>3</v>
      </c>
      <c r="K2" s="1" t="s">
        <v>48</v>
      </c>
      <c r="L2" s="1" t="s">
        <v>49</v>
      </c>
      <c r="M2" s="1" t="s">
        <v>50</v>
      </c>
      <c r="N2" s="1" t="s">
        <v>51</v>
      </c>
      <c r="O2" s="1" t="s">
        <v>56</v>
      </c>
      <c r="P2" s="1" t="s">
        <v>56</v>
      </c>
      <c r="Q2" s="1" t="s">
        <v>54</v>
      </c>
      <c r="R2" s="1" t="s">
        <v>54</v>
      </c>
      <c r="S2" s="1" t="s">
        <v>55</v>
      </c>
      <c r="T2" s="1" t="s">
        <v>55</v>
      </c>
      <c r="U2" s="1" t="s">
        <v>5</v>
      </c>
      <c r="V2" s="1" t="s">
        <v>5</v>
      </c>
      <c r="W2" s="1" t="s">
        <v>60</v>
      </c>
      <c r="X2" s="1" t="s">
        <v>38</v>
      </c>
      <c r="Y2" s="1" t="s">
        <v>61</v>
      </c>
      <c r="Z2" s="1" t="s">
        <v>61</v>
      </c>
      <c r="AA2" s="1" t="s">
        <v>39</v>
      </c>
      <c r="AB2" s="1" t="s">
        <v>39</v>
      </c>
      <c r="AF2" s="2" t="s">
        <v>4</v>
      </c>
      <c r="AG2" s="1" t="s">
        <v>5</v>
      </c>
      <c r="AH2" s="1" t="s">
        <v>52</v>
      </c>
      <c r="AI2" s="1" t="s">
        <v>53</v>
      </c>
      <c r="AL2" s="1" t="s">
        <v>5</v>
      </c>
      <c r="AM2" s="1" t="s">
        <v>32</v>
      </c>
      <c r="AN2" s="1" t="s">
        <v>34</v>
      </c>
      <c r="AO2" s="1" t="s">
        <v>46</v>
      </c>
      <c r="AP2" s="1" t="s">
        <v>47</v>
      </c>
      <c r="AQ2" s="1" t="s">
        <v>33</v>
      </c>
      <c r="AR2" s="1" t="s">
        <v>38</v>
      </c>
      <c r="AS2" s="1" t="s">
        <v>39</v>
      </c>
    </row>
    <row r="3" spans="2:45" x14ac:dyDescent="0.3">
      <c r="B3" s="1" t="s">
        <v>10</v>
      </c>
      <c r="C3" s="1">
        <v>0.54</v>
      </c>
      <c r="D3" s="1" t="s">
        <v>11</v>
      </c>
      <c r="E3" s="1" t="e">
        <f>H3/G3</f>
        <v>#DIV/0!</v>
      </c>
      <c r="F3" s="2">
        <v>1000000000000</v>
      </c>
      <c r="G3" s="3">
        <v>0</v>
      </c>
      <c r="H3" s="4">
        <v>3.15</v>
      </c>
      <c r="I3" s="2">
        <v>126</v>
      </c>
      <c r="J3" s="2">
        <f>H3/C$12 *1000</f>
        <v>136.32268121827138</v>
      </c>
      <c r="K3" s="4">
        <f>C$12 / 1000 *I3*2*PI() / 6</f>
        <v>3.048888888888889</v>
      </c>
      <c r="L3" s="4">
        <f>F3/(F3+C$10) *K3</f>
        <v>3.0488888888211361</v>
      </c>
      <c r="M3" s="4">
        <f>H3</f>
        <v>3.15</v>
      </c>
      <c r="N3" s="4">
        <f>ABS(L3-M3)</f>
        <v>0.10111111117886384</v>
      </c>
      <c r="O3" s="7">
        <f>K3/(F3+C$10)</f>
        <v>3.048888888821136E-12</v>
      </c>
      <c r="P3" s="3">
        <f>F3/(F3+C$10)*H3/(F3+C$10)</f>
        <v>3.1499999998600006E-12</v>
      </c>
      <c r="Q3" s="4">
        <f t="shared" ref="Q3:Q14" si="0">O3*C$11</f>
        <v>7.2613333331719705E-11</v>
      </c>
      <c r="R3" s="4">
        <f>P3*C$11</f>
        <v>7.5021428568094294E-11</v>
      </c>
      <c r="S3" s="4">
        <f>Q3+$C$13</f>
        <v>1.1908163266032255</v>
      </c>
      <c r="T3" s="4">
        <f>R3+$C$13</f>
        <v>1.1908163266056335</v>
      </c>
      <c r="U3" s="4">
        <f>O3*K3 * 1000</f>
        <v>9.2957234565835533E-9</v>
      </c>
      <c r="V3" s="4">
        <f>P3*M3 * 1000</f>
        <v>9.9224999995590019E-9</v>
      </c>
      <c r="W3" s="4">
        <f>S3 / 1000 / (0.5*C$17 *C$16^2/4 * C$18^2)</f>
        <v>5.685010104757935E-2</v>
      </c>
      <c r="X3" s="4">
        <f>T3 / 1000 / (0.5*C$17 *C$16^2/4 * C$18^2)</f>
        <v>5.6850101047694307E-2</v>
      </c>
      <c r="Y3" s="4">
        <f>U3/ (0.5*C$17 *C$16^2/4 * C$18^3) / 1000</f>
        <v>1.4792732403005029E-10</v>
      </c>
      <c r="Z3" s="4">
        <f>V3/ (0.5*C$17 *C$16^2/4 * C$18^3) / 1000</f>
        <v>1.5790152100355192E-10</v>
      </c>
      <c r="AA3" s="4">
        <f t="shared" ref="AA3:AA24" si="1">C$16/2*(I3 * 2 * PI()) / C$18</f>
        <v>15.833626974092558</v>
      </c>
      <c r="AB3" s="4">
        <f>C$16/2*(J3 *2* PI()) / C$18</f>
        <v>17.130813353319386</v>
      </c>
      <c r="AF3" s="2">
        <f t="shared" ref="AF3:AF23" si="2">I3*60/$C$5</f>
        <v>1260</v>
      </c>
      <c r="AG3" s="4">
        <f t="shared" ref="AG3:AG19" si="3">O3*K3 * 1000</f>
        <v>9.2957234565835533E-9</v>
      </c>
      <c r="AH3" s="4">
        <f t="shared" ref="AH3:AH19" si="4">C$11*O3</f>
        <v>7.2613333331719705E-11</v>
      </c>
      <c r="AL3" s="1">
        <f t="shared" ref="AL3:AL19" si="5">G3*H3*1000</f>
        <v>0</v>
      </c>
      <c r="AM3" s="1">
        <f t="shared" ref="AM3:AM19" si="6">(H3 + C$10*G3)  /(AF3 * PI() / 30) * 1000</f>
        <v>23.8732414637843</v>
      </c>
      <c r="AN3" s="1">
        <f t="shared" ref="AN3:AN23" si="7">G3 *AM$25</f>
        <v>0</v>
      </c>
      <c r="AO3" s="1">
        <f t="shared" ref="AO3:AO19" si="8">C$25*AF3+C$23</f>
        <v>0.90507538605439031</v>
      </c>
      <c r="AP3" s="1">
        <f>AN3+AO3</f>
        <v>0.90507538605439031</v>
      </c>
      <c r="AQ3" s="1">
        <f t="shared" ref="AQ3:AQ23" si="9">AP3 / (0.5*C$17 *C$16^2/4) / 1000</f>
        <v>0.38887831316249483</v>
      </c>
      <c r="AR3" s="1">
        <f t="shared" ref="AR3:AR23" si="10">AQ3/C$18</f>
        <v>0.12962610438749828</v>
      </c>
      <c r="AS3" s="1">
        <f t="shared" ref="AS3:AS23" si="11">C$16 / 2 *AF3/30*PI() / C$18</f>
        <v>2.638937829015426</v>
      </c>
    </row>
    <row r="4" spans="2:45" x14ac:dyDescent="0.3">
      <c r="B4" s="1" t="s">
        <v>12</v>
      </c>
      <c r="C4" s="1">
        <v>0.05</v>
      </c>
      <c r="D4" s="1" t="s">
        <v>11</v>
      </c>
      <c r="E4" s="1">
        <f t="shared" ref="E4:E18" si="12">H4/G4</f>
        <v>1032142.8571428573</v>
      </c>
      <c r="F4" s="2">
        <v>1002800</v>
      </c>
      <c r="G4" s="3">
        <v>2.7999999999999999E-6</v>
      </c>
      <c r="H4" s="4">
        <v>2.89</v>
      </c>
      <c r="I4" s="2">
        <v>123</v>
      </c>
      <c r="J4" s="2">
        <f t="shared" ref="J4:J23" si="13">H4/C$12 *1000</f>
        <v>125.07065038755694</v>
      </c>
      <c r="K4" s="4">
        <f t="shared" ref="K4:K23" si="14">C$12 / 1000 *I4*2*PI() / 6</f>
        <v>2.976296296296296</v>
      </c>
      <c r="L4" s="4">
        <f t="shared" ref="L4:L23" si="15">F4/(F4+C$10) *K4</f>
        <v>2.9762303425148282</v>
      </c>
      <c r="M4" s="4">
        <f t="shared" ref="M4:M23" si="16">H4</f>
        <v>2.89</v>
      </c>
      <c r="N4" s="4">
        <f t="shared" ref="N4:N19" si="17">ABS(L4-M4)</f>
        <v>8.6230342514828084E-2</v>
      </c>
      <c r="O4" s="7">
        <f>K4/(F4+C$10)</f>
        <v>2.9679201660498886E-6</v>
      </c>
      <c r="P4" s="3">
        <f t="shared" ref="P4:P22" si="18">F4/(F4+C$10)*H4/(F4+C$10)</f>
        <v>2.881802870416122E-6</v>
      </c>
      <c r="Q4" s="4">
        <f t="shared" si="0"/>
        <v>7.0684955791433063E-5</v>
      </c>
      <c r="R4" s="4">
        <f t="shared" ref="R4:R24" si="19">P4*C$11</f>
        <v>6.8633958158686011E-5</v>
      </c>
      <c r="S4" s="4">
        <f t="shared" ref="S4:S19" si="20">Q4+$C$13</f>
        <v>1.1908870114864036</v>
      </c>
      <c r="T4" s="4">
        <f t="shared" ref="T4:T19" si="21">R4+$C$13</f>
        <v>1.1908849604887708</v>
      </c>
      <c r="U4" s="4">
        <f t="shared" ref="U4:U24" si="22">O4*K4 * 1000</f>
        <v>8.8334097979173715E-3</v>
      </c>
      <c r="V4" s="4">
        <f t="shared" ref="V4:V24" si="23">P4*M4 * 1000</f>
        <v>8.3284102955025925E-3</v>
      </c>
      <c r="W4" s="4">
        <f t="shared" ref="W4:W24" si="24">S4 / 1000 / (0.5*C$17 *C$16^2/4 * C$18^2)</f>
        <v>5.6853475575339374E-2</v>
      </c>
      <c r="X4" s="4">
        <f t="shared" ref="X4:X24" si="25">T4 / 1000 / (0.5*C$17 *C$16^2/4 * C$18^2)</f>
        <v>5.6853377659800204E-2</v>
      </c>
      <c r="Y4" s="4">
        <f t="shared" ref="Y4:Y24" si="26">U4/ (0.5*C$17 *C$16^2/4 * C$18^3) / 1000</f>
        <v>1.4057030413714512E-4</v>
      </c>
      <c r="Z4" s="4">
        <f t="shared" ref="Z4:Z24" si="27">V4/ (0.5*C$17 *C$16^2/4 * C$18^3) / 1000</f>
        <v>1.3253400385587784E-4</v>
      </c>
      <c r="AA4" s="4">
        <f t="shared" si="1"/>
        <v>15.456635855661782</v>
      </c>
      <c r="AB4" s="4">
        <f t="shared" ref="AB4:AB24" si="28">C$16/2*(J4 *2* PI()) / C$18</f>
        <v>15.716841457489851</v>
      </c>
      <c r="AF4" s="2">
        <f t="shared" si="2"/>
        <v>1230</v>
      </c>
      <c r="AG4" s="4">
        <f t="shared" si="3"/>
        <v>8.8334097979173715E-3</v>
      </c>
      <c r="AH4" s="4">
        <f t="shared" si="4"/>
        <v>7.0684955791433063E-5</v>
      </c>
      <c r="AL4" s="1">
        <f t="shared" si="5"/>
        <v>8.0920000000000002E-3</v>
      </c>
      <c r="AM4" s="1">
        <f t="shared" si="6"/>
        <v>22.437448219990948</v>
      </c>
      <c r="AN4" s="1">
        <f t="shared" si="7"/>
        <v>6.5406068651663649E-5</v>
      </c>
      <c r="AO4" s="1">
        <f t="shared" si="8"/>
        <v>0.90275805634844275</v>
      </c>
      <c r="AP4" s="1">
        <f t="shared" ref="AP4:AP23" si="29">AN4+AO4</f>
        <v>0.90282346241709444</v>
      </c>
      <c r="AQ4" s="1">
        <f t="shared" si="9"/>
        <v>0.38791074263860725</v>
      </c>
      <c r="AR4" s="1">
        <f t="shared" si="10"/>
        <v>0.12930358087953575</v>
      </c>
      <c r="AS4" s="1">
        <f t="shared" si="11"/>
        <v>2.5761059759436304</v>
      </c>
    </row>
    <row r="5" spans="2:45" x14ac:dyDescent="0.3">
      <c r="B5" s="1" t="s">
        <v>9</v>
      </c>
      <c r="C5" s="1">
        <v>6</v>
      </c>
      <c r="E5" s="1">
        <f t="shared" si="12"/>
        <v>356382.97872340429</v>
      </c>
      <c r="F5" s="2">
        <v>332800</v>
      </c>
      <c r="G5" s="3">
        <v>9.3999999999999998E-6</v>
      </c>
      <c r="H5" s="4">
        <v>3.35</v>
      </c>
      <c r="I5" s="2">
        <v>132</v>
      </c>
      <c r="J5" s="2">
        <f t="shared" si="13"/>
        <v>144.97808954959021</v>
      </c>
      <c r="K5" s="4">
        <f t="shared" si="14"/>
        <v>3.1940740740740741</v>
      </c>
      <c r="L5" s="4">
        <f t="shared" si="15"/>
        <v>3.1938608087957086</v>
      </c>
      <c r="M5" s="4">
        <f t="shared" si="16"/>
        <v>3.35</v>
      </c>
      <c r="N5" s="4">
        <f t="shared" si="17"/>
        <v>0.15613919120429154</v>
      </c>
      <c r="O5" s="7">
        <f t="shared" ref="O5:O23" si="30">K5/(F5+C$10)</f>
        <v>9.5969375264294139E-6</v>
      </c>
      <c r="P5" s="3">
        <f t="shared" si="18"/>
        <v>1.0064761605550846E-5</v>
      </c>
      <c r="Q5" s="4">
        <f t="shared" si="0"/>
        <v>2.2856379782332909E-4</v>
      </c>
      <c r="R5" s="4">
        <f t="shared" si="19"/>
        <v>2.3970564885056811E-4</v>
      </c>
      <c r="S5" s="4">
        <f t="shared" si="20"/>
        <v>1.1910448903284356</v>
      </c>
      <c r="T5" s="4">
        <f t="shared" si="21"/>
        <v>1.1910560321794628</v>
      </c>
      <c r="U5" s="4">
        <f t="shared" si="22"/>
        <v>3.0653329343676768E-2</v>
      </c>
      <c r="V5" s="4">
        <f t="shared" si="23"/>
        <v>3.3716951378595338E-2</v>
      </c>
      <c r="W5" s="4">
        <f t="shared" si="24"/>
        <v>5.6861012781474589E-2</v>
      </c>
      <c r="X5" s="4">
        <f t="shared" si="25"/>
        <v>5.6861544698397957E-2</v>
      </c>
      <c r="Y5" s="4">
        <f t="shared" si="26"/>
        <v>4.8780119197828077E-4</v>
      </c>
      <c r="Z5" s="4">
        <f t="shared" si="27"/>
        <v>5.3655408480923446E-4</v>
      </c>
      <c r="AA5" s="4">
        <f t="shared" si="1"/>
        <v>16.58760921095411</v>
      </c>
      <c r="AB5" s="4">
        <f t="shared" si="28"/>
        <v>18.218484042419028</v>
      </c>
      <c r="AF5" s="2">
        <f t="shared" si="2"/>
        <v>1320</v>
      </c>
      <c r="AG5" s="4">
        <f t="shared" si="3"/>
        <v>3.0653329343676768E-2</v>
      </c>
      <c r="AH5" s="4">
        <f t="shared" si="4"/>
        <v>2.2856379782332909E-4</v>
      </c>
      <c r="AL5" s="1">
        <f t="shared" si="5"/>
        <v>3.1489999999999997E-2</v>
      </c>
      <c r="AM5" s="1">
        <f t="shared" si="6"/>
        <v>24.236468411685141</v>
      </c>
      <c r="AN5" s="1">
        <f t="shared" si="7"/>
        <v>2.1957751618772799E-4</v>
      </c>
      <c r="AO5" s="1">
        <f t="shared" si="8"/>
        <v>0.90971004546628531</v>
      </c>
      <c r="AP5" s="1">
        <f t="shared" si="29"/>
        <v>0.90992962298247304</v>
      </c>
      <c r="AQ5" s="1">
        <f t="shared" si="9"/>
        <v>0.39096400403131093</v>
      </c>
      <c r="AR5" s="1">
        <f t="shared" si="10"/>
        <v>0.13032133467710363</v>
      </c>
      <c r="AS5" s="1">
        <f t="shared" si="11"/>
        <v>2.7646015351590183</v>
      </c>
    </row>
    <row r="6" spans="2:45" x14ac:dyDescent="0.3">
      <c r="B6" s="1" t="s">
        <v>13</v>
      </c>
      <c r="C6" s="1">
        <v>4500</v>
      </c>
      <c r="D6" s="1" t="s">
        <v>14</v>
      </c>
      <c r="E6" s="1">
        <f t="shared" si="12"/>
        <v>103333.33333333333</v>
      </c>
      <c r="F6" s="2">
        <v>102800</v>
      </c>
      <c r="G6" s="3">
        <v>3.3000000000000003E-5</v>
      </c>
      <c r="H6" s="4">
        <v>3.41</v>
      </c>
      <c r="I6" s="2">
        <v>141</v>
      </c>
      <c r="J6" s="2">
        <f t="shared" si="13"/>
        <v>147.57471204898587</v>
      </c>
      <c r="K6" s="4">
        <f t="shared" si="14"/>
        <v>3.4118518518518517</v>
      </c>
      <c r="L6" s="4">
        <f t="shared" si="15"/>
        <v>3.4111144730206759</v>
      </c>
      <c r="M6" s="4">
        <f t="shared" si="16"/>
        <v>3.41</v>
      </c>
      <c r="N6" s="4">
        <f t="shared" si="17"/>
        <v>1.1144730206757991E-3</v>
      </c>
      <c r="O6" s="7">
        <f t="shared" si="30"/>
        <v>3.3182047402924862E-5</v>
      </c>
      <c r="P6" s="3">
        <f t="shared" si="18"/>
        <v>3.3156869669943142E-5</v>
      </c>
      <c r="Q6" s="4">
        <f t="shared" si="0"/>
        <v>7.9027447590231256E-4</v>
      </c>
      <c r="R6" s="4">
        <f t="shared" si="19"/>
        <v>7.8967483479231923E-4</v>
      </c>
      <c r="S6" s="4">
        <f t="shared" si="20"/>
        <v>1.1916066010065145</v>
      </c>
      <c r="T6" s="4">
        <f t="shared" si="21"/>
        <v>1.1916060013654046</v>
      </c>
      <c r="U6" s="4">
        <f t="shared" si="22"/>
        <v>0.11321222987990512</v>
      </c>
      <c r="V6" s="4">
        <f t="shared" si="23"/>
        <v>0.11306492557450612</v>
      </c>
      <c r="W6" s="4">
        <f t="shared" si="24"/>
        <v>5.6887829099066894E-2</v>
      </c>
      <c r="X6" s="4">
        <f t="shared" si="25"/>
        <v>5.6887800471933613E-2</v>
      </c>
      <c r="Y6" s="4">
        <f t="shared" si="26"/>
        <v>1.8016007352013393E-3</v>
      </c>
      <c r="Z6" s="4">
        <f t="shared" si="27"/>
        <v>1.7992566108502276E-3</v>
      </c>
      <c r="AA6" s="4">
        <f t="shared" si="1"/>
        <v>17.718582566246432</v>
      </c>
      <c r="AB6" s="4">
        <f t="shared" si="28"/>
        <v>18.544785249148926</v>
      </c>
      <c r="AF6" s="2">
        <f t="shared" si="2"/>
        <v>1410</v>
      </c>
      <c r="AG6" s="4">
        <f t="shared" si="3"/>
        <v>0.11321222987990512</v>
      </c>
      <c r="AH6" s="4">
        <f t="shared" si="4"/>
        <v>7.9027447590231256E-4</v>
      </c>
      <c r="AL6" s="1">
        <f t="shared" si="5"/>
        <v>0.11253000000000001</v>
      </c>
      <c r="AM6" s="1">
        <f t="shared" si="6"/>
        <v>23.099364662480731</v>
      </c>
      <c r="AN6" s="1">
        <f t="shared" si="7"/>
        <v>7.7085723768032172E-4</v>
      </c>
      <c r="AO6" s="1">
        <f t="shared" si="8"/>
        <v>0.91666203458412787</v>
      </c>
      <c r="AP6" s="1">
        <f t="shared" si="29"/>
        <v>0.91743289182180821</v>
      </c>
      <c r="AQ6" s="1">
        <f t="shared" si="9"/>
        <v>0.39418788855452791</v>
      </c>
      <c r="AR6" s="1">
        <f t="shared" si="10"/>
        <v>0.13139596285150931</v>
      </c>
      <c r="AS6" s="1">
        <f t="shared" si="11"/>
        <v>2.9530970943744053</v>
      </c>
    </row>
    <row r="7" spans="2:45" x14ac:dyDescent="0.3">
      <c r="B7" s="1" t="s">
        <v>19</v>
      </c>
      <c r="C7" s="1">
        <v>12</v>
      </c>
      <c r="D7" s="1" t="s">
        <v>20</v>
      </c>
      <c r="E7" s="1">
        <f t="shared" si="12"/>
        <v>50757.575757575753</v>
      </c>
      <c r="F7" s="2">
        <v>49800</v>
      </c>
      <c r="G7" s="3">
        <v>6.6000000000000005E-5</v>
      </c>
      <c r="H7" s="4">
        <v>3.35</v>
      </c>
      <c r="I7" s="2">
        <v>135</v>
      </c>
      <c r="J7" s="2">
        <f t="shared" si="13"/>
        <v>144.97808954959021</v>
      </c>
      <c r="K7" s="4">
        <f t="shared" si="14"/>
        <v>3.2666666666666671</v>
      </c>
      <c r="L7" s="4">
        <f t="shared" si="15"/>
        <v>3.2652096342551298</v>
      </c>
      <c r="M7" s="4">
        <f t="shared" si="16"/>
        <v>3.35</v>
      </c>
      <c r="N7" s="4">
        <f t="shared" si="17"/>
        <v>8.4790365744870311E-2</v>
      </c>
      <c r="O7" s="7">
        <f t="shared" si="30"/>
        <v>6.5566458519179319E-5</v>
      </c>
      <c r="P7" s="3">
        <f t="shared" si="18"/>
        <v>6.720908159132163E-5</v>
      </c>
      <c r="Q7" s="4">
        <f t="shared" si="0"/>
        <v>1.5615521855486176E-3</v>
      </c>
      <c r="R7" s="4">
        <f t="shared" si="19"/>
        <v>1.6006734330014764E-3</v>
      </c>
      <c r="S7" s="4">
        <f t="shared" si="20"/>
        <v>1.1923778787161607</v>
      </c>
      <c r="T7" s="4">
        <f t="shared" si="21"/>
        <v>1.1924169999636136</v>
      </c>
      <c r="U7" s="4">
        <f t="shared" si="22"/>
        <v>0.21418376449598581</v>
      </c>
      <c r="V7" s="4">
        <f t="shared" si="23"/>
        <v>0.22515042333092747</v>
      </c>
      <c r="W7" s="4">
        <f t="shared" si="24"/>
        <v>5.6924650239951149E-2</v>
      </c>
      <c r="X7" s="4">
        <f t="shared" si="25"/>
        <v>5.6926517905703723E-2</v>
      </c>
      <c r="Y7" s="4">
        <f t="shared" si="26"/>
        <v>3.408409391754681E-3</v>
      </c>
      <c r="Z7" s="4">
        <f t="shared" si="27"/>
        <v>3.5829271151551637E-3</v>
      </c>
      <c r="AA7" s="4">
        <f t="shared" si="1"/>
        <v>16.964600329384883</v>
      </c>
      <c r="AB7" s="4">
        <f t="shared" si="28"/>
        <v>18.218484042419028</v>
      </c>
      <c r="AF7" s="2">
        <f t="shared" si="2"/>
        <v>1350</v>
      </c>
      <c r="AG7" s="4">
        <f t="shared" si="3"/>
        <v>0.21418376449598581</v>
      </c>
      <c r="AH7" s="4">
        <f t="shared" si="4"/>
        <v>1.5615521855486176E-3</v>
      </c>
      <c r="AL7" s="1">
        <f t="shared" si="5"/>
        <v>0.22110000000000005</v>
      </c>
      <c r="AM7" s="1">
        <f t="shared" si="6"/>
        <v>23.706777182565222</v>
      </c>
      <c r="AN7" s="1">
        <f t="shared" si="7"/>
        <v>1.5417144753606434E-3</v>
      </c>
      <c r="AO7" s="1">
        <f t="shared" si="8"/>
        <v>0.91202737517223287</v>
      </c>
      <c r="AP7" s="1">
        <f t="shared" si="29"/>
        <v>0.91356908964759354</v>
      </c>
      <c r="AQ7" s="1">
        <f t="shared" si="9"/>
        <v>0.39252775184652128</v>
      </c>
      <c r="AR7" s="1">
        <f t="shared" si="10"/>
        <v>0.13084258394884044</v>
      </c>
      <c r="AS7" s="1">
        <f t="shared" si="11"/>
        <v>2.8274333882308138</v>
      </c>
    </row>
    <row r="8" spans="2:45" x14ac:dyDescent="0.3">
      <c r="E8" s="1">
        <f t="shared" si="12"/>
        <v>23917.525773195874</v>
      </c>
      <c r="F8" s="2">
        <v>24800</v>
      </c>
      <c r="G8" s="3">
        <v>1.4550000000000001E-4</v>
      </c>
      <c r="H8" s="4">
        <v>3.48</v>
      </c>
      <c r="I8" s="2">
        <v>134</v>
      </c>
      <c r="J8" s="2">
        <f t="shared" si="13"/>
        <v>150.60410496494745</v>
      </c>
      <c r="K8" s="4">
        <f t="shared" si="14"/>
        <v>3.2424691358024691</v>
      </c>
      <c r="L8" s="4">
        <f t="shared" si="15"/>
        <v>3.2395662986173281</v>
      </c>
      <c r="M8" s="4">
        <f t="shared" si="16"/>
        <v>3.48</v>
      </c>
      <c r="N8" s="4">
        <f t="shared" si="17"/>
        <v>0.24043370138267184</v>
      </c>
      <c r="O8" s="7">
        <f t="shared" si="30"/>
        <v>1.3062767333134388E-4</v>
      </c>
      <c r="P8" s="3">
        <f t="shared" si="18"/>
        <v>1.4007144408582586E-4</v>
      </c>
      <c r="Q8" s="4">
        <f t="shared" si="0"/>
        <v>3.1110713219934349E-3</v>
      </c>
      <c r="R8" s="4">
        <f t="shared" si="19"/>
        <v>3.3359872499624239E-3</v>
      </c>
      <c r="S8" s="4">
        <f t="shared" si="20"/>
        <v>1.1939273978526057</v>
      </c>
      <c r="T8" s="4">
        <f t="shared" si="21"/>
        <v>1.1941523137805745</v>
      </c>
      <c r="U8" s="4">
        <f t="shared" si="22"/>
        <v>0.42355619905856984</v>
      </c>
      <c r="V8" s="4">
        <f t="shared" si="23"/>
        <v>0.48744862541867401</v>
      </c>
      <c r="W8" s="4">
        <f t="shared" si="24"/>
        <v>5.6998624972673641E-2</v>
      </c>
      <c r="X8" s="4">
        <f t="shared" si="25"/>
        <v>5.7009362559106228E-2</v>
      </c>
      <c r="Y8" s="4">
        <f t="shared" si="26"/>
        <v>6.7402537732228589E-3</v>
      </c>
      <c r="Z8" s="4">
        <f t="shared" si="27"/>
        <v>7.7570047234185018E-3</v>
      </c>
      <c r="AA8" s="4">
        <f t="shared" si="1"/>
        <v>16.838936623241292</v>
      </c>
      <c r="AB8" s="4">
        <f t="shared" si="28"/>
        <v>18.925469990333799</v>
      </c>
      <c r="AF8" s="2">
        <f t="shared" si="2"/>
        <v>1340</v>
      </c>
      <c r="AG8" s="4">
        <f t="shared" si="3"/>
        <v>0.42355619905856984</v>
      </c>
      <c r="AH8" s="4">
        <f t="shared" si="4"/>
        <v>3.1110713219934349E-3</v>
      </c>
      <c r="AL8" s="1">
        <f t="shared" si="5"/>
        <v>0.50634000000000012</v>
      </c>
      <c r="AM8" s="1">
        <f t="shared" si="6"/>
        <v>24.822707594438487</v>
      </c>
      <c r="AN8" s="1">
        <f t="shared" si="7"/>
        <v>3.3987796388632368E-3</v>
      </c>
      <c r="AO8" s="1">
        <f t="shared" si="8"/>
        <v>0.91125493193691698</v>
      </c>
      <c r="AP8" s="1">
        <f t="shared" si="29"/>
        <v>0.91465371157578024</v>
      </c>
      <c r="AQ8" s="1">
        <f t="shared" si="9"/>
        <v>0.39299377484565623</v>
      </c>
      <c r="AR8" s="1">
        <f t="shared" si="10"/>
        <v>0.13099792494855209</v>
      </c>
      <c r="AS8" s="1">
        <f t="shared" si="11"/>
        <v>2.8064894372068814</v>
      </c>
    </row>
    <row r="9" spans="2:45" x14ac:dyDescent="0.3">
      <c r="B9" s="5" t="s">
        <v>16</v>
      </c>
      <c r="E9" s="1">
        <f t="shared" si="12"/>
        <v>10833.333333333334</v>
      </c>
      <c r="F9" s="2">
        <v>10000</v>
      </c>
      <c r="G9" s="3">
        <v>2.9999999999999997E-4</v>
      </c>
      <c r="H9" s="4">
        <v>3.25</v>
      </c>
      <c r="I9" s="2">
        <v>136</v>
      </c>
      <c r="J9" s="2">
        <f t="shared" si="13"/>
        <v>140.6503853839308</v>
      </c>
      <c r="K9" s="4">
        <f t="shared" si="14"/>
        <v>3.2908641975308637</v>
      </c>
      <c r="L9" s="4">
        <f t="shared" si="15"/>
        <v>3.2835673811283561</v>
      </c>
      <c r="M9" s="4">
        <f t="shared" si="16"/>
        <v>3.25</v>
      </c>
      <c r="N9" s="4">
        <f t="shared" si="17"/>
        <v>3.3567381128356111E-2</v>
      </c>
      <c r="O9" s="7">
        <f t="shared" si="30"/>
        <v>3.2835673811283563E-4</v>
      </c>
      <c r="P9" s="3">
        <f t="shared" si="18"/>
        <v>3.2356035614377509E-4</v>
      </c>
      <c r="Q9" s="4">
        <f t="shared" si="0"/>
        <v>7.8202512934220231E-3</v>
      </c>
      <c r="R9" s="4">
        <f t="shared" si="19"/>
        <v>7.7060190942813368E-3</v>
      </c>
      <c r="S9" s="4">
        <f t="shared" si="20"/>
        <v>1.1986365778240342</v>
      </c>
      <c r="T9" s="4">
        <f t="shared" si="21"/>
        <v>1.1985223456248935</v>
      </c>
      <c r="U9" s="4">
        <f t="shared" si="22"/>
        <v>1.0805774334735487</v>
      </c>
      <c r="V9" s="4">
        <f t="shared" si="23"/>
        <v>1.051571157467269</v>
      </c>
      <c r="W9" s="4">
        <f t="shared" si="24"/>
        <v>5.722344331891735E-2</v>
      </c>
      <c r="X9" s="4">
        <f t="shared" si="25"/>
        <v>5.7217989822925613E-2</v>
      </c>
      <c r="Y9" s="4">
        <f t="shared" si="26"/>
        <v>1.7195749086940899E-2</v>
      </c>
      <c r="Z9" s="4">
        <f t="shared" si="27"/>
        <v>1.6734158247914046E-2</v>
      </c>
      <c r="AA9" s="4">
        <f t="shared" si="1"/>
        <v>17.090264035528474</v>
      </c>
      <c r="AB9" s="4">
        <f t="shared" si="28"/>
        <v>17.674648697869209</v>
      </c>
      <c r="AF9" s="2">
        <f t="shared" si="2"/>
        <v>1360</v>
      </c>
      <c r="AG9" s="4">
        <f t="shared" si="3"/>
        <v>1.0805774334735487</v>
      </c>
      <c r="AH9" s="4">
        <f t="shared" si="4"/>
        <v>7.8202512934220231E-3</v>
      </c>
      <c r="AL9" s="1">
        <f t="shared" si="5"/>
        <v>0.97499999999999998</v>
      </c>
      <c r="AM9" s="1">
        <f t="shared" si="6"/>
        <v>22.866820500114962</v>
      </c>
      <c r="AN9" s="1">
        <f t="shared" si="7"/>
        <v>7.0077930698211055E-3</v>
      </c>
      <c r="AO9" s="1">
        <f t="shared" si="8"/>
        <v>0.91279981840754865</v>
      </c>
      <c r="AP9" s="1">
        <f t="shared" si="29"/>
        <v>0.91980761147736978</v>
      </c>
      <c r="AQ9" s="1">
        <f t="shared" si="9"/>
        <v>0.39520822010714524</v>
      </c>
      <c r="AR9" s="1">
        <f t="shared" si="10"/>
        <v>0.13173607336904841</v>
      </c>
      <c r="AS9" s="1">
        <f t="shared" si="11"/>
        <v>2.8483773392547458</v>
      </c>
    </row>
    <row r="10" spans="2:45" x14ac:dyDescent="0.3">
      <c r="B10" s="1" t="s">
        <v>17</v>
      </c>
      <c r="C10" s="1">
        <f>C7/C3</f>
        <v>22.222222222222221</v>
      </c>
      <c r="D10" s="1" t="s">
        <v>18</v>
      </c>
      <c r="E10" s="1">
        <f t="shared" si="12"/>
        <v>4477.6119402985078</v>
      </c>
      <c r="F10" s="2">
        <v>4700</v>
      </c>
      <c r="G10" s="3">
        <v>6.7000000000000002E-4</v>
      </c>
      <c r="H10" s="4">
        <v>3</v>
      </c>
      <c r="I10" s="2">
        <v>126</v>
      </c>
      <c r="J10" s="2">
        <f t="shared" si="13"/>
        <v>129.83112496978228</v>
      </c>
      <c r="K10" s="4">
        <f t="shared" si="14"/>
        <v>3.048888888888889</v>
      </c>
      <c r="L10" s="4">
        <f t="shared" si="15"/>
        <v>3.0345411764705883</v>
      </c>
      <c r="M10" s="4">
        <f t="shared" si="16"/>
        <v>3</v>
      </c>
      <c r="N10" s="4">
        <f t="shared" si="17"/>
        <v>3.4541176470588297E-2</v>
      </c>
      <c r="O10" s="7">
        <f t="shared" si="30"/>
        <v>6.4564705882352933E-4</v>
      </c>
      <c r="P10" s="3">
        <f t="shared" si="18"/>
        <v>6.3230449826989614E-4</v>
      </c>
      <c r="Q10" s="4">
        <f t="shared" si="0"/>
        <v>1.5376941176470586E-2</v>
      </c>
      <c r="R10" s="4">
        <f t="shared" si="19"/>
        <v>1.5059170397570791E-2</v>
      </c>
      <c r="S10" s="4">
        <f t="shared" si="20"/>
        <v>1.2061932677070828</v>
      </c>
      <c r="T10" s="4">
        <f t="shared" si="21"/>
        <v>1.2058754969281831</v>
      </c>
      <c r="U10" s="4">
        <f t="shared" si="22"/>
        <v>1.9685061437908495</v>
      </c>
      <c r="V10" s="4">
        <f t="shared" si="23"/>
        <v>1.8969134948096886</v>
      </c>
      <c r="W10" s="4">
        <f t="shared" si="24"/>
        <v>5.7584203054771792E-2</v>
      </c>
      <c r="X10" s="4">
        <f t="shared" si="25"/>
        <v>5.7569032536458564E-2</v>
      </c>
      <c r="Y10" s="4">
        <f t="shared" si="26"/>
        <v>3.132578626588324E-2</v>
      </c>
      <c r="Z10" s="4">
        <f t="shared" si="27"/>
        <v>3.0186497964819887E-2</v>
      </c>
      <c r="AA10" s="4">
        <f t="shared" si="1"/>
        <v>15.833626974092558</v>
      </c>
      <c r="AB10" s="4">
        <f t="shared" si="28"/>
        <v>16.315060336494653</v>
      </c>
      <c r="AF10" s="2">
        <f t="shared" si="2"/>
        <v>1260</v>
      </c>
      <c r="AG10" s="4">
        <f t="shared" si="3"/>
        <v>1.9685061437908495</v>
      </c>
      <c r="AH10" s="4">
        <f t="shared" si="4"/>
        <v>1.5376941176470586E-2</v>
      </c>
      <c r="AL10" s="1">
        <f t="shared" si="5"/>
        <v>2.0100000000000002</v>
      </c>
      <c r="AM10" s="1">
        <f t="shared" si="6"/>
        <v>22.849260454261838</v>
      </c>
      <c r="AN10" s="1">
        <f t="shared" si="7"/>
        <v>1.5650737855933804E-2</v>
      </c>
      <c r="AO10" s="1">
        <f t="shared" si="8"/>
        <v>0.90507538605439031</v>
      </c>
      <c r="AP10" s="1">
        <f t="shared" si="29"/>
        <v>0.92072612391032416</v>
      </c>
      <c r="AQ10" s="1">
        <f t="shared" si="9"/>
        <v>0.39560287183566389</v>
      </c>
      <c r="AR10" s="1">
        <f t="shared" si="10"/>
        <v>0.13186762394522131</v>
      </c>
      <c r="AS10" s="1">
        <f t="shared" si="11"/>
        <v>2.638937829015426</v>
      </c>
    </row>
    <row r="11" spans="2:45" x14ac:dyDescent="0.3">
      <c r="B11" s="1" t="s">
        <v>6</v>
      </c>
      <c r="C11" s="1">
        <f>C2/(C3-C4)</f>
        <v>23.816326530612244</v>
      </c>
      <c r="D11" s="1" t="s">
        <v>21</v>
      </c>
      <c r="E11" s="1">
        <f t="shared" si="12"/>
        <v>3375</v>
      </c>
      <c r="F11" s="2">
        <v>3300</v>
      </c>
      <c r="G11" s="3">
        <v>8.8000000000000003E-4</v>
      </c>
      <c r="H11" s="4">
        <v>2.97</v>
      </c>
      <c r="I11" s="2">
        <v>126</v>
      </c>
      <c r="J11" s="2">
        <f t="shared" si="13"/>
        <v>128.53281372008445</v>
      </c>
      <c r="K11" s="4">
        <f t="shared" si="14"/>
        <v>3.048888888888889</v>
      </c>
      <c r="L11" s="4">
        <f t="shared" si="15"/>
        <v>3.028494983277592</v>
      </c>
      <c r="M11" s="4">
        <f t="shared" si="16"/>
        <v>2.97</v>
      </c>
      <c r="N11" s="4">
        <f t="shared" si="17"/>
        <v>5.8494983277591839E-2</v>
      </c>
      <c r="O11" s="7">
        <f t="shared" si="30"/>
        <v>9.1772575250836127E-4</v>
      </c>
      <c r="P11" s="3">
        <f t="shared" si="18"/>
        <v>8.8800013422668652E-4</v>
      </c>
      <c r="Q11" s="4">
        <f t="shared" si="0"/>
        <v>2.1856856187290972E-2</v>
      </c>
      <c r="R11" s="4">
        <f t="shared" si="19"/>
        <v>2.1148901155970269E-2</v>
      </c>
      <c r="S11" s="4">
        <f t="shared" si="20"/>
        <v>1.2126731827179031</v>
      </c>
      <c r="T11" s="4">
        <f t="shared" si="21"/>
        <v>1.2119652276865824</v>
      </c>
      <c r="U11" s="4">
        <f t="shared" si="22"/>
        <v>2.7980438498699369</v>
      </c>
      <c r="V11" s="4">
        <f t="shared" si="23"/>
        <v>2.6373603986532594</v>
      </c>
      <c r="W11" s="4">
        <f t="shared" si="24"/>
        <v>5.789355707933045E-2</v>
      </c>
      <c r="X11" s="4">
        <f t="shared" si="25"/>
        <v>5.7859758991272207E-2</v>
      </c>
      <c r="Y11" s="4">
        <f t="shared" si="26"/>
        <v>4.4526619274248752E-2</v>
      </c>
      <c r="Z11" s="4">
        <f t="shared" si="27"/>
        <v>4.1969586132566614E-2</v>
      </c>
      <c r="AA11" s="4">
        <f t="shared" si="1"/>
        <v>15.833626974092558</v>
      </c>
      <c r="AB11" s="4">
        <f t="shared" si="28"/>
        <v>16.151909733129706</v>
      </c>
      <c r="AF11" s="2">
        <f t="shared" si="2"/>
        <v>1260</v>
      </c>
      <c r="AG11" s="4">
        <f t="shared" si="3"/>
        <v>2.7980438498699369</v>
      </c>
      <c r="AH11" s="4">
        <f t="shared" si="4"/>
        <v>2.1856856187290972E-2</v>
      </c>
      <c r="AL11" s="1">
        <f t="shared" si="5"/>
        <v>2.6136000000000004</v>
      </c>
      <c r="AM11" s="1">
        <f t="shared" si="6"/>
        <v>22.657264014976384</v>
      </c>
      <c r="AN11" s="1">
        <f t="shared" si="7"/>
        <v>2.0556193004808578E-2</v>
      </c>
      <c r="AO11" s="1">
        <f t="shared" si="8"/>
        <v>0.90507538605439031</v>
      </c>
      <c r="AP11" s="1">
        <f t="shared" si="29"/>
        <v>0.92563157905919891</v>
      </c>
      <c r="AQ11" s="1">
        <f t="shared" si="9"/>
        <v>0.39771056933023929</v>
      </c>
      <c r="AR11" s="1">
        <f t="shared" si="10"/>
        <v>0.13257018977674642</v>
      </c>
      <c r="AS11" s="1">
        <f t="shared" si="11"/>
        <v>2.638937829015426</v>
      </c>
    </row>
    <row r="12" spans="2:45" x14ac:dyDescent="0.3">
      <c r="B12" s="1" t="s">
        <v>22</v>
      </c>
      <c r="C12" s="1">
        <f>(C7-C10*C4)/(C6 * PI() / 30) * 1000</f>
        <v>23.106939885934434</v>
      </c>
      <c r="D12" s="1" t="s">
        <v>23</v>
      </c>
      <c r="E12" s="1">
        <f t="shared" si="12"/>
        <v>2288.8888888888887</v>
      </c>
      <c r="F12" s="2">
        <v>2200</v>
      </c>
      <c r="G12" s="3">
        <v>1.3500000000000001E-3</v>
      </c>
      <c r="H12" s="4">
        <v>3.09</v>
      </c>
      <c r="I12" s="2">
        <v>125</v>
      </c>
      <c r="J12" s="2">
        <f t="shared" si="13"/>
        <v>133.72605871887575</v>
      </c>
      <c r="K12" s="4">
        <f t="shared" si="14"/>
        <v>3.0246913580246915</v>
      </c>
      <c r="L12" s="4">
        <f t="shared" si="15"/>
        <v>2.9944444444444445</v>
      </c>
      <c r="M12" s="4">
        <f t="shared" si="16"/>
        <v>3.09</v>
      </c>
      <c r="N12" s="4">
        <f t="shared" si="17"/>
        <v>9.5555555555555394E-2</v>
      </c>
      <c r="O12" s="7">
        <f t="shared" si="30"/>
        <v>1.3611111111111111E-3</v>
      </c>
      <c r="P12" s="3">
        <f t="shared" si="18"/>
        <v>1.376595E-3</v>
      </c>
      <c r="Q12" s="4">
        <f t="shared" si="0"/>
        <v>3.2416666666666663E-2</v>
      </c>
      <c r="R12" s="4">
        <f t="shared" si="19"/>
        <v>3.2785436020408162E-2</v>
      </c>
      <c r="S12" s="4">
        <f t="shared" si="20"/>
        <v>1.223232993197279</v>
      </c>
      <c r="T12" s="4">
        <f t="shared" si="21"/>
        <v>1.2236017625510203</v>
      </c>
      <c r="U12" s="4">
        <f t="shared" si="22"/>
        <v>4.1169410150891634</v>
      </c>
      <c r="V12" s="4">
        <f t="shared" si="23"/>
        <v>4.2536785500000001</v>
      </c>
      <c r="W12" s="4">
        <f t="shared" si="24"/>
        <v>5.8397687128091381E-2</v>
      </c>
      <c r="X12" s="4">
        <f t="shared" si="25"/>
        <v>5.8415292341049162E-2</v>
      </c>
      <c r="Y12" s="4">
        <f t="shared" si="26"/>
        <v>6.5514865023268115E-2</v>
      </c>
      <c r="Z12" s="4">
        <f t="shared" si="27"/>
        <v>6.7690835266821334E-2</v>
      </c>
      <c r="AA12" s="4">
        <f t="shared" si="1"/>
        <v>15.707963267948964</v>
      </c>
      <c r="AB12" s="4">
        <f t="shared" si="28"/>
        <v>16.804512146589492</v>
      </c>
      <c r="AF12" s="2">
        <f t="shared" si="2"/>
        <v>1250</v>
      </c>
      <c r="AG12" s="4">
        <f t="shared" si="3"/>
        <v>4.1169410150891634</v>
      </c>
      <c r="AH12" s="4">
        <f t="shared" si="4"/>
        <v>3.2416666666666663E-2</v>
      </c>
      <c r="AL12" s="1">
        <f t="shared" si="5"/>
        <v>4.1715</v>
      </c>
      <c r="AM12" s="1">
        <f t="shared" si="6"/>
        <v>23.835044277442243</v>
      </c>
      <c r="AN12" s="1">
        <f t="shared" si="7"/>
        <v>3.1535068814194975E-2</v>
      </c>
      <c r="AO12" s="1">
        <f t="shared" si="8"/>
        <v>0.90430294281907442</v>
      </c>
      <c r="AP12" s="1">
        <f t="shared" si="29"/>
        <v>0.93583801163326941</v>
      </c>
      <c r="AQ12" s="1">
        <f t="shared" si="9"/>
        <v>0.4020959060038109</v>
      </c>
      <c r="AR12" s="1">
        <f t="shared" si="10"/>
        <v>0.13403196866793696</v>
      </c>
      <c r="AS12" s="1">
        <f t="shared" si="11"/>
        <v>2.6179938779914944</v>
      </c>
    </row>
    <row r="13" spans="2:45" x14ac:dyDescent="0.3">
      <c r="B13" s="1" t="s">
        <v>35</v>
      </c>
      <c r="C13" s="1">
        <f>C11*C4</f>
        <v>1.1908163265306122</v>
      </c>
      <c r="D13" s="1" t="s">
        <v>8</v>
      </c>
      <c r="E13" s="1">
        <f t="shared" si="12"/>
        <v>1350</v>
      </c>
      <c r="F13" s="2">
        <v>1000</v>
      </c>
      <c r="G13" s="3">
        <v>2E-3</v>
      </c>
      <c r="H13" s="4">
        <v>2.7</v>
      </c>
      <c r="I13" s="2">
        <v>112</v>
      </c>
      <c r="J13" s="2">
        <f t="shared" si="13"/>
        <v>116.84801247280404</v>
      </c>
      <c r="K13" s="4">
        <f t="shared" si="14"/>
        <v>2.7101234567901233</v>
      </c>
      <c r="L13" s="4">
        <f t="shared" si="15"/>
        <v>2.6512077294685992</v>
      </c>
      <c r="M13" s="4">
        <f t="shared" si="16"/>
        <v>2.7</v>
      </c>
      <c r="N13" s="4">
        <f t="shared" si="17"/>
        <v>4.8792270531401005E-2</v>
      </c>
      <c r="O13" s="7">
        <f t="shared" si="30"/>
        <v>2.6512077294685988E-3</v>
      </c>
      <c r="P13" s="3">
        <f t="shared" si="18"/>
        <v>2.5838846880907379E-3</v>
      </c>
      <c r="Q13" s="4">
        <f t="shared" si="0"/>
        <v>6.3142028985507234E-2</v>
      </c>
      <c r="R13" s="4">
        <f t="shared" si="19"/>
        <v>6.1538641449018182E-2</v>
      </c>
      <c r="S13" s="4">
        <f t="shared" si="20"/>
        <v>1.2539583555161193</v>
      </c>
      <c r="T13" s="4">
        <f t="shared" si="21"/>
        <v>1.2523549679796304</v>
      </c>
      <c r="U13" s="4">
        <f t="shared" si="22"/>
        <v>7.185100256456133</v>
      </c>
      <c r="V13" s="4">
        <f t="shared" si="23"/>
        <v>6.9764886578449925</v>
      </c>
      <c r="W13" s="4">
        <f t="shared" si="24"/>
        <v>5.98645295902972E-2</v>
      </c>
      <c r="X13" s="4">
        <f t="shared" si="25"/>
        <v>5.9787983156198647E-2</v>
      </c>
      <c r="Y13" s="4">
        <f t="shared" si="26"/>
        <v>0.11433996060547827</v>
      </c>
      <c r="Z13" s="4">
        <f t="shared" si="27"/>
        <v>0.11102022377291131</v>
      </c>
      <c r="AA13" s="4">
        <f t="shared" si="1"/>
        <v>14.074335088082272</v>
      </c>
      <c r="AB13" s="4">
        <f t="shared" si="28"/>
        <v>14.683554302845188</v>
      </c>
      <c r="AF13" s="2">
        <f t="shared" si="2"/>
        <v>1120</v>
      </c>
      <c r="AG13" s="4">
        <f t="shared" si="3"/>
        <v>7.185100256456133</v>
      </c>
      <c r="AH13" s="4">
        <f t="shared" si="4"/>
        <v>6.3142028985507234E-2</v>
      </c>
      <c r="AL13" s="1">
        <f t="shared" si="5"/>
        <v>5.4</v>
      </c>
      <c r="AM13" s="1">
        <f t="shared" si="6"/>
        <v>23.399566037915566</v>
      </c>
      <c r="AN13" s="1">
        <f t="shared" si="7"/>
        <v>4.6718620465474044E-2</v>
      </c>
      <c r="AO13" s="1">
        <f t="shared" si="8"/>
        <v>0.89426118075996852</v>
      </c>
      <c r="AP13" s="1">
        <f t="shared" si="29"/>
        <v>0.94097980122544256</v>
      </c>
      <c r="AQ13" s="1">
        <f t="shared" si="9"/>
        <v>0.40430514790128153</v>
      </c>
      <c r="AR13" s="1">
        <f t="shared" si="10"/>
        <v>0.13476838263376051</v>
      </c>
      <c r="AS13" s="1">
        <f t="shared" si="11"/>
        <v>2.3457225146803791</v>
      </c>
    </row>
    <row r="14" spans="2:45" x14ac:dyDescent="0.3">
      <c r="C14" s="1">
        <v>23.45</v>
      </c>
      <c r="E14" s="1">
        <f t="shared" si="12"/>
        <v>849.99999999999989</v>
      </c>
      <c r="F14" s="2">
        <v>680</v>
      </c>
      <c r="G14" s="3">
        <v>3.0000000000000001E-3</v>
      </c>
      <c r="H14" s="4">
        <v>2.5499999999999998</v>
      </c>
      <c r="I14" s="2">
        <v>107</v>
      </c>
      <c r="J14" s="2">
        <f t="shared" si="13"/>
        <v>110.35645622431493</v>
      </c>
      <c r="K14" s="4">
        <f t="shared" si="14"/>
        <v>2.5891358024691358</v>
      </c>
      <c r="L14" s="4">
        <f t="shared" si="15"/>
        <v>2.5072011251758086</v>
      </c>
      <c r="M14" s="4">
        <f t="shared" si="16"/>
        <v>2.5499999999999998</v>
      </c>
      <c r="N14" s="4">
        <f t="shared" si="17"/>
        <v>4.2798874824191202E-2</v>
      </c>
      <c r="O14" s="7">
        <f>K14/(F14+C$10)</f>
        <v>3.6870604781997188E-3</v>
      </c>
      <c r="P14" s="3">
        <f t="shared" si="18"/>
        <v>3.5164136356353151E-3</v>
      </c>
      <c r="Q14" s="4">
        <f t="shared" si="0"/>
        <v>8.7812236286919823E-2</v>
      </c>
      <c r="R14" s="4">
        <f t="shared" si="19"/>
        <v>8.3748055362988016E-2</v>
      </c>
      <c r="S14" s="4">
        <f t="shared" si="20"/>
        <v>1.278628562817532</v>
      </c>
      <c r="T14" s="4">
        <f t="shared" si="21"/>
        <v>1.2745643818936001</v>
      </c>
      <c r="U14" s="4">
        <f t="shared" si="22"/>
        <v>9.546300289975866</v>
      </c>
      <c r="V14" s="4">
        <f t="shared" si="23"/>
        <v>8.9668547708700537</v>
      </c>
      <c r="W14" s="4">
        <f t="shared" si="24"/>
        <v>6.1042296258940927E-2</v>
      </c>
      <c r="X14" s="4">
        <f t="shared" si="25"/>
        <v>6.084827045408802E-2</v>
      </c>
      <c r="Y14" s="4">
        <f t="shared" si="26"/>
        <v>0.15191487385344743</v>
      </c>
      <c r="Z14" s="4">
        <f t="shared" si="27"/>
        <v>0.14269387825661528</v>
      </c>
      <c r="AA14" s="4">
        <f t="shared" si="1"/>
        <v>13.446016557364315</v>
      </c>
      <c r="AB14" s="4">
        <f t="shared" si="28"/>
        <v>13.867801286020454</v>
      </c>
      <c r="AF14" s="2">
        <f t="shared" si="2"/>
        <v>1070</v>
      </c>
      <c r="AG14" s="4">
        <f t="shared" si="3"/>
        <v>9.546300289975866</v>
      </c>
      <c r="AH14" s="4">
        <f t="shared" si="4"/>
        <v>8.7812236286919823E-2</v>
      </c>
      <c r="AL14" s="1">
        <f t="shared" si="5"/>
        <v>7.6499999999999995</v>
      </c>
      <c r="AM14" s="1">
        <f t="shared" si="6"/>
        <v>23.352641182642586</v>
      </c>
      <c r="AN14" s="1">
        <f t="shared" si="7"/>
        <v>7.0077930698211055E-2</v>
      </c>
      <c r="AO14" s="1">
        <f t="shared" si="8"/>
        <v>0.89039896458338941</v>
      </c>
      <c r="AP14" s="1">
        <f t="shared" si="29"/>
        <v>0.96047689528160052</v>
      </c>
      <c r="AQ14" s="1">
        <f t="shared" si="9"/>
        <v>0.41268234737544068</v>
      </c>
      <c r="AR14" s="1">
        <f t="shared" si="10"/>
        <v>0.13756078245848022</v>
      </c>
      <c r="AS14" s="1">
        <f t="shared" si="11"/>
        <v>2.2410027595607191</v>
      </c>
    </row>
    <row r="15" spans="2:45" x14ac:dyDescent="0.3">
      <c r="B15" s="5" t="s">
        <v>27</v>
      </c>
      <c r="E15" s="1">
        <f t="shared" si="12"/>
        <v>585</v>
      </c>
      <c r="F15" s="2">
        <v>470</v>
      </c>
      <c r="G15" s="3">
        <v>4.0000000000000001E-3</v>
      </c>
      <c r="H15" s="4">
        <v>2.34</v>
      </c>
      <c r="I15" s="2">
        <v>105</v>
      </c>
      <c r="J15" s="2">
        <f t="shared" si="13"/>
        <v>101.26827747643016</v>
      </c>
      <c r="K15" s="4">
        <f t="shared" si="14"/>
        <v>2.5407407407407407</v>
      </c>
      <c r="L15" s="4">
        <f t="shared" si="15"/>
        <v>2.4260346124905943</v>
      </c>
      <c r="M15" s="4">
        <f t="shared" si="16"/>
        <v>2.34</v>
      </c>
      <c r="N15" s="4">
        <f t="shared" si="17"/>
        <v>8.6034612490594409E-2</v>
      </c>
      <c r="O15" s="7">
        <f t="shared" si="30"/>
        <v>5.1617757712565842E-3</v>
      </c>
      <c r="P15" s="3">
        <f t="shared" si="18"/>
        <v>4.5393250411467061E-3</v>
      </c>
      <c r="Q15" s="4">
        <f>O15*C$11</f>
        <v>0.12293453724604966</v>
      </c>
      <c r="R15" s="4">
        <f t="shared" si="19"/>
        <v>0.10811004740853482</v>
      </c>
      <c r="S15" s="4">
        <f t="shared" si="20"/>
        <v>1.3137508637766619</v>
      </c>
      <c r="T15" s="4">
        <f t="shared" si="21"/>
        <v>1.298926373939147</v>
      </c>
      <c r="U15" s="4">
        <f t="shared" si="22"/>
        <v>13.114733996600062</v>
      </c>
      <c r="V15" s="4">
        <f t="shared" si="23"/>
        <v>10.622020596283292</v>
      </c>
      <c r="W15" s="4">
        <f>S15 / 1000 / (0.5*C$17 *C$16^2/4 * C$18^2)</f>
        <v>6.2719050527372561E-2</v>
      </c>
      <c r="X15" s="4">
        <f t="shared" si="25"/>
        <v>6.2011322789337985E-2</v>
      </c>
      <c r="Y15" s="4">
        <f>U15/ (0.5*C$17 *C$16^2/4 * C$18^3) / 1000</f>
        <v>0.20870107792513762</v>
      </c>
      <c r="Z15" s="4">
        <f t="shared" si="27"/>
        <v>0.16903332913668237</v>
      </c>
      <c r="AA15" s="4">
        <f>C$16/2*(I15 * 2 * PI()) / C$18</f>
        <v>13.194689145077133</v>
      </c>
      <c r="AB15" s="4">
        <f t="shared" si="28"/>
        <v>12.725747062465828</v>
      </c>
      <c r="AF15" s="2">
        <f t="shared" si="2"/>
        <v>1050</v>
      </c>
      <c r="AG15" s="4">
        <f t="shared" si="3"/>
        <v>13.114733996600062</v>
      </c>
      <c r="AH15" s="4">
        <f t="shared" si="4"/>
        <v>0.12293453724604966</v>
      </c>
      <c r="AL15" s="1">
        <f t="shared" si="5"/>
        <v>9.36</v>
      </c>
      <c r="AM15" s="1">
        <f t="shared" si="6"/>
        <v>22.089695593579886</v>
      </c>
      <c r="AN15" s="1">
        <f t="shared" si="7"/>
        <v>9.3437240930948087E-2</v>
      </c>
      <c r="AO15" s="1">
        <f t="shared" si="8"/>
        <v>0.88885407811275763</v>
      </c>
      <c r="AP15" s="1">
        <f t="shared" si="29"/>
        <v>0.9822913190437057</v>
      </c>
      <c r="AQ15" s="1">
        <f t="shared" si="9"/>
        <v>0.42205522000674817</v>
      </c>
      <c r="AR15" s="1">
        <f t="shared" si="10"/>
        <v>0.14068507333558272</v>
      </c>
      <c r="AS15" s="1">
        <f t="shared" si="11"/>
        <v>2.1991148575128552</v>
      </c>
    </row>
    <row r="16" spans="2:45" x14ac:dyDescent="0.3">
      <c r="B16" s="1" t="s">
        <v>28</v>
      </c>
      <c r="C16" s="1">
        <v>0.12</v>
      </c>
      <c r="D16" s="1" t="s">
        <v>29</v>
      </c>
      <c r="E16" s="1">
        <f t="shared" si="12"/>
        <v>360</v>
      </c>
      <c r="F16" s="2">
        <v>330</v>
      </c>
      <c r="G16" s="3">
        <v>6.0000000000000001E-3</v>
      </c>
      <c r="H16" s="4">
        <v>2.16</v>
      </c>
      <c r="I16" s="2">
        <v>92</v>
      </c>
      <c r="J16" s="2">
        <f t="shared" si="13"/>
        <v>93.478409978243235</v>
      </c>
      <c r="K16" s="4">
        <f t="shared" si="14"/>
        <v>2.2261728395061726</v>
      </c>
      <c r="L16" s="4">
        <f t="shared" si="15"/>
        <v>2.0857202944269186</v>
      </c>
      <c r="M16" s="4">
        <f t="shared" si="16"/>
        <v>2.16</v>
      </c>
      <c r="N16" s="4">
        <f t="shared" si="17"/>
        <v>7.42797055730815E-2</v>
      </c>
      <c r="O16" s="7">
        <f t="shared" si="30"/>
        <v>6.3203645285664209E-3</v>
      </c>
      <c r="P16" s="3">
        <f t="shared" si="18"/>
        <v>5.7455840937814086E-3</v>
      </c>
      <c r="Q16" s="4">
        <f t="shared" ref="Q16:Q24" si="31">O16*C$11</f>
        <v>0.15052786540483701</v>
      </c>
      <c r="R16" s="4">
        <f t="shared" si="19"/>
        <v>0.13683870688658986</v>
      </c>
      <c r="S16" s="4">
        <f t="shared" si="20"/>
        <v>1.3413441919354492</v>
      </c>
      <c r="T16" s="4">
        <f t="shared" si="21"/>
        <v>1.3276550334172021</v>
      </c>
      <c r="U16" s="4">
        <f t="shared" si="22"/>
        <v>14.070223849272802</v>
      </c>
      <c r="V16" s="4">
        <f t="shared" si="23"/>
        <v>12.410461642567844</v>
      </c>
      <c r="W16" s="4">
        <f>S16 / 1000 / (0.5*C$17 *C$16^2/4 * C$18^2)</f>
        <v>6.4036368285805306E-2</v>
      </c>
      <c r="X16" s="4">
        <f t="shared" si="25"/>
        <v>6.338284176989116E-2</v>
      </c>
      <c r="Y16" s="4">
        <f>U16/ (0.5*C$17 *C$16^2/4 * C$18^3) / 1000</f>
        <v>0.2239062480987018</v>
      </c>
      <c r="Z16" s="4">
        <f>V16/ (0.5*C$17 *C$16^2/4 * C$18^3) / 1000</f>
        <v>0.19749365278959899</v>
      </c>
      <c r="AA16" s="4">
        <f t="shared" si="1"/>
        <v>11.561060965210437</v>
      </c>
      <c r="AB16" s="4">
        <f t="shared" si="28"/>
        <v>11.74684344227615</v>
      </c>
      <c r="AF16" s="2">
        <f t="shared" si="2"/>
        <v>920</v>
      </c>
      <c r="AG16" s="4">
        <f t="shared" si="3"/>
        <v>14.070223849272802</v>
      </c>
      <c r="AH16" s="4">
        <f t="shared" si="4"/>
        <v>0.15052786540483701</v>
      </c>
      <c r="AL16" s="1">
        <f t="shared" si="5"/>
        <v>12.96</v>
      </c>
      <c r="AM16" s="1">
        <f t="shared" si="6"/>
        <v>23.804043662439998</v>
      </c>
      <c r="AN16" s="1">
        <f t="shared" si="7"/>
        <v>0.14015586139642211</v>
      </c>
      <c r="AO16" s="1">
        <f t="shared" si="8"/>
        <v>0.87881231605365184</v>
      </c>
      <c r="AP16" s="1">
        <f t="shared" si="29"/>
        <v>1.0189681774500738</v>
      </c>
      <c r="AQ16" s="1">
        <f t="shared" si="9"/>
        <v>0.43781394579791783</v>
      </c>
      <c r="AR16" s="1">
        <f t="shared" si="10"/>
        <v>0.14593798193263927</v>
      </c>
      <c r="AS16" s="1">
        <f t="shared" si="11"/>
        <v>1.9268434942017396</v>
      </c>
    </row>
    <row r="17" spans="2:45" x14ac:dyDescent="0.3">
      <c r="B17" s="1" t="s">
        <v>30</v>
      </c>
      <c r="C17" s="1">
        <v>1.2929999999999999</v>
      </c>
      <c r="D17" s="1" t="s">
        <v>31</v>
      </c>
      <c r="E17" s="1">
        <f t="shared" si="12"/>
        <v>243.33333333333331</v>
      </c>
      <c r="F17" s="2">
        <v>220</v>
      </c>
      <c r="G17" s="3">
        <v>6.0000000000000001E-3</v>
      </c>
      <c r="H17" s="4">
        <v>1.46</v>
      </c>
      <c r="I17" s="2">
        <v>72</v>
      </c>
      <c r="J17" s="2">
        <f t="shared" si="13"/>
        <v>63.184480818627378</v>
      </c>
      <c r="K17" s="4">
        <f t="shared" si="14"/>
        <v>1.7422222222222221</v>
      </c>
      <c r="L17" s="4">
        <f t="shared" si="15"/>
        <v>1.5823853211009173</v>
      </c>
      <c r="M17" s="4">
        <f t="shared" si="16"/>
        <v>1.46</v>
      </c>
      <c r="N17" s="4">
        <f t="shared" si="17"/>
        <v>0.12238532110091738</v>
      </c>
      <c r="O17" s="7">
        <f>K17/(F17+C$10)</f>
        <v>7.1926605504587151E-3</v>
      </c>
      <c r="P17" s="3">
        <f>F17/(F17+C$10)*H17/(F17+C$10)</f>
        <v>5.4745391802036867E-3</v>
      </c>
      <c r="Q17" s="4">
        <f t="shared" si="31"/>
        <v>0.17130275229357797</v>
      </c>
      <c r="R17" s="4">
        <f t="shared" si="19"/>
        <v>0.13038341272036127</v>
      </c>
      <c r="S17" s="4">
        <f t="shared" si="20"/>
        <v>1.3621190788241901</v>
      </c>
      <c r="T17" s="4">
        <f t="shared" si="21"/>
        <v>1.3211997392509736</v>
      </c>
      <c r="U17" s="4">
        <f t="shared" si="22"/>
        <v>12.531213047910294</v>
      </c>
      <c r="V17" s="4">
        <f t="shared" si="23"/>
        <v>7.9928272030973817</v>
      </c>
      <c r="W17" s="4">
        <f t="shared" si="24"/>
        <v>6.5028170625504395E-2</v>
      </c>
      <c r="X17" s="4">
        <f t="shared" si="25"/>
        <v>6.3074663155403429E-2</v>
      </c>
      <c r="Y17" s="4">
        <f t="shared" si="26"/>
        <v>0.19941522805467701</v>
      </c>
      <c r="Z17" s="4">
        <f t="shared" si="27"/>
        <v>0.12719370849521133</v>
      </c>
      <c r="AA17" s="4">
        <f t="shared" si="1"/>
        <v>9.0477868423386045</v>
      </c>
      <c r="AB17" s="4">
        <f t="shared" si="28"/>
        <v>7.9399960304273982</v>
      </c>
      <c r="AF17" s="2">
        <f t="shared" si="2"/>
        <v>720</v>
      </c>
      <c r="AG17" s="4">
        <f t="shared" si="3"/>
        <v>12.531213047910294</v>
      </c>
      <c r="AH17" s="4">
        <f t="shared" si="4"/>
        <v>0.17130275229357797</v>
      </c>
      <c r="AL17" s="1">
        <f t="shared" si="5"/>
        <v>8.76</v>
      </c>
      <c r="AM17" s="1">
        <f t="shared" si="6"/>
        <v>21.132239666090548</v>
      </c>
      <c r="AN17" s="1">
        <f t="shared" si="7"/>
        <v>0.14015586139642211</v>
      </c>
      <c r="AO17" s="1">
        <f t="shared" si="8"/>
        <v>0.86336345134733505</v>
      </c>
      <c r="AP17" s="1">
        <f t="shared" si="29"/>
        <v>1.0035193127437572</v>
      </c>
      <c r="AQ17" s="1">
        <f t="shared" si="9"/>
        <v>0.4311761247502609</v>
      </c>
      <c r="AR17" s="1">
        <f t="shared" si="10"/>
        <v>0.14372537491675363</v>
      </c>
      <c r="AS17" s="1">
        <f t="shared" si="11"/>
        <v>1.5079644737231008</v>
      </c>
    </row>
    <row r="18" spans="2:45" x14ac:dyDescent="0.3">
      <c r="B18" s="1" t="s">
        <v>36</v>
      </c>
      <c r="C18" s="4">
        <v>3</v>
      </c>
      <c r="D18" s="1" t="s">
        <v>37</v>
      </c>
      <c r="E18" s="1">
        <f t="shared" si="12"/>
        <v>126</v>
      </c>
      <c r="F18" s="2">
        <v>100</v>
      </c>
      <c r="G18" s="3">
        <v>5.0000000000000001E-3</v>
      </c>
      <c r="H18" s="4">
        <v>0.63</v>
      </c>
      <c r="I18" s="2">
        <v>32</v>
      </c>
      <c r="J18" s="2">
        <f t="shared" si="13"/>
        <v>27.264536243654277</v>
      </c>
      <c r="K18" s="4">
        <f>C$12 / 1000 *I18*2*PI() / 6</f>
        <v>0.77432098765432089</v>
      </c>
      <c r="L18" s="4">
        <f t="shared" si="15"/>
        <v>0.6335353535353534</v>
      </c>
      <c r="M18" s="4">
        <f t="shared" si="16"/>
        <v>0.63</v>
      </c>
      <c r="N18" s="4">
        <f t="shared" si="17"/>
        <v>3.5353535353533916E-3</v>
      </c>
      <c r="O18" s="7">
        <f>K18/(F18+C$10)</f>
        <v>6.3353535353535342E-3</v>
      </c>
      <c r="P18" s="3">
        <f t="shared" si="18"/>
        <v>4.217355371900826E-3</v>
      </c>
      <c r="Q18" s="4">
        <f t="shared" si="31"/>
        <v>0.15088484848484846</v>
      </c>
      <c r="R18" s="4">
        <f t="shared" si="19"/>
        <v>0.10044191263282171</v>
      </c>
      <c r="S18" s="4">
        <f t="shared" si="20"/>
        <v>1.3417011750154606</v>
      </c>
      <c r="T18" s="4">
        <f t="shared" si="21"/>
        <v>1.291258239163434</v>
      </c>
      <c r="U18" s="4">
        <f t="shared" si="22"/>
        <v>4.9055972066342424</v>
      </c>
      <c r="V18" s="4">
        <f t="shared" si="23"/>
        <v>2.6569338842975205</v>
      </c>
      <c r="W18" s="4">
        <f t="shared" si="24"/>
        <v>6.4053410816813261E-2</v>
      </c>
      <c r="X18" s="4">
        <f t="shared" si="25"/>
        <v>6.1645242624742635E-2</v>
      </c>
      <c r="Y18" s="4">
        <f t="shared" si="26"/>
        <v>7.8065130802998137E-2</v>
      </c>
      <c r="Z18" s="4">
        <f t="shared" si="27"/>
        <v>4.2281068435888094E-2</v>
      </c>
      <c r="AA18" s="4">
        <f t="shared" si="1"/>
        <v>4.0212385965949347</v>
      </c>
      <c r="AB18" s="4">
        <f t="shared" si="28"/>
        <v>3.4261626706638766</v>
      </c>
      <c r="AF18" s="2">
        <f t="shared" si="2"/>
        <v>320</v>
      </c>
      <c r="AG18" s="4">
        <f t="shared" si="3"/>
        <v>4.9055972066342424</v>
      </c>
      <c r="AH18" s="4">
        <f t="shared" si="4"/>
        <v>0.15088484848484846</v>
      </c>
      <c r="AL18" s="1">
        <f t="shared" si="5"/>
        <v>3.15</v>
      </c>
      <c r="AM18" s="1">
        <f t="shared" si="6"/>
        <v>22.115905633811291</v>
      </c>
      <c r="AN18" s="1">
        <f t="shared" si="7"/>
        <v>0.11679655116368511</v>
      </c>
      <c r="AO18" s="1">
        <f t="shared" si="8"/>
        <v>0.83246572193470147</v>
      </c>
      <c r="AP18" s="1">
        <f t="shared" si="29"/>
        <v>0.94926227309838662</v>
      </c>
      <c r="AQ18" s="1">
        <f t="shared" si="9"/>
        <v>0.40786382791887371</v>
      </c>
      <c r="AR18" s="1">
        <f t="shared" si="10"/>
        <v>0.13595460930629125</v>
      </c>
      <c r="AS18" s="1">
        <f t="shared" si="11"/>
        <v>0.67020643276582259</v>
      </c>
    </row>
    <row r="19" spans="2:45" x14ac:dyDescent="0.3">
      <c r="E19" s="1">
        <f>H19/G19</f>
        <v>47.599999999999994</v>
      </c>
      <c r="F19" s="2">
        <v>47</v>
      </c>
      <c r="G19" s="3">
        <v>5.0000000000000001E-3</v>
      </c>
      <c r="H19" s="4">
        <v>0.23799999999999999</v>
      </c>
      <c r="I19" s="2">
        <v>16</v>
      </c>
      <c r="J19" s="2">
        <f t="shared" si="13"/>
        <v>10.299935914269392</v>
      </c>
      <c r="K19" s="4">
        <f t="shared" si="14"/>
        <v>0.38716049382716045</v>
      </c>
      <c r="L19" s="4">
        <f t="shared" si="15"/>
        <v>0.26287141073657921</v>
      </c>
      <c r="M19" s="4">
        <f t="shared" si="16"/>
        <v>0.23799999999999999</v>
      </c>
      <c r="N19" s="4">
        <f t="shared" si="17"/>
        <v>2.4871410736579225E-2</v>
      </c>
      <c r="O19" s="7">
        <f t="shared" si="30"/>
        <v>5.5930087390761536E-3</v>
      </c>
      <c r="P19" s="3">
        <f>F19/(F19+C$10)*H19/(F19+C$10)</f>
        <v>2.334445506519739E-3</v>
      </c>
      <c r="Q19" s="4">
        <f t="shared" si="31"/>
        <v>0.13320492241840554</v>
      </c>
      <c r="R19" s="4">
        <f t="shared" si="19"/>
        <v>5.55979164511946E-2</v>
      </c>
      <c r="S19" s="4">
        <f t="shared" si="20"/>
        <v>1.3240212489490177</v>
      </c>
      <c r="T19" s="4">
        <f t="shared" si="21"/>
        <v>1.2464142429818068</v>
      </c>
      <c r="U19" s="4">
        <f t="shared" si="22"/>
        <v>2.1653920254003474</v>
      </c>
      <c r="V19" s="4">
        <f t="shared" si="23"/>
        <v>0.55559803055169776</v>
      </c>
      <c r="W19" s="4">
        <f t="shared" si="24"/>
        <v>6.3209363283254452E-2</v>
      </c>
      <c r="X19" s="4">
        <f t="shared" si="25"/>
        <v>5.9504370302665192E-2</v>
      </c>
      <c r="Y19" s="4">
        <f t="shared" si="26"/>
        <v>3.4458926116893232E-2</v>
      </c>
      <c r="Z19" s="4">
        <f t="shared" si="27"/>
        <v>8.8414990269176184E-3</v>
      </c>
      <c r="AA19" s="4">
        <f t="shared" si="1"/>
        <v>2.0106192982974673</v>
      </c>
      <c r="AB19" s="4">
        <f t="shared" si="28"/>
        <v>1.2943281200285754</v>
      </c>
      <c r="AF19" s="2">
        <f t="shared" si="2"/>
        <v>160</v>
      </c>
      <c r="AG19" s="4">
        <f t="shared" si="3"/>
        <v>2.1653920254003474</v>
      </c>
      <c r="AH19" s="4">
        <f t="shared" si="4"/>
        <v>0.13320492241840554</v>
      </c>
      <c r="AL19" s="1">
        <f t="shared" si="5"/>
        <v>1.19</v>
      </c>
      <c r="AM19" s="1">
        <f t="shared" si="6"/>
        <v>20.836034633113968</v>
      </c>
      <c r="AN19" s="1">
        <f t="shared" si="7"/>
        <v>0.11679655116368511</v>
      </c>
      <c r="AO19" s="1">
        <f t="shared" si="8"/>
        <v>0.82010663016964813</v>
      </c>
      <c r="AP19" s="1">
        <f t="shared" si="29"/>
        <v>0.93690318133333328</v>
      </c>
      <c r="AQ19" s="1">
        <f t="shared" si="9"/>
        <v>0.40255357108074824</v>
      </c>
      <c r="AR19" s="1">
        <f t="shared" si="10"/>
        <v>0.13418452369358275</v>
      </c>
      <c r="AS19" s="1">
        <f t="shared" si="11"/>
        <v>0.3351032163829113</v>
      </c>
    </row>
    <row r="20" spans="2:45" x14ac:dyDescent="0.3">
      <c r="F20" s="2">
        <v>10</v>
      </c>
      <c r="G20" s="3">
        <v>0</v>
      </c>
      <c r="H20" s="4">
        <v>0</v>
      </c>
      <c r="I20" s="2">
        <v>0</v>
      </c>
      <c r="J20" s="2">
        <f t="shared" si="13"/>
        <v>0</v>
      </c>
      <c r="K20" s="4">
        <f t="shared" si="14"/>
        <v>0</v>
      </c>
      <c r="L20" s="4">
        <f t="shared" si="15"/>
        <v>0</v>
      </c>
      <c r="M20" s="4">
        <f t="shared" si="16"/>
        <v>0</v>
      </c>
      <c r="O20" s="7">
        <f t="shared" si="30"/>
        <v>0</v>
      </c>
      <c r="P20" s="3">
        <f t="shared" si="18"/>
        <v>0</v>
      </c>
      <c r="Q20" s="4">
        <f t="shared" si="31"/>
        <v>0</v>
      </c>
      <c r="R20" s="4">
        <f t="shared" si="19"/>
        <v>0</v>
      </c>
      <c r="S20" s="4">
        <f t="shared" ref="S20:S24" si="32">Q20+$C$13</f>
        <v>1.1908163265306122</v>
      </c>
      <c r="T20" s="4">
        <f t="shared" ref="T20:T24" si="33">R20+$C$13</f>
        <v>1.1908163265306122</v>
      </c>
      <c r="U20" s="4">
        <f t="shared" si="22"/>
        <v>0</v>
      </c>
      <c r="V20" s="4">
        <f t="shared" si="23"/>
        <v>0</v>
      </c>
      <c r="W20" s="4">
        <f t="shared" si="24"/>
        <v>5.6850101044112755E-2</v>
      </c>
      <c r="X20" s="4">
        <f t="shared" si="25"/>
        <v>5.6850101044112755E-2</v>
      </c>
      <c r="Y20" s="4">
        <f t="shared" si="26"/>
        <v>0</v>
      </c>
      <c r="Z20" s="4">
        <f t="shared" si="27"/>
        <v>0</v>
      </c>
      <c r="AA20" s="4">
        <f t="shared" si="1"/>
        <v>0</v>
      </c>
      <c r="AB20" s="4">
        <f t="shared" si="28"/>
        <v>0</v>
      </c>
      <c r="AF20" s="2">
        <f t="shared" si="2"/>
        <v>0</v>
      </c>
      <c r="AG20" s="1">
        <f>O20*K20</f>
        <v>0</v>
      </c>
      <c r="AH20" s="1">
        <f>C$11*O20 * 1000</f>
        <v>0</v>
      </c>
      <c r="AL20" s="1">
        <f>G21*H20*1000</f>
        <v>0</v>
      </c>
      <c r="AM20" s="1">
        <v>0</v>
      </c>
      <c r="AN20" s="1">
        <f t="shared" si="7"/>
        <v>0</v>
      </c>
      <c r="AO20" s="1">
        <v>0</v>
      </c>
      <c r="AP20" s="1">
        <f t="shared" si="29"/>
        <v>0</v>
      </c>
      <c r="AQ20" s="1">
        <f t="shared" si="9"/>
        <v>0</v>
      </c>
      <c r="AR20" s="1">
        <f t="shared" si="10"/>
        <v>0</v>
      </c>
      <c r="AS20" s="1">
        <f t="shared" si="11"/>
        <v>0</v>
      </c>
    </row>
    <row r="21" spans="2:45" x14ac:dyDescent="0.3">
      <c r="F21" s="4">
        <v>4.7</v>
      </c>
      <c r="G21" s="3">
        <v>0</v>
      </c>
      <c r="H21" s="1">
        <v>0</v>
      </c>
      <c r="I21" s="1">
        <v>0</v>
      </c>
      <c r="J21" s="2">
        <f t="shared" si="13"/>
        <v>0</v>
      </c>
      <c r="K21" s="4">
        <f t="shared" si="14"/>
        <v>0</v>
      </c>
      <c r="L21" s="4">
        <f t="shared" si="15"/>
        <v>0</v>
      </c>
      <c r="M21" s="4">
        <f t="shared" si="16"/>
        <v>0</v>
      </c>
      <c r="O21" s="7">
        <f t="shared" si="30"/>
        <v>0</v>
      </c>
      <c r="P21" s="3">
        <f t="shared" si="18"/>
        <v>0</v>
      </c>
      <c r="Q21" s="4">
        <f t="shared" si="31"/>
        <v>0</v>
      </c>
      <c r="R21" s="4">
        <f t="shared" si="19"/>
        <v>0</v>
      </c>
      <c r="S21" s="4">
        <f t="shared" si="32"/>
        <v>1.1908163265306122</v>
      </c>
      <c r="T21" s="4">
        <f t="shared" si="33"/>
        <v>1.1908163265306122</v>
      </c>
      <c r="U21" s="4">
        <f t="shared" si="22"/>
        <v>0</v>
      </c>
      <c r="V21" s="4">
        <f t="shared" si="23"/>
        <v>0</v>
      </c>
      <c r="W21" s="4">
        <f t="shared" si="24"/>
        <v>5.6850101044112755E-2</v>
      </c>
      <c r="X21" s="4">
        <f t="shared" si="25"/>
        <v>5.6850101044112755E-2</v>
      </c>
      <c r="Y21" s="4">
        <f t="shared" si="26"/>
        <v>0</v>
      </c>
      <c r="Z21" s="4">
        <f t="shared" si="27"/>
        <v>0</v>
      </c>
      <c r="AA21" s="4">
        <f t="shared" si="1"/>
        <v>0</v>
      </c>
      <c r="AB21" s="4">
        <f t="shared" si="28"/>
        <v>0</v>
      </c>
      <c r="AF21" s="2">
        <f t="shared" si="2"/>
        <v>0</v>
      </c>
      <c r="AG21" s="1">
        <f>O21*K21</f>
        <v>0</v>
      </c>
      <c r="AH21" s="1">
        <f>C$11*O21 * 1000</f>
        <v>0</v>
      </c>
      <c r="AL21" s="1">
        <f>G22*H21*1000</f>
        <v>0</v>
      </c>
      <c r="AM21" s="1">
        <v>0</v>
      </c>
      <c r="AN21" s="1">
        <f t="shared" si="7"/>
        <v>0</v>
      </c>
      <c r="AO21" s="1">
        <v>0</v>
      </c>
      <c r="AP21" s="1">
        <f t="shared" si="29"/>
        <v>0</v>
      </c>
      <c r="AQ21" s="1">
        <f t="shared" si="9"/>
        <v>0</v>
      </c>
      <c r="AR21" s="1">
        <f t="shared" si="10"/>
        <v>0</v>
      </c>
      <c r="AS21" s="1">
        <f t="shared" si="11"/>
        <v>0</v>
      </c>
    </row>
    <row r="22" spans="2:45" x14ac:dyDescent="0.3">
      <c r="B22" s="1" t="s">
        <v>40</v>
      </c>
      <c r="C22" s="1">
        <f>C12*C3</f>
        <v>12.477747538404595</v>
      </c>
      <c r="D22" s="1" t="s">
        <v>8</v>
      </c>
      <c r="F22" s="4">
        <v>1.5</v>
      </c>
      <c r="G22" s="3">
        <v>0</v>
      </c>
      <c r="H22" s="4">
        <v>0</v>
      </c>
      <c r="I22" s="2">
        <v>0</v>
      </c>
      <c r="J22" s="2">
        <f t="shared" si="13"/>
        <v>0</v>
      </c>
      <c r="K22" s="4">
        <f t="shared" si="14"/>
        <v>0</v>
      </c>
      <c r="L22" s="4">
        <f t="shared" si="15"/>
        <v>0</v>
      </c>
      <c r="M22" s="4">
        <f t="shared" si="16"/>
        <v>0</v>
      </c>
      <c r="O22" s="7">
        <f t="shared" si="30"/>
        <v>0</v>
      </c>
      <c r="P22" s="3">
        <f t="shared" si="18"/>
        <v>0</v>
      </c>
      <c r="Q22" s="4">
        <f t="shared" si="31"/>
        <v>0</v>
      </c>
      <c r="R22" s="4">
        <f t="shared" si="19"/>
        <v>0</v>
      </c>
      <c r="S22" s="4">
        <f t="shared" si="32"/>
        <v>1.1908163265306122</v>
      </c>
      <c r="T22" s="4">
        <f t="shared" si="33"/>
        <v>1.1908163265306122</v>
      </c>
      <c r="U22" s="4">
        <f t="shared" si="22"/>
        <v>0</v>
      </c>
      <c r="V22" s="4">
        <f t="shared" si="23"/>
        <v>0</v>
      </c>
      <c r="W22" s="4">
        <f t="shared" si="24"/>
        <v>5.6850101044112755E-2</v>
      </c>
      <c r="X22" s="4">
        <f t="shared" si="25"/>
        <v>5.6850101044112755E-2</v>
      </c>
      <c r="Y22" s="4">
        <f t="shared" si="26"/>
        <v>0</v>
      </c>
      <c r="Z22" s="4">
        <f t="shared" si="27"/>
        <v>0</v>
      </c>
      <c r="AA22" s="4">
        <f t="shared" si="1"/>
        <v>0</v>
      </c>
      <c r="AB22" s="4">
        <f t="shared" si="28"/>
        <v>0</v>
      </c>
      <c r="AF22" s="2">
        <f t="shared" si="2"/>
        <v>0</v>
      </c>
      <c r="AG22" s="1">
        <f>O22*K22</f>
        <v>0</v>
      </c>
      <c r="AH22" s="1">
        <f>C$11*O22 * 1000</f>
        <v>0</v>
      </c>
      <c r="AL22" s="1">
        <f>G23*H22*1000</f>
        <v>0</v>
      </c>
      <c r="AM22" s="1">
        <v>0</v>
      </c>
      <c r="AN22" s="1">
        <f t="shared" si="7"/>
        <v>0</v>
      </c>
      <c r="AO22" s="1">
        <v>0</v>
      </c>
      <c r="AP22" s="1">
        <f t="shared" si="29"/>
        <v>0</v>
      </c>
      <c r="AQ22" s="1">
        <f t="shared" si="9"/>
        <v>0</v>
      </c>
      <c r="AR22" s="1">
        <f t="shared" si="10"/>
        <v>0</v>
      </c>
      <c r="AS22" s="1">
        <f t="shared" si="11"/>
        <v>0</v>
      </c>
    </row>
    <row r="23" spans="2:45" x14ac:dyDescent="0.3">
      <c r="B23" s="1" t="s">
        <v>41</v>
      </c>
      <c r="C23" s="1">
        <f>C22-C2</f>
        <v>0.80774753840459468</v>
      </c>
      <c r="D23" s="1" t="s">
        <v>8</v>
      </c>
      <c r="F23" s="4">
        <v>0</v>
      </c>
      <c r="G23" s="3">
        <v>0</v>
      </c>
      <c r="H23" s="4">
        <v>0</v>
      </c>
      <c r="I23" s="2">
        <v>0</v>
      </c>
      <c r="J23" s="2">
        <f t="shared" si="13"/>
        <v>0</v>
      </c>
      <c r="K23" s="4">
        <f t="shared" si="14"/>
        <v>0</v>
      </c>
      <c r="L23" s="4">
        <f t="shared" si="15"/>
        <v>0</v>
      </c>
      <c r="M23" s="4">
        <f t="shared" si="16"/>
        <v>0</v>
      </c>
      <c r="O23" s="7">
        <f t="shared" si="30"/>
        <v>0</v>
      </c>
      <c r="Q23" s="4">
        <f t="shared" si="31"/>
        <v>0</v>
      </c>
      <c r="R23" s="4">
        <f t="shared" si="19"/>
        <v>0</v>
      </c>
      <c r="S23" s="4">
        <f t="shared" si="32"/>
        <v>1.1908163265306122</v>
      </c>
      <c r="T23" s="4">
        <f t="shared" si="33"/>
        <v>1.1908163265306122</v>
      </c>
      <c r="U23" s="4">
        <f t="shared" si="22"/>
        <v>0</v>
      </c>
      <c r="V23" s="4">
        <f t="shared" si="23"/>
        <v>0</v>
      </c>
      <c r="W23" s="4">
        <f t="shared" si="24"/>
        <v>5.6850101044112755E-2</v>
      </c>
      <c r="X23" s="4">
        <f t="shared" si="25"/>
        <v>5.6850101044112755E-2</v>
      </c>
      <c r="Y23" s="4">
        <f t="shared" si="26"/>
        <v>0</v>
      </c>
      <c r="Z23" s="4">
        <f t="shared" si="27"/>
        <v>0</v>
      </c>
      <c r="AA23" s="4">
        <f t="shared" si="1"/>
        <v>0</v>
      </c>
      <c r="AB23" s="4">
        <f t="shared" si="28"/>
        <v>0</v>
      </c>
      <c r="AF23" s="2">
        <f t="shared" si="2"/>
        <v>0</v>
      </c>
      <c r="AG23" s="1">
        <f>O23*K23</f>
        <v>0</v>
      </c>
      <c r="AH23" s="1">
        <f>C$11*O23 * 1000</f>
        <v>0</v>
      </c>
      <c r="AL23" s="1">
        <f>G24*H23*1000</f>
        <v>0</v>
      </c>
      <c r="AM23" s="1">
        <v>0</v>
      </c>
      <c r="AN23" s="1">
        <f t="shared" si="7"/>
        <v>0</v>
      </c>
      <c r="AO23" s="1">
        <v>0</v>
      </c>
      <c r="AP23" s="1">
        <f t="shared" si="29"/>
        <v>0</v>
      </c>
      <c r="AQ23" s="1">
        <f t="shared" si="9"/>
        <v>0</v>
      </c>
      <c r="AR23" s="1">
        <f t="shared" si="10"/>
        <v>0</v>
      </c>
      <c r="AS23" s="1">
        <f t="shared" si="11"/>
        <v>0</v>
      </c>
    </row>
    <row r="24" spans="2:45" x14ac:dyDescent="0.3">
      <c r="B24" s="1" t="s">
        <v>43</v>
      </c>
      <c r="C24" s="1">
        <f>C12*C4</f>
        <v>1.1553469942967218</v>
      </c>
      <c r="D24" s="1" t="s">
        <v>8</v>
      </c>
      <c r="F24" s="4"/>
      <c r="O24" s="2"/>
      <c r="Q24" s="4">
        <f t="shared" si="31"/>
        <v>0</v>
      </c>
      <c r="R24" s="4">
        <f t="shared" si="19"/>
        <v>0</v>
      </c>
      <c r="S24" s="4">
        <f t="shared" si="32"/>
        <v>1.1908163265306122</v>
      </c>
      <c r="T24" s="4">
        <f t="shared" si="33"/>
        <v>1.1908163265306122</v>
      </c>
      <c r="U24" s="4">
        <f t="shared" si="22"/>
        <v>0</v>
      </c>
      <c r="V24" s="4">
        <f t="shared" si="23"/>
        <v>0</v>
      </c>
      <c r="W24" s="4">
        <f t="shared" si="24"/>
        <v>5.6850101044112755E-2</v>
      </c>
      <c r="X24" s="4">
        <f t="shared" si="25"/>
        <v>5.6850101044112755E-2</v>
      </c>
      <c r="Y24" s="4">
        <f t="shared" si="26"/>
        <v>0</v>
      </c>
      <c r="Z24" s="4">
        <f t="shared" si="27"/>
        <v>0</v>
      </c>
      <c r="AA24" s="4">
        <f t="shared" si="1"/>
        <v>0</v>
      </c>
      <c r="AB24" s="4">
        <f t="shared" si="28"/>
        <v>0</v>
      </c>
    </row>
    <row r="25" spans="2:45" x14ac:dyDescent="0.3">
      <c r="B25" s="1" t="s">
        <v>42</v>
      </c>
      <c r="C25" s="1">
        <f>(C24-C23)/C6</f>
        <v>7.7244323531583815E-5</v>
      </c>
      <c r="D25" s="1" t="s">
        <v>44</v>
      </c>
      <c r="F25" s="4"/>
      <c r="N25" s="4">
        <f>AVERAGE(N3:N19)</f>
        <v>7.6157401780612421E-2</v>
      </c>
      <c r="O25" s="2" t="s">
        <v>25</v>
      </c>
      <c r="AM25" s="1">
        <f>AVERAGE(AM3:AM16)</f>
        <v>23.35931023273702</v>
      </c>
    </row>
    <row r="26" spans="2:45" x14ac:dyDescent="0.3">
      <c r="F26" s="4"/>
      <c r="N26" s="1">
        <f>_xlfn.STDEV.P(N3:N19)</f>
        <v>5.7421015697834546E-2</v>
      </c>
      <c r="O26" s="2" t="s">
        <v>26</v>
      </c>
      <c r="AM26" s="1">
        <f>_xlfn.STDEV.S(AM3:AM16)</f>
        <v>0.74660570474240451</v>
      </c>
    </row>
    <row r="27" spans="2:45" x14ac:dyDescent="0.3">
      <c r="B27" s="1" t="s">
        <v>45</v>
      </c>
      <c r="F27" s="4"/>
    </row>
    <row r="28" spans="2:45" x14ac:dyDescent="0.3">
      <c r="F28" s="4"/>
    </row>
    <row r="29" spans="2:45" x14ac:dyDescent="0.3">
      <c r="B29" s="1" t="s">
        <v>59</v>
      </c>
      <c r="C29" s="1">
        <v>1</v>
      </c>
      <c r="D29" s="1" t="s">
        <v>37</v>
      </c>
      <c r="F29" s="1" t="s">
        <v>62</v>
      </c>
      <c r="G29" s="1" t="s">
        <v>63</v>
      </c>
      <c r="H29" s="1" t="s">
        <v>64</v>
      </c>
      <c r="I29" s="1" t="s">
        <v>65</v>
      </c>
      <c r="J29" s="1" t="s">
        <v>66</v>
      </c>
      <c r="K29" s="1" t="s">
        <v>70</v>
      </c>
      <c r="L29" s="1" t="s">
        <v>67</v>
      </c>
      <c r="M29" s="1" t="s">
        <v>68</v>
      </c>
      <c r="N29" s="1" t="s">
        <v>69</v>
      </c>
      <c r="O29" s="1" t="s">
        <v>72</v>
      </c>
      <c r="P29" s="1" t="s">
        <v>73</v>
      </c>
      <c r="Q29" s="1" t="s">
        <v>71</v>
      </c>
    </row>
    <row r="30" spans="2:45" x14ac:dyDescent="0.3">
      <c r="F30" s="1">
        <v>47</v>
      </c>
      <c r="G30" s="1">
        <v>2.4</v>
      </c>
      <c r="H30" s="1">
        <v>47</v>
      </c>
      <c r="I30" s="1">
        <v>2.1</v>
      </c>
      <c r="J30" s="1">
        <v>44</v>
      </c>
      <c r="K30" s="4">
        <f>(F30+C$10)/F30*G30</f>
        <v>3.5347517730496461</v>
      </c>
      <c r="L30" s="4">
        <f>K30/C$12*1000</f>
        <v>152.97359972798935</v>
      </c>
      <c r="M30" s="4">
        <f>H30*C$11/1000</f>
        <v>1.1193673469387755</v>
      </c>
      <c r="N30" s="4">
        <f>M30+C$13</f>
        <v>2.3101836734693877</v>
      </c>
      <c r="O30" s="1">
        <f>G30*H30/1000</f>
        <v>0.1128</v>
      </c>
      <c r="P30" s="4">
        <f>I30*J30/1000</f>
        <v>9.240000000000001E-2</v>
      </c>
      <c r="Q30" s="1">
        <f>(I30*J30)/(G30*H30)</f>
        <v>0.81914893617021278</v>
      </c>
    </row>
    <row r="31" spans="2:45" x14ac:dyDescent="0.3">
      <c r="F31" s="1">
        <v>57</v>
      </c>
      <c r="G31" s="1">
        <v>2.6</v>
      </c>
      <c r="H31" s="1">
        <v>47</v>
      </c>
      <c r="I31" s="1">
        <v>2.2999999999999998</v>
      </c>
      <c r="J31" s="1">
        <v>42</v>
      </c>
      <c r="K31" s="4">
        <f t="shared" ref="K31:K46" si="34">(F31+C$10)/F31*G31</f>
        <v>3.6136452241715404</v>
      </c>
      <c r="L31" s="4">
        <f t="shared" ref="L31:L46" si="35">K31/C$12*1000</f>
        <v>156.38787489862403</v>
      </c>
      <c r="M31" s="4">
        <f>H31*C$11/1000</f>
        <v>1.1193673469387755</v>
      </c>
      <c r="N31" s="4">
        <f>M31+C$13</f>
        <v>2.3101836734693877</v>
      </c>
      <c r="O31" s="1">
        <f>G31*H31/1000</f>
        <v>0.1222</v>
      </c>
      <c r="P31" s="4">
        <f t="shared" ref="P31:P46" si="36">I31*J31/1000</f>
        <v>9.6599999999999991E-2</v>
      </c>
      <c r="Q31" s="1">
        <f t="shared" ref="Q31:Q46" si="37">(I31*J31)/(G31*H31)</f>
        <v>0.79050736497545004</v>
      </c>
    </row>
    <row r="32" spans="2:45" x14ac:dyDescent="0.3">
      <c r="F32" s="1">
        <v>67</v>
      </c>
      <c r="G32" s="1">
        <v>2.7</v>
      </c>
      <c r="H32" s="1">
        <v>47</v>
      </c>
      <c r="I32" s="1">
        <v>2.5</v>
      </c>
      <c r="J32" s="1">
        <v>38</v>
      </c>
      <c r="K32" s="4">
        <f t="shared" si="34"/>
        <v>3.595522388059702</v>
      </c>
      <c r="L32" s="4">
        <f t="shared" si="35"/>
        <v>155.6035721652764</v>
      </c>
      <c r="M32" s="4">
        <f>H32*C$11/1000</f>
        <v>1.1193673469387755</v>
      </c>
      <c r="N32" s="4">
        <f>M32+C$13</f>
        <v>2.3101836734693877</v>
      </c>
      <c r="O32" s="1">
        <f>G32*H32/1000</f>
        <v>0.12690000000000001</v>
      </c>
      <c r="P32" s="4">
        <f t="shared" si="36"/>
        <v>9.5000000000000001E-2</v>
      </c>
      <c r="Q32" s="1">
        <f t="shared" si="37"/>
        <v>0.7486209613869188</v>
      </c>
    </row>
    <row r="33" spans="6:17" x14ac:dyDescent="0.3">
      <c r="F33" s="1">
        <v>77</v>
      </c>
      <c r="G33" s="1">
        <v>2.8</v>
      </c>
      <c r="H33" s="1">
        <v>47</v>
      </c>
      <c r="I33" s="1">
        <v>2.8</v>
      </c>
      <c r="J33" s="1">
        <v>36</v>
      </c>
      <c r="K33" s="4">
        <f t="shared" si="34"/>
        <v>3.6080808080808082</v>
      </c>
      <c r="L33" s="4">
        <f t="shared" si="35"/>
        <v>156.1470634316708</v>
      </c>
      <c r="M33" s="4">
        <f>H33*C$11/1000</f>
        <v>1.1193673469387755</v>
      </c>
      <c r="N33" s="4">
        <f>M33+C$13</f>
        <v>2.3101836734693877</v>
      </c>
      <c r="O33" s="1">
        <f>G33*H33/1000</f>
        <v>0.13159999999999999</v>
      </c>
      <c r="P33" s="4">
        <f t="shared" si="36"/>
        <v>0.1008</v>
      </c>
      <c r="Q33" s="1">
        <f t="shared" si="37"/>
        <v>0.76595744680851063</v>
      </c>
    </row>
    <row r="34" spans="6:17" x14ac:dyDescent="0.3">
      <c r="F34" s="1">
        <v>87</v>
      </c>
      <c r="G34" s="1">
        <v>2.9</v>
      </c>
      <c r="H34" s="1">
        <v>47</v>
      </c>
      <c r="I34" s="1">
        <v>3.2</v>
      </c>
      <c r="J34" s="1">
        <v>35</v>
      </c>
      <c r="K34" s="4">
        <f t="shared" si="34"/>
        <v>3.6407407407407408</v>
      </c>
      <c r="L34" s="4">
        <f t="shared" si="35"/>
        <v>157.56048869789626</v>
      </c>
      <c r="M34" s="4">
        <f>H34*C$11/1000</f>
        <v>1.1193673469387755</v>
      </c>
      <c r="N34" s="4">
        <f>M34+C$13</f>
        <v>2.3101836734693877</v>
      </c>
      <c r="O34" s="1">
        <f>G34*H34/1000</f>
        <v>0.13629999999999998</v>
      </c>
      <c r="P34" s="4">
        <f t="shared" si="36"/>
        <v>0.112</v>
      </c>
      <c r="Q34" s="1">
        <f t="shared" si="37"/>
        <v>0.82171680117388124</v>
      </c>
    </row>
    <row r="35" spans="6:17" x14ac:dyDescent="0.3">
      <c r="F35" s="1">
        <v>100</v>
      </c>
      <c r="G35" s="1">
        <v>3.2</v>
      </c>
      <c r="H35" s="1">
        <v>48</v>
      </c>
      <c r="I35" s="1">
        <v>3.5</v>
      </c>
      <c r="J35" s="1">
        <v>35</v>
      </c>
      <c r="K35" s="4">
        <f t="shared" si="34"/>
        <v>3.9111111111111114</v>
      </c>
      <c r="L35" s="4">
        <f t="shared" si="35"/>
        <v>169.26131847912356</v>
      </c>
      <c r="M35" s="4">
        <f>H35*C$11/1000</f>
        <v>1.1431836734693877</v>
      </c>
      <c r="N35" s="4">
        <f>M35+C$13</f>
        <v>2.3339999999999996</v>
      </c>
      <c r="O35" s="1">
        <f>G35*H35/1000</f>
        <v>0.15360000000000001</v>
      </c>
      <c r="P35" s="4">
        <f t="shared" si="36"/>
        <v>0.1225</v>
      </c>
      <c r="Q35" s="1">
        <f t="shared" si="37"/>
        <v>0.79752604166666652</v>
      </c>
    </row>
    <row r="36" spans="6:17" x14ac:dyDescent="0.3">
      <c r="F36" s="1">
        <v>110</v>
      </c>
      <c r="G36" s="1">
        <v>3.3</v>
      </c>
      <c r="H36" s="1">
        <v>52</v>
      </c>
      <c r="I36" s="1">
        <v>3.7</v>
      </c>
      <c r="J36" s="1">
        <v>33</v>
      </c>
      <c r="K36" s="4">
        <f t="shared" si="34"/>
        <v>3.9666666666666663</v>
      </c>
      <c r="L36" s="4">
        <f t="shared" si="35"/>
        <v>171.66559857115655</v>
      </c>
      <c r="M36" s="4">
        <f>H36*C$11/1000</f>
        <v>1.2384489795918365</v>
      </c>
      <c r="N36" s="4">
        <f>M36+C$13</f>
        <v>2.4292653061224487</v>
      </c>
      <c r="O36" s="1">
        <f>G36*H36/1000</f>
        <v>0.1716</v>
      </c>
      <c r="P36" s="4">
        <f t="shared" si="36"/>
        <v>0.12210000000000001</v>
      </c>
      <c r="Q36" s="1">
        <f t="shared" si="37"/>
        <v>0.71153846153846156</v>
      </c>
    </row>
    <row r="37" spans="6:17" x14ac:dyDescent="0.3">
      <c r="F37" s="1">
        <v>120</v>
      </c>
      <c r="G37" s="1">
        <v>3.4</v>
      </c>
      <c r="H37" s="1">
        <v>50</v>
      </c>
      <c r="I37" s="1">
        <v>4</v>
      </c>
      <c r="J37" s="1">
        <v>32</v>
      </c>
      <c r="K37" s="4">
        <f t="shared" si="34"/>
        <v>4.0296296296296301</v>
      </c>
      <c r="L37" s="4">
        <f t="shared" si="35"/>
        <v>174.39044934212734</v>
      </c>
      <c r="M37" s="4">
        <f>H37*C$11/1000</f>
        <v>1.1908163265306122</v>
      </c>
      <c r="N37" s="4">
        <f>M37+C$13</f>
        <v>2.3816326530612244</v>
      </c>
      <c r="O37" s="1">
        <f>G37*H37/1000</f>
        <v>0.17</v>
      </c>
      <c r="P37" s="4">
        <f t="shared" si="36"/>
        <v>0.128</v>
      </c>
      <c r="Q37" s="1">
        <f t="shared" si="37"/>
        <v>0.75294117647058822</v>
      </c>
    </row>
    <row r="38" spans="6:17" x14ac:dyDescent="0.3">
      <c r="F38" s="1">
        <v>130</v>
      </c>
      <c r="G38" s="1">
        <v>3.3</v>
      </c>
      <c r="H38" s="1">
        <v>47</v>
      </c>
      <c r="I38" s="1">
        <v>4.0999999999999996</v>
      </c>
      <c r="J38" s="1">
        <v>31</v>
      </c>
      <c r="K38" s="4">
        <f t="shared" si="34"/>
        <v>3.8641025641025641</v>
      </c>
      <c r="L38" s="4">
        <f t="shared" si="35"/>
        <v>167.22692763201871</v>
      </c>
      <c r="M38" s="4">
        <f>H38*C$11/1000</f>
        <v>1.1193673469387755</v>
      </c>
      <c r="N38" s="4">
        <f>M38+C$13</f>
        <v>2.3101836734693877</v>
      </c>
      <c r="O38" s="1">
        <f>G38*H38/1000</f>
        <v>0.15509999999999999</v>
      </c>
      <c r="P38" s="4">
        <f t="shared" si="36"/>
        <v>0.12709999999999999</v>
      </c>
      <c r="Q38" s="1">
        <f t="shared" si="37"/>
        <v>0.819471308833011</v>
      </c>
    </row>
    <row r="39" spans="6:17" x14ac:dyDescent="0.3">
      <c r="F39" s="1">
        <v>147</v>
      </c>
      <c r="G39" s="1">
        <v>3.4</v>
      </c>
      <c r="H39" s="1">
        <v>47</v>
      </c>
      <c r="I39" s="1">
        <v>4.3</v>
      </c>
      <c r="J39" s="1">
        <v>29</v>
      </c>
      <c r="K39" s="4">
        <f t="shared" si="34"/>
        <v>3.9139833711262284</v>
      </c>
      <c r="L39" s="4">
        <f t="shared" si="35"/>
        <v>169.38562139544635</v>
      </c>
      <c r="M39" s="4">
        <f>H39*C$11/1000</f>
        <v>1.1193673469387755</v>
      </c>
      <c r="N39" s="4">
        <f>M39+C$13</f>
        <v>2.3101836734693877</v>
      </c>
      <c r="O39" s="1">
        <f>G39*H39/1000</f>
        <v>0.15979999999999997</v>
      </c>
      <c r="P39" s="4">
        <f t="shared" si="36"/>
        <v>0.12469999999999999</v>
      </c>
      <c r="Q39" s="1">
        <f t="shared" si="37"/>
        <v>0.78035043804755944</v>
      </c>
    </row>
    <row r="40" spans="6:17" x14ac:dyDescent="0.3">
      <c r="F40" s="1">
        <v>194</v>
      </c>
      <c r="G40" s="1">
        <v>3.5</v>
      </c>
      <c r="H40" s="1">
        <v>48</v>
      </c>
      <c r="I40" s="1">
        <v>5</v>
      </c>
      <c r="J40" s="1">
        <v>25</v>
      </c>
      <c r="K40" s="4">
        <f t="shared" si="34"/>
        <v>3.9009163802978239</v>
      </c>
      <c r="L40" s="4">
        <f t="shared" si="35"/>
        <v>168.82012068903916</v>
      </c>
      <c r="M40" s="4">
        <f>H40*C$11/1000</f>
        <v>1.1431836734693877</v>
      </c>
      <c r="N40" s="4">
        <f>M40+C$13</f>
        <v>2.3339999999999996</v>
      </c>
      <c r="O40" s="1">
        <f>G40*H40/1000</f>
        <v>0.16800000000000001</v>
      </c>
      <c r="P40" s="4">
        <f t="shared" si="36"/>
        <v>0.125</v>
      </c>
      <c r="Q40" s="1">
        <f t="shared" si="37"/>
        <v>0.74404761904761907</v>
      </c>
    </row>
    <row r="41" spans="6:17" x14ac:dyDescent="0.3">
      <c r="F41" s="1">
        <v>220</v>
      </c>
      <c r="G41" s="1">
        <v>3.3</v>
      </c>
      <c r="H41" s="1">
        <v>45</v>
      </c>
      <c r="I41" s="1">
        <v>5.2</v>
      </c>
      <c r="J41" s="1">
        <v>24</v>
      </c>
      <c r="K41" s="4">
        <f t="shared" si="34"/>
        <v>3.6333333333333333</v>
      </c>
      <c r="L41" s="4">
        <f t="shared" si="35"/>
        <v>157.23991801895855</v>
      </c>
      <c r="M41" s="4">
        <f>H41*C$11/1000</f>
        <v>1.0717346938775512</v>
      </c>
      <c r="N41" s="4">
        <f>M41+C$13</f>
        <v>2.2625510204081634</v>
      </c>
      <c r="O41" s="1">
        <f>G41*H41/1000</f>
        <v>0.14849999999999999</v>
      </c>
      <c r="P41" s="4">
        <f t="shared" si="36"/>
        <v>0.12480000000000001</v>
      </c>
      <c r="Q41" s="1">
        <f t="shared" si="37"/>
        <v>0.84040404040404049</v>
      </c>
    </row>
    <row r="42" spans="6:17" x14ac:dyDescent="0.3">
      <c r="F42" s="1">
        <v>330</v>
      </c>
      <c r="G42" s="1">
        <v>3.6</v>
      </c>
      <c r="H42" s="1">
        <v>45</v>
      </c>
      <c r="I42" s="1">
        <v>6.5</v>
      </c>
      <c r="J42" s="1">
        <v>20</v>
      </c>
      <c r="K42" s="4">
        <f t="shared" si="34"/>
        <v>3.8424242424242423</v>
      </c>
      <c r="L42" s="4">
        <f t="shared" si="35"/>
        <v>166.28875400170094</v>
      </c>
      <c r="M42" s="4">
        <f>H42*C$11/1000</f>
        <v>1.0717346938775512</v>
      </c>
      <c r="N42" s="4">
        <f>M42+C$13</f>
        <v>2.2625510204081634</v>
      </c>
      <c r="O42" s="1">
        <f>G42*H42/1000</f>
        <v>0.16200000000000001</v>
      </c>
      <c r="P42" s="4">
        <f t="shared" si="36"/>
        <v>0.13</v>
      </c>
      <c r="Q42" s="1">
        <f t="shared" si="37"/>
        <v>0.80246913580246915</v>
      </c>
    </row>
    <row r="43" spans="6:17" x14ac:dyDescent="0.3">
      <c r="F43" s="1">
        <v>470</v>
      </c>
      <c r="G43" s="1">
        <v>3.8</v>
      </c>
      <c r="H43" s="1">
        <v>43</v>
      </c>
      <c r="I43" s="1">
        <v>8</v>
      </c>
      <c r="J43" s="1">
        <v>17</v>
      </c>
      <c r="K43" s="4">
        <f t="shared" si="34"/>
        <v>3.9796690307328606</v>
      </c>
      <c r="L43" s="4">
        <f t="shared" si="35"/>
        <v>172.22830242248344</v>
      </c>
      <c r="M43" s="4">
        <f>H43*C$11/1000</f>
        <v>1.0241020408163266</v>
      </c>
      <c r="N43" s="4">
        <f>M43+C$13</f>
        <v>2.2149183673469386</v>
      </c>
      <c r="O43" s="1">
        <f>G43*H43/1000</f>
        <v>0.16340000000000002</v>
      </c>
      <c r="P43" s="4">
        <f t="shared" si="36"/>
        <v>0.13600000000000001</v>
      </c>
      <c r="Q43" s="1">
        <f t="shared" si="37"/>
        <v>0.83231334149326808</v>
      </c>
    </row>
    <row r="44" spans="6:17" x14ac:dyDescent="0.3">
      <c r="F44" s="1">
        <v>680</v>
      </c>
      <c r="G44" s="1">
        <v>4</v>
      </c>
      <c r="H44" s="1">
        <v>43</v>
      </c>
      <c r="I44" s="1">
        <v>9.6</v>
      </c>
      <c r="J44" s="1">
        <v>14</v>
      </c>
      <c r="K44" s="4">
        <f t="shared" si="34"/>
        <v>4.1307189542483655</v>
      </c>
      <c r="L44" s="4">
        <f t="shared" si="35"/>
        <v>178.76529625468928</v>
      </c>
      <c r="M44" s="4">
        <f>H44*C$11/1000</f>
        <v>1.0241020408163266</v>
      </c>
      <c r="N44" s="4">
        <f>M44+C$13</f>
        <v>2.2149183673469386</v>
      </c>
      <c r="O44" s="1">
        <f>G44*H44/1000</f>
        <v>0.17199999999999999</v>
      </c>
      <c r="P44" s="4">
        <f t="shared" si="36"/>
        <v>0.13440000000000002</v>
      </c>
      <c r="Q44" s="1">
        <f t="shared" si="37"/>
        <v>0.78139534883720929</v>
      </c>
    </row>
    <row r="45" spans="6:17" x14ac:dyDescent="0.3">
      <c r="F45" s="1">
        <v>1000</v>
      </c>
      <c r="G45" s="1">
        <v>4.8</v>
      </c>
      <c r="H45" s="1">
        <v>43</v>
      </c>
      <c r="I45" s="1">
        <v>10.5</v>
      </c>
      <c r="J45" s="1">
        <v>11</v>
      </c>
      <c r="K45" s="4">
        <f t="shared" si="34"/>
        <v>4.9066666666666663</v>
      </c>
      <c r="L45" s="4">
        <f t="shared" si="35"/>
        <v>212.34601772835498</v>
      </c>
      <c r="M45" s="4">
        <f>H45*C$11/1000</f>
        <v>1.0241020408163266</v>
      </c>
      <c r="N45" s="4">
        <f>M45+C$13</f>
        <v>2.2149183673469386</v>
      </c>
      <c r="O45" s="1">
        <f>G45*H45/1000</f>
        <v>0.2064</v>
      </c>
      <c r="P45" s="4">
        <f t="shared" si="36"/>
        <v>0.11550000000000001</v>
      </c>
      <c r="Q45" s="1">
        <f t="shared" si="37"/>
        <v>0.55959302325581395</v>
      </c>
    </row>
    <row r="46" spans="6:17" x14ac:dyDescent="0.3">
      <c r="F46" s="1">
        <v>2200</v>
      </c>
      <c r="G46" s="1">
        <v>5.7</v>
      </c>
      <c r="H46" s="1">
        <v>13</v>
      </c>
      <c r="I46" s="1">
        <v>5.45</v>
      </c>
      <c r="J46" s="1">
        <v>12</v>
      </c>
      <c r="K46" s="4">
        <f t="shared" si="34"/>
        <v>5.7575757575757578</v>
      </c>
      <c r="L46" s="4">
        <f t="shared" si="35"/>
        <v>249.17084590160235</v>
      </c>
      <c r="M46" s="4">
        <f>H46*C$11/1000</f>
        <v>0.30961224489795913</v>
      </c>
      <c r="N46" s="4">
        <f>M46+C$13</f>
        <v>1.5004285714285714</v>
      </c>
      <c r="O46" s="1">
        <f>G46*H46/1000</f>
        <v>7.4100000000000013E-2</v>
      </c>
      <c r="P46" s="4">
        <f t="shared" si="36"/>
        <v>6.54E-2</v>
      </c>
      <c r="Q46" s="1">
        <f t="shared" si="37"/>
        <v>0.88259109311740891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66733-C040-4D9C-93DE-CFC2ED8EA00D}">
  <dimension ref="A1"/>
  <sheetViews>
    <sheetView topLeftCell="A3" workbookViewId="0">
      <selection activeCell="R11" sqref="R1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Quinten Doornbos</dc:creator>
  <cp:lastModifiedBy>Fabian</cp:lastModifiedBy>
  <dcterms:created xsi:type="dcterms:W3CDTF">2020-05-15T10:15:17Z</dcterms:created>
  <dcterms:modified xsi:type="dcterms:W3CDTF">2020-06-03T10:02:42Z</dcterms:modified>
</cp:coreProperties>
</file>