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Hoja de Registro" sheetId="1" r:id="rId1"/>
    <sheet name="Tabla-Matriz" sheetId="5" r:id="rId2"/>
    <sheet name="Catalogo" sheetId="2" r:id="rId3"/>
    <sheet name="Ponderaciones" sheetId="3" r:id="rId4"/>
    <sheet name="Catalogo_Tratamiento" sheetId="4" state="hidden" r:id="rId5"/>
    <sheet name="Formulas" sheetId="6" state="hidden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U13" i="1" l="1"/>
  <c r="U14" i="1"/>
  <c r="U15" i="1"/>
  <c r="U16" i="1"/>
  <c r="U17" i="1"/>
  <c r="R18" i="5" s="1"/>
  <c r="U18" i="1"/>
  <c r="U19" i="1"/>
  <c r="U20" i="1"/>
  <c r="U21" i="1"/>
  <c r="U22" i="1"/>
  <c r="N22" i="5" s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R21" i="5"/>
  <c r="R20" i="5"/>
  <c r="R19" i="5"/>
  <c r="Q21" i="5"/>
  <c r="Q20" i="5"/>
  <c r="Q19" i="5"/>
  <c r="Q18" i="5"/>
  <c r="P21" i="5"/>
  <c r="P20" i="5"/>
  <c r="P19" i="5"/>
  <c r="P18" i="5"/>
  <c r="O21" i="5"/>
  <c r="O20" i="5"/>
  <c r="O18" i="5"/>
  <c r="J18" i="5"/>
  <c r="G18" i="5"/>
  <c r="O19" i="5"/>
  <c r="N18" i="5"/>
  <c r="G19" i="5"/>
  <c r="G19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R22" i="5" l="1"/>
  <c r="Q22" i="5"/>
  <c r="P22" i="5"/>
  <c r="O22" i="5"/>
  <c r="N21" i="5"/>
  <c r="N20" i="5"/>
  <c r="N19" i="5"/>
  <c r="K21" i="5"/>
  <c r="K20" i="5"/>
  <c r="K19" i="5"/>
  <c r="K18" i="5"/>
  <c r="K22" i="5"/>
  <c r="J22" i="5"/>
  <c r="J21" i="5"/>
  <c r="J20" i="5"/>
  <c r="J19" i="5"/>
  <c r="I21" i="5"/>
  <c r="I20" i="5"/>
  <c r="I19" i="5"/>
  <c r="I18" i="5"/>
  <c r="I22" i="5"/>
  <c r="H21" i="5"/>
  <c r="H20" i="5"/>
  <c r="H19" i="5"/>
  <c r="H18" i="5"/>
  <c r="H22" i="5"/>
  <c r="G22" i="5"/>
  <c r="G21" i="5"/>
  <c r="G20" i="5"/>
  <c r="C3" i="6"/>
  <c r="C4" i="6"/>
  <c r="D5" i="6"/>
  <c r="C5" i="6"/>
  <c r="C6" i="6"/>
  <c r="D3" i="6"/>
  <c r="D4" i="6"/>
  <c r="D6" i="6"/>
  <c r="D19" i="5"/>
  <c r="D20" i="5"/>
  <c r="D21" i="5"/>
  <c r="D22" i="5"/>
  <c r="V19" i="5"/>
  <c r="V20" i="5"/>
  <c r="V21" i="5"/>
  <c r="V22" i="5"/>
</calcChain>
</file>

<file path=xl/sharedStrings.xml><?xml version="1.0" encoding="utf-8"?>
<sst xmlns="http://schemas.openxmlformats.org/spreadsheetml/2006/main" count="297" uniqueCount="239">
  <si>
    <t>Versión</t>
  </si>
  <si>
    <t>Emisión</t>
  </si>
  <si>
    <t>Formato</t>
  </si>
  <si>
    <t>Elaborado por:</t>
  </si>
  <si>
    <t>Cargo:</t>
  </si>
  <si>
    <t xml:space="preserve">Fecha de revisión: </t>
  </si>
  <si>
    <t>Identificación del Riesgo / Oportunidad</t>
  </si>
  <si>
    <t>Tratamiento</t>
  </si>
  <si>
    <t>Efecto</t>
  </si>
  <si>
    <t>Riesgo / Oportunidad</t>
  </si>
  <si>
    <t>Actividad de Tratamiento</t>
  </si>
  <si>
    <t>Responsable</t>
  </si>
  <si>
    <t>Fecha Inicial</t>
  </si>
  <si>
    <t>Fecha Final</t>
  </si>
  <si>
    <t>Mitigar</t>
  </si>
  <si>
    <t>Tipo de Riesgo / Oportunidad</t>
  </si>
  <si>
    <t>Descripción de Riesgo / Oportunidad</t>
  </si>
  <si>
    <t>TIPO</t>
  </si>
  <si>
    <t>TIPO DE RIESGOS</t>
  </si>
  <si>
    <t>TALENTO HUMANO</t>
  </si>
  <si>
    <t>DIRECCIONAMIENTO, PROCESOS</t>
  </si>
  <si>
    <t>RECURSOS</t>
  </si>
  <si>
    <t>INFORMACIÓN</t>
  </si>
  <si>
    <t>CONTROL, MEDICIÓN Y SEGUIMIENTO</t>
  </si>
  <si>
    <t>NORMATIVIDAD</t>
  </si>
  <si>
    <t>TECNOLOGÍA</t>
  </si>
  <si>
    <t>EVENTOS NATURALES</t>
  </si>
  <si>
    <t>INFRAESTRUCTURA DE APOYO</t>
  </si>
  <si>
    <t>Carencia de perfiles para el cargo</t>
  </si>
  <si>
    <t>Inadecuados perfiles para el cargo</t>
  </si>
  <si>
    <t>Carencia de las competencias requeridas para desarrollar la actividad</t>
  </si>
  <si>
    <t>Desconocimiento del proceso, actividad o procedimiento</t>
  </si>
  <si>
    <t>Falta de actividades de capacitación</t>
  </si>
  <si>
    <t>Inadecuadas actividades de capacitación</t>
  </si>
  <si>
    <t>Falta de actividades de sensibilización</t>
  </si>
  <si>
    <t>Inadecuadas actividades de sensibilización</t>
  </si>
  <si>
    <t>Falta de inducción y/o entrenamiento</t>
  </si>
  <si>
    <t>Inadecuada inducción y/o entrenamiento</t>
  </si>
  <si>
    <t>Falta de experiencia y agilidad en el trabajo</t>
  </si>
  <si>
    <t>Negligencia y/o descuido</t>
  </si>
  <si>
    <t>Intereses personales</t>
  </si>
  <si>
    <t>Intereses políticos</t>
  </si>
  <si>
    <t>Incumplimiento en el cubrimiento de vacantes</t>
  </si>
  <si>
    <t>Falta de oportunidad en el cubrimiento de vacantes</t>
  </si>
  <si>
    <t>Falta de personal para gestionar el proceso</t>
  </si>
  <si>
    <t>Falta de objetividad e independencia en el trabajo</t>
  </si>
  <si>
    <t>Deficiencias en el proceso de selección</t>
  </si>
  <si>
    <t>Exceso de confianza</t>
  </si>
  <si>
    <t>Falta de apoyo a nivel directivo</t>
  </si>
  <si>
    <t>Falta de compromiso</t>
  </si>
  <si>
    <t>Falta de prevención y cuidado</t>
  </si>
  <si>
    <t>Falta de claridad en la asignación de roles y responsabilidades</t>
  </si>
  <si>
    <t>Fallas en el proceso de selección</t>
  </si>
  <si>
    <t>Inexistencia de evaluación del desempeños</t>
  </si>
  <si>
    <t>Deficiencias en la comunicación de la alta dirección con los colaboradores</t>
  </si>
  <si>
    <t>Carencia de participación de los colaboradores en los procesos. procedimientos o actividades</t>
  </si>
  <si>
    <t>Falta de planeación</t>
  </si>
  <si>
    <t>Inadecuada distribución de cargas laborales</t>
  </si>
  <si>
    <t>Inadecuada distribución de cargos</t>
  </si>
  <si>
    <t>Falta de definición oficial de funciones asignadas a los cargos</t>
  </si>
  <si>
    <t>Inadecuada definición de funciones asignadas a los cargos</t>
  </si>
  <si>
    <t>Falta de coordinación entre la estructura organizacional y el modelo de operación</t>
  </si>
  <si>
    <t>Desactualización de la estructura organizacional</t>
  </si>
  <si>
    <t>Concentración de funciones</t>
  </si>
  <si>
    <t>Carencia de lineamientos de acción general (políticas y directrices institucionales)</t>
  </si>
  <si>
    <t>Falta claridad en los lineamientos directivos</t>
  </si>
  <si>
    <t>Inadecuados lineamientos (políticas y directrices institucionales)</t>
  </si>
  <si>
    <t>Desconocimiento del nivel directivo del negocio y los requerimientos del mismo</t>
  </si>
  <si>
    <t>Desconocimiento del nivel directivo del contexto externo de la organización</t>
  </si>
  <si>
    <t>Resistencia al cambio o baja tolerancia a tomar riesgos</t>
  </si>
  <si>
    <t>Carencia de una metodología, herramientas y/o medios para desarrollar el proceso</t>
  </si>
  <si>
    <t>Desconocimiento de las metodologías, herramientas y/o medios aplicados</t>
  </si>
  <si>
    <t>Falta de capacitación en las nuevas metodologías, herramientas y/o medios</t>
  </si>
  <si>
    <t>Inadecuada selección de metodologías, herramientas y/o medios de trabajo</t>
  </si>
  <si>
    <t>Falta de estandarización del proceso</t>
  </si>
  <si>
    <t>Falta de comunicación de los procedimientos</t>
  </si>
  <si>
    <t>Deficiencias en el diseño del proceso</t>
  </si>
  <si>
    <t>Desactualización de los procesos</t>
  </si>
  <si>
    <t>Falta de coordinación entre los procesos</t>
  </si>
  <si>
    <t>Falta de coordinación entre quienes desarrollan el proceso</t>
  </si>
  <si>
    <t>Carencia de políticas para el proceso</t>
  </si>
  <si>
    <t>Desconocimiento de las políticas del proceso</t>
  </si>
  <si>
    <t>Desconocimiento de las necesidades y requerimientos básicos de los clientes</t>
  </si>
  <si>
    <t>Falta de planeación de las actividades o tareas</t>
  </si>
  <si>
    <t>Inadecuada planeación de las actividades o tareas</t>
  </si>
  <si>
    <t>Inadecuada organización de prioridades</t>
  </si>
  <si>
    <t>Concurrencia de actividades simultáneas</t>
  </si>
  <si>
    <t>Desconocimiento de los factores internos, condiciones y necesidades de la empresa</t>
  </si>
  <si>
    <t>Fallas en los controles de calidad</t>
  </si>
  <si>
    <t>Fallas en las medidas de seguridad</t>
  </si>
  <si>
    <t>Incumplimiento de controles diseñados</t>
  </si>
  <si>
    <t>Carencia de recursos humanos</t>
  </si>
  <si>
    <t>Carencia de recursos tecnológicos</t>
  </si>
  <si>
    <t>Carencia de recursos económicos</t>
  </si>
  <si>
    <t>Carencia de recursos logísticos</t>
  </si>
  <si>
    <t>Carencia de materiales</t>
  </si>
  <si>
    <t>Inadecuada asignación de recursos humanos</t>
  </si>
  <si>
    <t>Inadecuada asignación de recursos tecnológicos</t>
  </si>
  <si>
    <t>Inadecuada asignación de recursos económicos</t>
  </si>
  <si>
    <t>Inadecuada asignación de recursos logísticos</t>
  </si>
  <si>
    <t>Inadecuada asignación de materiales</t>
  </si>
  <si>
    <t>Falta de planeación en la solicitud de recursos humanos</t>
  </si>
  <si>
    <t>Falta de planeación en la solicitud de recursos tecnológicos</t>
  </si>
  <si>
    <t>Falta de planeación en la solicitud de recursos económicos</t>
  </si>
  <si>
    <t>Falta de planeación en la solicitud de recursos logísticos</t>
  </si>
  <si>
    <t>Falta de planeación en la solicitud de materiales</t>
  </si>
  <si>
    <t>Disminución de la disponibilidad presupuestal</t>
  </si>
  <si>
    <t>Falta de aprovechamiento de los recursos disponibles</t>
  </si>
  <si>
    <t>Mal uso de les recursos</t>
  </si>
  <si>
    <t>Falta de confiabilidad en la información</t>
  </si>
  <si>
    <t>Falta de claridad en la información</t>
  </si>
  <si>
    <t>Falta de precisión en la información</t>
  </si>
  <si>
    <t>Falta de oportunidad en la entrega de la información</t>
  </si>
  <si>
    <t>Desconocimiento de las responsabilidades en el manejo de información</t>
  </si>
  <si>
    <t>Desactualización de la información</t>
  </si>
  <si>
    <t>Fallas en el canal de distribución de la información</t>
  </si>
  <si>
    <t>Inadecuada selección de contratistas y proveedores</t>
  </si>
  <si>
    <t>Dependencia de un proveedor</t>
  </si>
  <si>
    <t>Carencia de parámetros adecuados en la celebración de convenios</t>
  </si>
  <si>
    <t>Inadecuada gestión de los contratos</t>
  </si>
  <si>
    <t>Carencia de interventoría de los servicios o productos recibidos</t>
  </si>
  <si>
    <t>Ausencia de mecanismos que garanticen el cumplimiento de los compromisos adquiridos por parte de los proveedores</t>
  </si>
  <si>
    <t>Deficiencias en el diseño de seguridad</t>
  </si>
  <si>
    <t>No aplicación de las medidas de seguridad establecidas</t>
  </si>
  <si>
    <t>Carencia de parámetros de medición</t>
  </si>
  <si>
    <t>Falta de claridad y efectividad en los parámetros de medición</t>
  </si>
  <si>
    <t>Falta de análisis de los resultados de las mediciones</t>
  </si>
  <si>
    <t>Carencia de actividades de revisión y verificación por parte de una persona independiente</t>
  </si>
  <si>
    <t>Manipulación de pruebas y/o resultados</t>
  </si>
  <si>
    <t>Falta de supervisión</t>
  </si>
  <si>
    <t>Fallas en las actividades de revisión</t>
  </si>
  <si>
    <t>Desconocimiento de la normatividad legal vigente</t>
  </si>
  <si>
    <t>Inadecuada interpretación de la normatividad legal vigente</t>
  </si>
  <si>
    <t>Desactualización de la normatividad legal vigente</t>
  </si>
  <si>
    <t>Incumplimiento de la normatividad legal vigente</t>
  </si>
  <si>
    <t>Dificultad para adaptarse a la normatividad legal vigente</t>
  </si>
  <si>
    <t>Falta o inadecuada asesoría jurídica</t>
  </si>
  <si>
    <t>Incumplimiento de los derechos de propiedad intelectual y licenciamiento</t>
  </si>
  <si>
    <t>Obsolescencia tecnológica</t>
  </si>
  <si>
    <t>Desactualización tecnológica</t>
  </si>
  <si>
    <t>Dificultad para responder a los avances tecnológicos acelerados</t>
  </si>
  <si>
    <t>Inadecuado soporte tecnológico</t>
  </si>
  <si>
    <t>Inadecuada plataforma tecnológica</t>
  </si>
  <si>
    <t>Fallas en la plataforma tecnológica</t>
  </si>
  <si>
    <t>Carencia de mantenimiento preventivo</t>
  </si>
  <si>
    <t>Fallas en el mantenimiento preventivo</t>
  </si>
  <si>
    <t>Vulnerabilidad Informática</t>
  </si>
  <si>
    <t>Inundaciones naturales</t>
  </si>
  <si>
    <t>Incendio forestales</t>
  </si>
  <si>
    <t>Terremotos</t>
  </si>
  <si>
    <t>Granizo</t>
  </si>
  <si>
    <t>Huracanes</t>
  </si>
  <si>
    <t>Tormenta eléctrica</t>
  </si>
  <si>
    <t>Ola de calor</t>
  </si>
  <si>
    <t>Daño UPS</t>
  </si>
  <si>
    <t>Daño Planta Eléctrica</t>
  </si>
  <si>
    <t>Daño Tuberías</t>
  </si>
  <si>
    <t>Daño Infraestructura física</t>
  </si>
  <si>
    <t>Goteras</t>
  </si>
  <si>
    <t>Humedad no controlada</t>
  </si>
  <si>
    <t>Sobrecalentamiento de aire acondicionado</t>
  </si>
  <si>
    <t>Improbable</t>
  </si>
  <si>
    <t>Posible</t>
  </si>
  <si>
    <t>Ocasional</t>
  </si>
  <si>
    <t>Moderado</t>
  </si>
  <si>
    <t>Recurrente</t>
  </si>
  <si>
    <t>Posibilidad de Ocurrencia</t>
  </si>
  <si>
    <t>Matriz de Riesgos</t>
  </si>
  <si>
    <t>Grado de Severidad</t>
  </si>
  <si>
    <t>Sin impacto</t>
  </si>
  <si>
    <t>impacto menor</t>
  </si>
  <si>
    <t>Impacto moderado</t>
  </si>
  <si>
    <t>Catastrofe</t>
  </si>
  <si>
    <t>Color</t>
  </si>
  <si>
    <t>Nivel de Riesgo</t>
  </si>
  <si>
    <t>Riesgo Aceptable</t>
  </si>
  <si>
    <t>Riesgo Tolerable</t>
  </si>
  <si>
    <t>Riesgo Alto</t>
  </si>
  <si>
    <t>Riesgo Extremo</t>
  </si>
  <si>
    <t>Riesgo</t>
  </si>
  <si>
    <t>Severidad</t>
  </si>
  <si>
    <t>Ocurrencia</t>
  </si>
  <si>
    <t>Nivel / Riesgo</t>
  </si>
  <si>
    <t>Impacto Crítico</t>
  </si>
  <si>
    <t>2 a 8</t>
  </si>
  <si>
    <t>10 a 18</t>
  </si>
  <si>
    <t>20 a 24</t>
  </si>
  <si>
    <t>30 a 50</t>
  </si>
  <si>
    <t>TALENTO_HUMANO</t>
  </si>
  <si>
    <t>DIRECCIONAMIENTO_PROCESOS</t>
  </si>
  <si>
    <t>PROVEEDORES</t>
  </si>
  <si>
    <t>CONTROL_MEDICIÓN_SEGUIMIENTO</t>
  </si>
  <si>
    <t>EVENTOS_NATURALES</t>
  </si>
  <si>
    <t>INFRAESTRUCTURA</t>
  </si>
  <si>
    <t>Identificador</t>
  </si>
  <si>
    <t>Escalar</t>
  </si>
  <si>
    <t>Evitar</t>
  </si>
  <si>
    <t>Aceptar</t>
  </si>
  <si>
    <t>Oportunidad</t>
  </si>
  <si>
    <t>Explotar</t>
  </si>
  <si>
    <t>Compartir</t>
  </si>
  <si>
    <t>Mejorar</t>
  </si>
  <si>
    <t>Principales Causas</t>
  </si>
  <si>
    <t>Acción de Contención</t>
  </si>
  <si>
    <t>Avance</t>
  </si>
  <si>
    <t>Responsables</t>
  </si>
  <si>
    <t>Hennessy Becerra</t>
  </si>
  <si>
    <t xml:space="preserve">Oscar Navarro </t>
  </si>
  <si>
    <t xml:space="preserve">Eliseo Bonilla </t>
  </si>
  <si>
    <t>Fabian Batista</t>
  </si>
  <si>
    <t>David Esparza</t>
  </si>
  <si>
    <t>Omar Zarzoza</t>
  </si>
  <si>
    <t>Ivan Barron</t>
  </si>
  <si>
    <t>Posibilidad de Ocurrencia Final</t>
  </si>
  <si>
    <t>Grado de Severidad Final</t>
  </si>
  <si>
    <t>Posibilidad de Ocurrencia Inicial</t>
  </si>
  <si>
    <t>Grado de Severidad Inicial</t>
  </si>
  <si>
    <t>Nivel de Riesgo Inicial</t>
  </si>
  <si>
    <t>Nivel de Riesgo Final</t>
  </si>
  <si>
    <t>Nivel de Riesgo Cuantitativo Final</t>
  </si>
  <si>
    <t>Nivel de Riesgo Cuantitativo Inicial</t>
  </si>
  <si>
    <t>Inicial</t>
  </si>
  <si>
    <t>Final</t>
  </si>
  <si>
    <t>OTRO</t>
  </si>
  <si>
    <t>CASO FORTUITO O FUERZA MAYOR</t>
  </si>
  <si>
    <t>GESTIÓN DE RIESGOS / OPORTUNIDADES</t>
  </si>
  <si>
    <t xml:space="preserve">HOJA DE REGISTRO DE RIESGOS / OPORTUNIDADES </t>
  </si>
  <si>
    <r>
      <t xml:space="preserve">Sin impacto                  </t>
    </r>
    <r>
      <rPr>
        <sz val="11"/>
        <color theme="1"/>
        <rFont val="Calibri"/>
        <family val="2"/>
        <scheme val="minor"/>
      </rPr>
      <t>&gt;&gt; 1</t>
    </r>
  </si>
  <si>
    <r>
      <t xml:space="preserve">impacto menor          </t>
    </r>
    <r>
      <rPr>
        <sz val="11"/>
        <color theme="1"/>
        <rFont val="Calibri"/>
        <family val="2"/>
        <scheme val="minor"/>
      </rPr>
      <t xml:space="preserve"> &gt;&gt; 2</t>
    </r>
  </si>
  <si>
    <r>
      <t xml:space="preserve">Impacto moderado   </t>
    </r>
    <r>
      <rPr>
        <sz val="11"/>
        <color theme="1"/>
        <rFont val="Calibri"/>
        <family val="2"/>
        <scheme val="minor"/>
      </rPr>
      <t>&gt;&gt; 3</t>
    </r>
  </si>
  <si>
    <r>
      <t xml:space="preserve">Impacto Crítico           </t>
    </r>
    <r>
      <rPr>
        <sz val="11"/>
        <color theme="1"/>
        <rFont val="Calibri"/>
        <family val="2"/>
        <scheme val="minor"/>
      </rPr>
      <t>&gt;&gt; 4</t>
    </r>
  </si>
  <si>
    <r>
      <t xml:space="preserve">Catastrofe                     </t>
    </r>
    <r>
      <rPr>
        <sz val="11"/>
        <color theme="1"/>
        <rFont val="Calibri"/>
        <family val="2"/>
        <scheme val="minor"/>
      </rPr>
      <t>&gt;&gt; 5</t>
    </r>
  </si>
  <si>
    <r>
      <t xml:space="preserve">Impacto moderado  </t>
    </r>
    <r>
      <rPr>
        <sz val="11"/>
        <color theme="1"/>
        <rFont val="Calibri"/>
        <family val="2"/>
        <scheme val="minor"/>
      </rPr>
      <t xml:space="preserve"> &gt;&gt; 3</t>
    </r>
  </si>
  <si>
    <r>
      <t xml:space="preserve">impacto menor           </t>
    </r>
    <r>
      <rPr>
        <sz val="11"/>
        <color theme="1"/>
        <rFont val="Calibri"/>
        <family val="2"/>
        <scheme val="minor"/>
      </rPr>
      <t>&gt;&gt; 2</t>
    </r>
  </si>
  <si>
    <t>Tabla/Matriz   Pre-Mitigación</t>
  </si>
  <si>
    <t>Tabla/Matriz   Post-Mitigación</t>
  </si>
  <si>
    <r>
      <t xml:space="preserve">Catastrofe                    </t>
    </r>
    <r>
      <rPr>
        <sz val="11"/>
        <color theme="1"/>
        <rFont val="Calibri"/>
        <family val="2"/>
        <scheme val="minor"/>
      </rPr>
      <t>&gt;&gt; 5</t>
    </r>
  </si>
  <si>
    <t>Valoración del Riesgo/Oportunidad Inicial</t>
  </si>
  <si>
    <t>Valoración del Riesgo/Oportunidad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</si>
</sst>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/>
    </xf>
    <xf numFmtId="14" fontId="4" fillId="2" borderId="14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" fontId="2" fillId="7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4" fillId="2" borderId="15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2" borderId="26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4" fontId="4" fillId="2" borderId="27" xfId="0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14" fontId="6" fillId="2" borderId="8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12" borderId="0" xfId="0" applyFill="1"/>
    <xf numFmtId="0" fontId="0" fillId="12" borderId="38" xfId="0" applyFill="1" applyBorder="1"/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8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b/>
        <i val="0"/>
      </font>
      <numFmt numFmtId="164" formatCode="&quot;Riesgo Aceptable&quot;"/>
      <fill>
        <patternFill>
          <bgColor theme="9"/>
        </patternFill>
      </fill>
    </dxf>
    <dxf>
      <font>
        <b/>
        <i val="0"/>
      </font>
      <numFmt numFmtId="165" formatCode="&quot;Riesgo Tolerable&quot;"/>
      <fill>
        <patternFill>
          <bgColor theme="7" tint="0.59996337778862885"/>
        </patternFill>
      </fill>
    </dxf>
    <dxf>
      <font>
        <b/>
        <i val="0"/>
      </font>
      <numFmt numFmtId="166" formatCode="&quot;Riesgo Alto&quot;"/>
      <fill>
        <patternFill>
          <bgColor theme="7"/>
        </patternFill>
      </fill>
    </dxf>
    <dxf>
      <font>
        <b/>
        <i val="0"/>
        <color theme="0"/>
      </font>
      <numFmt numFmtId="167" formatCode="&quot;Riesgo Extremo&quot;"/>
      <fill>
        <patternFill>
          <bgColor rgb="FFC00000"/>
        </patternFill>
      </fill>
    </dxf>
    <dxf>
      <font>
        <b/>
        <i val="0"/>
      </font>
      <numFmt numFmtId="164" formatCode="&quot;Riesgo Aceptable&quot;"/>
      <fill>
        <patternFill>
          <bgColor theme="9"/>
        </patternFill>
      </fill>
    </dxf>
    <dxf>
      <font>
        <b/>
        <i val="0"/>
      </font>
      <numFmt numFmtId="165" formatCode="&quot;Riesgo Tolerable&quot;"/>
      <fill>
        <patternFill>
          <bgColor theme="7" tint="0.59996337778862885"/>
        </patternFill>
      </fill>
    </dxf>
    <dxf>
      <font>
        <b/>
        <i val="0"/>
      </font>
      <numFmt numFmtId="166" formatCode="&quot;Riesgo Alto&quot;"/>
      <fill>
        <patternFill>
          <bgColor theme="7"/>
        </patternFill>
      </fill>
    </dxf>
    <dxf>
      <font>
        <b/>
        <i val="0"/>
        <color theme="0"/>
      </font>
      <numFmt numFmtId="167" formatCode="&quot;Riesgo Extremo&quot;"/>
      <fill>
        <patternFill>
          <bgColor rgb="FFC00000"/>
        </patternFill>
      </fill>
    </dxf>
    <dxf>
      <font>
        <b/>
        <i val="0"/>
      </font>
      <numFmt numFmtId="164" formatCode="&quot;Riesgo Aceptable&quot;"/>
      <fill>
        <patternFill>
          <bgColor theme="9"/>
        </patternFill>
      </fill>
    </dxf>
    <dxf>
      <font>
        <b/>
        <i val="0"/>
      </font>
      <numFmt numFmtId="165" formatCode="&quot;Riesgo Tolerable&quot;"/>
      <fill>
        <patternFill>
          <bgColor theme="7" tint="0.59996337778862885"/>
        </patternFill>
      </fill>
    </dxf>
    <dxf>
      <font>
        <b/>
        <i val="0"/>
      </font>
      <numFmt numFmtId="166" formatCode="&quot;Riesgo Alto&quot;"/>
      <fill>
        <patternFill>
          <bgColor theme="7"/>
        </patternFill>
      </fill>
    </dxf>
    <dxf>
      <font>
        <b/>
        <i val="0"/>
        <color theme="0"/>
      </font>
      <numFmt numFmtId="167" formatCode="&quot;Riesgo Extremo&quot;"/>
      <fill>
        <patternFill>
          <bgColor rgb="FFC0000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6C1C4"/>
      <color rgb="FFE81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 Comparativa Pre-Mitigación  vs.</a:t>
            </a:r>
            <a:r>
              <a:rPr lang="es-MX" b="1" baseline="0"/>
              <a:t>  Post-Mitigación </a:t>
            </a:r>
          </a:p>
        </c:rich>
      </c:tx>
      <c:layout>
        <c:manualLayout>
          <c:xMode val="edge"/>
          <c:yMode val="edge"/>
          <c:x val="0.22668568711364717"/>
          <c:y val="3.20427191401001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Pre-Mitigación</c:v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908212560386496E-2"/>
                  <c:y val="-1.7801510633388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D9-45B7-B945-F3258E559291}"/>
                </c:ext>
              </c:extLst>
            </c:dLbl>
            <c:dLbl>
              <c:idx val="1"/>
              <c:layout>
                <c:manualLayout>
                  <c:x val="7.246376811594203E-3"/>
                  <c:y val="-2.1361812760066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D9-45B7-B945-F3258E559291}"/>
                </c:ext>
              </c:extLst>
            </c:dLbl>
            <c:dLbl>
              <c:idx val="2"/>
              <c:layout>
                <c:manualLayout>
                  <c:x val="1.4492753623188406E-2"/>
                  <c:y val="-1.4241208506711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D9-45B7-B945-F3258E559291}"/>
                </c:ext>
              </c:extLst>
            </c:dLbl>
            <c:dLbl>
              <c:idx val="3"/>
              <c:layout>
                <c:manualLayout>
                  <c:x val="1.6908212560386562E-2"/>
                  <c:y val="-2.8482417013422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D9-45B7-B945-F3258E559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Formulas!$B$3:$B$6</c:f>
              <c:strCache>
                <c:ptCount val="4"/>
                <c:pt idx="0">
                  <c:v>Riesgo Aceptable</c:v>
                </c:pt>
                <c:pt idx="1">
                  <c:v>Riesgo Tolerable</c:v>
                </c:pt>
                <c:pt idx="2">
                  <c:v>Riesgo Alto</c:v>
                </c:pt>
                <c:pt idx="3">
                  <c:v>Riesgo Extremo</c:v>
                </c:pt>
              </c:strCache>
            </c:strRef>
          </c:cat>
          <c:val>
            <c:numRef>
              <c:f>Formulas!$C$3:$C$6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6D9-45B7-B945-F3258E559291}"/>
            </c:ext>
          </c:extLst>
        </c:ser>
        <c:ser>
          <c:idx val="1"/>
          <c:order val="1"/>
          <c:tx>
            <c:v>Post-Mitigación</c:v>
          </c:tx>
          <c:spPr>
            <a:solidFill>
              <a:srgbClr val="00B050"/>
            </a:solidFill>
            <a:ln>
              <a:solidFill>
                <a:schemeClr val="bg1"/>
              </a:solidFill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6618357487922267E-3"/>
                  <c:y val="-1.424120850671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D9-45B7-B945-F3258E559291}"/>
                </c:ext>
              </c:extLst>
            </c:dLbl>
            <c:dLbl>
              <c:idx val="1"/>
              <c:layout>
                <c:manualLayout>
                  <c:x val="1.2077294685990338E-2"/>
                  <c:y val="-2.136181276006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D9-45B7-B945-F3258E559291}"/>
                </c:ext>
              </c:extLst>
            </c:dLbl>
            <c:dLbl>
              <c:idx val="2"/>
              <c:layout>
                <c:manualLayout>
                  <c:x val="1.4492753623188406E-2"/>
                  <c:y val="-3.2042719140100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D9-45B7-B945-F3258E559291}"/>
                </c:ext>
              </c:extLst>
            </c:dLbl>
            <c:dLbl>
              <c:idx val="3"/>
              <c:layout>
                <c:manualLayout>
                  <c:x val="2.1739130434782608E-2"/>
                  <c:y val="-1.7801510633388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D9-45B7-B945-F3258E559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Formulas!$B$3:$B$6</c:f>
              <c:strCache>
                <c:ptCount val="4"/>
                <c:pt idx="0">
                  <c:v>Riesgo Aceptable</c:v>
                </c:pt>
                <c:pt idx="1">
                  <c:v>Riesgo Tolerable</c:v>
                </c:pt>
                <c:pt idx="2">
                  <c:v>Riesgo Alto</c:v>
                </c:pt>
                <c:pt idx="3">
                  <c:v>Riesgo Extremo</c:v>
                </c:pt>
              </c:strCache>
            </c:strRef>
          </c:cat>
          <c:val>
            <c:numRef>
              <c:f>Formulas!$D$3:$D$6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6D9-45B7-B945-F3258E55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706688"/>
        <c:axId val="214268096"/>
        <c:axId val="0"/>
      </c:bar3DChart>
      <c:catAx>
        <c:axId val="214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268096"/>
        <c:crosses val="autoZero"/>
        <c:auto val="1"/>
        <c:lblAlgn val="ctr"/>
        <c:lblOffset val="100"/>
        <c:noMultiLvlLbl val="0"/>
      </c:catAx>
      <c:valAx>
        <c:axId val="21426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706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9620901553972417"/>
          <c:y val="0.91855766834412023"/>
          <c:w val="0.4472645086030913"/>
          <c:h val="6.0080518895812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Formulas!$C$2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908212560386496E-2"/>
                  <c:y val="-1.7801510633388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88-4BB7-B6BF-9D7898DCE5D7}"/>
                </c:ext>
              </c:extLst>
            </c:dLbl>
            <c:dLbl>
              <c:idx val="1"/>
              <c:layout>
                <c:manualLayout>
                  <c:x val="7.246376811594203E-3"/>
                  <c:y val="-2.1361812760066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88-4BB7-B6BF-9D7898DCE5D7}"/>
                </c:ext>
              </c:extLst>
            </c:dLbl>
            <c:dLbl>
              <c:idx val="2"/>
              <c:layout>
                <c:manualLayout>
                  <c:x val="1.4492753623188406E-2"/>
                  <c:y val="-1.4241208506711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88-4BB7-B6BF-9D7898DCE5D7}"/>
                </c:ext>
              </c:extLst>
            </c:dLbl>
            <c:dLbl>
              <c:idx val="3"/>
              <c:layout>
                <c:manualLayout>
                  <c:x val="1.6908212560386562E-2"/>
                  <c:y val="-2.8482417013422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8-4BB7-B6BF-9D7898DCE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Formulas!$B$3:$B$6</c:f>
              <c:strCache>
                <c:ptCount val="4"/>
                <c:pt idx="0">
                  <c:v>Riesgo Aceptable</c:v>
                </c:pt>
                <c:pt idx="1">
                  <c:v>Riesgo Tolerable</c:v>
                </c:pt>
                <c:pt idx="2">
                  <c:v>Riesgo Alto</c:v>
                </c:pt>
                <c:pt idx="3">
                  <c:v>Riesgo Extremo</c:v>
                </c:pt>
              </c:strCache>
            </c:strRef>
          </c:cat>
          <c:val>
            <c:numRef>
              <c:f>Formulas!$C$3:$C$6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88-4BB7-B6BF-9D7898DCE5D7}"/>
            </c:ext>
          </c:extLst>
        </c:ser>
        <c:ser>
          <c:idx val="1"/>
          <c:order val="1"/>
          <c:tx>
            <c:strRef>
              <c:f>Formulas!$D$2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6618357487922267E-3"/>
                  <c:y val="-1.424120850671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88-4BB7-B6BF-9D7898DCE5D7}"/>
                </c:ext>
              </c:extLst>
            </c:dLbl>
            <c:dLbl>
              <c:idx val="1"/>
              <c:layout>
                <c:manualLayout>
                  <c:x val="1.2077294685990338E-2"/>
                  <c:y val="-2.1361812760066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88-4BB7-B6BF-9D7898DCE5D7}"/>
                </c:ext>
              </c:extLst>
            </c:dLbl>
            <c:dLbl>
              <c:idx val="2"/>
              <c:layout>
                <c:manualLayout>
                  <c:x val="1.4492753623188406E-2"/>
                  <c:y val="-3.2042719140100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88-4BB7-B6BF-9D7898DCE5D7}"/>
                </c:ext>
              </c:extLst>
            </c:dLbl>
            <c:dLbl>
              <c:idx val="3"/>
              <c:layout>
                <c:manualLayout>
                  <c:x val="2.1739130434782608E-2"/>
                  <c:y val="-1.7801510633388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88-4BB7-B6BF-9D7898DCE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Formulas!$B$3:$B$6</c:f>
              <c:strCache>
                <c:ptCount val="4"/>
                <c:pt idx="0">
                  <c:v>Riesgo Aceptable</c:v>
                </c:pt>
                <c:pt idx="1">
                  <c:v>Riesgo Tolerable</c:v>
                </c:pt>
                <c:pt idx="2">
                  <c:v>Riesgo Alto</c:v>
                </c:pt>
                <c:pt idx="3">
                  <c:v>Riesgo Extremo</c:v>
                </c:pt>
              </c:strCache>
            </c:strRef>
          </c:cat>
          <c:val>
            <c:numRef>
              <c:f>Formulas!$D$3:$D$6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88-4BB7-B6BF-9D7898DC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844928"/>
        <c:axId val="216007808"/>
        <c:axId val="0"/>
      </c:bar3DChart>
      <c:catAx>
        <c:axId val="2148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6007808"/>
        <c:crosses val="autoZero"/>
        <c:auto val="1"/>
        <c:lblAlgn val="ctr"/>
        <c:lblOffset val="100"/>
        <c:noMultiLvlLbl val="0"/>
      </c:catAx>
      <c:valAx>
        <c:axId val="21600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8449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466726</xdr:colOff>
      <xdr:row>0</xdr:row>
      <xdr:rowOff>38100</xdr:rowOff>
    </xdr:from>
    <xdr:to>
      <xdr:col>12</xdr:col>
      <xdr:colOff>1009650</xdr:colOff>
      <xdr:row>11</xdr:row>
      <xdr:rowOff>187275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A074A513-D7C3-4E4A-84A2-C6605385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6" y="38100"/>
          <a:ext cx="2333624" cy="2244675"/>
        </a:xfrm>
        <a:prstGeom prst="rect">
          <a:avLst/>
        </a:prstGeom>
      </xdr:spPr>
    </xdr:pic>
    <xdr:clientData/>
  </xdr:twoCellAnchor>
  <xdr:twoCellAnchor>
    <xdr:from>
      <xdr:col>6</xdr:col>
      <xdr:colOff>590549</xdr:colOff>
      <xdr:row>23</xdr:row>
      <xdr:rowOff>136071</xdr:rowOff>
    </xdr:from>
    <xdr:to>
      <xdr:col>15</xdr:col>
      <xdr:colOff>171449</xdr:colOff>
      <xdr:row>42</xdr:row>
      <xdr:rowOff>83684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E32D4A3F-368B-4818-B4F1-9D296700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100011</xdr:rowOff>
    </xdr:from>
    <xdr:to>
      <xdr:col>7</xdr:col>
      <xdr:colOff>276225</xdr:colOff>
      <xdr:row>26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B9B48177-4020-42A8-BED2-6D87C967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GR" displayName="GR" ref="B12:U46" totalsRowShown="0" headerRowDxfId="33" tableBorderDxfId="32">
  <autoFilter ref="B12:U46"/>
  <tableColumns count="20">
    <tableColumn id="1" name="Identificador" dataDxfId="31"/>
    <tableColumn id="2" name="Tipo de Riesgo / Oportunidad" dataDxfId="30"/>
    <tableColumn id="3" name="Descripción de Riesgo / Oportunidad" dataDxfId="29"/>
    <tableColumn id="5" name="Principales Causas" dataDxfId="28"/>
    <tableColumn id="6" name="Efecto" dataDxfId="27"/>
    <tableColumn id="8" name="Riesgo / Oportunidad" dataDxfId="26"/>
    <tableColumn id="9" name="Posibilidad de Ocurrencia Inicial" dataDxfId="25"/>
    <tableColumn id="10" name="Grado de Severidad Inicial" dataDxfId="24"/>
    <tableColumn id="11" name="Nivel de Riesgo Inicial" dataDxfId="23">
      <calculatedColumnFormula>IFERROR(INDEX(Ponderaciones!$D$10:$H$14,MATCH(GR[[#This Row],[Grado de Severidad Inicial]],Ponderaciones!$B$10:$B$14,0),MATCH(GR[[#This Row],[Posibilidad de Ocurrencia Inicial]],Ponderaciones!D$8:H$8,0)),"-")</calculatedColumnFormula>
    </tableColumn>
    <tableColumn id="17" name="Nivel de Riesgo Cuantitativo Inicial" dataDxfId="22">
      <calculatedColumnFormula>IFERROR(INDEX(Ponderaciones!$D$10:$H$14,MATCH(GR[[#This Row],[Grado de Severidad Inicial]],Ponderaciones!$B$10:$B$14,0),MATCH(GR[[#This Row],[Posibilidad de Ocurrencia Inicial]],Ponderaciones!D$8:H$8,0)),"-")</calculatedColumnFormula>
    </tableColumn>
    <tableColumn id="12" name="Acción de Contención" dataDxfId="21"/>
    <tableColumn id="13" name="Actividad de Tratamiento" dataDxfId="20"/>
    <tableColumn id="14" name="Responsable" dataDxfId="19"/>
    <tableColumn id="15" name="Fecha Inicial" dataDxfId="18"/>
    <tableColumn id="16" name="Fecha Final" dataDxfId="17"/>
    <tableColumn id="19" name="Avance" dataDxfId="16"/>
    <tableColumn id="4" name="Posibilidad de Ocurrencia Final" dataDxfId="15"/>
    <tableColumn id="7" name="Grado de Severidad Final" dataDxfId="14"/>
    <tableColumn id="18" name="Nivel de Riesgo Final" dataDxfId="13">
      <calculatedColumnFormula>IFERROR(INDEX(Ponderaciones!$D$10:$H$14,MATCH(GR[[#This Row],[Grado de Severidad Final]],Ponderaciones!$B$10:$B$14,0),MATCH(GR[[#This Row],[Posibilidad de Ocurrencia Final]],Ponderaciones!D$8:H$8,0)),"-")</calculatedColumnFormula>
    </tableColumn>
    <tableColumn id="20" name="Nivel de Riesgo Cuantitativo Final" dataDxfId="12">
      <calculatedColumnFormula>IFERROR(INDEX(Ponderaciones!$D$10:$H$14,MATCH(GR[[#This Row],[Grado de Severidad Final]],Ponderaciones!$B$10:$B$14,0),MATCH(GR[[#This Row],[Posibilidad de Ocurrencia Final]],Ponderaciones!D$8:H$8,0)),"-")</calculatedColumnFormula>
    </tableColumn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3" name="TECNOLOGÍA" displayName="TECNOLOGÍA" ref="R3:R12" totalsRowShown="0">
  <autoFilter ref="R3:R12"/>
  <tableColumns count="1">
    <tableColumn id="1" name="TECNOLOGÍ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EVENTOS_NATURALES" displayName="EVENTOS_NATURALES" ref="T3:T10" totalsRowShown="0">
  <autoFilter ref="T3:T10"/>
  <tableColumns count="1">
    <tableColumn id="1" name="EVENTOS NATURAL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INFRAESTRUCTURA" displayName="INFRAESTRUCTURA" ref="V3:V12" totalsRowShown="0">
  <autoFilter ref="V3:V12"/>
  <tableColumns count="1">
    <tableColumn id="1" name="INFRAESTRUCTURA DE APOY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" name="OTRO" displayName="OTRO" ref="X3:X4" totalsRowShown="0">
  <autoFilter ref="X3:X4"/>
  <tableColumns count="1">
    <tableColumn id="1" name="OTR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Tabla1" displayName="Tabla1" ref="D18:G19" totalsRowShown="0" headerRowDxfId="41" headerRowBorderDxfId="40" tableBorderDxfId="39" totalsRowBorderDxfId="38">
  <autoFilter ref="D18:G19"/>
  <tableColumns count="4">
    <tableColumn id="1" name="Riesgo" dataDxfId="37"/>
    <tableColumn id="2" name="Severidad" dataDxfId="36"/>
    <tableColumn id="3" name="Ocurrencia" dataDxfId="35"/>
    <tableColumn id="4" name="Nivel / Riesgo" dataDxfId="34">
      <calculatedColumnFormula>IFERROR(INDEX($D$10:$H$14,MATCH(E19,B10:$B$14,0),MATCH(F19,$D$8:$H$8,0)),"-")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Riesgo" displayName="Riesgo" ref="C3:C7" totalsRowShown="0">
  <autoFilter ref="C3:C7"/>
  <tableColumns count="1">
    <tableColumn id="1" name="Riesg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Oportunidad" displayName="Oportunidad" ref="E3:E8" totalsRowShown="0">
  <autoFilter ref="E3:E8"/>
  <tableColumns count="1">
    <tableColumn id="1" name="Oportunida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Responsables" displayName="Responsables" ref="G3:G10" totalsRowShown="0">
  <autoFilter ref="G3:G10"/>
  <tableColumns count="1">
    <tableColumn id="1" name="Respons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LENTO_HUMANO" displayName="TALENTO_HUMANO" ref="D3:D39" totalsRowShown="0">
  <autoFilter ref="D3:D39"/>
  <tableColumns count="1">
    <tableColumn id="1" name="TALENTO HUMA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IPO" displayName="TIPO" ref="B3:B14" totalsRowShown="0">
  <autoFilter ref="B3:B14"/>
  <tableColumns count="1">
    <tableColumn id="1" name="TIP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DIRECCIONAMIENTO_PROCESOS" displayName="DIRECCIONAMIENTO_PROCESOS" ref="F3:F30" totalsRowShown="0">
  <autoFilter ref="F3:F30"/>
  <tableColumns count="1">
    <tableColumn id="1" name="DIRECCIONAMIENTO, PROCES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RECURSOS" displayName="RECURSOS" ref="H3:H21" totalsRowShown="0">
  <autoFilter ref="H3:H21"/>
  <tableColumns count="1">
    <tableColumn id="1" name="RECURS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INFORMACIÓN" displayName="INFORMACIÓN" ref="J3:J10" totalsRowShown="0">
  <autoFilter ref="J3:J10"/>
  <tableColumns count="1">
    <tableColumn id="1" name="INFORMACIÓ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PROVEEDORES" displayName="PROVEEDORES" ref="L3:L9" totalsRowShown="0">
  <autoFilter ref="L3:L9"/>
  <tableColumns count="1">
    <tableColumn id="1" name="PROVEEDOR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CONTROL_MEDICIÓN_SEGUIMIENTO" displayName="CONTROL_MEDICIÓN_SEGUIMIENTO" ref="N3:N12" totalsRowShown="0">
  <autoFilter ref="N3:N12"/>
  <tableColumns count="1">
    <tableColumn id="1" name="CONTROL, MEDICIÓN Y SEGUIMIENT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NORMATIVIDAD" displayName="NORMATIVIDAD" ref="P3:P11" totalsRowShown="0">
  <autoFilter ref="P3:P11"/>
  <tableColumns count="1">
    <tableColumn id="1" name="NORMATIV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6"/>
  <sheetViews>
    <sheetView tabSelected="1" zoomScale="70" zoomScaleNormal="70" workbookViewId="0">
      <selection activeCell="R12" sqref="R12"/>
    </sheetView>
  </sheetViews>
  <sheetFormatPr baseColWidth="10" defaultRowHeight="15" x14ac:dyDescent="0.25"/>
  <cols>
    <col min="1" max="1" width="3.42578125" customWidth="1"/>
    <col min="2" max="2" width="9" customWidth="1"/>
    <col min="3" max="3" width="25.5703125" customWidth="1"/>
    <col min="4" max="4" width="48.7109375" customWidth="1"/>
    <col min="5" max="5" width="40.7109375" customWidth="1"/>
    <col min="6" max="6" width="40.42578125" customWidth="1"/>
    <col min="7" max="7" width="22" customWidth="1"/>
    <col min="8" max="8" width="20.42578125" customWidth="1"/>
    <col min="9" max="9" width="23" bestFit="1" customWidth="1"/>
    <col min="10" max="10" width="19.7109375" customWidth="1"/>
    <col min="11" max="11" width="14.85546875" customWidth="1"/>
    <col min="12" max="12" width="20.42578125" customWidth="1"/>
    <col min="13" max="13" width="36.7109375" customWidth="1"/>
    <col min="14" max="14" width="32" customWidth="1"/>
    <col min="15" max="15" width="17" customWidth="1"/>
    <col min="16" max="16" width="13.85546875" customWidth="1"/>
    <col min="17" max="17" width="29.140625" customWidth="1"/>
    <col min="18" max="18" width="17.7109375" customWidth="1"/>
    <col min="19" max="19" width="19.28515625" bestFit="1" customWidth="1"/>
    <col min="20" max="20" width="17" customWidth="1"/>
  </cols>
  <sheetData>
    <row r="1" spans="1:4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0"/>
      <c r="Q2" s="70"/>
      <c r="R2" s="1"/>
      <c r="S2" s="90" t="s">
        <v>2</v>
      </c>
      <c r="T2" s="88"/>
      <c r="U2" s="8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0"/>
      <c r="Q3" s="70"/>
      <c r="R3" s="1"/>
      <c r="S3" s="90" t="s">
        <v>0</v>
      </c>
      <c r="T3" s="89"/>
      <c r="U3" s="89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0"/>
      <c r="Q4" s="70"/>
      <c r="R4" s="1"/>
      <c r="S4" s="90" t="s">
        <v>1</v>
      </c>
      <c r="T4" s="89"/>
      <c r="U4" s="8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ht="36" customHeight="1" x14ac:dyDescent="0.25">
      <c r="A6" s="1"/>
      <c r="B6" s="86"/>
      <c r="C6" s="87"/>
      <c r="D6" s="79" t="s">
        <v>225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1"/>
      <c r="T6" s="82"/>
      <c r="U6" s="8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39" customHeight="1" x14ac:dyDescent="0.25">
      <c r="A7" s="1"/>
      <c r="B7" s="87"/>
      <c r="C7" s="87"/>
      <c r="D7" s="79" t="s">
        <v>226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  <c r="T7" s="84"/>
      <c r="U7" s="85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26.25" customHeight="1" x14ac:dyDescent="0.25">
      <c r="A9" s="1"/>
      <c r="B9" s="2"/>
      <c r="C9" s="92" t="s">
        <v>3</v>
      </c>
      <c r="D9" s="11"/>
      <c r="E9" s="3"/>
      <c r="F9" s="3"/>
      <c r="H9" s="91" t="s">
        <v>4</v>
      </c>
      <c r="I9" s="59"/>
      <c r="J9" s="59"/>
      <c r="K9" s="59"/>
      <c r="L9" s="59"/>
      <c r="M9" s="59"/>
      <c r="O9" s="70"/>
      <c r="P9" s="70"/>
      <c r="Q9" s="2"/>
      <c r="R9" s="91" t="s">
        <v>5</v>
      </c>
      <c r="S9" s="65"/>
      <c r="T9" s="64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/>
      <c r="B11" s="93" t="s">
        <v>6</v>
      </c>
      <c r="C11" s="94"/>
      <c r="D11" s="94"/>
      <c r="E11" s="94"/>
      <c r="F11" s="94"/>
      <c r="G11" s="95"/>
      <c r="H11" s="100" t="s">
        <v>237</v>
      </c>
      <c r="I11" s="101"/>
      <c r="J11" s="101"/>
      <c r="K11" s="102"/>
      <c r="L11" s="97" t="s">
        <v>7</v>
      </c>
      <c r="M11" s="98"/>
      <c r="N11" s="98"/>
      <c r="O11" s="98"/>
      <c r="P11" s="98"/>
      <c r="Q11" s="99"/>
      <c r="R11" s="96" t="s">
        <v>238</v>
      </c>
      <c r="S11" s="96"/>
      <c r="T11" s="96"/>
      <c r="U11" s="9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66" customHeight="1" x14ac:dyDescent="0.25">
      <c r="A12" s="1"/>
      <c r="B12" s="6" t="s">
        <v>194</v>
      </c>
      <c r="C12" s="4" t="s">
        <v>15</v>
      </c>
      <c r="D12" s="4" t="s">
        <v>16</v>
      </c>
      <c r="E12" s="4" t="s">
        <v>202</v>
      </c>
      <c r="F12" s="4" t="s">
        <v>8</v>
      </c>
      <c r="G12" s="5" t="s">
        <v>9</v>
      </c>
      <c r="H12" s="37" t="s">
        <v>215</v>
      </c>
      <c r="I12" s="37" t="s">
        <v>216</v>
      </c>
      <c r="J12" s="37" t="s">
        <v>217</v>
      </c>
      <c r="K12" s="40" t="s">
        <v>220</v>
      </c>
      <c r="L12" s="7" t="s">
        <v>203</v>
      </c>
      <c r="M12" s="4" t="s">
        <v>10</v>
      </c>
      <c r="N12" s="4" t="s">
        <v>11</v>
      </c>
      <c r="O12" s="4" t="s">
        <v>12</v>
      </c>
      <c r="P12" s="4" t="s">
        <v>13</v>
      </c>
      <c r="Q12" s="34" t="s">
        <v>204</v>
      </c>
      <c r="R12" s="37" t="s">
        <v>213</v>
      </c>
      <c r="S12" s="37" t="s">
        <v>214</v>
      </c>
      <c r="T12" s="42" t="s">
        <v>218</v>
      </c>
      <c r="U12" s="37" t="s">
        <v>219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/>
      <c r="B13" s="29">
        <v>1</v>
      </c>
      <c r="C13" s="8"/>
      <c r="D13" s="30"/>
      <c r="E13" s="8"/>
      <c r="F13" s="8"/>
      <c r="G13" s="9"/>
      <c r="H13" s="31"/>
      <c r="I13" s="32"/>
      <c r="J13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3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3" s="33"/>
      <c r="M13" s="8"/>
      <c r="N13" s="8"/>
      <c r="O13" s="10"/>
      <c r="P13" s="10"/>
      <c r="Q13" s="8"/>
      <c r="R13" s="35"/>
      <c r="S13" s="36"/>
      <c r="T13" s="41" t="str">
        <f>IFERROR(INDEX(Ponderaciones!$D$10:$H$14,MATCH(GR[[#This Row],[Grado de Severidad Final]],Ponderaciones!$B$10:$B$14,0),MATCH(GR[[#This Row],[Posibilidad de Ocurrencia Final]],Ponderaciones!D$8:H$8,0)),"-")</f>
        <v>-</v>
      </c>
      <c r="U13" s="39" t="str">
        <f>IFERROR(INDEX(Ponderaciones!$D$10:$H$14,MATCH(GR[[#This Row],[Grado de Severidad Final]],Ponderaciones!$B$10:$B$14,0),MATCH(GR[[#This Row],[Posibilidad de Ocurrencia Final]],Ponderaciones!D$8:H$8,0)),"-")</f>
        <v>-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/>
      <c r="B14" s="44">
        <v>2</v>
      </c>
      <c r="C14" s="8"/>
      <c r="D14" s="46"/>
      <c r="E14" s="45"/>
      <c r="F14" s="45"/>
      <c r="G14" s="47"/>
      <c r="H14" s="48"/>
      <c r="I14" s="49"/>
      <c r="J14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4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4" s="52"/>
      <c r="M14" s="45"/>
      <c r="N14" s="8"/>
      <c r="O14" s="53"/>
      <c r="P14" s="10"/>
      <c r="Q14" s="45"/>
      <c r="R14" s="54"/>
      <c r="S14" s="55"/>
      <c r="T14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4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/>
      <c r="B15" s="44">
        <v>3</v>
      </c>
      <c r="C15" s="8"/>
      <c r="D15" s="46"/>
      <c r="E15" s="45"/>
      <c r="F15" s="45"/>
      <c r="G15" s="47"/>
      <c r="H15" s="48"/>
      <c r="I15" s="49"/>
      <c r="J15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5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5" s="52"/>
      <c r="M15" s="45"/>
      <c r="N15" s="8"/>
      <c r="O15" s="53"/>
      <c r="P15" s="10"/>
      <c r="Q15" s="45"/>
      <c r="R15" s="54"/>
      <c r="S15" s="55"/>
      <c r="T15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5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/>
      <c r="B16" s="44">
        <v>4</v>
      </c>
      <c r="C16" s="8"/>
      <c r="D16" s="46"/>
      <c r="E16" s="45"/>
      <c r="F16" s="45"/>
      <c r="G16" s="47"/>
      <c r="H16" s="48"/>
      <c r="I16" s="49"/>
      <c r="J16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6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6" s="52"/>
      <c r="M16" s="45"/>
      <c r="N16" s="8"/>
      <c r="O16" s="53"/>
      <c r="P16" s="10"/>
      <c r="Q16" s="45"/>
      <c r="R16" s="54"/>
      <c r="S16" s="55"/>
      <c r="T16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6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/>
      <c r="B17" s="44">
        <v>5</v>
      </c>
      <c r="C17" s="8"/>
      <c r="D17" s="46"/>
      <c r="E17" s="45"/>
      <c r="F17" s="45"/>
      <c r="G17" s="47"/>
      <c r="H17" s="48"/>
      <c r="I17" s="49"/>
      <c r="J17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7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7" s="52"/>
      <c r="M17" s="45"/>
      <c r="N17" s="8"/>
      <c r="O17" s="53"/>
      <c r="P17" s="10"/>
      <c r="Q17" s="45"/>
      <c r="R17" s="54"/>
      <c r="S17" s="55"/>
      <c r="T17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7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/>
      <c r="B18" s="44">
        <v>6</v>
      </c>
      <c r="C18" s="8"/>
      <c r="D18" s="46"/>
      <c r="E18" s="45"/>
      <c r="F18" s="45"/>
      <c r="G18" s="47"/>
      <c r="H18" s="48"/>
      <c r="I18" s="49"/>
      <c r="J18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8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8" s="52"/>
      <c r="M18" s="45"/>
      <c r="N18" s="8"/>
      <c r="O18" s="53"/>
      <c r="P18" s="10"/>
      <c r="Q18" s="45"/>
      <c r="R18" s="54"/>
      <c r="S18" s="55"/>
      <c r="T18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8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/>
      <c r="B19" s="44">
        <v>7</v>
      </c>
      <c r="C19" s="8"/>
      <c r="D19" s="46"/>
      <c r="E19" s="45"/>
      <c r="F19" s="45"/>
      <c r="G19" s="47"/>
      <c r="H19" s="48"/>
      <c r="I19" s="49"/>
      <c r="J19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19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19" s="52"/>
      <c r="M19" s="45"/>
      <c r="N19" s="8"/>
      <c r="O19" s="53"/>
      <c r="P19" s="10"/>
      <c r="Q19" s="45"/>
      <c r="R19" s="54"/>
      <c r="S19" s="55"/>
      <c r="T19" s="56" t="str">
        <f>IFERROR(INDEX(Ponderaciones!$D$10:$H$14,MATCH(GR[[#This Row],[Grado de Severidad Final]],Ponderaciones!$B$10:$B$14,0),MATCH(GR[[#This Row],[Posibilidad de Ocurrencia Final]],Ponderaciones!D$8:H$8,0)),"-")</f>
        <v>-</v>
      </c>
      <c r="U19" s="57" t="str">
        <f>IFERROR(INDEX(Ponderaciones!$D$10:$H$14,MATCH(GR[[#This Row],[Grado de Severidad Final]],Ponderaciones!$B$10:$B$14,0),MATCH(GR[[#This Row],[Posibilidad de Ocurrencia Final]],Ponderaciones!D$8:H$8,0)),"-")</f>
        <v>-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/>
      <c r="B20" s="44">
        <v>8</v>
      </c>
      <c r="C20" s="8"/>
      <c r="D20" s="46"/>
      <c r="E20" s="45"/>
      <c r="F20" s="45"/>
      <c r="G20" s="47"/>
      <c r="H20" s="48"/>
      <c r="I20" s="49"/>
      <c r="J20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0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0" s="52"/>
      <c r="M20" s="45"/>
      <c r="N20" s="8"/>
      <c r="O20" s="53"/>
      <c r="P20" s="10"/>
      <c r="Q20" s="45"/>
      <c r="R20" s="54"/>
      <c r="S20" s="55"/>
      <c r="T20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0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/>
      <c r="B21" s="44">
        <v>9</v>
      </c>
      <c r="C21" s="8"/>
      <c r="D21" s="46"/>
      <c r="E21" s="45"/>
      <c r="F21" s="45"/>
      <c r="G21" s="47"/>
      <c r="H21" s="48"/>
      <c r="I21" s="49"/>
      <c r="J21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1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1" s="52"/>
      <c r="M21" s="45"/>
      <c r="N21" s="8"/>
      <c r="O21" s="53"/>
      <c r="P21" s="10"/>
      <c r="Q21" s="45"/>
      <c r="R21" s="54"/>
      <c r="S21" s="55"/>
      <c r="T21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1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/>
      <c r="B22" s="44">
        <v>10</v>
      </c>
      <c r="C22" s="8"/>
      <c r="D22" s="46"/>
      <c r="E22" s="45"/>
      <c r="F22" s="45"/>
      <c r="G22" s="47"/>
      <c r="H22" s="48"/>
      <c r="I22" s="49"/>
      <c r="J22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2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2" s="52"/>
      <c r="M22" s="45"/>
      <c r="N22" s="8"/>
      <c r="O22" s="53"/>
      <c r="P22" s="10"/>
      <c r="Q22" s="45"/>
      <c r="R22" s="54"/>
      <c r="S22" s="55"/>
      <c r="T22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2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/>
      <c r="B23" s="44">
        <v>11</v>
      </c>
      <c r="C23" s="8"/>
      <c r="D23" s="46"/>
      <c r="E23" s="45"/>
      <c r="F23" s="45"/>
      <c r="G23" s="47"/>
      <c r="H23" s="48"/>
      <c r="I23" s="49"/>
      <c r="J23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3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3" s="52"/>
      <c r="M23" s="45"/>
      <c r="N23" s="8"/>
      <c r="O23" s="53"/>
      <c r="P23" s="10"/>
      <c r="Q23" s="45"/>
      <c r="R23" s="54"/>
      <c r="S23" s="55"/>
      <c r="T23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3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/>
      <c r="B24" s="44">
        <v>12</v>
      </c>
      <c r="C24" s="8"/>
      <c r="D24" s="46"/>
      <c r="E24" s="45"/>
      <c r="F24" s="45"/>
      <c r="G24" s="47"/>
      <c r="H24" s="48"/>
      <c r="I24" s="49"/>
      <c r="J24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4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4" s="52"/>
      <c r="M24" s="45"/>
      <c r="N24" s="8"/>
      <c r="O24" s="53"/>
      <c r="P24" s="10"/>
      <c r="Q24" s="45"/>
      <c r="R24" s="54"/>
      <c r="S24" s="55"/>
      <c r="T24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4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/>
      <c r="B25" s="44">
        <v>13</v>
      </c>
      <c r="C25" s="8"/>
      <c r="D25" s="46"/>
      <c r="E25" s="45"/>
      <c r="F25" s="45"/>
      <c r="G25" s="47"/>
      <c r="H25" s="48"/>
      <c r="I25" s="49"/>
      <c r="J25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5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5" s="52"/>
      <c r="M25" s="45"/>
      <c r="N25" s="8"/>
      <c r="O25" s="53"/>
      <c r="P25" s="10"/>
      <c r="Q25" s="45"/>
      <c r="R25" s="54"/>
      <c r="S25" s="55"/>
      <c r="T25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5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/>
      <c r="B26" s="44">
        <v>14</v>
      </c>
      <c r="C26" s="8"/>
      <c r="D26" s="46"/>
      <c r="E26" s="45"/>
      <c r="F26" s="45"/>
      <c r="G26" s="47"/>
      <c r="H26" s="48"/>
      <c r="I26" s="49"/>
      <c r="J26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6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6" s="52"/>
      <c r="M26" s="45"/>
      <c r="N26" s="8"/>
      <c r="O26" s="53"/>
      <c r="P26" s="10"/>
      <c r="Q26" s="45"/>
      <c r="R26" s="54"/>
      <c r="S26" s="55"/>
      <c r="T26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6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/>
      <c r="B27" s="44">
        <v>15</v>
      </c>
      <c r="C27" s="8"/>
      <c r="D27" s="46"/>
      <c r="E27" s="45"/>
      <c r="F27" s="45"/>
      <c r="G27" s="47"/>
      <c r="H27" s="48"/>
      <c r="I27" s="49"/>
      <c r="J27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7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7" s="52"/>
      <c r="M27" s="45"/>
      <c r="N27" s="8"/>
      <c r="O27" s="53"/>
      <c r="P27" s="10"/>
      <c r="Q27" s="45"/>
      <c r="R27" s="54"/>
      <c r="S27" s="55"/>
      <c r="T27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7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/>
      <c r="B28" s="44">
        <v>16</v>
      </c>
      <c r="C28" s="8"/>
      <c r="D28" s="46"/>
      <c r="E28" s="45"/>
      <c r="F28" s="45"/>
      <c r="G28" s="47"/>
      <c r="H28" s="48"/>
      <c r="I28" s="49"/>
      <c r="J28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8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8" s="52"/>
      <c r="M28" s="45"/>
      <c r="N28" s="8"/>
      <c r="O28" s="53"/>
      <c r="P28" s="10"/>
      <c r="Q28" s="45"/>
      <c r="R28" s="54"/>
      <c r="S28" s="55"/>
      <c r="T28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8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/>
      <c r="B29" s="44">
        <v>17</v>
      </c>
      <c r="C29" s="8"/>
      <c r="D29" s="46"/>
      <c r="E29" s="45"/>
      <c r="F29" s="45"/>
      <c r="G29" s="47"/>
      <c r="H29" s="48"/>
      <c r="I29" s="49"/>
      <c r="J29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29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29" s="52"/>
      <c r="M29" s="45"/>
      <c r="N29" s="8"/>
      <c r="O29" s="53"/>
      <c r="P29" s="10"/>
      <c r="Q29" s="45"/>
      <c r="R29" s="54"/>
      <c r="S29" s="55"/>
      <c r="T29" s="56" t="str">
        <f>IFERROR(INDEX(Ponderaciones!$D$10:$H$14,MATCH(GR[[#This Row],[Grado de Severidad Final]],Ponderaciones!$B$10:$B$14,0),MATCH(GR[[#This Row],[Posibilidad de Ocurrencia Final]],Ponderaciones!D$8:H$8,0)),"-")</f>
        <v>-</v>
      </c>
      <c r="U29" s="57" t="str">
        <f>IFERROR(INDEX(Ponderaciones!$D$10:$H$14,MATCH(GR[[#This Row],[Grado de Severidad Final]],Ponderaciones!$B$10:$B$14,0),MATCH(GR[[#This Row],[Posibilidad de Ocurrencia Final]],Ponderaciones!D$8:H$8,0)),"-")</f>
        <v>-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/>
      <c r="B30" s="44">
        <v>18</v>
      </c>
      <c r="C30" s="8"/>
      <c r="D30" s="46"/>
      <c r="E30" s="45"/>
      <c r="F30" s="45"/>
      <c r="G30" s="47"/>
      <c r="H30" s="48"/>
      <c r="I30" s="49"/>
      <c r="J30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0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0" s="52"/>
      <c r="M30" s="45"/>
      <c r="N30" s="8"/>
      <c r="O30" s="53"/>
      <c r="P30" s="10"/>
      <c r="Q30" s="45"/>
      <c r="R30" s="54"/>
      <c r="S30" s="55"/>
      <c r="T30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0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/>
      <c r="B31" s="44">
        <v>19</v>
      </c>
      <c r="C31" s="8"/>
      <c r="D31" s="46"/>
      <c r="E31" s="45"/>
      <c r="F31" s="45"/>
      <c r="G31" s="47"/>
      <c r="H31" s="48"/>
      <c r="I31" s="49"/>
      <c r="J31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1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1" s="52"/>
      <c r="M31" s="45"/>
      <c r="N31" s="8"/>
      <c r="O31" s="53"/>
      <c r="P31" s="10"/>
      <c r="Q31" s="45"/>
      <c r="R31" s="54"/>
      <c r="S31" s="55"/>
      <c r="T31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1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/>
      <c r="B32" s="44">
        <v>20</v>
      </c>
      <c r="C32" s="8"/>
      <c r="D32" s="46"/>
      <c r="E32" s="45"/>
      <c r="F32" s="45"/>
      <c r="G32" s="47"/>
      <c r="H32" s="48"/>
      <c r="I32" s="49"/>
      <c r="J32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2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2" s="52"/>
      <c r="M32" s="45"/>
      <c r="N32" s="8"/>
      <c r="O32" s="53"/>
      <c r="P32" s="10"/>
      <c r="Q32" s="45"/>
      <c r="R32" s="54"/>
      <c r="S32" s="55"/>
      <c r="T32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2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/>
      <c r="B33" s="44">
        <v>21</v>
      </c>
      <c r="C33" s="8"/>
      <c r="D33" s="46"/>
      <c r="E33" s="45"/>
      <c r="F33" s="45"/>
      <c r="G33" s="47"/>
      <c r="H33" s="48"/>
      <c r="I33" s="49"/>
      <c r="J33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3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3" s="52"/>
      <c r="M33" s="45"/>
      <c r="N33" s="8"/>
      <c r="O33" s="53"/>
      <c r="P33" s="10"/>
      <c r="Q33" s="45"/>
      <c r="R33" s="54"/>
      <c r="S33" s="55"/>
      <c r="T33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3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/>
      <c r="B34" s="44">
        <v>22</v>
      </c>
      <c r="C34" s="8"/>
      <c r="D34" s="46"/>
      <c r="E34" s="45"/>
      <c r="F34" s="45"/>
      <c r="G34" s="47"/>
      <c r="H34" s="48"/>
      <c r="I34" s="49"/>
      <c r="J34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4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4" s="52"/>
      <c r="M34" s="45"/>
      <c r="N34" s="8"/>
      <c r="O34" s="53"/>
      <c r="P34" s="10"/>
      <c r="Q34" s="45"/>
      <c r="R34" s="54"/>
      <c r="S34" s="55"/>
      <c r="T34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4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/>
      <c r="B35" s="44">
        <v>23</v>
      </c>
      <c r="C35" s="8"/>
      <c r="D35" s="46"/>
      <c r="E35" s="45"/>
      <c r="F35" s="45"/>
      <c r="G35" s="47"/>
      <c r="H35" s="48"/>
      <c r="I35" s="49"/>
      <c r="J35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5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5" s="52"/>
      <c r="M35" s="45"/>
      <c r="N35" s="8"/>
      <c r="O35" s="53"/>
      <c r="P35" s="10"/>
      <c r="Q35" s="45"/>
      <c r="R35" s="54"/>
      <c r="S35" s="55"/>
      <c r="T35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5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/>
      <c r="B36" s="44">
        <v>24</v>
      </c>
      <c r="C36" s="8"/>
      <c r="D36" s="46"/>
      <c r="E36" s="45"/>
      <c r="F36" s="45"/>
      <c r="G36" s="47"/>
      <c r="H36" s="48"/>
      <c r="I36" s="49"/>
      <c r="J36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6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6" s="52"/>
      <c r="M36" s="45"/>
      <c r="N36" s="8"/>
      <c r="O36" s="53"/>
      <c r="P36" s="10"/>
      <c r="Q36" s="45"/>
      <c r="R36" s="54"/>
      <c r="S36" s="55"/>
      <c r="T36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6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/>
      <c r="B37" s="44">
        <v>25</v>
      </c>
      <c r="C37" s="8"/>
      <c r="D37" s="46"/>
      <c r="E37" s="45"/>
      <c r="F37" s="45"/>
      <c r="G37" s="47"/>
      <c r="H37" s="48"/>
      <c r="I37" s="49"/>
      <c r="J37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7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7" s="52"/>
      <c r="M37" s="45"/>
      <c r="N37" s="8"/>
      <c r="O37" s="53"/>
      <c r="P37" s="10"/>
      <c r="Q37" s="45"/>
      <c r="R37" s="54"/>
      <c r="S37" s="55"/>
      <c r="T37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7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/>
      <c r="B38" s="44">
        <v>26</v>
      </c>
      <c r="C38" s="8"/>
      <c r="D38" s="46"/>
      <c r="E38" s="45"/>
      <c r="F38" s="45"/>
      <c r="G38" s="47"/>
      <c r="H38" s="48"/>
      <c r="I38" s="49"/>
      <c r="J38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8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8" s="52"/>
      <c r="M38" s="45"/>
      <c r="N38" s="8"/>
      <c r="O38" s="53"/>
      <c r="P38" s="10"/>
      <c r="Q38" s="45"/>
      <c r="R38" s="54"/>
      <c r="S38" s="55"/>
      <c r="T38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8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/>
      <c r="B39" s="44">
        <v>27</v>
      </c>
      <c r="C39" s="8"/>
      <c r="D39" s="46"/>
      <c r="E39" s="45"/>
      <c r="F39" s="45"/>
      <c r="G39" s="47"/>
      <c r="H39" s="48"/>
      <c r="I39" s="49"/>
      <c r="J39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39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39" s="52"/>
      <c r="M39" s="45"/>
      <c r="N39" s="8"/>
      <c r="O39" s="53"/>
      <c r="P39" s="10"/>
      <c r="Q39" s="45"/>
      <c r="R39" s="54"/>
      <c r="S39" s="55"/>
      <c r="T39" s="56" t="str">
        <f>IFERROR(INDEX(Ponderaciones!$D$10:$H$14,MATCH(GR[[#This Row],[Grado de Severidad Final]],Ponderaciones!$B$10:$B$14,0),MATCH(GR[[#This Row],[Posibilidad de Ocurrencia Final]],Ponderaciones!D$8:H$8,0)),"-")</f>
        <v>-</v>
      </c>
      <c r="U39" s="57" t="str">
        <f>IFERROR(INDEX(Ponderaciones!$D$10:$H$14,MATCH(GR[[#This Row],[Grado de Severidad Final]],Ponderaciones!$B$10:$B$14,0),MATCH(GR[[#This Row],[Posibilidad de Ocurrencia Final]],Ponderaciones!D$8:H$8,0)),"-")</f>
        <v>-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/>
      <c r="B40" s="44">
        <v>28</v>
      </c>
      <c r="C40" s="8"/>
      <c r="D40" s="46"/>
      <c r="E40" s="45"/>
      <c r="F40" s="45"/>
      <c r="G40" s="47"/>
      <c r="H40" s="48"/>
      <c r="I40" s="49"/>
      <c r="J40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0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0" s="52"/>
      <c r="M40" s="45"/>
      <c r="N40" s="8"/>
      <c r="O40" s="53"/>
      <c r="P40" s="10"/>
      <c r="Q40" s="45"/>
      <c r="R40" s="54"/>
      <c r="S40" s="55"/>
      <c r="T40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0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/>
      <c r="B41" s="44">
        <v>29</v>
      </c>
      <c r="C41" s="8"/>
      <c r="D41" s="46"/>
      <c r="E41" s="45"/>
      <c r="F41" s="45"/>
      <c r="G41" s="47"/>
      <c r="H41" s="48"/>
      <c r="I41" s="49"/>
      <c r="J41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1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1" s="52"/>
      <c r="M41" s="45"/>
      <c r="N41" s="8"/>
      <c r="O41" s="53"/>
      <c r="P41" s="10"/>
      <c r="Q41" s="45"/>
      <c r="R41" s="54"/>
      <c r="S41" s="55"/>
      <c r="T41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1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/>
      <c r="B42" s="44">
        <v>30</v>
      </c>
      <c r="C42" s="8"/>
      <c r="D42" s="46"/>
      <c r="E42" s="45"/>
      <c r="F42" s="45"/>
      <c r="G42" s="47"/>
      <c r="H42" s="48"/>
      <c r="I42" s="49"/>
      <c r="J42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2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2" s="52"/>
      <c r="M42" s="45"/>
      <c r="N42" s="8"/>
      <c r="O42" s="53"/>
      <c r="P42" s="10"/>
      <c r="Q42" s="45"/>
      <c r="R42" s="54"/>
      <c r="S42" s="55"/>
      <c r="T42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2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/>
      <c r="B43" s="44">
        <v>31</v>
      </c>
      <c r="C43" s="8"/>
      <c r="D43" s="46"/>
      <c r="E43" s="45"/>
      <c r="F43" s="45"/>
      <c r="G43" s="47"/>
      <c r="H43" s="48"/>
      <c r="I43" s="49"/>
      <c r="J43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3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3" s="52"/>
      <c r="M43" s="45"/>
      <c r="N43" s="8"/>
      <c r="O43" s="53"/>
      <c r="P43" s="10"/>
      <c r="Q43" s="45"/>
      <c r="R43" s="54"/>
      <c r="S43" s="55"/>
      <c r="T43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3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/>
      <c r="B44" s="44">
        <v>32</v>
      </c>
      <c r="C44" s="8"/>
      <c r="D44" s="46"/>
      <c r="E44" s="45"/>
      <c r="F44" s="45"/>
      <c r="G44" s="47"/>
      <c r="H44" s="48"/>
      <c r="I44" s="49"/>
      <c r="J44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4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4" s="52"/>
      <c r="M44" s="45"/>
      <c r="N44" s="8"/>
      <c r="O44" s="53"/>
      <c r="P44" s="10"/>
      <c r="Q44" s="45"/>
      <c r="R44" s="54"/>
      <c r="S44" s="55"/>
      <c r="T44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4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/>
      <c r="B45" s="44">
        <v>33</v>
      </c>
      <c r="C45" s="8"/>
      <c r="D45" s="46"/>
      <c r="E45" s="45"/>
      <c r="F45" s="45"/>
      <c r="G45" s="47"/>
      <c r="H45" s="48"/>
      <c r="I45" s="49"/>
      <c r="J45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5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5" s="52"/>
      <c r="M45" s="45"/>
      <c r="N45" s="8"/>
      <c r="O45" s="53"/>
      <c r="P45" s="10"/>
      <c r="Q45" s="45"/>
      <c r="R45" s="54"/>
      <c r="S45" s="55"/>
      <c r="T45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5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44">
        <v>34</v>
      </c>
      <c r="C46" s="8"/>
      <c r="D46" s="46"/>
      <c r="E46" s="45"/>
      <c r="F46" s="45"/>
      <c r="G46" s="47"/>
      <c r="H46" s="48"/>
      <c r="I46" s="49"/>
      <c r="J46" s="50" t="str">
        <f>IFERROR(INDEX(Ponderaciones!$D$10:$H$14,MATCH(GR[[#This Row],[Grado de Severidad Inicial]],Ponderaciones!$B$10:$B$14,0),MATCH(GR[[#This Row],[Posibilidad de Ocurrencia Inicial]],Ponderaciones!D$8:H$8,0)),"-")</f>
        <v>-</v>
      </c>
      <c r="K46" s="51" t="str">
        <f>IFERROR(INDEX(Ponderaciones!$D$10:$H$14,MATCH(GR[[#This Row],[Grado de Severidad Inicial]],Ponderaciones!$B$10:$B$14,0),MATCH(GR[[#This Row],[Posibilidad de Ocurrencia Inicial]],Ponderaciones!D$8:H$8,0)),"-")</f>
        <v>-</v>
      </c>
      <c r="L46" s="52"/>
      <c r="M46" s="45"/>
      <c r="N46" s="8"/>
      <c r="O46" s="53"/>
      <c r="P46" s="10"/>
      <c r="Q46" s="45"/>
      <c r="R46" s="54"/>
      <c r="S46" s="55"/>
      <c r="T46" s="56" t="str">
        <f>IFERROR(INDEX(Ponderaciones!$D$10:$H$14,MATCH(GR[[#This Row],[Grado de Severidad Final]],Ponderaciones!$B$10:$B$14,0),MATCH(GR[[#This Row],[Posibilidad de Ocurrencia Final]],Ponderaciones!D$8:H$8,0)),"-")</f>
        <v>-</v>
      </c>
      <c r="U46" s="57" t="str">
        <f>IFERROR(INDEX(Ponderaciones!$D$10:$H$14,MATCH(GR[[#This Row],[Grado de Severidad Final]],Ponderaciones!$B$10:$B$14,0),MATCH(GR[[#This Row],[Posibilidad de Ocurrencia Final]],Ponderaciones!D$8:H$8,0)),"-")</f>
        <v>-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</sheetData>
  <mergeCells count="12">
    <mergeCell ref="T2:U2"/>
    <mergeCell ref="T3:U3"/>
    <mergeCell ref="T4:U4"/>
    <mergeCell ref="L11:Q11"/>
    <mergeCell ref="H11:K11"/>
    <mergeCell ref="B6:C7"/>
    <mergeCell ref="R11:U11"/>
    <mergeCell ref="B11:G11"/>
    <mergeCell ref="S9:T9"/>
    <mergeCell ref="D6:S6"/>
    <mergeCell ref="D7:S7"/>
    <mergeCell ref="T6:U7"/>
  </mergeCells>
  <conditionalFormatting sqref="J13:J46">
    <cfRule type="expression" dxfId="11" priority="13">
      <formula>AND($J13&gt;=30,$J13&lt;=50)</formula>
    </cfRule>
    <cfRule type="expression" dxfId="10" priority="14">
      <formula>AND($J13&gt;=20,$J13&lt;=24)</formula>
    </cfRule>
    <cfRule type="expression" dxfId="9" priority="15">
      <formula>AND($J13&gt;=10,$J13&lt;=18)</formula>
    </cfRule>
    <cfRule type="expression" dxfId="8" priority="16">
      <formula>AND($J13&gt;=2,$J13&lt;=8)</formula>
    </cfRule>
  </conditionalFormatting>
  <conditionalFormatting sqref="T13:T46">
    <cfRule type="expression" dxfId="7" priority="1">
      <formula>AND($T13&gt;=30,$T13&lt;=50)</formula>
    </cfRule>
    <cfRule type="expression" dxfId="6" priority="2">
      <formula>AND($T13&gt;=20,$T13&lt;=24)</formula>
    </cfRule>
    <cfRule type="expression" dxfId="5" priority="3">
      <formula>AND($T13&gt;=10,$T13&lt;=18)</formula>
    </cfRule>
    <cfRule type="expression" dxfId="4" priority="4">
      <formula>AND($T13&gt;=2,$T13&lt;=8)</formula>
    </cfRule>
  </conditionalFormatting>
  <dataValidations count="3">
    <dataValidation type="date" allowBlank="1" showInputMessage="1" showErrorMessage="1" sqref="O13:P46">
      <formula1>44470</formula1>
      <formula2>45566</formula2>
    </dataValidation>
    <dataValidation type="list" allowBlank="1" showInputMessage="1" showErrorMessage="1" sqref="D13:D46">
      <formula1>INDIRECT($C13)</formula1>
    </dataValidation>
    <dataValidation type="list" allowBlank="1" showInputMessage="1" showErrorMessage="1" sqref="L13:L46">
      <formula1>INDIRECT($G13)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Catalogo_Tratamiento!$A$3:$A$4</xm:f>
          </x14:formula1>
          <xm:sqref>G13:G46</xm:sqref>
        </x14:dataValidation>
        <x14:dataValidation type="list" allowBlank="1" showInputMessage="1" showErrorMessage="1">
          <x14:formula1>
            <xm:f>Ponderaciones!$D$8:$H$8</xm:f>
          </x14:formula1>
          <xm:sqref>H13:H46 R13:R46</xm:sqref>
        </x14:dataValidation>
        <x14:dataValidation type="list" allowBlank="1" showInputMessage="1" showErrorMessage="1">
          <x14:formula1>
            <xm:f>Ponderaciones!$B$10:$B$14</xm:f>
          </x14:formula1>
          <xm:sqref>I13:I46 S13:S46</xm:sqref>
        </x14:dataValidation>
        <x14:dataValidation type="list" allowBlank="1" showInputMessage="1" showErrorMessage="1">
          <x14:formula1>
            <xm:f>Catalogo!$B$4:$B$14</xm:f>
          </x14:formula1>
          <xm:sqref>C13:C46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2"/>
  <sheetViews>
    <sheetView topLeftCell="C5" zoomScale="90" zoomScaleNormal="90" workbookViewId="0">
      <selection activeCell="M20" sqref="M20"/>
    </sheetView>
  </sheetViews>
  <sheetFormatPr baseColWidth="10" defaultRowHeight="15" x14ac:dyDescent="0.25"/>
  <cols>
    <col min="1" max="1" width="3.28515625" style="1" customWidth="1"/>
    <col min="3" max="3" width="16.42578125" bestFit="1" customWidth="1"/>
    <col min="4" max="4" width="7.85546875" customWidth="1"/>
    <col min="5" max="5" width="4.5703125" customWidth="1"/>
    <col min="6" max="6" width="23" customWidth="1"/>
    <col min="12" max="12" width="4" customWidth="1"/>
    <col min="13" max="13" width="22.42578125" customWidth="1"/>
    <col min="19" max="19" width="4.28515625" customWidth="1"/>
    <col min="21" max="21" width="16.42578125" bestFit="1" customWidth="1"/>
    <col min="22" max="22" width="7.85546875" customWidth="1"/>
    <col min="23" max="24" width="11.42578125" style="1"/>
  </cols>
  <sheetData>
    <row r="1" spans="2:35" x14ac:dyDescent="0.25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x14ac:dyDescent="0.25">
      <c r="B2" s="73"/>
      <c r="C2" s="73"/>
      <c r="D2" s="73"/>
      <c r="E2" s="73"/>
      <c r="F2" s="73"/>
      <c r="G2" s="73"/>
      <c r="H2" s="73"/>
      <c r="I2" s="73"/>
      <c r="J2" s="72"/>
      <c r="K2" s="72"/>
      <c r="L2" s="72"/>
      <c r="M2" s="72"/>
      <c r="N2" s="73"/>
      <c r="O2" s="73"/>
      <c r="P2" s="73"/>
      <c r="Q2" s="73"/>
      <c r="R2" s="73"/>
      <c r="S2" s="73"/>
      <c r="T2" s="73"/>
      <c r="U2" s="73"/>
      <c r="V2" s="7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2:35" x14ac:dyDescent="0.2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35" x14ac:dyDescent="0.2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2:35" x14ac:dyDescent="0.25"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2:3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2:3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2:3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2:3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2:3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2:3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2:3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 x14ac:dyDescent="0.25">
      <c r="B14" s="70"/>
      <c r="C14" s="70"/>
      <c r="D14" s="70"/>
      <c r="E14" s="1"/>
      <c r="F14" s="1"/>
      <c r="G14" s="66" t="s">
        <v>234</v>
      </c>
      <c r="H14" s="66"/>
      <c r="I14" s="66"/>
      <c r="J14" s="66"/>
      <c r="K14" s="66"/>
      <c r="L14" s="1"/>
      <c r="M14" s="1"/>
      <c r="N14" s="67" t="s">
        <v>235</v>
      </c>
      <c r="O14" s="67"/>
      <c r="P14" s="67"/>
      <c r="Q14" s="67"/>
      <c r="R14" s="67"/>
      <c r="S14" s="1"/>
      <c r="T14" s="70"/>
      <c r="U14" s="70"/>
      <c r="V14" s="70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x14ac:dyDescent="0.25">
      <c r="B15" s="70"/>
      <c r="C15" s="70"/>
      <c r="D15" s="70"/>
      <c r="E15" s="1"/>
      <c r="F15" s="1"/>
      <c r="G15" s="68" t="s">
        <v>166</v>
      </c>
      <c r="H15" s="78"/>
      <c r="I15" s="78"/>
      <c r="J15" s="78"/>
      <c r="K15" s="69"/>
      <c r="L15" s="1"/>
      <c r="M15" s="1"/>
      <c r="N15" s="62" t="s">
        <v>166</v>
      </c>
      <c r="O15" s="62"/>
      <c r="P15" s="62"/>
      <c r="Q15" s="62"/>
      <c r="R15" s="62"/>
      <c r="S15" s="1"/>
      <c r="T15" s="70"/>
      <c r="U15" s="70"/>
      <c r="V15" s="70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35" ht="12" customHeight="1" x14ac:dyDescent="0.25">
      <c r="B16" s="70"/>
      <c r="C16" s="70"/>
      <c r="D16" s="70"/>
      <c r="E16" s="1"/>
      <c r="F16" s="75" t="s">
        <v>168</v>
      </c>
      <c r="G16" s="74" t="s">
        <v>161</v>
      </c>
      <c r="H16" s="74" t="s">
        <v>162</v>
      </c>
      <c r="I16" s="74" t="s">
        <v>163</v>
      </c>
      <c r="J16" s="74" t="s">
        <v>164</v>
      </c>
      <c r="K16" s="74" t="s">
        <v>165</v>
      </c>
      <c r="L16" s="1"/>
      <c r="M16" s="75" t="s">
        <v>168</v>
      </c>
      <c r="N16" s="74" t="s">
        <v>161</v>
      </c>
      <c r="O16" s="74" t="s">
        <v>162</v>
      </c>
      <c r="P16" s="74" t="s">
        <v>163</v>
      </c>
      <c r="Q16" s="74" t="s">
        <v>164</v>
      </c>
      <c r="R16" s="74" t="s">
        <v>165</v>
      </c>
      <c r="S16" s="1"/>
      <c r="T16" s="70"/>
      <c r="U16" s="70"/>
      <c r="V16" s="7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35" ht="12" customHeight="1" x14ac:dyDescent="0.25">
      <c r="B17" s="71"/>
      <c r="C17" s="71"/>
      <c r="D17" s="71"/>
      <c r="E17" s="1"/>
      <c r="F17" s="76"/>
      <c r="G17" s="77">
        <v>2</v>
      </c>
      <c r="H17" s="77">
        <v>4</v>
      </c>
      <c r="I17" s="77">
        <v>6</v>
      </c>
      <c r="J17" s="77">
        <v>8</v>
      </c>
      <c r="K17" s="77">
        <v>10</v>
      </c>
      <c r="L17" s="1"/>
      <c r="M17" s="76"/>
      <c r="N17" s="77">
        <v>2</v>
      </c>
      <c r="O17" s="77">
        <v>4</v>
      </c>
      <c r="P17" s="77">
        <v>6</v>
      </c>
      <c r="Q17" s="77">
        <v>8</v>
      </c>
      <c r="R17" s="77">
        <v>10</v>
      </c>
      <c r="S17" s="1"/>
      <c r="T17" s="70"/>
      <c r="U17" s="70"/>
      <c r="V17" s="70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2:35" x14ac:dyDescent="0.25">
      <c r="B18" s="60" t="s">
        <v>173</v>
      </c>
      <c r="C18" s="60" t="s">
        <v>174</v>
      </c>
      <c r="D18" s="60"/>
      <c r="E18" s="1"/>
      <c r="F18" s="15" t="s">
        <v>227</v>
      </c>
      <c r="G18" s="16">
        <f>COUNTIFS(GR[Posibilidad de Ocurrencia Inicial],"Improbable",GR[Grado de Severidad Inicial],"Sin impacto",GR[Nivel de Riesgo Cuantitativo Inicial],2)</f>
        <v>0</v>
      </c>
      <c r="H18" s="16">
        <f>COUNTIFS(GR[Posibilidad de Ocurrencia Inicial],"Posible",GR[Grado de Severidad Inicial],"Sin impacto",GR[Nivel de Riesgo Cuantitativo Inicial],4)</f>
        <v>0</v>
      </c>
      <c r="I18" s="16">
        <f>COUNTIFS(GR[Posibilidad de Ocurrencia Inicial],"Ocasional",GR[Grado de Severidad Inicial],"Sin impacto",GR[Nivel de Riesgo Cuantitativo Inicial],6)</f>
        <v>0</v>
      </c>
      <c r="J18" s="16">
        <f>COUNTIFS(GR[Posibilidad de Ocurrencia Inicial],"Moderado",GR[Grado de Severidad Inicial],"Sin impacto",GR[Nivel de Riesgo Cuantitativo Inicial],8)</f>
        <v>0</v>
      </c>
      <c r="K18" s="17">
        <f>COUNTIFS(GR[Posibilidad de Ocurrencia Inicial],"Recurrente",GR[Grado de Severidad Inicial],"Sin impacto",GR[Nivel de Riesgo Cuantitativo Inicial],10)</f>
        <v>0</v>
      </c>
      <c r="L18" s="1"/>
      <c r="M18" s="15" t="s">
        <v>227</v>
      </c>
      <c r="N18" s="16">
        <f>COUNTIFS(GR[Posibilidad de Ocurrencia Final],"Improbable",GR[Grado de Severidad Final],"Sin impacto",GR[Nivel de Riesgo Cuantitativo Final],2)</f>
        <v>0</v>
      </c>
      <c r="O18" s="16">
        <f>COUNTIFS(GR[Posibilidad de Ocurrencia Final],"Posible",GR[Grado de Severidad Final],"Sin impacto",GR[Nivel de Riesgo Cuantitativo Final],4)</f>
        <v>0</v>
      </c>
      <c r="P18" s="16">
        <f>COUNTIFS(GR[Posibilidad de Ocurrencia Final],"Ocasional",GR[Grado de Severidad Final],"Sin impacto",GR[Nivel de Riesgo Cuantitativo Final],6)</f>
        <v>0</v>
      </c>
      <c r="Q18" s="16">
        <f>COUNTIFS(GR[Posibilidad de Ocurrencia Final],"Moderado",GR[Grado de Severidad Final],"Sin impacto",GR[Nivel de Riesgo Cuantitativo Final],8)</f>
        <v>0</v>
      </c>
      <c r="R18" s="17">
        <f>COUNTIFS(GR[Posibilidad de Ocurrencia Final],"Recurrente",GR[Grado de Severidad Final],"Sin impacto",GR[Nivel de Riesgo Cuantitativo Final],10)</f>
        <v>0</v>
      </c>
      <c r="S18" s="1"/>
      <c r="T18" s="61" t="s">
        <v>173</v>
      </c>
      <c r="U18" s="61" t="s">
        <v>174</v>
      </c>
      <c r="V18" s="6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2:35" x14ac:dyDescent="0.25">
      <c r="B19" s="21" t="s">
        <v>184</v>
      </c>
      <c r="C19" s="22" t="s">
        <v>175</v>
      </c>
      <c r="D19" s="43">
        <f>COUNTIFS(GR[Nivel de Riesgo Cuantitativo Inicial],"&gt;=2",GR[Nivel de Riesgo Cuantitativo Inicial],"&lt;=8")</f>
        <v>0</v>
      </c>
      <c r="E19" s="1"/>
      <c r="F19" s="15" t="s">
        <v>228</v>
      </c>
      <c r="G19" s="16">
        <f>COUNTIFS(GR[Posibilidad de Ocurrencia Inicial],"Improbable",GR[Grado de Severidad Inicial],"impacto menor",GR[Nivel de Riesgo Cuantitativo Inicial],4)</f>
        <v>0</v>
      </c>
      <c r="H19" s="16">
        <f>COUNTIFS(GR[Posibilidad de Ocurrencia Inicial],"Posible",GR[Grado de Severidad Inicial],"impacto menor",GR[Nivel de Riesgo Cuantitativo Inicial],8)</f>
        <v>0</v>
      </c>
      <c r="I19" s="17">
        <f>COUNTIFS(GR[Posibilidad de Ocurrencia Inicial],"Ocasional",GR[Grado de Severidad Inicial],"impacto menor",GR[Nivel de Riesgo Cuantitativo Inicial],12)</f>
        <v>0</v>
      </c>
      <c r="J19" s="17">
        <f>COUNTIFS(GR[Posibilidad de Ocurrencia Inicial],"Moderado",GR[Grado de Severidad Inicial],"impacto menor",GR[Nivel de Riesgo Cuantitativo Inicial],16)</f>
        <v>0</v>
      </c>
      <c r="K19" s="18">
        <f>COUNTIFS(GR[Posibilidad de Ocurrencia Inicial],"Recurrente",GR[Grado de Severidad Inicial],"impacto menor",GR[Nivel de Riesgo Cuantitativo Inicial],20)</f>
        <v>0</v>
      </c>
      <c r="L19" s="1"/>
      <c r="M19" s="15" t="s">
        <v>233</v>
      </c>
      <c r="N19" s="16">
        <f>COUNTIFS(GR[Posibilidad de Ocurrencia Final],"Improbable",GR[Grado de Severidad Final],"impacto menor",GR[Nivel de Riesgo Cuantitativo Final],4)</f>
        <v>0</v>
      </c>
      <c r="O19" s="16">
        <f>COUNTIFS(GR[Posibilidad de Ocurrencia Final],"Posible",GR[Grado de Severidad Final],"impacto menor",GR[Nivel de Riesgo Cuantitativo Final],8)</f>
        <v>0</v>
      </c>
      <c r="P19" s="17">
        <f>COUNTIFS(GR[Posibilidad de Ocurrencia Final],"Ocasional",GR[Grado de Severidad Final],"impacto menor",GR[Nivel de Riesgo Cuantitativo Final],12)</f>
        <v>0</v>
      </c>
      <c r="Q19" s="17">
        <f>COUNTIFS(GR[Posibilidad de Ocurrencia Final],"Moderado",GR[Grado de Severidad Final],"impacto menor",GR[Nivel de Riesgo Cuantitativo Final],16)</f>
        <v>0</v>
      </c>
      <c r="R19" s="18">
        <f>COUNTIFS(GR[Posibilidad de Ocurrencia Final],"Recurrente",GR[Grado de Severidad Final],"impacto menor",GR[Nivel de Riesgo Cuantitativo Final],20)</f>
        <v>0</v>
      </c>
      <c r="S19" s="1"/>
      <c r="T19" s="21" t="s">
        <v>184</v>
      </c>
      <c r="U19" s="22" t="s">
        <v>175</v>
      </c>
      <c r="V19" s="43">
        <f>COUNTIFS(GR[Nivel de Riesgo Cuantitativo Final],"&gt;=2",GR[Nivel de Riesgo Cuantitativo Final],"&lt;=8")</f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2:35" x14ac:dyDescent="0.25">
      <c r="B20" s="17" t="s">
        <v>185</v>
      </c>
      <c r="C20" s="22" t="s">
        <v>176</v>
      </c>
      <c r="D20" s="43">
        <f>COUNTIFS(GR[Nivel de Riesgo Cuantitativo Inicial],"&gt;=10",GR[Nivel de Riesgo Cuantitativo Inicial],"&lt;=18")</f>
        <v>0</v>
      </c>
      <c r="E20" s="1"/>
      <c r="F20" s="15" t="s">
        <v>229</v>
      </c>
      <c r="G20" s="16">
        <f>COUNTIFS(GR[Posibilidad de Ocurrencia Inicial],"Improbable",GR[Grado de Severidad Inicial],"Impacto moderado",GR[Nivel de Riesgo Cuantitativo Inicial],6)</f>
        <v>0</v>
      </c>
      <c r="H20" s="17">
        <f>COUNTIFS(GR[Posibilidad de Ocurrencia Inicial],"Posible",GR[Grado de Severidad Inicial],"Impacto moderado",GR[Nivel de Riesgo Cuantitativo Inicial],12)</f>
        <v>0</v>
      </c>
      <c r="I20" s="17">
        <f>COUNTIFS(GR[Posibilidad de Ocurrencia Inicial],"Ocasional",GR[Grado de Severidad Inicial],"Impacto moderado",GR[Nivel de Riesgo Cuantitativo Inicial],18)</f>
        <v>0</v>
      </c>
      <c r="J20" s="18">
        <f>COUNTIFS(GR[Posibilidad de Ocurrencia Inicial],"Moderado",GR[Grado de Severidad Inicial],"Impacto moderado",GR[Nivel de Riesgo Cuantitativo Inicial],24)</f>
        <v>0</v>
      </c>
      <c r="K20" s="19">
        <f>COUNTIFS(GR[Posibilidad de Ocurrencia Inicial],"Recurrente",GR[Grado de Severidad Inicial],"Impacto moderado",GR[Nivel de Riesgo Cuantitativo Inicial],30)</f>
        <v>0</v>
      </c>
      <c r="L20" s="1"/>
      <c r="M20" s="15" t="s">
        <v>232</v>
      </c>
      <c r="N20" s="16">
        <f>COUNTIFS(GR[Posibilidad de Ocurrencia Final],"Improbable",GR[Grado de Severidad Final],"Impacto moderado",GR[Nivel de Riesgo Cuantitativo Final],6)</f>
        <v>0</v>
      </c>
      <c r="O20" s="17">
        <f>COUNTIFS(GR[Posibilidad de Ocurrencia Final],"Posible",GR[Grado de Severidad Final],"Impacto moderado",GR[Nivel de Riesgo Cuantitativo Final],12)</f>
        <v>0</v>
      </c>
      <c r="P20" s="17">
        <f>COUNTIFS(GR[Posibilidad de Ocurrencia Final],"Ocasional",GR[Grado de Severidad Final],"Impacto moderado",GR[Nivel de Riesgo Cuantitativo Final],18)</f>
        <v>0</v>
      </c>
      <c r="Q20" s="18">
        <f>COUNTIFS(GR[Posibilidad de Ocurrencia Final],"Moderado",GR[Grado de Severidad Final],"Impacto moderado",GR[Nivel de Riesgo Cuantitativo Final],24)</f>
        <v>0</v>
      </c>
      <c r="R20" s="58">
        <f>COUNTIFS(GR[Posibilidad de Ocurrencia Final],"Recurrente",GR[Grado de Severidad Final],"Impacto moderado",GR[Nivel de Riesgo Cuantitativo Final],30)</f>
        <v>0</v>
      </c>
      <c r="S20" s="1"/>
      <c r="T20" s="17" t="s">
        <v>185</v>
      </c>
      <c r="U20" s="22" t="s">
        <v>176</v>
      </c>
      <c r="V20" s="43">
        <f>COUNTIFS(GR[Nivel de Riesgo Cuantitativo Final],"&gt;=10",GR[Nivel de Riesgo Cuantitativo Final],"&lt;=18")</f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5" x14ac:dyDescent="0.25">
      <c r="B21" s="18" t="s">
        <v>186</v>
      </c>
      <c r="C21" s="22" t="s">
        <v>177</v>
      </c>
      <c r="D21" s="43">
        <f>COUNTIFS(GR[Nivel de Riesgo Cuantitativo Inicial],"&gt;=20",GR[Nivel de Riesgo Cuantitativo Inicial],"&lt;=24")</f>
        <v>0</v>
      </c>
      <c r="E21" s="1"/>
      <c r="F21" s="15" t="s">
        <v>230</v>
      </c>
      <c r="G21" s="16">
        <f>COUNTIFS(GR[Posibilidad de Ocurrencia Inicial],"Improbable",GR[Grado de Severidad Inicial],"Impacto Crítico",GR[Nivel de Riesgo Cuantitativo Inicial],8)</f>
        <v>0</v>
      </c>
      <c r="H21" s="17">
        <f>COUNTIFS(GR[Posibilidad de Ocurrencia Inicial],"Posible",GR[Grado de Severidad Inicial],"Impacto Crítico",GR[Nivel de Riesgo Cuantitativo Inicial],16)</f>
        <v>0</v>
      </c>
      <c r="I21" s="18">
        <f>COUNTIFS(GR[Posibilidad de Ocurrencia Inicial],"Ocasional",GR[Grado de Severidad Inicial],"Impacto Crítico",GR[Nivel de Riesgo Cuantitativo Inicial],24)</f>
        <v>0</v>
      </c>
      <c r="J21" s="19">
        <f>COUNTIFS(GR[Posibilidad de Ocurrencia Inicial],"Moderado",GR[Grado de Severidad Inicial],"Impacto Crítico",GR[Nivel de Riesgo Cuantitativo Inicial],32)</f>
        <v>0</v>
      </c>
      <c r="K21" s="19">
        <f>COUNTIFS(GR[Posibilidad de Ocurrencia Inicial],"Recurrente",GR[Grado de Severidad Inicial],"Impacto Crítico",GR[Nivel de Riesgo Cuantitativo Inicial],40)</f>
        <v>0</v>
      </c>
      <c r="L21" s="1"/>
      <c r="M21" s="15" t="s">
        <v>230</v>
      </c>
      <c r="N21" s="16">
        <f>COUNTIFS(GR[Posibilidad de Ocurrencia Final],"Improbable",GR[Grado de Severidad Final],"Impacto Crítico",GR[Nivel de Riesgo Cuantitativo Final],8)</f>
        <v>0</v>
      </c>
      <c r="O21" s="17">
        <f>COUNTIFS(GR[Posibilidad de Ocurrencia Final],"Posible",GR[Grado de Severidad Final],"Impacto Crítico",GR[Nivel de Riesgo Cuantitativo Final],16)</f>
        <v>0</v>
      </c>
      <c r="P21" s="18">
        <f>COUNTIFS(GR[Posibilidad de Ocurrencia Final],"Ocasional",GR[Grado de Severidad Final],"Impacto Crítico",GR[Nivel de Riesgo Cuantitativo Final],24)</f>
        <v>0</v>
      </c>
      <c r="Q21" s="58">
        <f>COUNTIFS(GR[Posibilidad de Ocurrencia Final],"Moderado",GR[Grado de Severidad Final],"Impacto Crítico",GR[Nivel de Riesgo Cuantitativo Final],32)</f>
        <v>0</v>
      </c>
      <c r="R21" s="58">
        <f>COUNTIFS(GR[Posibilidad de Ocurrencia Final],"Recurrente",GR[Grado de Severidad Final],"Impacto Crítico",GR[Nivel de Riesgo Cuantitativo Final],40)</f>
        <v>0</v>
      </c>
      <c r="S21" s="1"/>
      <c r="T21" s="18" t="s">
        <v>186</v>
      </c>
      <c r="U21" s="22" t="s">
        <v>177</v>
      </c>
      <c r="V21" s="43">
        <f>COUNTIFS(GR[Nivel de Riesgo Cuantitativo Final],"&gt;=20",GR[Nivel de Riesgo Cuantitativo Final],"&lt;=24")</f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2:35" x14ac:dyDescent="0.25">
      <c r="B22" s="38" t="s">
        <v>187</v>
      </c>
      <c r="C22" s="22" t="s">
        <v>178</v>
      </c>
      <c r="D22" s="43">
        <f>COUNTIFS(GR[Nivel de Riesgo Cuantitativo Inicial],"&gt;=30",GR[Nivel de Riesgo Cuantitativo Inicial],"&lt;=50")</f>
        <v>0</v>
      </c>
      <c r="E22" s="1"/>
      <c r="F22" s="15" t="s">
        <v>231</v>
      </c>
      <c r="G22" s="17">
        <f>COUNTIFS(GR[Posibilidad de Ocurrencia Inicial],"Improbable",GR[Grado de Severidad Inicial],"Catastrofe",GR[Nivel de Riesgo Cuantitativo Inicial],10)</f>
        <v>0</v>
      </c>
      <c r="H22" s="18">
        <f>COUNTIFS(GR[Posibilidad de Ocurrencia Inicial],"Posible",GR[Grado de Severidad Inicial],"Catastrofe",GR[Nivel de Riesgo Cuantitativo Inicial],20)</f>
        <v>0</v>
      </c>
      <c r="I22" s="19">
        <f>COUNTIFS(GR[Posibilidad de Ocurrencia Inicial],"Ocasional",GR[Grado de Severidad Inicial],"Catastrofe",GR[Nivel de Riesgo Cuantitativo Inicial],30)</f>
        <v>0</v>
      </c>
      <c r="J22" s="19">
        <f>COUNTIFS(GR[Posibilidad de Ocurrencia Inicial],"Moderado",GR[Grado de Severidad Inicial],"Catastrofe",GR[Nivel de Riesgo Cuantitativo Inicial],40)</f>
        <v>0</v>
      </c>
      <c r="K22" s="19">
        <f>COUNTIFS(GR[Posibilidad de Ocurrencia Inicial],"Recurrente",GR[Grado de Severidad Inicial],"Catastrofe",GR[Nivel de Riesgo Cuantitativo Inicial],50)</f>
        <v>0</v>
      </c>
      <c r="L22" s="1"/>
      <c r="M22" s="15" t="s">
        <v>236</v>
      </c>
      <c r="N22" s="17">
        <f>COUNTIFS(GR[Posibilidad de Ocurrencia Final],"Improbable",GR[Grado de Severidad Final],"Catastrofe",GR[Nivel de Riesgo Cuantitativo Final],10)</f>
        <v>0</v>
      </c>
      <c r="O22" s="18">
        <f>COUNTIFS(GR[Posibilidad de Ocurrencia Final],"Posible",GR[Grado de Severidad Final],"Catastrofe",GR[Nivel de Riesgo Cuantitativo Final],20)</f>
        <v>0</v>
      </c>
      <c r="P22" s="58">
        <f>COUNTIFS(GR[Posibilidad de Ocurrencia Final],"Ocasional",GR[Grado de Severidad Final],"Catastrofe",GR[Nivel de Riesgo Cuantitativo Final],30)</f>
        <v>0</v>
      </c>
      <c r="Q22" s="19">
        <f>COUNTIFS(GR[Posibilidad de Ocurrencia Final],"Moderado",GR[Grado de Severidad Final],"Catastrofe",GR[Nivel de Riesgo Cuantitativo Final],40)</f>
        <v>0</v>
      </c>
      <c r="R22" s="19">
        <f>COUNTIFS(GR[Posibilidad de Ocurrencia Final],"Recurrente",GR[Grado de Severidad Final],"Catastrofe",GR[Nivel de Riesgo Cuantitativo Final],50)</f>
        <v>0</v>
      </c>
      <c r="S22" s="1"/>
      <c r="T22" s="19" t="s">
        <v>187</v>
      </c>
      <c r="U22" s="22" t="s">
        <v>178</v>
      </c>
      <c r="V22" s="43">
        <f>COUNTIFS(GR[Nivel de Riesgo Cuantitativo Final],"&gt;=30",GR[Nivel de Riesgo Cuantitativo Final],"&lt;=50")</f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2:3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2:3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2:3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2:3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2:3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2:3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2:3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2:3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2:3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2:3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2:3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2:3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2:3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2:3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2:3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2:3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2:3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2:3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2:3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2:3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2:3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2:3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2:3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2:3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2:3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2:3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2:3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2:3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2:3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2:3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2:3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2:3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2:3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2:3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2:3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2:3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2:3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2:3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2:3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2:3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2:3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2:3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2:3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2:3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2:3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2:3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2:3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2:3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2:3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2:3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2:3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2:3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2:3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2:3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2:3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2:3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2:3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2:3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2:3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2:3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2:3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2:3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2:3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2:3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3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2:3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2:3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2:3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2:3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2:3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2:3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2:3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2:3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2:3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3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2:3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2:3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2:3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2:3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2:3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2:3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2:3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2:3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2:3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2:3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2:3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2:3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2:3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2:3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2:3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2:3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2:3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2:3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2:3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2:3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2:3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2:3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2:3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2:3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2:3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2:3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2:3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2:3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2:3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2:3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2:3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2:3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2:3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2:3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2:3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2:3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2:3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2:3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2:3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2:3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2:3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2:3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2:3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2:3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2:3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2:3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2:3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2:3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2:3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2:3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2:3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2:3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2:3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2:3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2:3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2:3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2:3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2:3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2:3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2:3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2:3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2:3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2:3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2:3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2:3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2:3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2:3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2:3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2:3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2:3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2:3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2:3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2:3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2:3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2:3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2:3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2:3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2:3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2:3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2:3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2:3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2:3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2:3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2:3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2:3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2:3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2:3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2:3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2:3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2:3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2:3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2:3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2:3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2:3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2:3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2:3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2:3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2:3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2:3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2:3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2:3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2:3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2:3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2:3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2:3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2:3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2:3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2:3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2:3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2:3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2:3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:3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:3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:3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:3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</sheetData>
  <mergeCells count="6">
    <mergeCell ref="F16:F17"/>
    <mergeCell ref="M16:M17"/>
    <mergeCell ref="G14:K14"/>
    <mergeCell ref="G15:K15"/>
    <mergeCell ref="N14:R14"/>
    <mergeCell ref="N15:R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P20" sqref="P20"/>
    </sheetView>
  </sheetViews>
  <sheetFormatPr baseColWidth="10" defaultRowHeight="15" x14ac:dyDescent="0.25"/>
  <cols>
    <col min="2" max="2" width="34.28515625" bestFit="1" customWidth="1"/>
    <col min="4" max="4" width="84.85546875" bestFit="1" customWidth="1"/>
    <col min="6" max="6" width="76.5703125" bestFit="1" customWidth="1"/>
    <col min="8" max="8" width="54.140625" bestFit="1" customWidth="1"/>
    <col min="10" max="10" width="65.85546875" bestFit="1" customWidth="1"/>
    <col min="12" max="12" width="108.140625" bestFit="1" customWidth="1"/>
    <col min="14" max="14" width="82.28515625" bestFit="1" customWidth="1"/>
    <col min="16" max="16" width="68.28515625" bestFit="1" customWidth="1"/>
    <col min="18" max="18" width="58.140625" bestFit="1" customWidth="1"/>
    <col min="20" max="20" width="22.140625" customWidth="1"/>
    <col min="22" max="22" width="39.5703125" bestFit="1" customWidth="1"/>
    <col min="24" max="24" width="31.7109375" bestFit="1" customWidth="1"/>
  </cols>
  <sheetData>
    <row r="1" spans="2:24" x14ac:dyDescent="0.25">
      <c r="B1" t="s">
        <v>18</v>
      </c>
    </row>
    <row r="3" spans="2:24" ht="15" customHeight="1" x14ac:dyDescent="0.25">
      <c r="B3" t="s">
        <v>17</v>
      </c>
      <c r="D3" t="s">
        <v>19</v>
      </c>
      <c r="F3" t="s">
        <v>20</v>
      </c>
      <c r="H3" t="s">
        <v>21</v>
      </c>
      <c r="J3" t="s">
        <v>22</v>
      </c>
      <c r="L3" t="s">
        <v>190</v>
      </c>
      <c r="N3" t="s">
        <v>23</v>
      </c>
      <c r="P3" t="s">
        <v>24</v>
      </c>
      <c r="R3" t="s">
        <v>25</v>
      </c>
      <c r="T3" t="s">
        <v>26</v>
      </c>
      <c r="V3" t="s">
        <v>27</v>
      </c>
      <c r="X3" t="s">
        <v>223</v>
      </c>
    </row>
    <row r="4" spans="2:24" x14ac:dyDescent="0.25">
      <c r="B4" t="s">
        <v>188</v>
      </c>
      <c r="D4" t="s">
        <v>28</v>
      </c>
      <c r="F4" t="s">
        <v>64</v>
      </c>
      <c r="H4" t="s">
        <v>91</v>
      </c>
      <c r="J4" t="s">
        <v>109</v>
      </c>
      <c r="L4" t="s">
        <v>116</v>
      </c>
      <c r="N4" t="s">
        <v>122</v>
      </c>
      <c r="P4" t="s">
        <v>131</v>
      </c>
      <c r="R4" t="s">
        <v>138</v>
      </c>
      <c r="T4" t="s">
        <v>147</v>
      </c>
      <c r="V4" t="s">
        <v>154</v>
      </c>
      <c r="X4" t="s">
        <v>224</v>
      </c>
    </row>
    <row r="5" spans="2:24" x14ac:dyDescent="0.25">
      <c r="B5" t="s">
        <v>189</v>
      </c>
      <c r="D5" t="s">
        <v>29</v>
      </c>
      <c r="F5" t="s">
        <v>65</v>
      </c>
      <c r="H5" t="s">
        <v>92</v>
      </c>
      <c r="J5" t="s">
        <v>110</v>
      </c>
      <c r="L5" t="s">
        <v>117</v>
      </c>
      <c r="N5" t="s">
        <v>123</v>
      </c>
      <c r="P5" t="s">
        <v>132</v>
      </c>
      <c r="R5" t="s">
        <v>139</v>
      </c>
      <c r="T5" t="s">
        <v>148</v>
      </c>
      <c r="V5" t="s">
        <v>155</v>
      </c>
    </row>
    <row r="6" spans="2:24" x14ac:dyDescent="0.25">
      <c r="B6" t="s">
        <v>21</v>
      </c>
      <c r="D6" t="s">
        <v>30</v>
      </c>
      <c r="F6" t="s">
        <v>66</v>
      </c>
      <c r="H6" t="s">
        <v>93</v>
      </c>
      <c r="J6" t="s">
        <v>111</v>
      </c>
      <c r="L6" t="s">
        <v>118</v>
      </c>
      <c r="N6" t="s">
        <v>124</v>
      </c>
      <c r="P6" t="s">
        <v>133</v>
      </c>
      <c r="R6" t="s">
        <v>140</v>
      </c>
      <c r="T6" t="s">
        <v>149</v>
      </c>
      <c r="V6" t="s">
        <v>156</v>
      </c>
    </row>
    <row r="7" spans="2:24" x14ac:dyDescent="0.25">
      <c r="B7" t="s">
        <v>22</v>
      </c>
      <c r="D7" t="s">
        <v>31</v>
      </c>
      <c r="F7" t="s">
        <v>67</v>
      </c>
      <c r="H7" t="s">
        <v>94</v>
      </c>
      <c r="J7" t="s">
        <v>112</v>
      </c>
      <c r="L7" t="s">
        <v>119</v>
      </c>
      <c r="N7" t="s">
        <v>125</v>
      </c>
      <c r="P7" t="s">
        <v>134</v>
      </c>
      <c r="R7" t="s">
        <v>141</v>
      </c>
      <c r="T7" t="s">
        <v>150</v>
      </c>
      <c r="V7" t="s">
        <v>157</v>
      </c>
    </row>
    <row r="8" spans="2:24" x14ac:dyDescent="0.25">
      <c r="B8" t="s">
        <v>190</v>
      </c>
      <c r="D8" t="s">
        <v>32</v>
      </c>
      <c r="F8" t="s">
        <v>68</v>
      </c>
      <c r="H8" t="s">
        <v>95</v>
      </c>
      <c r="J8" t="s">
        <v>113</v>
      </c>
      <c r="L8" t="s">
        <v>120</v>
      </c>
      <c r="N8" t="s">
        <v>126</v>
      </c>
      <c r="P8" t="s">
        <v>135</v>
      </c>
      <c r="R8" t="s">
        <v>142</v>
      </c>
      <c r="T8" t="s">
        <v>151</v>
      </c>
      <c r="V8" t="s">
        <v>158</v>
      </c>
    </row>
    <row r="9" spans="2:24" x14ac:dyDescent="0.25">
      <c r="B9" t="s">
        <v>191</v>
      </c>
      <c r="D9" t="s">
        <v>33</v>
      </c>
      <c r="F9" t="s">
        <v>69</v>
      </c>
      <c r="H9" t="s">
        <v>96</v>
      </c>
      <c r="J9" t="s">
        <v>114</v>
      </c>
      <c r="L9" t="s">
        <v>121</v>
      </c>
      <c r="N9" t="s">
        <v>127</v>
      </c>
      <c r="P9" t="s">
        <v>136</v>
      </c>
      <c r="R9" t="s">
        <v>143</v>
      </c>
      <c r="T9" t="s">
        <v>152</v>
      </c>
      <c r="V9" t="s">
        <v>159</v>
      </c>
    </row>
    <row r="10" spans="2:24" x14ac:dyDescent="0.25">
      <c r="B10" t="s">
        <v>24</v>
      </c>
      <c r="D10" t="s">
        <v>34</v>
      </c>
      <c r="F10" t="s">
        <v>70</v>
      </c>
      <c r="H10" t="s">
        <v>97</v>
      </c>
      <c r="J10" t="s">
        <v>115</v>
      </c>
      <c r="N10" t="s">
        <v>128</v>
      </c>
      <c r="P10" t="s">
        <v>137</v>
      </c>
      <c r="R10" t="s">
        <v>144</v>
      </c>
      <c r="T10" t="s">
        <v>153</v>
      </c>
      <c r="V10" t="s">
        <v>144</v>
      </c>
    </row>
    <row r="11" spans="2:24" x14ac:dyDescent="0.25">
      <c r="B11" t="s">
        <v>25</v>
      </c>
      <c r="D11" t="s">
        <v>35</v>
      </c>
      <c r="F11" t="s">
        <v>71</v>
      </c>
      <c r="H11" t="s">
        <v>98</v>
      </c>
      <c r="N11" t="s">
        <v>129</v>
      </c>
      <c r="P11" t="s">
        <v>136</v>
      </c>
      <c r="R11" t="s">
        <v>145</v>
      </c>
      <c r="V11" t="s">
        <v>145</v>
      </c>
    </row>
    <row r="12" spans="2:24" x14ac:dyDescent="0.25">
      <c r="B12" t="s">
        <v>192</v>
      </c>
      <c r="D12" t="s">
        <v>36</v>
      </c>
      <c r="F12" t="s">
        <v>72</v>
      </c>
      <c r="H12" t="s">
        <v>99</v>
      </c>
      <c r="N12" t="s">
        <v>130</v>
      </c>
      <c r="R12" t="s">
        <v>146</v>
      </c>
      <c r="V12" t="s">
        <v>160</v>
      </c>
    </row>
    <row r="13" spans="2:24" x14ac:dyDescent="0.25">
      <c r="B13" t="s">
        <v>193</v>
      </c>
      <c r="D13" t="s">
        <v>37</v>
      </c>
      <c r="F13" t="s">
        <v>73</v>
      </c>
      <c r="H13" t="s">
        <v>100</v>
      </c>
    </row>
    <row r="14" spans="2:24" x14ac:dyDescent="0.25">
      <c r="B14" t="s">
        <v>223</v>
      </c>
      <c r="D14" t="s">
        <v>38</v>
      </c>
      <c r="F14" t="s">
        <v>74</v>
      </c>
      <c r="H14" t="s">
        <v>101</v>
      </c>
    </row>
    <row r="15" spans="2:24" x14ac:dyDescent="0.25">
      <c r="D15" t="s">
        <v>39</v>
      </c>
      <c r="F15" t="s">
        <v>75</v>
      </c>
      <c r="H15" t="s">
        <v>102</v>
      </c>
    </row>
    <row r="16" spans="2:24" x14ac:dyDescent="0.25">
      <c r="D16" t="s">
        <v>40</v>
      </c>
      <c r="F16" t="s">
        <v>76</v>
      </c>
      <c r="H16" t="s">
        <v>103</v>
      </c>
    </row>
    <row r="17" spans="4:8" x14ac:dyDescent="0.25">
      <c r="D17" t="s">
        <v>41</v>
      </c>
      <c r="F17" t="s">
        <v>77</v>
      </c>
      <c r="H17" t="s">
        <v>104</v>
      </c>
    </row>
    <row r="18" spans="4:8" x14ac:dyDescent="0.25">
      <c r="D18" t="s">
        <v>42</v>
      </c>
      <c r="F18" t="s">
        <v>78</v>
      </c>
      <c r="H18" t="s">
        <v>105</v>
      </c>
    </row>
    <row r="19" spans="4:8" x14ac:dyDescent="0.25">
      <c r="D19" t="s">
        <v>43</v>
      </c>
      <c r="F19" t="s">
        <v>79</v>
      </c>
      <c r="H19" t="s">
        <v>106</v>
      </c>
    </row>
    <row r="20" spans="4:8" x14ac:dyDescent="0.25">
      <c r="D20" t="s">
        <v>44</v>
      </c>
      <c r="F20" t="s">
        <v>80</v>
      </c>
      <c r="H20" t="s">
        <v>107</v>
      </c>
    </row>
    <row r="21" spans="4:8" x14ac:dyDescent="0.25">
      <c r="D21" t="s">
        <v>45</v>
      </c>
      <c r="F21" t="s">
        <v>81</v>
      </c>
      <c r="H21" t="s">
        <v>108</v>
      </c>
    </row>
    <row r="22" spans="4:8" x14ac:dyDescent="0.25">
      <c r="D22" t="s">
        <v>46</v>
      </c>
      <c r="F22" t="s">
        <v>82</v>
      </c>
    </row>
    <row r="23" spans="4:8" x14ac:dyDescent="0.25">
      <c r="D23" t="s">
        <v>47</v>
      </c>
      <c r="F23" t="s">
        <v>83</v>
      </c>
    </row>
    <row r="24" spans="4:8" x14ac:dyDescent="0.25">
      <c r="D24" t="s">
        <v>48</v>
      </c>
      <c r="F24" t="s">
        <v>84</v>
      </c>
    </row>
    <row r="25" spans="4:8" x14ac:dyDescent="0.25">
      <c r="D25" t="s">
        <v>49</v>
      </c>
      <c r="F25" t="s">
        <v>85</v>
      </c>
    </row>
    <row r="26" spans="4:8" x14ac:dyDescent="0.25">
      <c r="D26" t="s">
        <v>50</v>
      </c>
      <c r="F26" t="s">
        <v>86</v>
      </c>
    </row>
    <row r="27" spans="4:8" x14ac:dyDescent="0.25">
      <c r="D27" t="s">
        <v>51</v>
      </c>
      <c r="F27" t="s">
        <v>87</v>
      </c>
    </row>
    <row r="28" spans="4:8" x14ac:dyDescent="0.25">
      <c r="D28" t="s">
        <v>52</v>
      </c>
      <c r="F28" t="s">
        <v>88</v>
      </c>
    </row>
    <row r="29" spans="4:8" x14ac:dyDescent="0.25">
      <c r="D29" t="s">
        <v>53</v>
      </c>
      <c r="F29" t="s">
        <v>89</v>
      </c>
    </row>
    <row r="30" spans="4:8" x14ac:dyDescent="0.25">
      <c r="D30" t="s">
        <v>54</v>
      </c>
      <c r="F30" t="s">
        <v>90</v>
      </c>
    </row>
    <row r="31" spans="4:8" x14ac:dyDescent="0.25">
      <c r="D31" t="s">
        <v>55</v>
      </c>
    </row>
    <row r="32" spans="4:8" x14ac:dyDescent="0.25">
      <c r="D32" t="s">
        <v>56</v>
      </c>
    </row>
    <row r="33" spans="4:4" x14ac:dyDescent="0.25">
      <c r="D33" t="s">
        <v>57</v>
      </c>
    </row>
    <row r="34" spans="4:4" x14ac:dyDescent="0.25">
      <c r="D34" t="s">
        <v>58</v>
      </c>
    </row>
    <row r="35" spans="4:4" x14ac:dyDescent="0.25">
      <c r="D35" t="s">
        <v>59</v>
      </c>
    </row>
    <row r="36" spans="4:4" x14ac:dyDescent="0.25">
      <c r="D36" t="s">
        <v>60</v>
      </c>
    </row>
    <row r="37" spans="4:4" x14ac:dyDescent="0.25">
      <c r="D37" t="s">
        <v>61</v>
      </c>
    </row>
    <row r="38" spans="4:4" x14ac:dyDescent="0.25">
      <c r="D38" t="s">
        <v>62</v>
      </c>
    </row>
    <row r="39" spans="4:4" x14ac:dyDescent="0.25">
      <c r="D39" t="s">
        <v>63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zoomScale="80" zoomScaleNormal="80" workbookViewId="0"/>
  </sheetViews>
  <sheetFormatPr baseColWidth="10" defaultRowHeight="15" x14ac:dyDescent="0.25"/>
  <cols>
    <col min="2" max="2" width="17.85546875" style="13" bestFit="1" customWidth="1"/>
    <col min="3" max="3" width="6" style="12" customWidth="1"/>
    <col min="4" max="4" width="16.140625" customWidth="1"/>
    <col min="5" max="5" width="17.85546875" bestFit="1" customWidth="1"/>
    <col min="6" max="6" width="15.28515625" customWidth="1"/>
    <col min="7" max="7" width="16.42578125" customWidth="1"/>
    <col min="8" max="8" width="16.5703125" customWidth="1"/>
    <col min="12" max="12" width="16.42578125" bestFit="1" customWidth="1"/>
  </cols>
  <sheetData>
    <row r="6" spans="2:12" x14ac:dyDescent="0.25">
      <c r="D6" s="63" t="s">
        <v>167</v>
      </c>
      <c r="E6" s="63"/>
      <c r="F6" s="63"/>
      <c r="G6" s="63"/>
      <c r="H6" s="63"/>
    </row>
    <row r="7" spans="2:12" x14ac:dyDescent="0.25">
      <c r="D7" s="62" t="s">
        <v>166</v>
      </c>
      <c r="E7" s="62"/>
      <c r="F7" s="62"/>
      <c r="G7" s="62"/>
      <c r="H7" s="62"/>
    </row>
    <row r="8" spans="2:12" x14ac:dyDescent="0.25">
      <c r="D8" s="14" t="s">
        <v>161</v>
      </c>
      <c r="E8" s="14" t="s">
        <v>162</v>
      </c>
      <c r="F8" s="14" t="s">
        <v>163</v>
      </c>
      <c r="G8" s="14" t="s">
        <v>164</v>
      </c>
      <c r="H8" s="14" t="s">
        <v>165</v>
      </c>
      <c r="K8" s="20" t="s">
        <v>173</v>
      </c>
      <c r="L8" s="20" t="s">
        <v>174</v>
      </c>
    </row>
    <row r="9" spans="2:12" x14ac:dyDescent="0.25">
      <c r="B9" s="62" t="s">
        <v>168</v>
      </c>
      <c r="C9" s="62"/>
      <c r="D9" s="14">
        <v>2</v>
      </c>
      <c r="E9" s="14">
        <v>4</v>
      </c>
      <c r="F9" s="14">
        <v>6</v>
      </c>
      <c r="G9" s="14">
        <v>8</v>
      </c>
      <c r="H9" s="14">
        <v>10</v>
      </c>
      <c r="K9" s="21" t="s">
        <v>184</v>
      </c>
      <c r="L9" s="22" t="s">
        <v>175</v>
      </c>
    </row>
    <row r="10" spans="2:12" x14ac:dyDescent="0.25">
      <c r="B10" s="15" t="s">
        <v>169</v>
      </c>
      <c r="C10" s="14">
        <v>1</v>
      </c>
      <c r="D10" s="16">
        <f>C10*D9</f>
        <v>2</v>
      </c>
      <c r="E10" s="16">
        <f>C10*E9</f>
        <v>4</v>
      </c>
      <c r="F10" s="16">
        <f>C10*F9</f>
        <v>6</v>
      </c>
      <c r="G10" s="16">
        <f>C10*G9</f>
        <v>8</v>
      </c>
      <c r="H10" s="17">
        <f>C10*H9</f>
        <v>10</v>
      </c>
      <c r="K10" s="17" t="s">
        <v>185</v>
      </c>
      <c r="L10" s="22" t="s">
        <v>176</v>
      </c>
    </row>
    <row r="11" spans="2:12" x14ac:dyDescent="0.25">
      <c r="B11" s="15" t="s">
        <v>170</v>
      </c>
      <c r="C11" s="14">
        <v>2</v>
      </c>
      <c r="D11" s="16">
        <f>C11*D9</f>
        <v>4</v>
      </c>
      <c r="E11" s="16">
        <f>C11*E9</f>
        <v>8</v>
      </c>
      <c r="F11" s="17">
        <f>C11*F9</f>
        <v>12</v>
      </c>
      <c r="G11" s="17">
        <f>C11*G9</f>
        <v>16</v>
      </c>
      <c r="H11" s="18">
        <f>C11*H9</f>
        <v>20</v>
      </c>
      <c r="K11" s="18" t="s">
        <v>186</v>
      </c>
      <c r="L11" s="22" t="s">
        <v>177</v>
      </c>
    </row>
    <row r="12" spans="2:12" x14ac:dyDescent="0.25">
      <c r="B12" s="15" t="s">
        <v>171</v>
      </c>
      <c r="C12" s="14">
        <v>3</v>
      </c>
      <c r="D12" s="16">
        <f>C12*D9</f>
        <v>6</v>
      </c>
      <c r="E12" s="17">
        <f>C12*E9</f>
        <v>12</v>
      </c>
      <c r="F12" s="17">
        <f>C12*F9</f>
        <v>18</v>
      </c>
      <c r="G12" s="18">
        <f>C12*G9</f>
        <v>24</v>
      </c>
      <c r="H12" s="19">
        <f>C12*H9</f>
        <v>30</v>
      </c>
      <c r="K12" s="19" t="s">
        <v>187</v>
      </c>
      <c r="L12" s="22" t="s">
        <v>178</v>
      </c>
    </row>
    <row r="13" spans="2:12" x14ac:dyDescent="0.25">
      <c r="B13" s="15" t="s">
        <v>183</v>
      </c>
      <c r="C13" s="14">
        <v>4</v>
      </c>
      <c r="D13" s="16">
        <f>C13*D9</f>
        <v>8</v>
      </c>
      <c r="E13" s="17">
        <f>C13*E9</f>
        <v>16</v>
      </c>
      <c r="F13" s="18">
        <f>C13*F9</f>
        <v>24</v>
      </c>
      <c r="G13" s="19">
        <f>C13*G9</f>
        <v>32</v>
      </c>
      <c r="H13" s="19">
        <f>C13*H9</f>
        <v>40</v>
      </c>
    </row>
    <row r="14" spans="2:12" x14ac:dyDescent="0.25">
      <c r="B14" s="15" t="s">
        <v>172</v>
      </c>
      <c r="C14" s="14">
        <v>5</v>
      </c>
      <c r="D14" s="17">
        <f>C14*D9</f>
        <v>10</v>
      </c>
      <c r="E14" s="18">
        <f>C14*E9</f>
        <v>20</v>
      </c>
      <c r="F14" s="19">
        <f>C14*F9</f>
        <v>30</v>
      </c>
      <c r="G14" s="19">
        <f>C14*G9</f>
        <v>40</v>
      </c>
      <c r="H14" s="19">
        <f>C14*H9</f>
        <v>50</v>
      </c>
    </row>
    <row r="18" spans="4:7" x14ac:dyDescent="0.25">
      <c r="D18" s="26" t="s">
        <v>179</v>
      </c>
      <c r="E18" s="27" t="s">
        <v>180</v>
      </c>
      <c r="F18" s="27" t="s">
        <v>181</v>
      </c>
      <c r="G18" s="28" t="s">
        <v>182</v>
      </c>
    </row>
    <row r="19" spans="4:7" x14ac:dyDescent="0.25">
      <c r="D19" s="23"/>
      <c r="E19" s="24"/>
      <c r="F19" s="24"/>
      <c r="G19" s="25" t="str">
        <f>IFERROR(INDEX($D$10:$H$14,MATCH(E19,B10:$B$14,0),MATCH(F19,$D$8:$H$8,0)),"-")</f>
        <v>-</v>
      </c>
    </row>
    <row r="20" spans="4:7" x14ac:dyDescent="0.25">
      <c r="E20" s="12"/>
      <c r="F20" s="12"/>
    </row>
  </sheetData>
  <mergeCells count="3">
    <mergeCell ref="D7:H7"/>
    <mergeCell ref="D6:H6"/>
    <mergeCell ref="B9:C9"/>
  </mergeCells>
  <conditionalFormatting sqref="G19">
    <cfRule type="expression" dxfId="3" priority="1">
      <formula>AND($G19&gt;=30,$G19&lt;=50)</formula>
    </cfRule>
    <cfRule type="expression" dxfId="2" priority="2">
      <formula>AND($G19&gt;=20,$G19&lt;=24)</formula>
    </cfRule>
    <cfRule type="expression" dxfId="1" priority="3">
      <formula>AND($G19&gt;=10,$G19&lt;=18)</formula>
    </cfRule>
    <cfRule type="expression" dxfId="0" priority="4">
      <formula>AND($G19&gt;=2,$G19&lt;=8)</formula>
    </cfRule>
  </conditionalFormatting>
  <dataValidations disablePrompts="1" count="2">
    <dataValidation type="list" allowBlank="1" showInputMessage="1" showErrorMessage="1" sqref="E19">
      <formula1>$B$10:$B$14</formula1>
    </dataValidation>
    <dataValidation type="list" allowBlank="1" showInputMessage="1" showErrorMessage="1" sqref="F19">
      <formula1>$D$8:$H$8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E24" sqref="E24"/>
    </sheetView>
  </sheetViews>
  <sheetFormatPr baseColWidth="10" defaultRowHeight="15" x14ac:dyDescent="0.25"/>
  <cols>
    <col min="1" max="1" width="12.28515625" bestFit="1" customWidth="1"/>
    <col min="3" max="3" width="12.28515625" bestFit="1" customWidth="1"/>
    <col min="5" max="5" width="14.42578125" customWidth="1"/>
    <col min="7" max="7" width="19.28515625" bestFit="1" customWidth="1"/>
  </cols>
  <sheetData>
    <row r="3" spans="1:7" x14ac:dyDescent="0.25">
      <c r="A3" t="s">
        <v>179</v>
      </c>
      <c r="C3" t="s">
        <v>179</v>
      </c>
      <c r="E3" t="s">
        <v>198</v>
      </c>
      <c r="G3" t="s">
        <v>205</v>
      </c>
    </row>
    <row r="4" spans="1:7" x14ac:dyDescent="0.25">
      <c r="A4" t="s">
        <v>198</v>
      </c>
      <c r="C4" t="s">
        <v>195</v>
      </c>
      <c r="E4" t="s">
        <v>195</v>
      </c>
      <c r="G4" t="s">
        <v>208</v>
      </c>
    </row>
    <row r="5" spans="1:7" x14ac:dyDescent="0.25">
      <c r="C5" t="s">
        <v>196</v>
      </c>
      <c r="E5" t="s">
        <v>199</v>
      </c>
      <c r="G5" t="s">
        <v>207</v>
      </c>
    </row>
    <row r="6" spans="1:7" x14ac:dyDescent="0.25">
      <c r="C6" t="s">
        <v>14</v>
      </c>
      <c r="E6" t="s">
        <v>200</v>
      </c>
      <c r="G6" t="s">
        <v>206</v>
      </c>
    </row>
    <row r="7" spans="1:7" x14ac:dyDescent="0.25">
      <c r="C7" t="s">
        <v>197</v>
      </c>
      <c r="E7" t="s">
        <v>201</v>
      </c>
      <c r="G7" t="s">
        <v>209</v>
      </c>
    </row>
    <row r="8" spans="1:7" x14ac:dyDescent="0.25">
      <c r="E8" t="s">
        <v>197</v>
      </c>
      <c r="G8" t="s">
        <v>210</v>
      </c>
    </row>
    <row r="9" spans="1:7" x14ac:dyDescent="0.25">
      <c r="G9" t="s">
        <v>211</v>
      </c>
    </row>
    <row r="10" spans="1:7" x14ac:dyDescent="0.25">
      <c r="G10" t="s">
        <v>212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F42" sqref="F42"/>
    </sheetView>
  </sheetViews>
  <sheetFormatPr baseColWidth="10" defaultRowHeight="15" x14ac:dyDescent="0.25"/>
  <cols>
    <col min="2" max="2" width="16.42578125" bestFit="1" customWidth="1"/>
    <col min="3" max="3" width="7.42578125" style="12" customWidth="1"/>
    <col min="4" max="4" width="7.5703125" style="12" customWidth="1"/>
  </cols>
  <sheetData>
    <row r="2" spans="1:4" x14ac:dyDescent="0.25">
      <c r="C2" s="12" t="s">
        <v>221</v>
      </c>
      <c r="D2" s="12" t="s">
        <v>222</v>
      </c>
    </row>
    <row r="3" spans="1:4" x14ac:dyDescent="0.25">
      <c r="A3" s="21" t="s">
        <v>184</v>
      </c>
      <c r="B3" s="22" t="s">
        <v>175</v>
      </c>
      <c r="C3" s="43">
        <f>COUNTIFS(GR[Nivel de Riesgo Cuantitativo Inicial],"&gt;=2",GR[Nivel de Riesgo Cuantitativo Inicial],"&lt;=8")</f>
        <v>0</v>
      </c>
      <c r="D3" s="43">
        <f>COUNTIFS(GR[Nivel de Riesgo Cuantitativo Final],"&gt;=2",GR[Nivel de Riesgo Cuantitativo Final],"&lt;=8")</f>
        <v>0</v>
      </c>
    </row>
    <row r="4" spans="1:4" x14ac:dyDescent="0.25">
      <c r="A4" s="17" t="s">
        <v>185</v>
      </c>
      <c r="B4" s="22" t="s">
        <v>176</v>
      </c>
      <c r="C4" s="43">
        <f>COUNTIFS(GR[Nivel de Riesgo Cuantitativo Inicial],"&gt;=10",GR[Nivel de Riesgo Cuantitativo Inicial],"&lt;=18")</f>
        <v>0</v>
      </c>
      <c r="D4" s="43">
        <f>COUNTIFS(GR[Nivel de Riesgo Cuantitativo Final],"&gt;=10",GR[Nivel de Riesgo Cuantitativo Final],"&lt;=18")</f>
        <v>0</v>
      </c>
    </row>
    <row r="5" spans="1:4" x14ac:dyDescent="0.25">
      <c r="A5" s="18" t="s">
        <v>186</v>
      </c>
      <c r="B5" s="22" t="s">
        <v>177</v>
      </c>
      <c r="C5" s="43">
        <f>COUNTIFS(GR[Nivel de Riesgo Cuantitativo Inicial],"&gt;=20",GR[Nivel de Riesgo Cuantitativo Inicial],"&lt;=24")</f>
        <v>0</v>
      </c>
      <c r="D5" s="43">
        <f>COUNTIFS(GR[Nivel de Riesgo Cuantitativo Final],"&gt;=20",GR[Nivel de Riesgo Cuantitativo Final],"&lt;=24")</f>
        <v>0</v>
      </c>
    </row>
    <row r="6" spans="1:4" x14ac:dyDescent="0.25">
      <c r="A6" s="38" t="s">
        <v>187</v>
      </c>
      <c r="B6" s="22" t="s">
        <v>178</v>
      </c>
      <c r="C6" s="43">
        <f>COUNTIFS(GR[Nivel de Riesgo Cuantitativo Inicial],"&gt;=30",GR[Nivel de Riesgo Cuantitativo Inicial],"&lt;=50")</f>
        <v>0</v>
      </c>
      <c r="D6" s="43">
        <f>COUNTIFS(GR[Nivel de Riesgo Cuantitativo Final],"&gt;=30",GR[Nivel de Riesgo Cuantitativo Final],"&lt;=50")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de Registro</vt:lpstr>
      <vt:lpstr>Tabla-Matriz</vt:lpstr>
      <vt:lpstr>Catalogo</vt:lpstr>
      <vt:lpstr>Ponderaciones</vt:lpstr>
      <vt:lpstr>Catalogo_Tratamiento</vt:lpstr>
      <vt:lpstr>Formulas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EBT</dc:creator>
  <cp:lastModifiedBy>Yop</cp:lastModifiedBy>
  <dcterms:created xsi:type="dcterms:W3CDTF">2022-07-28T21:04:38Z</dcterms:created>
  <dcterms:modified xsi:type="dcterms:W3CDTF">2025-03-21T16:44:25Z</dcterms:modified>
</cp:coreProperties>
</file>