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45" windowWidth="24675" windowHeight="12555" firstSheet="2" activeTab="2"/>
  </bookViews>
  <sheets>
    <sheet name="Regular" sheetId="1" state="veryHidden" r:id="rId1"/>
    <sheet name="Interaction" sheetId="4" state="veryHidden" r:id="rId2"/>
    <sheet name="ANOVA" sheetId="5" r:id="rId3"/>
  </sheets>
  <calcPr calcId="145621"/>
</workbook>
</file>

<file path=xl/calcChain.xml><?xml version="1.0" encoding="utf-8"?>
<calcChain xmlns="http://schemas.openxmlformats.org/spreadsheetml/2006/main">
  <c r="C6" i="1" l="1"/>
  <c r="C13" i="1" s="1"/>
  <c r="C5" i="1"/>
  <c r="C12" i="1" s="1"/>
  <c r="B3" i="5"/>
  <c r="S29" i="1"/>
  <c r="S31" i="1"/>
  <c r="S30" i="1"/>
  <c r="S28" i="1"/>
  <c r="S27" i="1"/>
  <c r="S26" i="1"/>
  <c r="S25" i="1"/>
  <c r="C11" i="1"/>
  <c r="C15" i="1"/>
  <c r="C2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N22" i="1"/>
  <c r="N24" i="1"/>
  <c r="N25" i="1"/>
  <c r="N26" i="1"/>
  <c r="N23" i="1"/>
  <c r="H26" i="1"/>
  <c r="I26" i="1"/>
  <c r="J26" i="1"/>
  <c r="K26" i="1"/>
  <c r="L26" i="1"/>
  <c r="M26" i="1"/>
  <c r="K25" i="1"/>
  <c r="L25" i="1"/>
  <c r="M25" i="1"/>
  <c r="M24" i="1"/>
  <c r="L24" i="1"/>
  <c r="H22" i="1"/>
  <c r="N24" i="4"/>
  <c r="M24" i="4"/>
  <c r="M26" i="4"/>
  <c r="N26" i="4"/>
  <c r="N30" i="4"/>
  <c r="N29" i="4"/>
  <c r="N28" i="4"/>
  <c r="M28" i="4"/>
  <c r="M29" i="4"/>
  <c r="M30" i="4"/>
  <c r="L30" i="4"/>
  <c r="H30" i="4"/>
  <c r="H28" i="4"/>
  <c r="H26" i="4"/>
  <c r="H24" i="4"/>
  <c r="I22" i="4"/>
  <c r="H22" i="4"/>
  <c r="W21" i="1"/>
  <c r="X21" i="1"/>
  <c r="V21" i="1"/>
  <c r="W20" i="1"/>
  <c r="X20" i="1"/>
  <c r="V20" i="1"/>
  <c r="K25" i="4"/>
  <c r="K24" i="4"/>
  <c r="N2" i="4"/>
  <c r="X21" i="4"/>
  <c r="X20" i="4"/>
  <c r="X19" i="4"/>
  <c r="X18" i="4"/>
  <c r="X17" i="4"/>
  <c r="X16" i="4"/>
  <c r="X15" i="4"/>
  <c r="X14" i="4"/>
  <c r="X13" i="4"/>
  <c r="X12" i="4"/>
  <c r="X11" i="4"/>
  <c r="H61" i="4"/>
  <c r="L61" i="4" s="1"/>
  <c r="I61" i="4"/>
  <c r="X10" i="4"/>
  <c r="X9" i="4"/>
  <c r="J9" i="4"/>
  <c r="X8" i="4"/>
  <c r="J8" i="4"/>
  <c r="X7" i="4"/>
  <c r="J7" i="4"/>
  <c r="L2" i="4"/>
  <c r="E15" i="5"/>
  <c r="E16" i="5"/>
  <c r="D15" i="5"/>
  <c r="J12" i="5"/>
  <c r="H18" i="5"/>
  <c r="D18" i="5"/>
  <c r="E10" i="5"/>
  <c r="G18" i="5"/>
  <c r="J10" i="5"/>
  <c r="F10" i="5"/>
  <c r="G13" i="5"/>
  <c r="I17" i="5"/>
  <c r="H10" i="5"/>
  <c r="E18" i="5"/>
  <c r="E14" i="5"/>
  <c r="J14" i="5"/>
  <c r="E17" i="5"/>
  <c r="I12" i="5"/>
  <c r="D11" i="5"/>
  <c r="D12" i="5"/>
  <c r="D10" i="5"/>
  <c r="D16" i="5"/>
  <c r="D17" i="5"/>
  <c r="D14" i="5"/>
  <c r="I10" i="5"/>
  <c r="I14" i="5"/>
  <c r="I18" i="5"/>
  <c r="D13" i="5"/>
  <c r="F18" i="5"/>
  <c r="J18" i="5"/>
  <c r="J17" i="5"/>
  <c r="J16" i="5"/>
  <c r="I16" i="5"/>
  <c r="G10" i="5"/>
  <c r="J61" i="4" l="1"/>
  <c r="J4" i="1" l="1"/>
  <c r="O4" i="1" s="1"/>
  <c r="K4" i="1"/>
  <c r="J5" i="1"/>
  <c r="O5" i="1" s="1"/>
  <c r="C18" i="4" s="1"/>
  <c r="K5" i="1"/>
  <c r="J6" i="1"/>
  <c r="O6" i="1" s="1"/>
  <c r="C19" i="4" s="1"/>
  <c r="K6" i="1"/>
  <c r="J7" i="1"/>
  <c r="O7" i="1" s="1"/>
  <c r="C20" i="4" s="1"/>
  <c r="K7" i="1"/>
  <c r="J8" i="1"/>
  <c r="O8" i="1" s="1"/>
  <c r="C21" i="4" s="1"/>
  <c r="K8" i="1"/>
  <c r="J9" i="1"/>
  <c r="O9" i="1" s="1"/>
  <c r="C22" i="4" s="1"/>
  <c r="K9" i="1"/>
  <c r="J10" i="1"/>
  <c r="O10" i="1" s="1"/>
  <c r="C23" i="4" s="1"/>
  <c r="K10" i="1"/>
  <c r="J11" i="1"/>
  <c r="O11" i="1" s="1"/>
  <c r="C24" i="4" s="1"/>
  <c r="K11" i="1"/>
  <c r="J12" i="1"/>
  <c r="O12" i="1" s="1"/>
  <c r="C25" i="4" s="1"/>
  <c r="K12" i="1"/>
  <c r="J13" i="1"/>
  <c r="O13" i="1" s="1"/>
  <c r="C26" i="4" s="1"/>
  <c r="K13" i="1"/>
  <c r="J14" i="1"/>
  <c r="O14" i="1" s="1"/>
  <c r="C27" i="4" s="1"/>
  <c r="K14" i="1"/>
  <c r="J15" i="1"/>
  <c r="O15" i="1" s="1"/>
  <c r="C28" i="4" s="1"/>
  <c r="K15" i="1"/>
  <c r="J16" i="1"/>
  <c r="O16" i="1" s="1"/>
  <c r="C29" i="4" s="1"/>
  <c r="K16" i="1"/>
  <c r="J17" i="1"/>
  <c r="O17" i="1" s="1"/>
  <c r="C30" i="4" s="1"/>
  <c r="K17" i="1"/>
  <c r="J18" i="1"/>
  <c r="O18" i="1" s="1"/>
  <c r="C31" i="4" s="1"/>
  <c r="K18" i="1"/>
  <c r="I5" i="1"/>
  <c r="P5" i="1" s="1"/>
  <c r="C33" i="4" s="1"/>
  <c r="I6" i="1"/>
  <c r="N6" i="1" s="1"/>
  <c r="C4" i="4" s="1"/>
  <c r="I7" i="1"/>
  <c r="N7" i="1" s="1"/>
  <c r="C5" i="4" s="1"/>
  <c r="I8" i="1"/>
  <c r="P8" i="1" s="1"/>
  <c r="C36" i="4" s="1"/>
  <c r="I9" i="1"/>
  <c r="P9" i="1" s="1"/>
  <c r="C37" i="4" s="1"/>
  <c r="I10" i="1"/>
  <c r="P10" i="1" s="1"/>
  <c r="C38" i="4" s="1"/>
  <c r="I11" i="1"/>
  <c r="N11" i="1" s="1"/>
  <c r="C9" i="4" s="1"/>
  <c r="I12" i="1"/>
  <c r="P12" i="1" s="1"/>
  <c r="C40" i="4" s="1"/>
  <c r="I13" i="1"/>
  <c r="P13" i="1" s="1"/>
  <c r="C41" i="4" s="1"/>
  <c r="I14" i="1"/>
  <c r="N14" i="1" s="1"/>
  <c r="C12" i="4" s="1"/>
  <c r="I15" i="1"/>
  <c r="N15" i="1" s="1"/>
  <c r="C13" i="4" s="1"/>
  <c r="I16" i="1"/>
  <c r="P16" i="1" s="1"/>
  <c r="C44" i="4" s="1"/>
  <c r="I17" i="1"/>
  <c r="P17" i="1" s="1"/>
  <c r="C45" i="4" s="1"/>
  <c r="I18" i="1"/>
  <c r="N18" i="1" s="1"/>
  <c r="C16" i="4" s="1"/>
  <c r="I4" i="1"/>
  <c r="P4" i="1" s="1"/>
  <c r="C17" i="4" l="1"/>
  <c r="I8" i="4" s="1"/>
  <c r="O19" i="1"/>
  <c r="C32" i="4"/>
  <c r="P11" i="1"/>
  <c r="C39" i="4" s="1"/>
  <c r="W14" i="4" s="1"/>
  <c r="P15" i="1"/>
  <c r="C43" i="4" s="1"/>
  <c r="P7" i="1"/>
  <c r="C35" i="4" s="1"/>
  <c r="W10" i="4" s="1"/>
  <c r="O20" i="1"/>
  <c r="N10" i="1"/>
  <c r="C8" i="4" s="1"/>
  <c r="P18" i="1"/>
  <c r="C46" i="4" s="1"/>
  <c r="W21" i="4" s="1"/>
  <c r="P14" i="1"/>
  <c r="C42" i="4" s="1"/>
  <c r="W17" i="4" s="1"/>
  <c r="P6" i="1"/>
  <c r="C34" i="4" s="1"/>
  <c r="N17" i="1"/>
  <c r="C15" i="4" s="1"/>
  <c r="N13" i="1"/>
  <c r="C11" i="4" s="1"/>
  <c r="N9" i="1"/>
  <c r="C7" i="4" s="1"/>
  <c r="N5" i="1"/>
  <c r="C3" i="4" s="1"/>
  <c r="N16" i="1"/>
  <c r="C14" i="4" s="1"/>
  <c r="N12" i="1"/>
  <c r="C10" i="4" s="1"/>
  <c r="N8" i="1"/>
  <c r="C6" i="4" s="1"/>
  <c r="N4" i="1"/>
  <c r="P19" i="1" l="1"/>
  <c r="H4" i="5"/>
  <c r="O33" i="1"/>
  <c r="I4" i="5" s="1"/>
  <c r="C2" i="4"/>
  <c r="I2" i="4" s="1"/>
  <c r="Q19" i="1"/>
  <c r="N19" i="1"/>
  <c r="G4" i="5"/>
  <c r="T28" i="1"/>
  <c r="I9" i="4"/>
  <c r="W8" i="4"/>
  <c r="W15" i="4"/>
  <c r="W16" i="4"/>
  <c r="W19" i="4"/>
  <c r="W20" i="4"/>
  <c r="W13" i="4"/>
  <c r="I7" i="4"/>
  <c r="W11" i="4"/>
  <c r="W12" i="4"/>
  <c r="W9" i="4"/>
  <c r="W18" i="4"/>
  <c r="S5" i="1"/>
  <c r="S8" i="1"/>
  <c r="S11" i="1"/>
  <c r="S16" i="1"/>
  <c r="S13" i="1"/>
  <c r="S10" i="1"/>
  <c r="S18" i="1"/>
  <c r="P20" i="1"/>
  <c r="S7" i="1"/>
  <c r="S15" i="1"/>
  <c r="S12" i="1"/>
  <c r="S4" i="1"/>
  <c r="S9" i="1"/>
  <c r="S17" i="1"/>
  <c r="S6" i="1"/>
  <c r="S14" i="1"/>
  <c r="P2" i="4" l="1"/>
  <c r="R2" i="4" s="1"/>
  <c r="K26" i="4" s="1"/>
  <c r="H3" i="5"/>
  <c r="N33" i="1"/>
  <c r="I3" i="5" s="1"/>
  <c r="W7" i="4"/>
  <c r="Y7" i="4" s="1"/>
  <c r="Q33" i="1"/>
  <c r="I6" i="5" s="1"/>
  <c r="H6" i="5"/>
  <c r="N20" i="1"/>
  <c r="R19" i="1" s="1"/>
  <c r="P33" i="1"/>
  <c r="I5" i="5" s="1"/>
  <c r="H5" i="5"/>
  <c r="G5" i="5"/>
  <c r="T31" i="1"/>
  <c r="Y9" i="4"/>
  <c r="Y12" i="4"/>
  <c r="K9" i="4"/>
  <c r="E2" i="4"/>
  <c r="E35" i="4"/>
  <c r="E6" i="4"/>
  <c r="E42" i="4"/>
  <c r="Y17" i="4"/>
  <c r="Y8" i="4"/>
  <c r="Y11" i="4"/>
  <c r="Y13" i="4"/>
  <c r="Y19" i="4"/>
  <c r="E43" i="4"/>
  <c r="Y18" i="4"/>
  <c r="E7" i="4"/>
  <c r="E34" i="4"/>
  <c r="K8" i="4"/>
  <c r="E15" i="4"/>
  <c r="E46" i="4"/>
  <c r="E10" i="4"/>
  <c r="P6" i="4"/>
  <c r="Q6" i="4" s="1"/>
  <c r="K61" i="4"/>
  <c r="E30" i="4"/>
  <c r="E22" i="4"/>
  <c r="E37" i="4"/>
  <c r="E36" i="4"/>
  <c r="E29" i="4"/>
  <c r="E21" i="4"/>
  <c r="E32" i="4"/>
  <c r="E16" i="4"/>
  <c r="E4" i="4"/>
  <c r="E13" i="4"/>
  <c r="E28" i="4"/>
  <c r="E20" i="4"/>
  <c r="E44" i="4"/>
  <c r="E27" i="4"/>
  <c r="E19" i="4"/>
  <c r="E41" i="4"/>
  <c r="E26" i="4"/>
  <c r="E18" i="4"/>
  <c r="E40" i="4"/>
  <c r="E5" i="4"/>
  <c r="E25" i="4"/>
  <c r="E9" i="4"/>
  <c r="E12" i="4"/>
  <c r="E38" i="4"/>
  <c r="E33" i="4"/>
  <c r="E24" i="4"/>
  <c r="E45" i="4"/>
  <c r="E31" i="4"/>
  <c r="E23" i="4"/>
  <c r="E17" i="4"/>
  <c r="E39" i="4"/>
  <c r="Y20" i="4"/>
  <c r="E11" i="4"/>
  <c r="Y15" i="4"/>
  <c r="Y21" i="4"/>
  <c r="K7" i="4"/>
  <c r="Y14" i="4"/>
  <c r="E8" i="4"/>
  <c r="E14" i="4"/>
  <c r="Y16" i="4"/>
  <c r="E3" i="4"/>
  <c r="Y10" i="4"/>
  <c r="T18" i="1"/>
  <c r="T14" i="1"/>
  <c r="R18" i="1"/>
  <c r="T10" i="1"/>
  <c r="T17" i="1"/>
  <c r="T16" i="1"/>
  <c r="T11" i="1"/>
  <c r="T13" i="1"/>
  <c r="T12" i="1"/>
  <c r="T9" i="1"/>
  <c r="T8" i="1"/>
  <c r="T7" i="1"/>
  <c r="T5" i="1"/>
  <c r="T4" i="1"/>
  <c r="T15" i="1"/>
  <c r="T6" i="1"/>
  <c r="G14" i="5"/>
  <c r="R11" i="1" l="1"/>
  <c r="R8" i="1"/>
  <c r="R17" i="1"/>
  <c r="R7" i="1"/>
  <c r="R16" i="1"/>
  <c r="R12" i="1"/>
  <c r="R6" i="1"/>
  <c r="R13" i="1"/>
  <c r="R9" i="1"/>
  <c r="R5" i="1"/>
  <c r="R14" i="1"/>
  <c r="R15" i="1"/>
  <c r="R10" i="1"/>
  <c r="Q20" i="1"/>
  <c r="G6" i="5" s="1"/>
  <c r="R4" i="1"/>
  <c r="T25" i="1"/>
  <c r="J23" i="4"/>
  <c r="L23" i="4" s="1"/>
  <c r="G3" i="5"/>
  <c r="J23" i="1"/>
  <c r="Q7" i="4"/>
  <c r="Y22" i="4"/>
  <c r="AA22" i="4" s="1"/>
  <c r="J27" i="4" s="1"/>
  <c r="T42" i="1" s="1"/>
  <c r="O3" i="4"/>
  <c r="K27" i="4"/>
  <c r="W3" i="4"/>
  <c r="Y2" i="4"/>
  <c r="H17" i="4"/>
  <c r="K11" i="4"/>
  <c r="M11" i="4" s="1"/>
  <c r="J25" i="4" s="1"/>
  <c r="T41" i="1" s="1"/>
  <c r="K29" i="4"/>
  <c r="K28" i="4"/>
  <c r="N21" i="1"/>
  <c r="F11" i="5"/>
  <c r="E12" i="5"/>
  <c r="G15" i="5"/>
  <c r="F15" i="5"/>
  <c r="G17" i="5"/>
  <c r="G16" i="5"/>
  <c r="Y41" i="1" l="1"/>
  <c r="Y42" i="1"/>
  <c r="T27" i="1"/>
  <c r="T29" i="1"/>
  <c r="T26" i="1"/>
  <c r="O21" i="1"/>
  <c r="P21" i="1"/>
  <c r="T30" i="1"/>
  <c r="I24" i="1"/>
  <c r="J24" i="1"/>
  <c r="L25" i="4"/>
  <c r="Q8" i="4"/>
  <c r="J29" i="4"/>
  <c r="T43" i="1" s="1"/>
  <c r="T44" i="1" s="1"/>
  <c r="J24" i="4"/>
  <c r="L27" i="4"/>
  <c r="E11" i="5"/>
  <c r="H15" i="5"/>
  <c r="F12" i="5"/>
  <c r="F17" i="5"/>
  <c r="H13" i="5"/>
  <c r="Y44" i="1" l="1"/>
  <c r="W41" i="1"/>
  <c r="W43" i="1"/>
  <c r="Y43" i="1"/>
  <c r="W42" i="1"/>
  <c r="I23" i="1"/>
  <c r="S41" i="1" s="1"/>
  <c r="J25" i="1"/>
  <c r="K24" i="1"/>
  <c r="L24" i="4"/>
  <c r="J28" i="4"/>
  <c r="J26" i="4"/>
  <c r="L29" i="4"/>
  <c r="K23" i="1"/>
  <c r="E13" i="5"/>
  <c r="H12" i="5"/>
  <c r="G11" i="5"/>
  <c r="F13" i="5"/>
  <c r="H17" i="5"/>
  <c r="G12" i="5"/>
  <c r="F14" i="5"/>
  <c r="F16" i="5"/>
  <c r="I25" i="1" l="1"/>
  <c r="S44" i="1" s="1"/>
  <c r="V41" i="1"/>
  <c r="D25" i="1"/>
  <c r="L23" i="1"/>
  <c r="O35" i="4"/>
  <c r="L26" i="4"/>
  <c r="L28" i="4"/>
  <c r="M23" i="4"/>
  <c r="P36" i="4"/>
  <c r="E26" i="1" s="1"/>
  <c r="H11" i="5"/>
  <c r="H16" i="5"/>
  <c r="H14" i="5"/>
  <c r="E29" i="1" l="1"/>
  <c r="M23" i="1"/>
  <c r="M27" i="4"/>
  <c r="N23" i="4"/>
  <c r="M25" i="4"/>
  <c r="O36" i="4"/>
  <c r="D26" i="1" s="1"/>
  <c r="D29" i="1" s="1"/>
  <c r="J11" i="5"/>
  <c r="I15" i="5"/>
  <c r="I13" i="5"/>
  <c r="I11" i="5"/>
  <c r="N25" i="4" l="1"/>
  <c r="N27" i="4"/>
  <c r="J13" i="5"/>
  <c r="J15" i="5"/>
</calcChain>
</file>

<file path=xl/sharedStrings.xml><?xml version="1.0" encoding="utf-8"?>
<sst xmlns="http://schemas.openxmlformats.org/spreadsheetml/2006/main" count="86" uniqueCount="59">
  <si>
    <t>G1</t>
  </si>
  <si>
    <t>G2</t>
  </si>
  <si>
    <t>G3</t>
  </si>
  <si>
    <t>PP</t>
  </si>
  <si>
    <t>SS</t>
  </si>
  <si>
    <t>DF</t>
  </si>
  <si>
    <t>Sum of Squares</t>
  </si>
  <si>
    <t>F</t>
  </si>
  <si>
    <t>Sig.</t>
  </si>
  <si>
    <t>Beta1</t>
  </si>
  <si>
    <t>Beta2</t>
  </si>
  <si>
    <t>Beta3</t>
  </si>
  <si>
    <t>Error</t>
  </si>
  <si>
    <t>Within</t>
  </si>
  <si>
    <t>Alpha1</t>
  </si>
  <si>
    <t>Alpha2</t>
  </si>
  <si>
    <t>Alpha3</t>
  </si>
  <si>
    <t>Scores</t>
  </si>
  <si>
    <t>Difference</t>
  </si>
  <si>
    <t>Reps</t>
  </si>
  <si>
    <t>Overal</t>
  </si>
  <si>
    <t>Mean</t>
  </si>
  <si>
    <t># Variety</t>
  </si>
  <si>
    <t>N</t>
  </si>
  <si>
    <t>n</t>
  </si>
  <si>
    <t>Count</t>
  </si>
  <si>
    <t>(X-Xgem)^2</t>
  </si>
  <si>
    <t>Sum</t>
  </si>
  <si>
    <t>SS_Var:</t>
  </si>
  <si>
    <t>SS_Reps:</t>
  </si>
  <si>
    <t>MS</t>
  </si>
  <si>
    <t>Intercept</t>
  </si>
  <si>
    <t>Group</t>
  </si>
  <si>
    <t>Hypothesis</t>
  </si>
  <si>
    <t>Group*PP</t>
  </si>
  <si>
    <t># PP</t>
  </si>
  <si>
    <t>Score</t>
  </si>
  <si>
    <t>(Score-Average)^2</t>
  </si>
  <si>
    <t>SST (Group*PP)</t>
  </si>
  <si>
    <t>SE</t>
  </si>
  <si>
    <t>without</t>
  </si>
  <si>
    <t>Person Effect?</t>
  </si>
  <si>
    <t>SE With</t>
  </si>
  <si>
    <t>SE Without</t>
  </si>
  <si>
    <t>Regular</t>
  </si>
  <si>
    <t>Means</t>
  </si>
  <si>
    <t>Population</t>
  </si>
  <si>
    <t>Estimate</t>
  </si>
  <si>
    <t>WS Error</t>
  </si>
  <si>
    <t>Overall</t>
  </si>
  <si>
    <t>Between Groups</t>
  </si>
  <si>
    <t>Within Groups</t>
  </si>
  <si>
    <t>Total</t>
  </si>
  <si>
    <t>offset</t>
  </si>
  <si>
    <t>SD</t>
  </si>
  <si>
    <t>No</t>
  </si>
  <si>
    <t>Person</t>
  </si>
  <si>
    <t>Yes</t>
  </si>
  <si>
    <t>Group *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</si>
</sst>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4" fillId="0" borderId="1" xfId="2" applyNumberFormat="1" applyFont="1" applyBorder="1" applyAlignment="1">
      <alignment horizontal="right" vertical="top"/>
    </xf>
    <xf numFmtId="0" fontId="3" fillId="0" borderId="0" xfId="2"/>
    <xf numFmtId="0" fontId="5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/>
    <xf numFmtId="164" fontId="8" fillId="0" borderId="0" xfId="0" applyNumberFormat="1" applyFont="1"/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6" xfId="0" applyNumberFormat="1" applyBorder="1"/>
    <xf numFmtId="1" fontId="0" fillId="0" borderId="0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" fontId="0" fillId="0" borderId="9" xfId="0" applyNumberForma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164" fontId="0" fillId="2" borderId="0" xfId="0" applyNumberFormat="1" applyFill="1" applyBorder="1"/>
    <xf numFmtId="164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0" fontId="0" fillId="2" borderId="8" xfId="0" applyFill="1" applyBorder="1" applyAlignment="1">
      <alignment horizontal="right"/>
    </xf>
    <xf numFmtId="9" fontId="0" fillId="0" borderId="0" xfId="1" applyFont="1"/>
    <xf numFmtId="0" fontId="0" fillId="2" borderId="7" xfId="0" applyFill="1" applyBorder="1"/>
    <xf numFmtId="0" fontId="0" fillId="2" borderId="10" xfId="0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/>
    <xf numFmtId="164" fontId="9" fillId="2" borderId="0" xfId="0" applyNumberFormat="1" applyFont="1" applyFill="1" applyBorder="1"/>
    <xf numFmtId="164" fontId="9" fillId="2" borderId="4" xfId="0" applyNumberFormat="1" applyFont="1" applyFill="1" applyBorder="1"/>
    <xf numFmtId="164" fontId="9" fillId="2" borderId="5" xfId="0" applyNumberFormat="1" applyFont="1" applyFill="1" applyBorder="1"/>
    <xf numFmtId="164" fontId="9" fillId="2" borderId="7" xfId="0" applyNumberFormat="1" applyFont="1" applyFill="1" applyBorder="1"/>
    <xf numFmtId="164" fontId="9" fillId="2" borderId="9" xfId="0" applyNumberFormat="1" applyFont="1" applyFill="1" applyBorder="1"/>
    <xf numFmtId="164" fontId="9" fillId="2" borderId="10" xfId="0" applyNumberFormat="1" applyFont="1" applyFill="1" applyBorder="1"/>
    <xf numFmtId="0" fontId="0" fillId="2" borderId="12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16" xfId="0" applyFill="1" applyBorder="1"/>
    <xf numFmtId="0" fontId="0" fillId="2" borderId="18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2" borderId="19" xfId="0" applyFill="1" applyBorder="1" applyAlignment="1">
      <alignment horizontal="right"/>
    </xf>
    <xf numFmtId="0" fontId="0" fillId="2" borderId="2" xfId="0" applyFill="1" applyBorder="1"/>
    <xf numFmtId="0" fontId="0" fillId="2" borderId="15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21" xfId="0" applyFill="1" applyBorder="1" applyProtection="1"/>
  </cellXfs>
  <cellStyles count="3">
    <cellStyle name="Normal" xfId="0" builtinId="0"/>
    <cellStyle name="Normal_Mixed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G1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>
                  <a:lumMod val="85000"/>
                  <a:lumOff val="15000"/>
                  <a:alpha val="50000"/>
                </a:schemeClr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Regular!$V$4:$V$18</c:f>
              <c:numCache>
                <c:formatCode>General</c:formatCode>
                <c:ptCount val="15"/>
                <c:pt idx="0">
                  <c:v>1.4476045356872145</c:v>
                </c:pt>
                <c:pt idx="1">
                  <c:v>1.1184107839083826</c:v>
                </c:pt>
                <c:pt idx="2">
                  <c:v>1.0972089184299221</c:v>
                </c:pt>
                <c:pt idx="3">
                  <c:v>1.1646596750852938</c:v>
                </c:pt>
                <c:pt idx="4">
                  <c:v>1.2915156394856222</c:v>
                </c:pt>
                <c:pt idx="5">
                  <c:v>1.0603219862759035</c:v>
                </c:pt>
                <c:pt idx="6">
                  <c:v>1.2675952837626498</c:v>
                </c:pt>
                <c:pt idx="7">
                  <c:v>1.4724574010518401</c:v>
                </c:pt>
                <c:pt idx="8">
                  <c:v>1.1584079430717382</c:v>
                </c:pt>
                <c:pt idx="9">
                  <c:v>1.134923352802812</c:v>
                </c:pt>
                <c:pt idx="10">
                  <c:v>1.1495587296472318</c:v>
                </c:pt>
                <c:pt idx="11">
                  <c:v>1.0235909643287813</c:v>
                </c:pt>
                <c:pt idx="12">
                  <c:v>1.1592214372800591</c:v>
                </c:pt>
                <c:pt idx="13">
                  <c:v>1.4373147142746658</c:v>
                </c:pt>
                <c:pt idx="14">
                  <c:v>1.0571085178885233</c:v>
                </c:pt>
              </c:numCache>
            </c:numRef>
          </c:xVal>
          <c:yVal>
            <c:numRef>
              <c:f>Regular!$N$4:$N$18</c:f>
              <c:numCache>
                <c:formatCode>General</c:formatCode>
                <c:ptCount val="15"/>
                <c:pt idx="0">
                  <c:v>7.5581310403227286</c:v>
                </c:pt>
                <c:pt idx="1">
                  <c:v>9.2284925767161941</c:v>
                </c:pt>
                <c:pt idx="2">
                  <c:v>12.053106282582341</c:v>
                </c:pt>
                <c:pt idx="3">
                  <c:v>14.10478657045069</c:v>
                </c:pt>
                <c:pt idx="4">
                  <c:v>8.5505220465820333</c:v>
                </c:pt>
                <c:pt idx="5">
                  <c:v>4.3891056465117231</c:v>
                </c:pt>
                <c:pt idx="6">
                  <c:v>5.5527833445334638</c:v>
                </c:pt>
                <c:pt idx="7">
                  <c:v>8.3712117756868434</c:v>
                </c:pt>
                <c:pt idx="8">
                  <c:v>10.843273354276947</c:v>
                </c:pt>
                <c:pt idx="9">
                  <c:v>8.7468773758748579</c:v>
                </c:pt>
                <c:pt idx="10">
                  <c:v>12.839178455327726</c:v>
                </c:pt>
                <c:pt idx="11">
                  <c:v>14.425541233099036</c:v>
                </c:pt>
                <c:pt idx="12">
                  <c:v>8.5001322417790579</c:v>
                </c:pt>
                <c:pt idx="13">
                  <c:v>10.358336363527224</c:v>
                </c:pt>
                <c:pt idx="14">
                  <c:v>9.5549496984669968</c:v>
                </c:pt>
              </c:numCache>
            </c:numRef>
          </c:yVal>
          <c:smooth val="0"/>
        </c:ser>
        <c:ser>
          <c:idx val="1"/>
          <c:order val="1"/>
          <c:tx>
            <c:v>G2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accent5">
                  <a:lumMod val="75000"/>
                  <a:alpha val="50000"/>
                </a:schemeClr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Regular!$W$4:$W$18</c:f>
              <c:numCache>
                <c:formatCode>General</c:formatCode>
                <c:ptCount val="15"/>
                <c:pt idx="0">
                  <c:v>3.152284520435666</c:v>
                </c:pt>
                <c:pt idx="1">
                  <c:v>3.4011465874915801</c:v>
                </c:pt>
                <c:pt idx="2">
                  <c:v>3.390622518016666</c:v>
                </c:pt>
                <c:pt idx="3">
                  <c:v>3.0784086631373988</c:v>
                </c:pt>
                <c:pt idx="4">
                  <c:v>3.1193686926170296</c:v>
                </c:pt>
                <c:pt idx="5">
                  <c:v>3.3484039781405088</c:v>
                </c:pt>
                <c:pt idx="6">
                  <c:v>3.4189016106688843</c:v>
                </c:pt>
                <c:pt idx="7">
                  <c:v>3.1964650175436509</c:v>
                </c:pt>
                <c:pt idx="8">
                  <c:v>3.0033197667145064</c:v>
                </c:pt>
                <c:pt idx="9">
                  <c:v>3.4427347173669602</c:v>
                </c:pt>
                <c:pt idx="10">
                  <c:v>3.0305955699494307</c:v>
                </c:pt>
                <c:pt idx="11">
                  <c:v>3.4971679130540423</c:v>
                </c:pt>
                <c:pt idx="12">
                  <c:v>3.1819570585538401</c:v>
                </c:pt>
                <c:pt idx="13">
                  <c:v>3.35661439055988</c:v>
                </c:pt>
                <c:pt idx="14">
                  <c:v>3.3301851035395407</c:v>
                </c:pt>
              </c:numCache>
            </c:numRef>
          </c:xVal>
          <c:yVal>
            <c:numRef>
              <c:f>Regular!$O$4:$O$18</c:f>
              <c:numCache>
                <c:formatCode>General</c:formatCode>
                <c:ptCount val="15"/>
                <c:pt idx="0">
                  <c:v>12.485511446194106</c:v>
                </c:pt>
                <c:pt idx="1">
                  <c:v>7.1704701554158481</c:v>
                </c:pt>
                <c:pt idx="2">
                  <c:v>11.742944812707941</c:v>
                </c:pt>
                <c:pt idx="3">
                  <c:v>6.2072823336163729</c:v>
                </c:pt>
                <c:pt idx="4">
                  <c:v>4.4044709160971509</c:v>
                </c:pt>
                <c:pt idx="5">
                  <c:v>8.8444555951476929</c:v>
                </c:pt>
                <c:pt idx="6">
                  <c:v>1.9960826851328388</c:v>
                </c:pt>
                <c:pt idx="7">
                  <c:v>15.556485730425322</c:v>
                </c:pt>
                <c:pt idx="8">
                  <c:v>12.923677094546045</c:v>
                </c:pt>
                <c:pt idx="9">
                  <c:v>5.5548415130491016</c:v>
                </c:pt>
                <c:pt idx="10">
                  <c:v>12.877230693624666</c:v>
                </c:pt>
                <c:pt idx="11">
                  <c:v>11.124249185826969</c:v>
                </c:pt>
                <c:pt idx="12">
                  <c:v>17.750068302524991</c:v>
                </c:pt>
                <c:pt idx="13">
                  <c:v>8.4269793196190665</c:v>
                </c:pt>
                <c:pt idx="14">
                  <c:v>11.871194260341737</c:v>
                </c:pt>
              </c:numCache>
            </c:numRef>
          </c:yVal>
          <c:smooth val="0"/>
        </c:ser>
        <c:ser>
          <c:idx val="2"/>
          <c:order val="2"/>
          <c:tx>
            <c:v>G3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accent3">
                  <a:lumMod val="75000"/>
                  <a:alpha val="50000"/>
                </a:schemeClr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Regular!$X$4:$X$18</c:f>
              <c:numCache>
                <c:formatCode>General</c:formatCode>
                <c:ptCount val="15"/>
                <c:pt idx="0">
                  <c:v>5.1940527767802323</c:v>
                </c:pt>
                <c:pt idx="1">
                  <c:v>5.3250902505791533</c:v>
                </c:pt>
                <c:pt idx="2">
                  <c:v>5.3228144275168923</c:v>
                </c:pt>
                <c:pt idx="3">
                  <c:v>5.1878136019127172</c:v>
                </c:pt>
                <c:pt idx="4">
                  <c:v>5.3980827397863473</c:v>
                </c:pt>
                <c:pt idx="5">
                  <c:v>5.0552906840291678</c:v>
                </c:pt>
                <c:pt idx="6">
                  <c:v>5.278090974333578</c:v>
                </c:pt>
                <c:pt idx="7">
                  <c:v>5.2252140292852651</c:v>
                </c:pt>
                <c:pt idx="8">
                  <c:v>5.2757251162371199</c:v>
                </c:pt>
                <c:pt idx="9">
                  <c:v>5.2600311123150867</c:v>
                </c:pt>
                <c:pt idx="10">
                  <c:v>5.4456311179820256</c:v>
                </c:pt>
                <c:pt idx="11">
                  <c:v>5.3788792562749501</c:v>
                </c:pt>
                <c:pt idx="12">
                  <c:v>5.1240666169994826</c:v>
                </c:pt>
                <c:pt idx="13">
                  <c:v>5.4903285003753197</c:v>
                </c:pt>
                <c:pt idx="14">
                  <c:v>5.0940167156157532</c:v>
                </c:pt>
              </c:numCache>
            </c:numRef>
          </c:xVal>
          <c:yVal>
            <c:numRef>
              <c:f>Regular!$P$4:$P$18</c:f>
              <c:numCache>
                <c:formatCode>General</c:formatCode>
                <c:ptCount val="15"/>
                <c:pt idx="0">
                  <c:v>9.5581310403227278</c:v>
                </c:pt>
                <c:pt idx="1">
                  <c:v>11.228492576716194</c:v>
                </c:pt>
                <c:pt idx="2">
                  <c:v>14.053106282582341</c:v>
                </c:pt>
                <c:pt idx="3">
                  <c:v>16.104786570450692</c:v>
                </c:pt>
                <c:pt idx="4">
                  <c:v>10.550522046582033</c:v>
                </c:pt>
                <c:pt idx="5">
                  <c:v>6.3891056465117231</c:v>
                </c:pt>
                <c:pt idx="6">
                  <c:v>7.5527833445334638</c:v>
                </c:pt>
                <c:pt idx="7">
                  <c:v>10.371211775686843</c:v>
                </c:pt>
                <c:pt idx="8">
                  <c:v>12.843273354276947</c:v>
                </c:pt>
                <c:pt idx="9">
                  <c:v>10.746877375874858</c:v>
                </c:pt>
                <c:pt idx="10">
                  <c:v>14.839178455327726</c:v>
                </c:pt>
                <c:pt idx="11">
                  <c:v>16.425541233099036</c:v>
                </c:pt>
                <c:pt idx="12">
                  <c:v>10.500132241779058</c:v>
                </c:pt>
                <c:pt idx="13">
                  <c:v>12.358336363527224</c:v>
                </c:pt>
                <c:pt idx="14">
                  <c:v>11.554949698466997</c:v>
                </c:pt>
              </c:numCache>
            </c:numRef>
          </c:yVal>
          <c:smooth val="0"/>
        </c:ser>
        <c:ser>
          <c:idx val="3"/>
          <c:order val="3"/>
          <c:tx>
            <c:v>Means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bg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Regular!$D$29</c:f>
                <c:numCache>
                  <c:formatCode>General</c:formatCode>
                  <c:ptCount val="1"/>
                  <c:pt idx="0">
                    <c:v>1.5349411154049573</c:v>
                  </c:pt>
                </c:numCache>
              </c:numRef>
            </c:plus>
            <c:minus>
              <c:numRef>
                <c:f>Regular!$D$29</c:f>
                <c:numCache>
                  <c:formatCode>General</c:formatCode>
                  <c:ptCount val="1"/>
                  <c:pt idx="0">
                    <c:v>1.5349411154049573</c:v>
                  </c:pt>
                </c:numCache>
              </c:numRef>
            </c:minus>
            <c:spPr>
              <a:ln w="25400">
                <a:solidFill>
                  <a:schemeClr val="accent2">
                    <a:lumMod val="75000"/>
                  </a:schemeClr>
                </a:solidFill>
                <a:prstDash val="sysDash"/>
              </a:ln>
            </c:spPr>
          </c:errBars>
          <c:xVal>
            <c:numRef>
              <c:f>Regular!$V$20:$X$20</c:f>
              <c:numCache>
                <c:formatCode>General</c:formatCode>
                <c:ptCount val="3"/>
                <c:pt idx="0">
                  <c:v>1.2026599921987093</c:v>
                </c:pt>
                <c:pt idx="1">
                  <c:v>3.2632117405193055</c:v>
                </c:pt>
                <c:pt idx="2">
                  <c:v>5.270341861334872</c:v>
                </c:pt>
              </c:numCache>
            </c:numRef>
          </c:xVal>
          <c:yVal>
            <c:numRef>
              <c:f>Regular!$N$20:$P$20</c:f>
              <c:numCache>
                <c:formatCode>General</c:formatCode>
                <c:ptCount val="3"/>
                <c:pt idx="0">
                  <c:v>9.2460342618005456</c:v>
                </c:pt>
                <c:pt idx="1">
                  <c:v>9.929062936284657</c:v>
                </c:pt>
                <c:pt idx="2">
                  <c:v>11.67176186704919</c:v>
                </c:pt>
              </c:numCache>
            </c:numRef>
          </c:yVal>
          <c:smooth val="0"/>
        </c:ser>
        <c:ser>
          <c:idx val="4"/>
          <c:order val="4"/>
          <c:tx>
            <c:v>PP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Regular!$E$29</c:f>
                <c:numCache>
                  <c:formatCode>General</c:formatCode>
                  <c:ptCount val="1"/>
                  <c:pt idx="0">
                    <c:v>#N/A</c:v>
                  </c:pt>
                </c:numCache>
              </c:numRef>
            </c:plus>
            <c:minus>
              <c:numRef>
                <c:f>Regular!$E$29</c:f>
                <c:numCache>
                  <c:formatCode>General</c:formatCode>
                  <c:ptCount val="1"/>
                  <c:pt idx="0">
                    <c:v>#N/A</c:v>
                  </c:pt>
                </c:numCache>
              </c:numRef>
            </c:minus>
            <c:spPr>
              <a:ln w="25400"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</c:errBars>
          <c:xVal>
            <c:numRef>
              <c:f>Regular!$V$21:$X$21</c:f>
              <c:numCache>
                <c:formatCode>General</c:formatCode>
                <c:ptCount val="3"/>
                <c:pt idx="0">
                  <c:v>1.6026599921987095</c:v>
                </c:pt>
                <c:pt idx="1">
                  <c:v>3.6632117405193054</c:v>
                </c:pt>
                <c:pt idx="2">
                  <c:v>5.6703418613348724</c:v>
                </c:pt>
              </c:numCache>
            </c:numRef>
          </c:xVal>
          <c:yVal>
            <c:numRef>
              <c:f>Regular!$N$20:$P$20</c:f>
              <c:numCache>
                <c:formatCode>General</c:formatCode>
                <c:ptCount val="3"/>
                <c:pt idx="0">
                  <c:v>9.2460342618005456</c:v>
                </c:pt>
                <c:pt idx="1">
                  <c:v>9.929062936284657</c:v>
                </c:pt>
                <c:pt idx="2">
                  <c:v>11.67176186704919</c:v>
                </c:pt>
              </c:numCache>
            </c:numRef>
          </c:yVal>
          <c:smooth val="0"/>
        </c:ser>
        <c:ser>
          <c:idx val="5"/>
          <c:order val="5"/>
          <c:tx>
            <c:v>Means</c:v>
          </c:tx>
          <c:spPr>
            <a:ln w="28575"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bg1"/>
                </a:solidFill>
              </a:ln>
            </c:spPr>
          </c:marker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xVal>
            <c:numRef>
              <c:f>Regular!$S$25:$S$31</c:f>
              <c:numCache>
                <c:formatCode>General</c:formatCode>
                <c:ptCount val="7"/>
                <c:pt idx="0">
                  <c:v>1.2026599921987093</c:v>
                </c:pt>
                <c:pt idx="1">
                  <c:v>1.2026599921987093</c:v>
                </c:pt>
                <c:pt idx="2">
                  <c:v>3.2632117405193055</c:v>
                </c:pt>
                <c:pt idx="3">
                  <c:v>3.2632117405193055</c:v>
                </c:pt>
                <c:pt idx="4">
                  <c:v>3.2632117405193055</c:v>
                </c:pt>
                <c:pt idx="5">
                  <c:v>5.270341861334872</c:v>
                </c:pt>
                <c:pt idx="6">
                  <c:v>5.270341861334872</c:v>
                </c:pt>
              </c:numCache>
            </c:numRef>
          </c:xVal>
          <c:yVal>
            <c:numRef>
              <c:f>Regular!$T$25:$T$31</c:f>
              <c:numCache>
                <c:formatCode>General</c:formatCode>
                <c:ptCount val="7"/>
                <c:pt idx="0">
                  <c:v>9.2460342618005456</c:v>
                </c:pt>
                <c:pt idx="1">
                  <c:v>10.282286355044798</c:v>
                </c:pt>
                <c:pt idx="2">
                  <c:v>10.282286355044798</c:v>
                </c:pt>
                <c:pt idx="3">
                  <c:v>9.929062936284657</c:v>
                </c:pt>
                <c:pt idx="4">
                  <c:v>10.282286355044798</c:v>
                </c:pt>
                <c:pt idx="5">
                  <c:v>10.282286355044798</c:v>
                </c:pt>
                <c:pt idx="6">
                  <c:v>11.67176186704919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0608"/>
        <c:axId val="147143680"/>
      </c:scatterChart>
      <c:valAx>
        <c:axId val="14714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147143680"/>
        <c:crosses val="autoZero"/>
        <c:crossBetween val="midCat"/>
      </c:valAx>
      <c:valAx>
        <c:axId val="14714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crossAx val="14714060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>
          <a:lumMod val="85000"/>
          <a:lumOff val="1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en-US" sz="1200">
                <a:solidFill>
                  <a:schemeClr val="tx1">
                    <a:lumMod val="85000"/>
                    <a:lumOff val="15000"/>
                  </a:schemeClr>
                </a:solidFill>
              </a:rPr>
              <a:t>Error</a:t>
            </a:r>
          </a:p>
        </c:rich>
      </c:tx>
      <c:layout>
        <c:manualLayout>
          <c:xMode val="edge"/>
          <c:yMode val="edge"/>
          <c:x val="6.0750771538173098E-2"/>
          <c:y val="6.9444444444444448E-2"/>
        </c:manualLayout>
      </c:layout>
      <c:overlay val="1"/>
    </c:title>
    <c:autoTitleDeleted val="0"/>
    <c:plotArea>
      <c:layout/>
      <c:bubbleChart>
        <c:varyColors val="0"/>
        <c:ser>
          <c:idx val="0"/>
          <c:order val="0"/>
          <c:tx>
            <c:v>Condition</c:v>
          </c:tx>
          <c:spPr>
            <a:noFill/>
            <a:ln w="38100">
              <a:solidFill>
                <a:schemeClr val="accent3">
                  <a:lumMod val="75000"/>
                </a:schemeClr>
              </a:solidFill>
            </a:ln>
          </c:spPr>
          <c:invertIfNegative val="0"/>
          <c:dPt>
            <c:idx val="1"/>
            <c:invertIfNegative val="0"/>
            <c:bubble3D val="0"/>
            <c:spPr>
              <a:noFill/>
              <a:ln w="38100">
                <a:solidFill>
                  <a:schemeClr val="accent6">
                    <a:lumMod val="75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noFill/>
              <a:ln w="38100">
                <a:solidFill>
                  <a:schemeClr val="accent5">
                    <a:lumMod val="75000"/>
                  </a:schemeClr>
                </a:solidFill>
              </a:ln>
            </c:spPr>
          </c:dPt>
          <c:dLbls>
            <c:dLbl>
              <c:idx val="0"/>
              <c:numFmt formatCode="#,##0.00" sourceLinked="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</c:dLbl>
            <c:numFmt formatCode="#,##0.00" sourceLinked="0"/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yVal>
          <c:bubbleSize>
            <c:numRef>
              <c:f>Regular!$Y$41:$Y$42</c:f>
              <c:numCache>
                <c:formatCode>General</c:formatCode>
                <c:ptCount val="2"/>
                <c:pt idx="0">
                  <c:v>46.938410741603455</c:v>
                </c:pt>
                <c:pt idx="1">
                  <c:v>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Regular!$R$41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Regular!$Y$41</c:f>
              <c:numCache>
                <c:formatCode>General</c:formatCode>
                <c:ptCount val="1"/>
                <c:pt idx="0">
                  <c:v>46.938410741603455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Regular!$R$42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bubbleSize>
            <c:numRef>
              <c:f>Regular!$Y$42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7516416"/>
        <c:axId val="147673856"/>
      </c:bubbleChart>
      <c:valAx>
        <c:axId val="147516416"/>
        <c:scaling>
          <c:orientation val="minMax"/>
          <c:max val="3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47673856"/>
        <c:crosses val="autoZero"/>
        <c:crossBetween val="midCat"/>
      </c:valAx>
      <c:valAx>
        <c:axId val="147673856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47516416"/>
        <c:crosses val="autoZero"/>
        <c:crossBetween val="midCat"/>
      </c:valAx>
      <c:spPr>
        <a:ln w="19050">
          <a:solidFill>
            <a:schemeClr val="tx1">
              <a:lumMod val="85000"/>
              <a:lumOff val="1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104775</xdr:rowOff>
    </xdr:from>
    <xdr:to>
      <xdr:col>10</xdr:col>
      <xdr:colOff>28575</xdr:colOff>
      <xdr:row>32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104777</xdr:colOff>
      <xdr:row>2</xdr:row>
      <xdr:rowOff>9525</xdr:rowOff>
    </xdr:from>
    <xdr:to>
      <xdr:col>14</xdr:col>
      <xdr:colOff>371475</xdr:colOff>
      <xdr:row>6</xdr:row>
      <xdr:rowOff>9525</xdr:rowOff>
    </xdr:to>
    <xdr:sp macro="" textlink="">
      <xdr:nvSpPr>
        <xdr:cNvPr id="3" name="TextBox 2"/>
        <xdr:cNvSpPr txBox="1"/>
      </xdr:nvSpPr>
      <xdr:spPr>
        <a:xfrm>
          <a:off x="6448427" y="390525"/>
          <a:ext cx="3314698" cy="7620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US" sz="1000"/>
            <a:t>This is a </a:t>
          </a:r>
          <a:r>
            <a:rPr lang="en-US" sz="1000" i="1"/>
            <a:t>"Build-an-ANOVA"</a:t>
          </a:r>
          <a:r>
            <a:rPr lang="en-US" sz="1000"/>
            <a:t> kind of situation. You can set the group means and the error and see</a:t>
          </a:r>
          <a:r>
            <a:rPr lang="en-US" sz="1000" baseline="0"/>
            <a:t> how the data changes significance. You can also instruct the file to take </a:t>
          </a:r>
          <a:r>
            <a:rPr lang="en-US" sz="1000" b="1" baseline="0">
              <a:solidFill>
                <a:schemeClr val="accent6">
                  <a:lumMod val="75000"/>
                </a:schemeClr>
              </a:solidFill>
            </a:rPr>
            <a:t>Person</a:t>
          </a:r>
          <a:r>
            <a:rPr lang="en-US" sz="1000" baseline="0"/>
            <a:t> into account and make it a </a:t>
          </a:r>
          <a:r>
            <a:rPr lang="en-US" sz="1000" b="1" baseline="0"/>
            <a:t>Repeated Measures </a:t>
          </a:r>
          <a:r>
            <a:rPr lang="en-US" sz="1000" b="0" baseline="0"/>
            <a:t>model.</a:t>
          </a:r>
          <a:endParaRPr lang="en-US" sz="1000" b="0"/>
        </a:p>
      </xdr:txBody>
    </xdr:sp>
    <xdr:clientData/>
  </xdr:twoCellAnchor>
  <xdr:twoCellAnchor>
    <xdr:from>
      <xdr:col>10</xdr:col>
      <xdr:colOff>123825</xdr:colOff>
      <xdr:row>18</xdr:row>
      <xdr:rowOff>114300</xdr:rowOff>
    </xdr:from>
    <xdr:to>
      <xdr:col>15</xdr:col>
      <xdr:colOff>542925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Y44"/>
  <sheetViews>
    <sheetView topLeftCell="B22" workbookViewId="0">
      <selection activeCell="R45" sqref="R45"/>
    </sheetView>
  </sheetViews>
  <sheetFormatPr defaultRowHeight="15" x14ac:dyDescent="0.25"/>
  <cols>
    <col min="1" max="1" width="9.28515625" customWidth="1"/>
    <col min="3" max="3" width="9.5703125" bestFit="1" customWidth="1"/>
  </cols>
  <sheetData>
    <row r="2" spans="2:24" x14ac:dyDescent="0.25">
      <c r="B2" t="s">
        <v>44</v>
      </c>
      <c r="C2" t="str">
        <f>ANOVA!C2</f>
        <v>No</v>
      </c>
    </row>
    <row r="3" spans="2:24" x14ac:dyDescent="0.25">
      <c r="I3" t="s">
        <v>12</v>
      </c>
      <c r="M3" t="s">
        <v>3</v>
      </c>
      <c r="N3" t="s">
        <v>17</v>
      </c>
      <c r="R3" t="s">
        <v>18</v>
      </c>
    </row>
    <row r="4" spans="2:24" x14ac:dyDescent="0.25">
      <c r="B4" t="s">
        <v>14</v>
      </c>
      <c r="C4">
        <v>30</v>
      </c>
      <c r="E4">
        <v>0.35924887551978213</v>
      </c>
      <c r="F4">
        <v>0.73282448262815358</v>
      </c>
      <c r="G4">
        <v>0.94951514540287818</v>
      </c>
      <c r="I4">
        <f t="shared" ref="I4:I18" si="0">_xlfn.NORM.INV(E4,0,$C$15)</f>
        <v>-1.4418689596772716</v>
      </c>
      <c r="J4">
        <f t="shared" ref="J4:J18" si="1">_xlfn.NORM.INV(F4,0,$C$15)</f>
        <v>2.4855114461941068</v>
      </c>
      <c r="K4">
        <f t="shared" ref="K4:K18" si="2">_xlfn.NORM.INV(G4,0,$C$15)</f>
        <v>6.5606822304685917</v>
      </c>
      <c r="M4">
        <v>1</v>
      </c>
      <c r="N4">
        <f t="shared" ref="N4:N18" si="3">$C$4+$C$11+$I4</f>
        <v>7.5581310403227286</v>
      </c>
      <c r="O4">
        <f>$C$5+$C$12+$J4</f>
        <v>12.485511446194106</v>
      </c>
      <c r="P4">
        <f>$C$6+$C$13+$I4</f>
        <v>9.5581310403227278</v>
      </c>
      <c r="R4">
        <f>(N4-N$20)</f>
        <v>-1.6879032214778169</v>
      </c>
      <c r="S4">
        <f t="shared" ref="S4:T18" si="4">(O4-O$20)</f>
        <v>2.5564485099094494</v>
      </c>
      <c r="T4">
        <f t="shared" si="4"/>
        <v>-2.1136308267264621</v>
      </c>
      <c r="V4">
        <v>1.4476045356872145</v>
      </c>
      <c r="W4">
        <v>3.152284520435666</v>
      </c>
      <c r="X4">
        <v>5.1940527767802323</v>
      </c>
    </row>
    <row r="5" spans="2:24" x14ac:dyDescent="0.25">
      <c r="B5" t="s">
        <v>15</v>
      </c>
      <c r="C5">
        <f>C4</f>
        <v>30</v>
      </c>
      <c r="E5">
        <v>0.522776449933257</v>
      </c>
      <c r="F5">
        <v>0.23966441662721338</v>
      </c>
      <c r="G5">
        <v>0.43572211523822102</v>
      </c>
      <c r="I5">
        <f t="shared" si="0"/>
        <v>0.22849257671619377</v>
      </c>
      <c r="J5">
        <f t="shared" si="1"/>
        <v>-2.8295298445841519</v>
      </c>
      <c r="K5">
        <f t="shared" si="2"/>
        <v>-0.64729712962422348</v>
      </c>
      <c r="M5">
        <v>2</v>
      </c>
      <c r="N5">
        <f t="shared" si="3"/>
        <v>9.2284925767161941</v>
      </c>
      <c r="O5">
        <f t="shared" ref="O5:O18" si="5">$C$5+$C$12+$J5</f>
        <v>7.1704701554158481</v>
      </c>
      <c r="P5">
        <f t="shared" ref="P5:P18" si="6">$C$6+$C$13+$I5</f>
        <v>11.228492576716194</v>
      </c>
      <c r="R5">
        <f t="shared" ref="R5:R19" si="7">(N5-N$20)</f>
        <v>-1.7541685084351499E-2</v>
      </c>
      <c r="S5">
        <f t="shared" si="4"/>
        <v>-2.7585927808688089</v>
      </c>
      <c r="T5">
        <f t="shared" si="4"/>
        <v>-0.44326929033299578</v>
      </c>
      <c r="V5">
        <v>1.1184107839083826</v>
      </c>
      <c r="W5">
        <v>3.4011465874915801</v>
      </c>
      <c r="X5">
        <v>5.3250902505791533</v>
      </c>
    </row>
    <row r="6" spans="2:24" x14ac:dyDescent="0.25">
      <c r="B6" t="s">
        <v>16</v>
      </c>
      <c r="C6">
        <f>C5</f>
        <v>30</v>
      </c>
      <c r="E6">
        <v>0.77735076408229331</v>
      </c>
      <c r="F6">
        <v>0.66848593216542462</v>
      </c>
      <c r="G6">
        <v>0.17352220000125285</v>
      </c>
      <c r="I6">
        <f t="shared" si="0"/>
        <v>3.0531062825823412</v>
      </c>
      <c r="J6">
        <f t="shared" si="1"/>
        <v>1.742944812707941</v>
      </c>
      <c r="K6">
        <f t="shared" si="2"/>
        <v>-3.7613505461388912</v>
      </c>
      <c r="M6">
        <v>3</v>
      </c>
      <c r="N6">
        <f t="shared" si="3"/>
        <v>12.053106282582341</v>
      </c>
      <c r="O6">
        <f t="shared" si="5"/>
        <v>11.742944812707941</v>
      </c>
      <c r="P6">
        <f t="shared" si="6"/>
        <v>14.053106282582341</v>
      </c>
      <c r="R6">
        <f t="shared" si="7"/>
        <v>2.8070720207817956</v>
      </c>
      <c r="S6">
        <f t="shared" si="4"/>
        <v>1.8138818764232845</v>
      </c>
      <c r="T6">
        <f t="shared" si="4"/>
        <v>2.3813444155331513</v>
      </c>
      <c r="V6">
        <v>1.0972089184299221</v>
      </c>
      <c r="W6">
        <v>3.390622518016666</v>
      </c>
      <c r="X6">
        <v>5.3228144275168923</v>
      </c>
    </row>
    <row r="7" spans="2:24" x14ac:dyDescent="0.25">
      <c r="E7">
        <v>0.89905699241125447</v>
      </c>
      <c r="F7">
        <v>0.17151906197549538</v>
      </c>
      <c r="G7">
        <v>0.62607632997007889</v>
      </c>
      <c r="I7">
        <f t="shared" si="0"/>
        <v>5.1047865704506901</v>
      </c>
      <c r="J7">
        <f t="shared" si="1"/>
        <v>-3.7927176663836266</v>
      </c>
      <c r="K7">
        <f t="shared" si="2"/>
        <v>1.2859164428029857</v>
      </c>
      <c r="M7">
        <v>4</v>
      </c>
      <c r="N7">
        <f t="shared" si="3"/>
        <v>14.10478657045069</v>
      </c>
      <c r="O7">
        <f t="shared" si="5"/>
        <v>6.2072823336163729</v>
      </c>
      <c r="P7">
        <f t="shared" si="6"/>
        <v>16.104786570450692</v>
      </c>
      <c r="R7">
        <f t="shared" si="7"/>
        <v>4.8587523086501445</v>
      </c>
      <c r="S7">
        <f t="shared" si="4"/>
        <v>-3.721780602668284</v>
      </c>
      <c r="T7">
        <f t="shared" si="4"/>
        <v>4.433024703401502</v>
      </c>
      <c r="V7">
        <v>1.1646596750852938</v>
      </c>
      <c r="W7">
        <v>3.0784086631373988</v>
      </c>
      <c r="X7">
        <v>5.1878136019127172</v>
      </c>
    </row>
    <row r="8" spans="2:24" x14ac:dyDescent="0.25">
      <c r="E8">
        <v>0.45526522342117659</v>
      </c>
      <c r="F8">
        <v>8.0924144941354359E-2</v>
      </c>
      <c r="G8">
        <v>0.11916993835879686</v>
      </c>
      <c r="I8">
        <f t="shared" si="0"/>
        <v>-0.44947795341796587</v>
      </c>
      <c r="J8">
        <f t="shared" si="1"/>
        <v>-5.5955290839028491</v>
      </c>
      <c r="K8">
        <f t="shared" si="2"/>
        <v>-4.7165856834536974</v>
      </c>
      <c r="M8">
        <v>5</v>
      </c>
      <c r="N8">
        <f t="shared" si="3"/>
        <v>8.5505220465820333</v>
      </c>
      <c r="O8">
        <f t="shared" si="5"/>
        <v>4.4044709160971509</v>
      </c>
      <c r="P8">
        <f t="shared" si="6"/>
        <v>10.550522046582033</v>
      </c>
      <c r="R8">
        <f t="shared" si="7"/>
        <v>-0.69551221521851225</v>
      </c>
      <c r="S8">
        <f t="shared" si="4"/>
        <v>-5.5245920201875061</v>
      </c>
      <c r="T8">
        <f t="shared" si="4"/>
        <v>-1.1212398204671565</v>
      </c>
      <c r="V8">
        <v>1.2915156394856222</v>
      </c>
      <c r="W8">
        <v>3.1193686926170296</v>
      </c>
      <c r="X8">
        <v>5.3980827397863473</v>
      </c>
    </row>
    <row r="9" spans="2:24" x14ac:dyDescent="0.25">
      <c r="E9">
        <v>0.12451192816813783</v>
      </c>
      <c r="F9">
        <v>0.38633427005549803</v>
      </c>
      <c r="G9">
        <v>8.3848525065045032E-2</v>
      </c>
      <c r="I9">
        <f t="shared" si="0"/>
        <v>-4.6108943534882769</v>
      </c>
      <c r="J9">
        <f t="shared" si="1"/>
        <v>-1.1555444048523065</v>
      </c>
      <c r="K9">
        <f t="shared" si="2"/>
        <v>-5.5185660380207375</v>
      </c>
      <c r="M9">
        <v>6</v>
      </c>
      <c r="N9">
        <f t="shared" si="3"/>
        <v>4.3891056465117231</v>
      </c>
      <c r="O9">
        <f t="shared" si="5"/>
        <v>8.8444555951476929</v>
      </c>
      <c r="P9">
        <f t="shared" si="6"/>
        <v>6.3891056465117231</v>
      </c>
      <c r="R9">
        <f t="shared" si="7"/>
        <v>-4.8569286152888225</v>
      </c>
      <c r="S9">
        <f t="shared" si="4"/>
        <v>-1.0846073411369641</v>
      </c>
      <c r="T9">
        <f t="shared" si="4"/>
        <v>-5.2826562205374668</v>
      </c>
      <c r="V9">
        <v>1.0603219862759035</v>
      </c>
      <c r="W9">
        <v>3.3484039781405088</v>
      </c>
      <c r="X9">
        <v>5.0552906840291678</v>
      </c>
    </row>
    <row r="10" spans="2:24" x14ac:dyDescent="0.25">
      <c r="E10">
        <v>0.19439764660925918</v>
      </c>
      <c r="F10">
        <v>2.2697308800785798E-2</v>
      </c>
      <c r="G10">
        <v>0.23001966938112806</v>
      </c>
      <c r="I10">
        <f t="shared" si="0"/>
        <v>-3.4472166554665362</v>
      </c>
      <c r="J10">
        <f t="shared" si="1"/>
        <v>-8.0039173148671612</v>
      </c>
      <c r="K10">
        <f t="shared" si="2"/>
        <v>-2.955128295346821</v>
      </c>
      <c r="M10">
        <v>7</v>
      </c>
      <c r="N10">
        <f t="shared" si="3"/>
        <v>5.5527833445334638</v>
      </c>
      <c r="O10">
        <f t="shared" si="5"/>
        <v>1.9960826851328388</v>
      </c>
      <c r="P10">
        <f t="shared" si="6"/>
        <v>7.5527833445334638</v>
      </c>
      <c r="R10">
        <f t="shared" si="7"/>
        <v>-3.6932509172670818</v>
      </c>
      <c r="S10">
        <f t="shared" si="4"/>
        <v>-7.9329802511518182</v>
      </c>
      <c r="T10">
        <f t="shared" si="4"/>
        <v>-4.118978522515726</v>
      </c>
      <c r="V10">
        <v>1.2675952837626498</v>
      </c>
      <c r="W10">
        <v>3.4189016106688843</v>
      </c>
      <c r="X10">
        <v>5.278090974333578</v>
      </c>
    </row>
    <row r="11" spans="2:24" x14ac:dyDescent="0.25">
      <c r="B11" t="s">
        <v>9</v>
      </c>
      <c r="C11">
        <f>ANOVA!F3-C4</f>
        <v>-21</v>
      </c>
      <c r="E11">
        <v>0.43754477418349658</v>
      </c>
      <c r="F11">
        <v>0.9176020862650216</v>
      </c>
      <c r="G11">
        <v>0.74026208183857167</v>
      </c>
      <c r="I11">
        <f t="shared" si="0"/>
        <v>-0.62878822431315684</v>
      </c>
      <c r="J11">
        <f t="shared" si="1"/>
        <v>5.5564857304253215</v>
      </c>
      <c r="K11">
        <f t="shared" si="2"/>
        <v>2.576614397401233</v>
      </c>
      <c r="M11">
        <v>8</v>
      </c>
      <c r="N11">
        <f t="shared" si="3"/>
        <v>8.3712117756868434</v>
      </c>
      <c r="O11">
        <f t="shared" si="5"/>
        <v>15.556485730425322</v>
      </c>
      <c r="P11">
        <f t="shared" si="6"/>
        <v>10.371211775686843</v>
      </c>
      <c r="R11">
        <f t="shared" si="7"/>
        <v>-0.87482248611370217</v>
      </c>
      <c r="S11">
        <f t="shared" si="4"/>
        <v>5.6274227941406654</v>
      </c>
      <c r="T11">
        <f t="shared" si="4"/>
        <v>-1.3005500913623464</v>
      </c>
      <c r="V11">
        <v>1.4724574010518401</v>
      </c>
      <c r="W11">
        <v>3.1964650175436509</v>
      </c>
      <c r="X11">
        <v>5.2252140292852651</v>
      </c>
    </row>
    <row r="12" spans="2:24" x14ac:dyDescent="0.25">
      <c r="B12" t="s">
        <v>10</v>
      </c>
      <c r="C12">
        <f>ANOVA!F4-C5</f>
        <v>-20</v>
      </c>
      <c r="E12">
        <v>0.67753552821267893</v>
      </c>
      <c r="F12">
        <v>0.76758576863099581</v>
      </c>
      <c r="G12">
        <v>0.69499762648681596</v>
      </c>
      <c r="I12">
        <f t="shared" si="0"/>
        <v>1.8432733542769479</v>
      </c>
      <c r="J12">
        <f t="shared" si="1"/>
        <v>2.9236770945460453</v>
      </c>
      <c r="K12">
        <f t="shared" si="2"/>
        <v>2.0402667236432586</v>
      </c>
      <c r="M12">
        <v>9</v>
      </c>
      <c r="N12">
        <f t="shared" si="3"/>
        <v>10.843273354276947</v>
      </c>
      <c r="O12">
        <f t="shared" si="5"/>
        <v>12.923677094546045</v>
      </c>
      <c r="P12">
        <f t="shared" si="6"/>
        <v>12.843273354276947</v>
      </c>
      <c r="R12">
        <f t="shared" si="7"/>
        <v>1.5972390924764017</v>
      </c>
      <c r="S12">
        <f t="shared" si="4"/>
        <v>2.9946141582613883</v>
      </c>
      <c r="T12">
        <f t="shared" si="4"/>
        <v>1.1715114872277574</v>
      </c>
      <c r="V12">
        <v>1.1584079430717382</v>
      </c>
      <c r="W12">
        <v>3.0033197667145064</v>
      </c>
      <c r="X12">
        <v>5.2757251162371199</v>
      </c>
    </row>
    <row r="13" spans="2:24" x14ac:dyDescent="0.25">
      <c r="B13" t="s">
        <v>11</v>
      </c>
      <c r="C13">
        <f>ANOVA!F5-C6</f>
        <v>-19</v>
      </c>
      <c r="E13">
        <v>0.47477150956886649</v>
      </c>
      <c r="F13">
        <v>0.13322185257103047</v>
      </c>
      <c r="G13">
        <v>7.9084027632878584E-3</v>
      </c>
      <c r="I13">
        <f t="shared" si="0"/>
        <v>-0.25312262412514164</v>
      </c>
      <c r="J13">
        <f t="shared" si="1"/>
        <v>-4.4451584869508984</v>
      </c>
      <c r="K13">
        <f t="shared" si="2"/>
        <v>-9.6524620866236877</v>
      </c>
      <c r="M13">
        <v>10</v>
      </c>
      <c r="N13">
        <f t="shared" si="3"/>
        <v>8.7468773758748579</v>
      </c>
      <c r="O13">
        <f t="shared" si="5"/>
        <v>5.5548415130491016</v>
      </c>
      <c r="P13">
        <f t="shared" si="6"/>
        <v>10.746877375874858</v>
      </c>
      <c r="R13">
        <f t="shared" si="7"/>
        <v>-0.49915688592568763</v>
      </c>
      <c r="S13">
        <f t="shared" si="4"/>
        <v>-4.3742214232355554</v>
      </c>
      <c r="T13">
        <f t="shared" si="4"/>
        <v>-0.92488449117433191</v>
      </c>
      <c r="V13">
        <v>1.134923352802812</v>
      </c>
      <c r="W13">
        <v>3.4427347173669602</v>
      </c>
      <c r="X13">
        <v>5.2600311123150867</v>
      </c>
    </row>
    <row r="14" spans="2:24" x14ac:dyDescent="0.25">
      <c r="E14">
        <v>0.83142070317094419</v>
      </c>
      <c r="F14">
        <v>0.76402431549348049</v>
      </c>
      <c r="G14">
        <v>0.80310422592144259</v>
      </c>
      <c r="I14">
        <f t="shared" si="0"/>
        <v>3.8391784553277262</v>
      </c>
      <c r="J14">
        <f t="shared" si="1"/>
        <v>2.8772306936246661</v>
      </c>
      <c r="K14">
        <f t="shared" si="2"/>
        <v>3.4110462163404103</v>
      </c>
      <c r="M14">
        <v>11</v>
      </c>
      <c r="N14">
        <f t="shared" si="3"/>
        <v>12.839178455327726</v>
      </c>
      <c r="O14">
        <f t="shared" si="5"/>
        <v>12.877230693624666</v>
      </c>
      <c r="P14">
        <f t="shared" si="6"/>
        <v>14.839178455327726</v>
      </c>
      <c r="R14">
        <f t="shared" si="7"/>
        <v>3.5931441935271806</v>
      </c>
      <c r="S14">
        <f t="shared" si="4"/>
        <v>2.9481677573400091</v>
      </c>
      <c r="T14">
        <f t="shared" si="4"/>
        <v>3.1674165882785363</v>
      </c>
      <c r="V14">
        <v>1.1495587296472318</v>
      </c>
      <c r="W14">
        <v>3.0305955699494307</v>
      </c>
      <c r="X14">
        <v>5.4456311179820256</v>
      </c>
    </row>
    <row r="15" spans="2:24" x14ac:dyDescent="0.25">
      <c r="B15" t="s">
        <v>13</v>
      </c>
      <c r="C15">
        <f>ANOVA!F8</f>
        <v>4</v>
      </c>
      <c r="E15">
        <v>0.91251169734816517</v>
      </c>
      <c r="F15">
        <v>0.61066869048556938</v>
      </c>
      <c r="G15">
        <v>0.95575239007801671</v>
      </c>
      <c r="I15">
        <f t="shared" si="0"/>
        <v>5.4255412330990351</v>
      </c>
      <c r="J15">
        <f t="shared" si="1"/>
        <v>1.1242491858269679</v>
      </c>
      <c r="K15">
        <f t="shared" si="2"/>
        <v>6.8135576048371878</v>
      </c>
      <c r="M15">
        <v>12</v>
      </c>
      <c r="N15">
        <f t="shared" si="3"/>
        <v>14.425541233099036</v>
      </c>
      <c r="O15">
        <f t="shared" si="5"/>
        <v>11.124249185826969</v>
      </c>
      <c r="P15">
        <f t="shared" si="6"/>
        <v>16.425541233099036</v>
      </c>
      <c r="R15">
        <f t="shared" si="7"/>
        <v>5.1795069712984905</v>
      </c>
      <c r="S15">
        <f t="shared" si="4"/>
        <v>1.1951862495423118</v>
      </c>
      <c r="T15">
        <f t="shared" si="4"/>
        <v>4.7537793660498462</v>
      </c>
      <c r="V15">
        <v>1.0235909643287813</v>
      </c>
      <c r="W15">
        <v>3.4971679130540423</v>
      </c>
      <c r="X15">
        <v>5.3788792562749501</v>
      </c>
    </row>
    <row r="16" spans="2:24" x14ac:dyDescent="0.25">
      <c r="E16">
        <v>0.45027486176691023</v>
      </c>
      <c r="F16">
        <v>0.97365891593857157</v>
      </c>
      <c r="G16">
        <v>0.63059850457376954</v>
      </c>
      <c r="I16">
        <f t="shared" si="0"/>
        <v>-0.4998677582209417</v>
      </c>
      <c r="J16">
        <f t="shared" si="1"/>
        <v>7.7500683025249915</v>
      </c>
      <c r="K16">
        <f t="shared" si="2"/>
        <v>1.3337556674896582</v>
      </c>
      <c r="M16">
        <v>13</v>
      </c>
      <c r="N16">
        <f t="shared" si="3"/>
        <v>8.5001322417790579</v>
      </c>
      <c r="O16">
        <f t="shared" si="5"/>
        <v>17.750068302524991</v>
      </c>
      <c r="P16">
        <f t="shared" si="6"/>
        <v>10.500132241779058</v>
      </c>
      <c r="R16">
        <f t="shared" si="7"/>
        <v>-0.74590202002148764</v>
      </c>
      <c r="S16">
        <f t="shared" si="4"/>
        <v>7.8210053662403336</v>
      </c>
      <c r="T16">
        <f t="shared" si="4"/>
        <v>-1.1716296252701319</v>
      </c>
      <c r="V16">
        <v>1.1592214372800591</v>
      </c>
      <c r="W16">
        <v>3.1819570585538401</v>
      </c>
      <c r="X16">
        <v>5.1240666169994826</v>
      </c>
    </row>
    <row r="17" spans="3:24" x14ac:dyDescent="0.25">
      <c r="E17">
        <v>0.63291511972837322</v>
      </c>
      <c r="F17">
        <v>0.34706551271184483</v>
      </c>
      <c r="G17">
        <v>0.71970502989558305</v>
      </c>
      <c r="I17">
        <f t="shared" si="0"/>
        <v>1.3583363635272239</v>
      </c>
      <c r="J17">
        <f t="shared" si="1"/>
        <v>-1.5730206803809341</v>
      </c>
      <c r="K17">
        <f t="shared" si="2"/>
        <v>2.3278618770597665</v>
      </c>
      <c r="M17">
        <v>14</v>
      </c>
      <c r="N17">
        <f t="shared" si="3"/>
        <v>10.358336363527224</v>
      </c>
      <c r="O17">
        <f t="shared" si="5"/>
        <v>8.4269793196190665</v>
      </c>
      <c r="P17">
        <f t="shared" si="6"/>
        <v>12.358336363527224</v>
      </c>
      <c r="R17">
        <f t="shared" si="7"/>
        <v>1.1123021017266783</v>
      </c>
      <c r="S17">
        <f t="shared" si="4"/>
        <v>-1.5020836166655904</v>
      </c>
      <c r="T17">
        <f t="shared" si="4"/>
        <v>0.68657449647803404</v>
      </c>
      <c r="V17">
        <v>1.4373147142746658</v>
      </c>
      <c r="W17">
        <v>3.35661439055988</v>
      </c>
      <c r="X17">
        <v>5.4903285003753197</v>
      </c>
    </row>
    <row r="18" spans="3:24" x14ac:dyDescent="0.25">
      <c r="E18">
        <v>0.55517117825021178</v>
      </c>
      <c r="F18">
        <v>0.68003567657118991</v>
      </c>
      <c r="G18">
        <v>0.62144629243462246</v>
      </c>
      <c r="I18">
        <f t="shared" si="0"/>
        <v>0.55494969846699715</v>
      </c>
      <c r="J18">
        <f t="shared" si="1"/>
        <v>1.8711942603417371</v>
      </c>
      <c r="K18">
        <f t="shared" si="2"/>
        <v>1.2371259332338185</v>
      </c>
      <c r="M18">
        <v>15</v>
      </c>
      <c r="N18">
        <f t="shared" si="3"/>
        <v>9.5549496984669968</v>
      </c>
      <c r="O18">
        <f t="shared" si="5"/>
        <v>11.871194260341737</v>
      </c>
      <c r="P18">
        <f t="shared" si="6"/>
        <v>11.554949698466997</v>
      </c>
      <c r="R18">
        <f t="shared" si="7"/>
        <v>0.30891543666645127</v>
      </c>
      <c r="S18">
        <f t="shared" si="4"/>
        <v>1.9421313240570797</v>
      </c>
      <c r="T18">
        <f t="shared" si="4"/>
        <v>-0.11681216858219301</v>
      </c>
      <c r="V18">
        <v>1.0571085178885233</v>
      </c>
      <c r="W18">
        <v>3.3301851035395407</v>
      </c>
      <c r="X18">
        <v>5.0940167156157532</v>
      </c>
    </row>
    <row r="19" spans="3:24" x14ac:dyDescent="0.25">
      <c r="N19">
        <f>_xlfn.STDEV.S(N4:N18)</f>
        <v>2.8601201830708729</v>
      </c>
      <c r="O19">
        <f t="shared" ref="O19:P19" si="8">_xlfn.STDEV.S(O4:O18)</f>
        <v>4.3342702384320209</v>
      </c>
      <c r="P19">
        <f t="shared" si="8"/>
        <v>2.8601201830708729</v>
      </c>
      <c r="Q19">
        <f>_xlfn.STDEV.S(N4:P18)</f>
        <v>3.4626797457094933</v>
      </c>
      <c r="R19">
        <f t="shared" si="7"/>
        <v>-6.3859140787296731</v>
      </c>
    </row>
    <row r="20" spans="3:24" x14ac:dyDescent="0.25">
      <c r="N20">
        <f>AVERAGE(N4:N19)</f>
        <v>9.2460342618005456</v>
      </c>
      <c r="O20">
        <f t="shared" ref="O20:P20" si="9">AVERAGE(O4:O18)</f>
        <v>9.929062936284657</v>
      </c>
      <c r="P20">
        <f t="shared" si="9"/>
        <v>11.67176186704919</v>
      </c>
      <c r="Q20">
        <f>AVERAGE(N20:P20)</f>
        <v>10.282286355044798</v>
      </c>
      <c r="V20">
        <f>AVERAGE(V4:V18)</f>
        <v>1.2026599921987093</v>
      </c>
      <c r="W20">
        <f t="shared" ref="W20:X20" si="10">AVERAGE(W4:W18)</f>
        <v>3.2632117405193055</v>
      </c>
      <c r="X20">
        <f t="shared" si="10"/>
        <v>5.270341861334872</v>
      </c>
    </row>
    <row r="21" spans="3:24" x14ac:dyDescent="0.25">
      <c r="N21">
        <f>((N$20-$Q$20)^2)*COUNT(N$4:N$18)</f>
        <v>16.107276011296424</v>
      </c>
      <c r="O21">
        <f t="shared" ref="O21:P21" si="11">((O$20-$Q$20)^2)*COUNT(O$4:O$18)</f>
        <v>1.8715017534090297</v>
      </c>
      <c r="P21">
        <f t="shared" si="11"/>
        <v>28.959632976898</v>
      </c>
      <c r="V21">
        <f>V20+0.4</f>
        <v>1.6026599921987095</v>
      </c>
      <c r="W21">
        <f t="shared" ref="W21:X21" si="12">W20+0.4</f>
        <v>3.6632117405193054</v>
      </c>
      <c r="X21">
        <f t="shared" si="12"/>
        <v>5.6703418613348724</v>
      </c>
    </row>
    <row r="22" spans="3:24" x14ac:dyDescent="0.25">
      <c r="H22" s="14" t="str">
        <f>""</f>
        <v/>
      </c>
      <c r="I22" s="15" t="s">
        <v>4</v>
      </c>
      <c r="J22" s="15" t="s">
        <v>5</v>
      </c>
      <c r="K22" s="15" t="s">
        <v>30</v>
      </c>
      <c r="L22" s="15" t="s">
        <v>7</v>
      </c>
      <c r="M22" s="15" t="s">
        <v>8</v>
      </c>
      <c r="N22" s="16" t="str">
        <f>""</f>
        <v/>
      </c>
    </row>
    <row r="23" spans="3:24" x14ac:dyDescent="0.25">
      <c r="H23" s="17" t="s">
        <v>50</v>
      </c>
      <c r="I23" s="18">
        <f>SUM(N21:P21)</f>
        <v>46.938410741603455</v>
      </c>
      <c r="J23" s="19">
        <f>COUNT(R4:T4)-1</f>
        <v>2</v>
      </c>
      <c r="K23" s="18">
        <f>I23/J23</f>
        <v>23.469205370801728</v>
      </c>
      <c r="L23" s="18">
        <f>K23/K24</f>
        <v>1.9922550769014096</v>
      </c>
      <c r="M23" s="18">
        <f>_xlfn.F.DIST.RT(L23,J23,J24)</f>
        <v>0.14907068345428631</v>
      </c>
      <c r="N23" s="20" t="str">
        <f>""</f>
        <v/>
      </c>
    </row>
    <row r="24" spans="3:24" x14ac:dyDescent="0.25">
      <c r="H24" s="17" t="s">
        <v>51</v>
      </c>
      <c r="I24" s="18">
        <f>SUMSQ(R4:T18)</f>
        <v>494.76928782972908</v>
      </c>
      <c r="J24" s="19">
        <f>COUNT(N4:P18)-J23-1</f>
        <v>42</v>
      </c>
      <c r="K24" s="18">
        <f>I24/J24</f>
        <v>11.780221138803073</v>
      </c>
      <c r="L24" s="19" t="str">
        <f>""</f>
        <v/>
      </c>
      <c r="M24" s="19" t="str">
        <f>""</f>
        <v/>
      </c>
      <c r="N24" s="20" t="str">
        <f>""</f>
        <v/>
      </c>
    </row>
    <row r="25" spans="3:24" x14ac:dyDescent="0.25">
      <c r="C25" s="2" t="s">
        <v>43</v>
      </c>
      <c r="D25">
        <f>SQRT(K24*((1/15)+(1/15)+(1/15)))</f>
        <v>1.5349411154049573</v>
      </c>
      <c r="E25" t="e">
        <v>#N/A</v>
      </c>
      <c r="H25" s="17" t="s">
        <v>52</v>
      </c>
      <c r="I25" s="18">
        <f>I23+I24</f>
        <v>541.70769857133257</v>
      </c>
      <c r="J25" s="19">
        <f>J24+J23</f>
        <v>44</v>
      </c>
      <c r="K25" s="19" t="str">
        <f>""</f>
        <v/>
      </c>
      <c r="L25" s="19" t="str">
        <f>""</f>
        <v/>
      </c>
      <c r="M25" s="19" t="str">
        <f>""</f>
        <v/>
      </c>
      <c r="N25" s="20" t="str">
        <f>""</f>
        <v/>
      </c>
      <c r="S25">
        <f>V20</f>
        <v>1.2026599921987093</v>
      </c>
      <c r="T25">
        <f>N20*W25</f>
        <v>9.2460342618005456</v>
      </c>
      <c r="V25" t="s">
        <v>53</v>
      </c>
      <c r="W25" s="41">
        <v>1</v>
      </c>
    </row>
    <row r="26" spans="3:24" x14ac:dyDescent="0.25">
      <c r="C26" s="2" t="s">
        <v>42</v>
      </c>
      <c r="D26">
        <f>Interaction!O36</f>
        <v>1.2176871324609488</v>
      </c>
      <c r="E26">
        <f>Interaction!P36</f>
        <v>2.0158796540154182</v>
      </c>
      <c r="H26" s="17" t="str">
        <f>""</f>
        <v/>
      </c>
      <c r="I26" s="19" t="str">
        <f>""</f>
        <v/>
      </c>
      <c r="J26" s="19" t="str">
        <f>""</f>
        <v/>
      </c>
      <c r="K26" s="19" t="str">
        <f>""</f>
        <v/>
      </c>
      <c r="L26" s="19" t="str">
        <f>""</f>
        <v/>
      </c>
      <c r="M26" s="19" t="str">
        <f>""</f>
        <v/>
      </c>
      <c r="N26" s="20" t="str">
        <f>""</f>
        <v/>
      </c>
      <c r="S26">
        <f>V20</f>
        <v>1.2026599921987093</v>
      </c>
      <c r="T26">
        <f>Q20*W25</f>
        <v>10.282286355044798</v>
      </c>
    </row>
    <row r="27" spans="3:24" x14ac:dyDescent="0.25">
      <c r="H27" s="17" t="str">
        <f>""</f>
        <v/>
      </c>
      <c r="I27" s="19" t="str">
        <f>""</f>
        <v/>
      </c>
      <c r="J27" s="19" t="str">
        <f>""</f>
        <v/>
      </c>
      <c r="K27" s="19" t="str">
        <f>""</f>
        <v/>
      </c>
      <c r="L27" s="19" t="str">
        <f>""</f>
        <v/>
      </c>
      <c r="M27" s="19" t="str">
        <f>""</f>
        <v/>
      </c>
      <c r="N27" s="20" t="str">
        <f>""</f>
        <v/>
      </c>
      <c r="S27">
        <f>W20</f>
        <v>3.2632117405193055</v>
      </c>
      <c r="T27">
        <f>Q20*W25</f>
        <v>10.282286355044798</v>
      </c>
    </row>
    <row r="28" spans="3:24" x14ac:dyDescent="0.25">
      <c r="H28" s="17" t="str">
        <f>""</f>
        <v/>
      </c>
      <c r="I28" s="19" t="str">
        <f>""</f>
        <v/>
      </c>
      <c r="J28" s="19" t="str">
        <f>""</f>
        <v/>
      </c>
      <c r="K28" s="19" t="str">
        <f>""</f>
        <v/>
      </c>
      <c r="L28" s="19" t="str">
        <f>""</f>
        <v/>
      </c>
      <c r="M28" s="19" t="str">
        <f>""</f>
        <v/>
      </c>
      <c r="N28" s="20" t="str">
        <f>""</f>
        <v/>
      </c>
      <c r="S28">
        <f>W20</f>
        <v>3.2632117405193055</v>
      </c>
      <c r="T28">
        <f>O20*W25</f>
        <v>9.929062936284657</v>
      </c>
    </row>
    <row r="29" spans="3:24" x14ac:dyDescent="0.25">
      <c r="C29" t="s">
        <v>39</v>
      </c>
      <c r="D29">
        <f>IF(C2="Yes",D26,D25)</f>
        <v>1.5349411154049573</v>
      </c>
      <c r="E29" t="e">
        <f>IF(C2="Yes",E26,E25)</f>
        <v>#N/A</v>
      </c>
      <c r="H29" s="17" t="str">
        <f>""</f>
        <v/>
      </c>
      <c r="I29" s="19" t="str">
        <f>""</f>
        <v/>
      </c>
      <c r="J29" s="19" t="str">
        <f>""</f>
        <v/>
      </c>
      <c r="K29" s="19" t="str">
        <f>""</f>
        <v/>
      </c>
      <c r="L29" s="19" t="str">
        <f>""</f>
        <v/>
      </c>
      <c r="M29" s="19" t="str">
        <f>""</f>
        <v/>
      </c>
      <c r="N29" s="20" t="str">
        <f>""</f>
        <v/>
      </c>
      <c r="S29">
        <f>W20</f>
        <v>3.2632117405193055</v>
      </c>
      <c r="T29">
        <f>Q20*W25</f>
        <v>10.282286355044798</v>
      </c>
    </row>
    <row r="30" spans="3:24" x14ac:dyDescent="0.25">
      <c r="H30" s="21" t="str">
        <f>""</f>
        <v/>
      </c>
      <c r="I30" s="22" t="str">
        <f>""</f>
        <v/>
      </c>
      <c r="J30" s="22" t="str">
        <f>""</f>
        <v/>
      </c>
      <c r="K30" s="22" t="str">
        <f>""</f>
        <v/>
      </c>
      <c r="L30" s="22" t="str">
        <f>""</f>
        <v/>
      </c>
      <c r="M30" s="22" t="str">
        <f>""</f>
        <v/>
      </c>
      <c r="N30" s="23" t="str">
        <f>""</f>
        <v/>
      </c>
      <c r="S30">
        <f>X20</f>
        <v>5.270341861334872</v>
      </c>
      <c r="T30">
        <f>Q20*W25</f>
        <v>10.282286355044798</v>
      </c>
    </row>
    <row r="31" spans="3:24" x14ac:dyDescent="0.25">
      <c r="S31">
        <f>X20</f>
        <v>5.270341861334872</v>
      </c>
      <c r="T31">
        <f>P20*W25</f>
        <v>11.67176186704919</v>
      </c>
    </row>
    <row r="33" spans="13:25" x14ac:dyDescent="0.25">
      <c r="M33" t="s">
        <v>39</v>
      </c>
      <c r="N33">
        <f>N19/SQRT(COUNT(N4:N18))</f>
        <v>0.73847985581234654</v>
      </c>
      <c r="O33">
        <f t="shared" ref="O33:P33" si="13">O19/SQRT(COUNT(O4:O18))</f>
        <v>1.1191037634273111</v>
      </c>
      <c r="P33">
        <f t="shared" si="13"/>
        <v>0.73847985581234654</v>
      </c>
      <c r="Q33">
        <f>Q19/SQRT(COUNT(N4:P18))</f>
        <v>0.51618581971454081</v>
      </c>
    </row>
    <row r="41" spans="13:25" x14ac:dyDescent="0.25">
      <c r="R41" s="2" t="s">
        <v>32</v>
      </c>
      <c r="S41" s="1">
        <f>I23</f>
        <v>46.938410741603455</v>
      </c>
      <c r="T41">
        <f>Interaction!J25</f>
        <v>35.516017017587806</v>
      </c>
      <c r="V41">
        <f>S41/S44</f>
        <v>8.6648963759230313E-2</v>
      </c>
      <c r="W41">
        <f>T41/$T$44</f>
        <v>6.7320436874240067E-2</v>
      </c>
      <c r="Y41">
        <f>IF($C$2="No",S41,T41)</f>
        <v>46.938410741603455</v>
      </c>
    </row>
    <row r="42" spans="13:25" x14ac:dyDescent="0.25">
      <c r="R42" s="2" t="s">
        <v>56</v>
      </c>
      <c r="T42">
        <f>Interaction!J27</f>
        <v>284.46395456313263</v>
      </c>
      <c r="V42">
        <v>0</v>
      </c>
      <c r="W42">
        <f t="shared" ref="W42:W43" si="14">T42/$T$44</f>
        <v>0.53920003717423381</v>
      </c>
      <c r="Y42">
        <f t="shared" ref="Y42:Y44" si="15">IF($C$2="No",S42,T42)</f>
        <v>0</v>
      </c>
    </row>
    <row r="43" spans="13:25" x14ac:dyDescent="0.25">
      <c r="R43" s="2" t="s">
        <v>58</v>
      </c>
      <c r="T43">
        <f>Interaction!J29</f>
        <v>207.58667335853556</v>
      </c>
      <c r="V43">
        <v>0</v>
      </c>
      <c r="W43">
        <f t="shared" si="14"/>
        <v>0.39347952595152619</v>
      </c>
      <c r="Y43">
        <f t="shared" si="15"/>
        <v>0</v>
      </c>
    </row>
    <row r="44" spans="13:25" x14ac:dyDescent="0.25">
      <c r="R44" s="2" t="s">
        <v>52</v>
      </c>
      <c r="S44" s="1">
        <f>I25</f>
        <v>541.70769857133257</v>
      </c>
      <c r="T44">
        <f>SUM(T41:T43)</f>
        <v>527.56664493925598</v>
      </c>
      <c r="Y44">
        <f t="shared" si="15"/>
        <v>541.70769857133257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84"/>
  <sheetViews>
    <sheetView topLeftCell="A10" workbookViewId="0">
      <selection activeCell="T46" sqref="T46"/>
    </sheetView>
  </sheetViews>
  <sheetFormatPr defaultRowHeight="15" x14ac:dyDescent="0.25"/>
  <cols>
    <col min="7" max="8" width="9.5703125" bestFit="1" customWidth="1"/>
    <col min="9" max="9" width="10.42578125" bestFit="1" customWidth="1"/>
    <col min="10" max="10" width="9.7109375" bestFit="1" customWidth="1"/>
    <col min="11" max="11" width="9.5703125" bestFit="1" customWidth="1"/>
    <col min="12" max="12" width="9.7109375" bestFit="1" customWidth="1"/>
    <col min="13" max="13" width="11.7109375" bestFit="1" customWidth="1"/>
    <col min="14" max="14" width="9.5703125" customWidth="1"/>
  </cols>
  <sheetData>
    <row r="1" spans="1:27" x14ac:dyDescent="0.25">
      <c r="A1" t="s">
        <v>3</v>
      </c>
      <c r="B1" t="s">
        <v>32</v>
      </c>
      <c r="C1" t="s">
        <v>36</v>
      </c>
      <c r="E1" t="s">
        <v>37</v>
      </c>
      <c r="H1" t="s">
        <v>20</v>
      </c>
    </row>
    <row r="2" spans="1:27" x14ac:dyDescent="0.25">
      <c r="A2">
        <v>1</v>
      </c>
      <c r="B2">
        <v>1</v>
      </c>
      <c r="C2">
        <f>Regular!N4</f>
        <v>7.5581310403227286</v>
      </c>
      <c r="E2">
        <f t="shared" ref="E2:E46" si="0">(C2-$I$2)^2</f>
        <v>8.2143258125776804</v>
      </c>
      <c r="H2" s="2" t="s">
        <v>21</v>
      </c>
      <c r="I2">
        <f>AVERAGE(C2:C46)</f>
        <v>10.424195556794345</v>
      </c>
      <c r="K2" t="s">
        <v>35</v>
      </c>
      <c r="L2" s="3">
        <f>SUM(--(FREQUENCY(A2:A65,A2:A65)&gt;0))</f>
        <v>15</v>
      </c>
      <c r="M2" t="s">
        <v>22</v>
      </c>
      <c r="N2" s="3">
        <f>SUM(--(FREQUENCY(B2:B65,B2:B65)&gt;0))</f>
        <v>3</v>
      </c>
      <c r="O2" s="2" t="s">
        <v>23</v>
      </c>
      <c r="P2" s="3">
        <f>COUNT(C2:C46)</f>
        <v>45</v>
      </c>
      <c r="Q2" s="2" t="s">
        <v>24</v>
      </c>
      <c r="R2" s="3">
        <f>P2/N2</f>
        <v>15</v>
      </c>
      <c r="Y2">
        <f>(R2-1)*L2</f>
        <v>210</v>
      </c>
    </row>
    <row r="3" spans="1:27" x14ac:dyDescent="0.25">
      <c r="A3">
        <v>2</v>
      </c>
      <c r="B3">
        <v>1</v>
      </c>
      <c r="C3">
        <f>Regular!N5</f>
        <v>9.2284925767161941</v>
      </c>
      <c r="E3">
        <f t="shared" si="0"/>
        <v>1.4297056165677708</v>
      </c>
      <c r="O3">
        <f>(L2-1)*(N2-1)*(R2-1)</f>
        <v>392</v>
      </c>
      <c r="V3" s="4">
        <v>4.1795070758060158</v>
      </c>
      <c r="W3" s="5">
        <f>V3* (R2-1)</f>
        <v>58.513099061284223</v>
      </c>
    </row>
    <row r="4" spans="1:27" x14ac:dyDescent="0.25">
      <c r="A4">
        <v>3</v>
      </c>
      <c r="B4">
        <v>1</v>
      </c>
      <c r="C4">
        <f>Regular!N6</f>
        <v>12.053106282582341</v>
      </c>
      <c r="E4">
        <f t="shared" si="0"/>
        <v>2.6533501525871768</v>
      </c>
      <c r="H4" t="s">
        <v>6</v>
      </c>
    </row>
    <row r="5" spans="1:27" x14ac:dyDescent="0.25">
      <c r="A5">
        <v>4</v>
      </c>
      <c r="B5">
        <v>1</v>
      </c>
      <c r="C5">
        <f>Regular!N7</f>
        <v>14.10478657045069</v>
      </c>
      <c r="E5">
        <f t="shared" si="0"/>
        <v>13.546750209807842</v>
      </c>
    </row>
    <row r="6" spans="1:27" x14ac:dyDescent="0.25">
      <c r="A6">
        <v>5</v>
      </c>
      <c r="B6">
        <v>1</v>
      </c>
      <c r="C6">
        <f>Regular!N8</f>
        <v>8.5505220465820333</v>
      </c>
      <c r="E6">
        <f t="shared" si="0"/>
        <v>3.5106524228713254</v>
      </c>
      <c r="H6" s="6" t="s">
        <v>32</v>
      </c>
      <c r="I6" t="s">
        <v>21</v>
      </c>
      <c r="J6" t="s">
        <v>25</v>
      </c>
      <c r="K6" t="s">
        <v>26</v>
      </c>
      <c r="O6" s="6"/>
      <c r="P6">
        <f>I2</f>
        <v>10.424195556794345</v>
      </c>
      <c r="Q6">
        <f>R6*(P6^2)</f>
        <v>4889.8733852830937</v>
      </c>
      <c r="R6">
        <v>45</v>
      </c>
      <c r="V6" t="s">
        <v>19</v>
      </c>
      <c r="W6" t="s">
        <v>21</v>
      </c>
      <c r="X6" t="s">
        <v>25</v>
      </c>
      <c r="Y6" t="s">
        <v>26</v>
      </c>
    </row>
    <row r="7" spans="1:27" x14ac:dyDescent="0.25">
      <c r="A7">
        <v>6</v>
      </c>
      <c r="B7">
        <v>1</v>
      </c>
      <c r="C7">
        <f>Regular!N9</f>
        <v>4.3891056465117231</v>
      </c>
      <c r="E7">
        <f t="shared" si="0"/>
        <v>36.422310225195105</v>
      </c>
      <c r="H7">
        <v>1</v>
      </c>
      <c r="I7">
        <f>AVERAGEIF($B$2:$B$65,"="&amp;$H7,$C$2:$C$65)</f>
        <v>9.6717618670491898</v>
      </c>
      <c r="J7">
        <f>COUNTIF($B$2:$B$65,"="&amp;$H7)</f>
        <v>15</v>
      </c>
      <c r="K7">
        <f>(I7-I2)^2</f>
        <v>0.5661564574635084</v>
      </c>
      <c r="Q7">
        <f>Q6+N17</f>
        <v>4889.8733852830937</v>
      </c>
      <c r="V7">
        <v>1</v>
      </c>
      <c r="W7">
        <f t="shared" ref="W7:W21" si="1">AVERAGEIF($A$2:$A$65,"="&amp;$V7,$C$2:$C$65)</f>
        <v>9.8672578422798534</v>
      </c>
      <c r="X7">
        <f t="shared" ref="X7:X21" si="2">COUNTIF($A$2:$A$65,"="&amp;$V7)</f>
        <v>3</v>
      </c>
      <c r="Y7">
        <f>(W7-$I$2)^2</f>
        <v>0.31017961784862536</v>
      </c>
    </row>
    <row r="8" spans="1:27" x14ac:dyDescent="0.25">
      <c r="A8">
        <v>7</v>
      </c>
      <c r="B8">
        <v>1</v>
      </c>
      <c r="C8">
        <f>Regular!N10</f>
        <v>5.5527833445334638</v>
      </c>
      <c r="E8">
        <f t="shared" si="0"/>
        <v>23.730656941764451</v>
      </c>
      <c r="H8">
        <v>2</v>
      </c>
      <c r="I8">
        <f>AVERAGEIF($B$2:$B$65,"="&amp;$H8,$C$2:$C$65)</f>
        <v>9.929062936284657</v>
      </c>
      <c r="J8">
        <f>COUNTIF($B$2:$B$65,"="&amp;$H8)</f>
        <v>15</v>
      </c>
      <c r="K8">
        <f>(I8-I2)^2</f>
        <v>0.24515631189279069</v>
      </c>
      <c r="Q8" s="1">
        <f>Q6-J25-J27</f>
        <v>4569.8934137023734</v>
      </c>
      <c r="V8">
        <v>2</v>
      </c>
      <c r="W8">
        <f t="shared" si="1"/>
        <v>9.2091517696160778</v>
      </c>
      <c r="X8">
        <f t="shared" si="2"/>
        <v>3</v>
      </c>
      <c r="Y8">
        <f>(W8-$I$2)^2</f>
        <v>1.4763314047605061</v>
      </c>
    </row>
    <row r="9" spans="1:27" x14ac:dyDescent="0.25">
      <c r="A9">
        <v>8</v>
      </c>
      <c r="B9">
        <v>1</v>
      </c>
      <c r="C9">
        <f>Regular!N11</f>
        <v>8.3712117756868434</v>
      </c>
      <c r="E9">
        <f t="shared" si="0"/>
        <v>4.2147424054904539</v>
      </c>
      <c r="H9">
        <v>3</v>
      </c>
      <c r="I9">
        <f>AVERAGEIF($B$2:$B$65,"="&amp;$H9,$C$2:$C$65)</f>
        <v>11.67176186704919</v>
      </c>
      <c r="J9">
        <f>COUNTIF($B$2:$B$65,"="&amp;$H9)</f>
        <v>15</v>
      </c>
      <c r="K9">
        <f>(I9-I2)^2</f>
        <v>1.5564216984828878</v>
      </c>
      <c r="V9">
        <v>3</v>
      </c>
      <c r="W9">
        <f t="shared" si="1"/>
        <v>12.616385792624207</v>
      </c>
      <c r="X9">
        <f t="shared" si="2"/>
        <v>3</v>
      </c>
      <c r="Y9">
        <f>(W9-$I$2)^2</f>
        <v>4.8056980300677878</v>
      </c>
    </row>
    <row r="10" spans="1:27" x14ac:dyDescent="0.25">
      <c r="A10">
        <v>9</v>
      </c>
      <c r="B10">
        <v>1</v>
      </c>
      <c r="C10">
        <f>Regular!N12</f>
        <v>10.843273354276947</v>
      </c>
      <c r="E10">
        <f t="shared" si="0"/>
        <v>0.17562620034286905</v>
      </c>
      <c r="V10">
        <v>4</v>
      </c>
      <c r="W10">
        <f t="shared" si="1"/>
        <v>12.138951824839252</v>
      </c>
      <c r="X10">
        <f t="shared" si="2"/>
        <v>3</v>
      </c>
      <c r="Y10">
        <f>(W10-$I$2)^2</f>
        <v>2.9403890587992958</v>
      </c>
    </row>
    <row r="11" spans="1:27" x14ac:dyDescent="0.25">
      <c r="A11">
        <v>10</v>
      </c>
      <c r="B11">
        <v>1</v>
      </c>
      <c r="C11">
        <f>Regular!N13</f>
        <v>8.7468773758748579</v>
      </c>
      <c r="E11">
        <f t="shared" si="0"/>
        <v>2.8133962800430572</v>
      </c>
      <c r="H11" t="s">
        <v>27</v>
      </c>
      <c r="K11">
        <f>SUM(K7:K10)</f>
        <v>2.367734467839187</v>
      </c>
      <c r="L11" s="7" t="s">
        <v>28</v>
      </c>
      <c r="M11">
        <f>K11*J7</f>
        <v>35.516017017587806</v>
      </c>
      <c r="S11" s="7"/>
      <c r="V11">
        <v>5</v>
      </c>
      <c r="W11">
        <f t="shared" si="1"/>
        <v>7.8351716697537386</v>
      </c>
      <c r="X11">
        <f t="shared" si="2"/>
        <v>3</v>
      </c>
      <c r="Y11">
        <f t="shared" ref="Y11:Y21" si="3">(W11-$I$2)^2</f>
        <v>6.7030446876668508</v>
      </c>
    </row>
    <row r="12" spans="1:27" x14ac:dyDescent="0.25">
      <c r="A12">
        <v>11</v>
      </c>
      <c r="B12">
        <v>1</v>
      </c>
      <c r="C12">
        <f>Regular!N14</f>
        <v>12.839178455327726</v>
      </c>
      <c r="E12">
        <f t="shared" si="0"/>
        <v>5.8321424002086912</v>
      </c>
      <c r="V12">
        <v>6</v>
      </c>
      <c r="W12">
        <f t="shared" si="1"/>
        <v>6.540888962723713</v>
      </c>
      <c r="X12">
        <f t="shared" si="2"/>
        <v>3</v>
      </c>
      <c r="Y12">
        <f t="shared" si="3"/>
        <v>15.080070103552451</v>
      </c>
    </row>
    <row r="13" spans="1:27" x14ac:dyDescent="0.25">
      <c r="A13">
        <v>12</v>
      </c>
      <c r="B13">
        <v>1</v>
      </c>
      <c r="C13">
        <f>Regular!N15</f>
        <v>14.425541233099036</v>
      </c>
      <c r="E13">
        <f t="shared" si="0"/>
        <v>16.010767221282247</v>
      </c>
      <c r="V13">
        <v>7</v>
      </c>
      <c r="W13">
        <f t="shared" si="1"/>
        <v>5.0338831247332552</v>
      </c>
      <c r="X13">
        <f t="shared" si="2"/>
        <v>3</v>
      </c>
      <c r="Y13">
        <f t="shared" si="3"/>
        <v>29.05546811523234</v>
      </c>
    </row>
    <row r="14" spans="1:27" x14ac:dyDescent="0.25">
      <c r="A14">
        <v>13</v>
      </c>
      <c r="B14">
        <v>1</v>
      </c>
      <c r="C14">
        <f>Regular!N16</f>
        <v>8.5001322417790579</v>
      </c>
      <c r="E14">
        <f t="shared" si="0"/>
        <v>3.7020196401876158</v>
      </c>
      <c r="V14">
        <v>8</v>
      </c>
      <c r="W14">
        <f t="shared" si="1"/>
        <v>11.43296976059967</v>
      </c>
      <c r="X14">
        <f t="shared" si="2"/>
        <v>3</v>
      </c>
      <c r="Y14">
        <f t="shared" si="3"/>
        <v>1.017625394263068</v>
      </c>
    </row>
    <row r="15" spans="1:27" x14ac:dyDescent="0.25">
      <c r="A15">
        <v>14</v>
      </c>
      <c r="B15">
        <v>1</v>
      </c>
      <c r="C15">
        <f>Regular!N17</f>
        <v>10.358336363527224</v>
      </c>
      <c r="E15">
        <f t="shared" si="0"/>
        <v>4.3374333377960072E-3</v>
      </c>
      <c r="V15">
        <v>9</v>
      </c>
      <c r="W15">
        <f t="shared" si="1"/>
        <v>12.203407934366647</v>
      </c>
      <c r="X15">
        <f t="shared" si="2"/>
        <v>3</v>
      </c>
      <c r="Y15">
        <f t="shared" si="3"/>
        <v>3.1655966845064825</v>
      </c>
    </row>
    <row r="16" spans="1:27" x14ac:dyDescent="0.25">
      <c r="A16">
        <v>15</v>
      </c>
      <c r="B16">
        <v>1</v>
      </c>
      <c r="C16">
        <f>Regular!N18</f>
        <v>9.5549496984669968</v>
      </c>
      <c r="E16">
        <f t="shared" si="0"/>
        <v>0.75558836221924819</v>
      </c>
      <c r="H16" t="s">
        <v>38</v>
      </c>
      <c r="I16" s="6"/>
      <c r="K16" s="3"/>
      <c r="P16" s="8"/>
      <c r="Q16" s="6"/>
      <c r="S16" s="3"/>
      <c r="V16">
        <v>10</v>
      </c>
      <c r="W16">
        <f t="shared" si="1"/>
        <v>8.3495320882662725</v>
      </c>
      <c r="X16" s="8">
        <f t="shared" si="2"/>
        <v>3</v>
      </c>
      <c r="Y16">
        <f t="shared" si="3"/>
        <v>4.3042285076449325</v>
      </c>
      <c r="AA16" s="3"/>
    </row>
    <row r="17" spans="1:30" x14ac:dyDescent="0.25">
      <c r="A17">
        <v>1</v>
      </c>
      <c r="B17">
        <v>2</v>
      </c>
      <c r="C17">
        <f>Regular!O4</f>
        <v>12.485511446194106</v>
      </c>
      <c r="E17">
        <f t="shared" si="0"/>
        <v>4.2490231958919296</v>
      </c>
      <c r="H17">
        <f>SUM(E2:E46)</f>
        <v>527.56664493925598</v>
      </c>
      <c r="V17">
        <v>11</v>
      </c>
      <c r="W17">
        <f t="shared" si="1"/>
        <v>13.518529201426707</v>
      </c>
      <c r="X17">
        <f t="shared" si="2"/>
        <v>3</v>
      </c>
      <c r="Y17">
        <f t="shared" si="3"/>
        <v>9.5749007043037988</v>
      </c>
    </row>
    <row r="18" spans="1:30" x14ac:dyDescent="0.25">
      <c r="A18">
        <v>2</v>
      </c>
      <c r="B18">
        <v>2</v>
      </c>
      <c r="C18">
        <f>Regular!O5</f>
        <v>7.1704701554158481</v>
      </c>
      <c r="E18">
        <f t="shared" si="0"/>
        <v>10.586728987575661</v>
      </c>
      <c r="V18">
        <v>12</v>
      </c>
      <c r="W18">
        <f t="shared" si="1"/>
        <v>13.99177721734168</v>
      </c>
      <c r="X18">
        <f t="shared" si="2"/>
        <v>3</v>
      </c>
      <c r="Y18">
        <f t="shared" si="3"/>
        <v>12.727638904673679</v>
      </c>
    </row>
    <row r="19" spans="1:30" x14ac:dyDescent="0.25">
      <c r="A19">
        <v>3</v>
      </c>
      <c r="B19">
        <v>2</v>
      </c>
      <c r="C19">
        <f>Regular!O6</f>
        <v>11.742944812707941</v>
      </c>
      <c r="E19">
        <f t="shared" si="0"/>
        <v>1.7390995999726644</v>
      </c>
      <c r="M19" s="9"/>
      <c r="N19" s="1"/>
      <c r="U19" s="10"/>
      <c r="V19" s="13">
        <v>13</v>
      </c>
      <c r="W19">
        <f t="shared" si="1"/>
        <v>12.250110928694369</v>
      </c>
      <c r="X19">
        <f t="shared" si="2"/>
        <v>3</v>
      </c>
      <c r="Y19">
        <f t="shared" si="3"/>
        <v>3.3339669453408023</v>
      </c>
      <c r="AC19" s="10"/>
      <c r="AD19" s="1"/>
    </row>
    <row r="20" spans="1:30" x14ac:dyDescent="0.25">
      <c r="A20">
        <v>4</v>
      </c>
      <c r="B20">
        <v>2</v>
      </c>
      <c r="C20">
        <f>Regular!O7</f>
        <v>6.2072823336163729</v>
      </c>
      <c r="E20">
        <f t="shared" si="0"/>
        <v>17.782357131813232</v>
      </c>
      <c r="V20">
        <v>14</v>
      </c>
      <c r="W20">
        <f t="shared" si="1"/>
        <v>10.381217348891171</v>
      </c>
      <c r="X20">
        <f t="shared" si="2"/>
        <v>3</v>
      </c>
      <c r="Y20">
        <f t="shared" si="3"/>
        <v>1.8471263545684073E-3</v>
      </c>
    </row>
    <row r="21" spans="1:30" x14ac:dyDescent="0.25">
      <c r="A21">
        <v>5</v>
      </c>
      <c r="B21">
        <v>2</v>
      </c>
      <c r="C21">
        <f>Regular!O8</f>
        <v>4.4044709160971509</v>
      </c>
      <c r="E21">
        <f t="shared" si="0"/>
        <v>36.237084749816965</v>
      </c>
      <c r="V21">
        <v>15</v>
      </c>
      <c r="W21">
        <f t="shared" si="1"/>
        <v>10.993697885758577</v>
      </c>
      <c r="X21">
        <f t="shared" si="2"/>
        <v>3</v>
      </c>
      <c r="Y21">
        <f t="shared" si="3"/>
        <v>0.3243329026956841</v>
      </c>
    </row>
    <row r="22" spans="1:30" x14ac:dyDescent="0.25">
      <c r="A22">
        <v>6</v>
      </c>
      <c r="B22">
        <v>2</v>
      </c>
      <c r="C22">
        <f>Regular!O9</f>
        <v>8.8444555951476929</v>
      </c>
      <c r="E22">
        <f t="shared" si="0"/>
        <v>2.4955783464233656</v>
      </c>
      <c r="H22" s="14" t="str">
        <f>""</f>
        <v/>
      </c>
      <c r="I22" s="15" t="str">
        <f>""</f>
        <v/>
      </c>
      <c r="J22" s="15" t="s">
        <v>4</v>
      </c>
      <c r="K22" s="15" t="s">
        <v>5</v>
      </c>
      <c r="L22" s="15" t="s">
        <v>30</v>
      </c>
      <c r="M22" s="15" t="s">
        <v>7</v>
      </c>
      <c r="N22" s="16" t="s">
        <v>8</v>
      </c>
      <c r="Y22">
        <f>SUM(Y7:Y21)</f>
        <v>94.821318187710872</v>
      </c>
      <c r="Z22" s="7" t="s">
        <v>29</v>
      </c>
      <c r="AA22">
        <f>Y22*X10</f>
        <v>284.46395456313263</v>
      </c>
    </row>
    <row r="23" spans="1:30" x14ac:dyDescent="0.25">
      <c r="A23">
        <v>7</v>
      </c>
      <c r="B23">
        <v>2</v>
      </c>
      <c r="C23">
        <f>Regular!O10</f>
        <v>1.9960826851328388</v>
      </c>
      <c r="E23">
        <f t="shared" si="0"/>
        <v>71.033086577466364</v>
      </c>
      <c r="H23" s="24" t="s">
        <v>31</v>
      </c>
      <c r="I23" s="18" t="s">
        <v>33</v>
      </c>
      <c r="J23" s="19">
        <f>P2*(I2^2)</f>
        <v>4889.8733852830937</v>
      </c>
      <c r="K23" s="25">
        <v>1</v>
      </c>
      <c r="L23" s="18">
        <f>J23/K23</f>
        <v>4889.8733852830937</v>
      </c>
      <c r="M23" s="18">
        <f>L23/L24</f>
        <v>240.65694895895857</v>
      </c>
      <c r="N23" s="26">
        <f>_xlfn.F.DIST.RT(M23,K23,K24)</f>
        <v>3.2587170820758243E-10</v>
      </c>
    </row>
    <row r="24" spans="1:30" x14ac:dyDescent="0.25">
      <c r="A24">
        <v>8</v>
      </c>
      <c r="B24">
        <v>2</v>
      </c>
      <c r="C24">
        <f>Regular!O11</f>
        <v>15.556485730425322</v>
      </c>
      <c r="E24">
        <f t="shared" si="0"/>
        <v>26.340402426349087</v>
      </c>
      <c r="H24" s="17" t="str">
        <f>""</f>
        <v/>
      </c>
      <c r="I24" s="18" t="s">
        <v>12</v>
      </c>
      <c r="J24" s="18">
        <f>J27</f>
        <v>284.46395456313263</v>
      </c>
      <c r="K24" s="25">
        <f>L2-1</f>
        <v>14</v>
      </c>
      <c r="L24" s="18">
        <f t="shared" ref="L24:L29" si="4">J24/K24</f>
        <v>20.318853897366616</v>
      </c>
      <c r="M24" s="19" t="str">
        <f>""</f>
        <v/>
      </c>
      <c r="N24" s="20" t="str">
        <f>""</f>
        <v/>
      </c>
      <c r="R24" s="9"/>
      <c r="S24" s="1"/>
    </row>
    <row r="25" spans="1:30" x14ac:dyDescent="0.25">
      <c r="A25">
        <v>9</v>
      </c>
      <c r="B25">
        <v>2</v>
      </c>
      <c r="C25">
        <f>Regular!O12</f>
        <v>12.923677094546045</v>
      </c>
      <c r="E25">
        <f t="shared" si="0"/>
        <v>6.2474079575616051</v>
      </c>
      <c r="H25" s="24" t="s">
        <v>32</v>
      </c>
      <c r="I25" s="18" t="s">
        <v>33</v>
      </c>
      <c r="J25" s="19">
        <f>M11</f>
        <v>35.516017017587806</v>
      </c>
      <c r="K25" s="25">
        <f>N2-1</f>
        <v>2</v>
      </c>
      <c r="L25" s="18">
        <f t="shared" si="4"/>
        <v>17.758008508793903</v>
      </c>
      <c r="M25" s="18">
        <f>L25/L26</f>
        <v>2.395260881643607</v>
      </c>
      <c r="N25" s="26">
        <f>_xlfn.F.DIST.RT(M25,K25,K26)</f>
        <v>0.10958115096258794</v>
      </c>
    </row>
    <row r="26" spans="1:30" x14ac:dyDescent="0.25">
      <c r="A26">
        <v>10</v>
      </c>
      <c r="B26">
        <v>2</v>
      </c>
      <c r="C26">
        <f>Regular!O13</f>
        <v>5.5548415130491016</v>
      </c>
      <c r="E26">
        <f t="shared" si="0"/>
        <v>23.710608803338154</v>
      </c>
      <c r="H26" s="17" t="str">
        <f>""</f>
        <v/>
      </c>
      <c r="I26" s="18" t="s">
        <v>12</v>
      </c>
      <c r="J26" s="18">
        <f>J29</f>
        <v>207.58667335853556</v>
      </c>
      <c r="K26" s="25">
        <f>(P2-1)-(R2-1)-(N2-1)</f>
        <v>28</v>
      </c>
      <c r="L26" s="18">
        <f t="shared" si="4"/>
        <v>7.4138097628048412</v>
      </c>
      <c r="M26" s="19" t="str">
        <f>""</f>
        <v/>
      </c>
      <c r="N26" s="20" t="str">
        <f>""</f>
        <v/>
      </c>
    </row>
    <row r="27" spans="1:30" x14ac:dyDescent="0.25">
      <c r="A27">
        <v>11</v>
      </c>
      <c r="B27">
        <v>2</v>
      </c>
      <c r="C27">
        <f>Regular!O14</f>
        <v>12.877230693624666</v>
      </c>
      <c r="E27">
        <f t="shared" si="0"/>
        <v>6.0173813825241522</v>
      </c>
      <c r="H27" s="24" t="s">
        <v>3</v>
      </c>
      <c r="I27" s="18" t="s">
        <v>33</v>
      </c>
      <c r="J27" s="18">
        <f>AA22</f>
        <v>284.46395456313263</v>
      </c>
      <c r="K27" s="25">
        <f>R2-1</f>
        <v>14</v>
      </c>
      <c r="L27" s="18">
        <f t="shared" si="4"/>
        <v>20.318853897366616</v>
      </c>
      <c r="M27" s="18">
        <f>L27/L28</f>
        <v>2.7406764602062643</v>
      </c>
      <c r="N27" s="26">
        <f>_xlfn.F.DIST.RT(M27,K27,K28)</f>
        <v>1.1228112503512133E-2</v>
      </c>
    </row>
    <row r="28" spans="1:30" x14ac:dyDescent="0.25">
      <c r="A28">
        <v>12</v>
      </c>
      <c r="B28">
        <v>2</v>
      </c>
      <c r="C28">
        <f>Regular!O15</f>
        <v>11.124249185826969</v>
      </c>
      <c r="E28">
        <f t="shared" si="0"/>
        <v>0.49007508352174645</v>
      </c>
      <c r="H28" s="17" t="str">
        <f>""</f>
        <v/>
      </c>
      <c r="I28" s="18" t="s">
        <v>12</v>
      </c>
      <c r="J28" s="18">
        <f>J29</f>
        <v>207.58667335853556</v>
      </c>
      <c r="K28" s="25">
        <f>K26</f>
        <v>28</v>
      </c>
      <c r="L28" s="18">
        <f t="shared" si="4"/>
        <v>7.4138097628048412</v>
      </c>
      <c r="M28" s="19" t="str">
        <f>""</f>
        <v/>
      </c>
      <c r="N28" s="20" t="str">
        <f>""</f>
        <v/>
      </c>
    </row>
    <row r="29" spans="1:30" x14ac:dyDescent="0.25">
      <c r="A29">
        <v>13</v>
      </c>
      <c r="B29">
        <v>2</v>
      </c>
      <c r="C29">
        <f>Regular!O16</f>
        <v>17.750068302524991</v>
      </c>
      <c r="E29">
        <f t="shared" si="0"/>
        <v>53.668411486639066</v>
      </c>
      <c r="H29" s="24" t="s">
        <v>34</v>
      </c>
      <c r="I29" s="18" t="s">
        <v>33</v>
      </c>
      <c r="J29" s="18">
        <f>H17-J25-J27</f>
        <v>207.58667335853556</v>
      </c>
      <c r="K29" s="25">
        <f>K26</f>
        <v>28</v>
      </c>
      <c r="L29" s="18">
        <f t="shared" si="4"/>
        <v>7.4138097628048412</v>
      </c>
      <c r="M29" s="19" t="str">
        <f>""</f>
        <v/>
      </c>
      <c r="N29" s="20" t="str">
        <f>""</f>
        <v/>
      </c>
    </row>
    <row r="30" spans="1:30" x14ac:dyDescent="0.25">
      <c r="A30">
        <v>14</v>
      </c>
      <c r="B30">
        <v>2</v>
      </c>
      <c r="C30">
        <f>Regular!O17</f>
        <v>8.4269793196190665</v>
      </c>
      <c r="E30">
        <f t="shared" si="0"/>
        <v>3.9888726980365781</v>
      </c>
      <c r="H30" s="21" t="str">
        <f>""</f>
        <v/>
      </c>
      <c r="I30" s="27" t="s">
        <v>12</v>
      </c>
      <c r="J30" s="22">
        <v>0</v>
      </c>
      <c r="K30" s="28">
        <v>0</v>
      </c>
      <c r="L30" s="22" t="str">
        <f>""</f>
        <v/>
      </c>
      <c r="M30" s="22" t="str">
        <f>""</f>
        <v/>
      </c>
      <c r="N30" s="23" t="str">
        <f>""</f>
        <v/>
      </c>
    </row>
    <row r="31" spans="1:30" x14ac:dyDescent="0.25">
      <c r="A31">
        <v>15</v>
      </c>
      <c r="B31">
        <v>2</v>
      </c>
      <c r="C31">
        <f>Regular!O18</f>
        <v>11.871194260341737</v>
      </c>
      <c r="E31">
        <f t="shared" si="0"/>
        <v>2.0938052480678322</v>
      </c>
    </row>
    <row r="32" spans="1:30" x14ac:dyDescent="0.25">
      <c r="A32">
        <v>1</v>
      </c>
      <c r="B32">
        <v>3</v>
      </c>
      <c r="C32">
        <f>Regular!P4</f>
        <v>9.5581310403227278</v>
      </c>
      <c r="E32">
        <f t="shared" si="0"/>
        <v>0.75006774669121612</v>
      </c>
    </row>
    <row r="33" spans="1:24" x14ac:dyDescent="0.25">
      <c r="A33">
        <v>2</v>
      </c>
      <c r="B33">
        <v>3</v>
      </c>
      <c r="C33">
        <f>Regular!P5</f>
        <v>11.228492576716194</v>
      </c>
      <c r="E33">
        <f t="shared" si="0"/>
        <v>0.64689369625516735</v>
      </c>
    </row>
    <row r="34" spans="1:24" x14ac:dyDescent="0.25">
      <c r="A34">
        <v>3</v>
      </c>
      <c r="B34">
        <v>3</v>
      </c>
      <c r="C34">
        <f>Regular!P6</f>
        <v>14.053106282582341</v>
      </c>
      <c r="E34">
        <f t="shared" si="0"/>
        <v>13.168993055739161</v>
      </c>
    </row>
    <row r="35" spans="1:24" x14ac:dyDescent="0.25">
      <c r="A35">
        <v>4</v>
      </c>
      <c r="B35">
        <v>3</v>
      </c>
      <c r="C35">
        <f>Regular!P7</f>
        <v>16.104786570450692</v>
      </c>
      <c r="E35">
        <f t="shared" si="0"/>
        <v>32.269114264433242</v>
      </c>
      <c r="N35" t="s">
        <v>40</v>
      </c>
      <c r="O35">
        <f>SQRT(Regular!K24*((1/15)+(1/15)+(1/15)))</f>
        <v>1.5349411154049573</v>
      </c>
      <c r="T35" s="8"/>
    </row>
    <row r="36" spans="1:24" x14ac:dyDescent="0.25">
      <c r="A36">
        <v>5</v>
      </c>
      <c r="B36">
        <v>3</v>
      </c>
      <c r="C36">
        <f>Regular!P8</f>
        <v>10.550522046582033</v>
      </c>
      <c r="E36">
        <f t="shared" si="0"/>
        <v>1.5958382022078929E-2</v>
      </c>
      <c r="N36" t="s">
        <v>39</v>
      </c>
      <c r="O36">
        <f>SQRT(L26*((1/15)+(1/15)+(1/15)))</f>
        <v>1.2176871324609488</v>
      </c>
      <c r="P36">
        <f>SQRT(L24*((1/15)+(1/15)+(1/15)))</f>
        <v>2.0158796540154182</v>
      </c>
    </row>
    <row r="37" spans="1:24" x14ac:dyDescent="0.25">
      <c r="A37">
        <v>6</v>
      </c>
      <c r="B37">
        <v>3</v>
      </c>
      <c r="C37">
        <f>Regular!P9</f>
        <v>6.3891056465117231</v>
      </c>
      <c r="E37">
        <f t="shared" si="0"/>
        <v>16.281950584064617</v>
      </c>
    </row>
    <row r="38" spans="1:24" x14ac:dyDescent="0.25">
      <c r="A38">
        <v>7</v>
      </c>
      <c r="B38">
        <v>3</v>
      </c>
      <c r="C38">
        <f>Regular!P10</f>
        <v>7.5527833445334638</v>
      </c>
      <c r="E38">
        <f t="shared" si="0"/>
        <v>8.2450080927209282</v>
      </c>
    </row>
    <row r="39" spans="1:24" x14ac:dyDescent="0.25">
      <c r="A39">
        <v>8</v>
      </c>
      <c r="B39">
        <v>3</v>
      </c>
      <c r="C39">
        <f>Regular!P11</f>
        <v>10.371211775686843</v>
      </c>
      <c r="E39">
        <f t="shared" si="0"/>
        <v>2.8072810604476404E-3</v>
      </c>
    </row>
    <row r="40" spans="1:24" x14ac:dyDescent="0.25">
      <c r="A40">
        <v>9</v>
      </c>
      <c r="B40">
        <v>3</v>
      </c>
      <c r="C40">
        <f>Regular!P12</f>
        <v>12.843273354276947</v>
      </c>
      <c r="E40">
        <f t="shared" si="0"/>
        <v>5.8519373902732781</v>
      </c>
    </row>
    <row r="41" spans="1:24" x14ac:dyDescent="0.25">
      <c r="A41">
        <v>10</v>
      </c>
      <c r="B41">
        <v>3</v>
      </c>
      <c r="C41">
        <f>Regular!P13</f>
        <v>10.746877375874858</v>
      </c>
      <c r="E41">
        <f t="shared" si="0"/>
        <v>0.10412355636510891</v>
      </c>
    </row>
    <row r="42" spans="1:24" x14ac:dyDescent="0.25">
      <c r="A42">
        <v>11</v>
      </c>
      <c r="B42">
        <v>3</v>
      </c>
      <c r="C42">
        <f>Regular!P14</f>
        <v>14.839178455327726</v>
      </c>
      <c r="E42">
        <f t="shared" si="0"/>
        <v>19.492073994342217</v>
      </c>
    </row>
    <row r="43" spans="1:24" x14ac:dyDescent="0.25">
      <c r="A43">
        <v>12</v>
      </c>
      <c r="B43">
        <v>3</v>
      </c>
      <c r="C43">
        <f>Regular!P15</f>
        <v>16.425541233099036</v>
      </c>
      <c r="E43">
        <f t="shared" si="0"/>
        <v>36.016149926501008</v>
      </c>
      <c r="X43" s="1"/>
    </row>
    <row r="44" spans="1:24" x14ac:dyDescent="0.25">
      <c r="A44">
        <v>13</v>
      </c>
      <c r="B44">
        <v>3</v>
      </c>
      <c r="C44">
        <f>Regular!P16</f>
        <v>10.500132241779058</v>
      </c>
      <c r="E44">
        <f t="shared" si="0"/>
        <v>5.7663801264675298E-3</v>
      </c>
      <c r="X44" s="1"/>
    </row>
    <row r="45" spans="1:24" x14ac:dyDescent="0.25">
      <c r="A45">
        <v>14</v>
      </c>
      <c r="B45">
        <v>3</v>
      </c>
      <c r="C45">
        <f>Regular!P17</f>
        <v>12.358336363527224</v>
      </c>
      <c r="E45">
        <f t="shared" si="0"/>
        <v>3.7409006602693116</v>
      </c>
      <c r="X45" s="1"/>
    </row>
    <row r="46" spans="1:24" x14ac:dyDescent="0.25">
      <c r="A46">
        <v>15</v>
      </c>
      <c r="B46">
        <v>3</v>
      </c>
      <c r="C46">
        <f>Regular!P18</f>
        <v>11.554949698466997</v>
      </c>
      <c r="E46">
        <f t="shared" si="0"/>
        <v>1.2786049289098556</v>
      </c>
      <c r="X46" s="1"/>
    </row>
    <row r="47" spans="1:24" x14ac:dyDescent="0.25">
      <c r="X47" s="1"/>
    </row>
    <row r="48" spans="1:24" x14ac:dyDescent="0.25">
      <c r="X48" s="1"/>
    </row>
    <row r="49" spans="8:24" x14ac:dyDescent="0.25">
      <c r="R49" s="1"/>
      <c r="T49" s="1"/>
      <c r="U49" s="1"/>
      <c r="V49" s="1"/>
      <c r="W49" s="1"/>
      <c r="X49" s="1"/>
    </row>
    <row r="50" spans="8:24" x14ac:dyDescent="0.25">
      <c r="Q50" s="1"/>
      <c r="R50" s="1"/>
      <c r="S50" s="11"/>
      <c r="T50" s="12"/>
      <c r="U50" s="12"/>
      <c r="V50" s="12"/>
      <c r="W50" s="1"/>
      <c r="X50" s="1"/>
    </row>
    <row r="51" spans="8:24" x14ac:dyDescent="0.25">
      <c r="R51" s="2"/>
      <c r="T51" s="1"/>
      <c r="U51" s="1"/>
      <c r="V51" s="1"/>
      <c r="W51" s="1"/>
      <c r="X51" s="1"/>
    </row>
    <row r="52" spans="8:24" x14ac:dyDescent="0.25">
      <c r="S52" s="1"/>
      <c r="T52" s="1"/>
      <c r="U52" s="1"/>
      <c r="V52" s="1"/>
      <c r="W52" s="1"/>
      <c r="X52" s="1"/>
    </row>
    <row r="53" spans="8:24" x14ac:dyDescent="0.25">
      <c r="R53" s="2"/>
      <c r="T53" s="1"/>
      <c r="U53" s="1"/>
      <c r="V53" s="1"/>
      <c r="W53" s="1"/>
      <c r="X53" s="1"/>
    </row>
    <row r="54" spans="8:24" x14ac:dyDescent="0.25">
      <c r="T54" s="1"/>
      <c r="U54" s="1"/>
      <c r="V54" s="1"/>
      <c r="W54" s="1"/>
      <c r="X54" s="1"/>
    </row>
    <row r="55" spans="8:24" x14ac:dyDescent="0.25">
      <c r="R55" s="2"/>
      <c r="T55" s="1"/>
      <c r="U55" s="1"/>
      <c r="V55" s="1"/>
      <c r="W55" s="1"/>
      <c r="X55" s="1"/>
    </row>
    <row r="56" spans="8:24" x14ac:dyDescent="0.25">
      <c r="T56" s="1"/>
      <c r="U56" s="1"/>
      <c r="V56" s="1"/>
      <c r="W56" s="1"/>
      <c r="X56" s="1"/>
    </row>
    <row r="57" spans="8:24" x14ac:dyDescent="0.25">
      <c r="R57" s="2"/>
      <c r="T57" s="1"/>
      <c r="U57" s="1"/>
      <c r="V57" s="1"/>
      <c r="W57" s="1"/>
      <c r="X57" s="1"/>
    </row>
    <row r="58" spans="8:24" x14ac:dyDescent="0.25">
      <c r="Q58" s="12"/>
      <c r="T58" s="1"/>
      <c r="U58" s="1"/>
      <c r="V58" s="1"/>
      <c r="W58" s="1"/>
      <c r="X58" s="1"/>
    </row>
    <row r="59" spans="8:24" x14ac:dyDescent="0.25">
      <c r="P59" s="1"/>
      <c r="Q59" s="1"/>
      <c r="R59" s="1"/>
      <c r="S59" s="1"/>
    </row>
    <row r="60" spans="8:24" x14ac:dyDescent="0.25">
      <c r="P60" s="1"/>
      <c r="Q60" s="1"/>
      <c r="R60" s="1"/>
      <c r="S60" s="1"/>
    </row>
    <row r="61" spans="8:24" x14ac:dyDescent="0.25">
      <c r="H61">
        <f t="shared" ref="H61" si="5">H46+1</f>
        <v>1</v>
      </c>
      <c r="I61">
        <f t="shared" ref="I61" si="6">I46</f>
        <v>0</v>
      </c>
      <c r="J61" t="e">
        <f t="shared" ref="J61" si="7">AVERAGEIFS($C$2:$C$65,$B$2:$B$65, "=" &amp; $H61,$A$2:$A$65,"=" &amp; $I61)</f>
        <v>#DIV/0!</v>
      </c>
      <c r="K61" t="e">
        <f t="shared" ref="K61" si="8">(J61-$I$2)^2</f>
        <v>#DIV/0!</v>
      </c>
      <c r="L61">
        <f t="shared" ref="L61" si="9">COUNTIFS($B$2:$B$65, "=" &amp; $H61,$A$2:$A$65,"=" &amp; $I61)</f>
        <v>0</v>
      </c>
      <c r="P61" s="1"/>
      <c r="Q61" s="1"/>
      <c r="R61" s="1"/>
      <c r="S61" s="1"/>
    </row>
    <row r="62" spans="8:24" x14ac:dyDescent="0.25">
      <c r="I62" s="1"/>
      <c r="P62" s="1"/>
      <c r="Q62" s="1"/>
      <c r="R62" s="1"/>
      <c r="S62" s="1"/>
    </row>
    <row r="63" spans="8:24" x14ac:dyDescent="0.25">
      <c r="I63" s="1"/>
      <c r="J63" s="1"/>
      <c r="P63" s="1"/>
      <c r="S63" s="1"/>
    </row>
    <row r="64" spans="8:24" x14ac:dyDescent="0.25">
      <c r="P64" s="1"/>
      <c r="S64" s="1"/>
    </row>
    <row r="65" spans="9:19" x14ac:dyDescent="0.25">
      <c r="I65" s="5"/>
      <c r="P65" s="1"/>
      <c r="S65" s="1"/>
    </row>
    <row r="66" spans="9:19" x14ac:dyDescent="0.25">
      <c r="P66" s="1"/>
      <c r="S66" s="1"/>
    </row>
    <row r="67" spans="9:19" x14ac:dyDescent="0.25">
      <c r="P67" s="1"/>
      <c r="S67" s="1"/>
    </row>
    <row r="68" spans="9:19" x14ac:dyDescent="0.25">
      <c r="P68" s="1"/>
      <c r="S68" s="1"/>
    </row>
    <row r="69" spans="9:19" x14ac:dyDescent="0.25">
      <c r="P69" s="1"/>
      <c r="S69" s="1"/>
    </row>
    <row r="70" spans="9:19" x14ac:dyDescent="0.25">
      <c r="P70" s="1"/>
      <c r="S70" s="1"/>
    </row>
    <row r="71" spans="9:19" x14ac:dyDescent="0.25">
      <c r="P71" s="1"/>
      <c r="S71" s="1"/>
    </row>
    <row r="72" spans="9:19" x14ac:dyDescent="0.25">
      <c r="P72" s="1"/>
      <c r="S72" s="1"/>
    </row>
    <row r="73" spans="9:19" x14ac:dyDescent="0.25">
      <c r="P73" s="1"/>
      <c r="Q73" s="1"/>
      <c r="R73" s="1"/>
      <c r="S73" s="1"/>
    </row>
    <row r="74" spans="9:19" x14ac:dyDescent="0.25">
      <c r="P74" s="1"/>
      <c r="Q74" s="1"/>
      <c r="R74" s="1"/>
      <c r="S74" s="1"/>
    </row>
    <row r="75" spans="9:19" x14ac:dyDescent="0.25">
      <c r="P75" s="1"/>
      <c r="Q75" s="1"/>
      <c r="R75" s="1"/>
      <c r="S75" s="1"/>
    </row>
    <row r="76" spans="9:19" x14ac:dyDescent="0.25">
      <c r="P76" s="1"/>
      <c r="Q76" s="1"/>
      <c r="R76" s="1"/>
      <c r="S76" s="1"/>
    </row>
    <row r="77" spans="9:19" x14ac:dyDescent="0.25">
      <c r="P77" s="1"/>
      <c r="Q77" s="1"/>
      <c r="R77" s="1"/>
      <c r="S77" s="1"/>
    </row>
    <row r="78" spans="9:19" x14ac:dyDescent="0.25">
      <c r="P78" s="1"/>
      <c r="Q78" s="1"/>
      <c r="R78" s="1"/>
      <c r="S78" s="1"/>
    </row>
    <row r="79" spans="9:19" x14ac:dyDescent="0.25">
      <c r="P79" s="1"/>
      <c r="Q79" s="1"/>
      <c r="R79" s="1"/>
      <c r="S79" s="1"/>
    </row>
    <row r="80" spans="9:19" x14ac:dyDescent="0.25">
      <c r="P80" s="1"/>
      <c r="Q80" s="1"/>
      <c r="R80" s="1"/>
      <c r="S80" s="1"/>
    </row>
    <row r="81" spans="16:19" x14ac:dyDescent="0.25">
      <c r="P81" s="1"/>
      <c r="Q81" s="1"/>
      <c r="R81" s="1"/>
      <c r="S81" s="1"/>
    </row>
    <row r="82" spans="16:19" x14ac:dyDescent="0.25">
      <c r="P82" s="1"/>
      <c r="Q82" s="1"/>
      <c r="R82" s="1"/>
      <c r="S82" s="1"/>
    </row>
    <row r="83" spans="16:19" x14ac:dyDescent="0.25">
      <c r="P83" s="1"/>
      <c r="Q83" s="1"/>
      <c r="R83" s="1"/>
      <c r="S83" s="1"/>
    </row>
    <row r="84" spans="16:19" x14ac:dyDescent="0.25">
      <c r="P84" s="1"/>
      <c r="Q84" s="1"/>
      <c r="R84" s="1"/>
      <c r="S84" s="1"/>
    </row>
    <row r="85" spans="16:19" x14ac:dyDescent="0.25">
      <c r="P85" s="1"/>
      <c r="Q85" s="1"/>
      <c r="R85" s="1"/>
      <c r="S85" s="1"/>
    </row>
    <row r="86" spans="16:19" x14ac:dyDescent="0.25">
      <c r="P86" s="1"/>
      <c r="Q86" s="1"/>
      <c r="R86" s="1"/>
      <c r="S86" s="1"/>
    </row>
    <row r="87" spans="16:19" x14ac:dyDescent="0.25">
      <c r="P87" s="1"/>
      <c r="Q87" s="1"/>
      <c r="R87" s="1"/>
      <c r="S87" s="1"/>
    </row>
    <row r="88" spans="16:19" x14ac:dyDescent="0.25">
      <c r="P88" s="1"/>
      <c r="Q88" s="1"/>
      <c r="R88" s="1"/>
      <c r="S88" s="1"/>
    </row>
    <row r="89" spans="16:19" x14ac:dyDescent="0.25">
      <c r="P89" s="1"/>
      <c r="Q89" s="1"/>
      <c r="R89" s="1"/>
      <c r="S89" s="1"/>
    </row>
    <row r="90" spans="16:19" x14ac:dyDescent="0.25">
      <c r="P90" s="1"/>
      <c r="Q90" s="1"/>
      <c r="R90" s="1"/>
      <c r="S90" s="1"/>
    </row>
    <row r="91" spans="16:19" x14ac:dyDescent="0.25">
      <c r="P91" s="1"/>
      <c r="Q91" s="1"/>
      <c r="R91" s="1"/>
      <c r="S91" s="1"/>
    </row>
    <row r="92" spans="16:19" x14ac:dyDescent="0.25">
      <c r="P92" s="1"/>
      <c r="Q92" s="1"/>
      <c r="R92" s="1"/>
      <c r="S92" s="1"/>
    </row>
    <row r="93" spans="16:19" x14ac:dyDescent="0.25">
      <c r="P93" s="1"/>
      <c r="Q93" s="1"/>
      <c r="R93" s="1"/>
      <c r="S93" s="1"/>
    </row>
    <row r="94" spans="16:19" x14ac:dyDescent="0.25">
      <c r="P94" s="1"/>
      <c r="Q94" s="1"/>
      <c r="R94" s="1"/>
      <c r="S94" s="1"/>
    </row>
    <row r="95" spans="16:19" x14ac:dyDescent="0.25">
      <c r="P95" s="1"/>
      <c r="Q95" s="1"/>
      <c r="R95" s="1"/>
      <c r="S95" s="1"/>
    </row>
    <row r="96" spans="16:19" x14ac:dyDescent="0.25">
      <c r="P96" s="1"/>
      <c r="Q96" s="1"/>
      <c r="R96" s="1"/>
      <c r="S96" s="1"/>
    </row>
    <row r="97" spans="16:19" x14ac:dyDescent="0.25">
      <c r="P97" s="1"/>
      <c r="Q97" s="1"/>
      <c r="R97" s="1"/>
      <c r="S97" s="1"/>
    </row>
    <row r="98" spans="16:19" x14ac:dyDescent="0.25">
      <c r="P98" s="1"/>
      <c r="Q98" s="1"/>
      <c r="R98" s="1"/>
      <c r="S98" s="1"/>
    </row>
    <row r="99" spans="16:19" x14ac:dyDescent="0.25">
      <c r="P99" s="1"/>
      <c r="Q99" s="1"/>
      <c r="R99" s="1"/>
      <c r="S99" s="1"/>
    </row>
    <row r="100" spans="16:19" x14ac:dyDescent="0.25">
      <c r="P100" s="1"/>
      <c r="Q100" s="1"/>
      <c r="R100" s="1"/>
      <c r="S100" s="1"/>
    </row>
    <row r="101" spans="16:19" x14ac:dyDescent="0.25">
      <c r="P101" s="1"/>
      <c r="Q101" s="1"/>
      <c r="R101" s="1"/>
      <c r="S101" s="1"/>
    </row>
    <row r="102" spans="16:19" x14ac:dyDescent="0.25">
      <c r="P102" s="1"/>
      <c r="Q102" s="1"/>
      <c r="R102" s="1"/>
      <c r="S102" s="1"/>
    </row>
    <row r="103" spans="16:19" x14ac:dyDescent="0.25">
      <c r="P103" s="1"/>
      <c r="Q103" s="1"/>
      <c r="R103" s="1"/>
      <c r="S103" s="1"/>
    </row>
    <row r="104" spans="16:19" x14ac:dyDescent="0.25">
      <c r="P104" s="1"/>
      <c r="Q104" s="1"/>
      <c r="R104" s="1"/>
      <c r="S104" s="1"/>
    </row>
    <row r="105" spans="16:19" x14ac:dyDescent="0.25">
      <c r="P105" s="1"/>
      <c r="Q105" s="1"/>
      <c r="R105" s="1"/>
      <c r="S105" s="1"/>
    </row>
    <row r="106" spans="16:19" x14ac:dyDescent="0.25">
      <c r="P106" s="1"/>
      <c r="Q106" s="1"/>
      <c r="R106" s="1"/>
      <c r="S106" s="1"/>
    </row>
    <row r="107" spans="16:19" x14ac:dyDescent="0.25">
      <c r="P107" s="1"/>
      <c r="Q107" s="1"/>
      <c r="R107" s="1"/>
      <c r="S107" s="1"/>
    </row>
    <row r="108" spans="16:19" x14ac:dyDescent="0.25">
      <c r="P108" s="1"/>
      <c r="Q108" s="1"/>
      <c r="R108" s="1"/>
      <c r="S108" s="1"/>
    </row>
    <row r="109" spans="16:19" x14ac:dyDescent="0.25">
      <c r="P109" s="1"/>
      <c r="Q109" s="1"/>
      <c r="R109" s="1"/>
      <c r="S109" s="1"/>
    </row>
    <row r="110" spans="16:19" x14ac:dyDescent="0.25">
      <c r="P110" s="1"/>
      <c r="Q110" s="1"/>
      <c r="R110" s="1"/>
      <c r="S110" s="1"/>
    </row>
    <row r="111" spans="16:19" x14ac:dyDescent="0.25">
      <c r="P111" s="1"/>
      <c r="Q111" s="1"/>
      <c r="R111" s="1"/>
      <c r="S111" s="1"/>
    </row>
    <row r="112" spans="16:19" x14ac:dyDescent="0.25">
      <c r="P112" s="1"/>
      <c r="Q112" s="1"/>
      <c r="R112" s="1"/>
      <c r="S112" s="1"/>
    </row>
    <row r="113" spans="16:19" x14ac:dyDescent="0.25">
      <c r="P113" s="1"/>
      <c r="Q113" s="1"/>
      <c r="R113" s="1"/>
      <c r="S113" s="1"/>
    </row>
    <row r="114" spans="16:19" x14ac:dyDescent="0.25">
      <c r="P114" s="1"/>
      <c r="Q114" s="1"/>
      <c r="R114" s="1"/>
      <c r="S114" s="1"/>
    </row>
    <row r="115" spans="16:19" x14ac:dyDescent="0.25">
      <c r="P115" s="1"/>
      <c r="Q115" s="1"/>
      <c r="R115" s="1"/>
      <c r="S115" s="1"/>
    </row>
    <row r="116" spans="16:19" x14ac:dyDescent="0.25">
      <c r="P116" s="1"/>
      <c r="Q116" s="1"/>
      <c r="R116" s="1"/>
      <c r="S116" s="1"/>
    </row>
    <row r="117" spans="16:19" x14ac:dyDescent="0.25">
      <c r="P117" s="1"/>
      <c r="Q117" s="1"/>
      <c r="R117" s="1"/>
      <c r="S117" s="1"/>
    </row>
    <row r="118" spans="16:19" x14ac:dyDescent="0.25">
      <c r="P118" s="1"/>
      <c r="Q118" s="1"/>
      <c r="R118" s="1"/>
      <c r="S118" s="1"/>
    </row>
    <row r="119" spans="16:19" x14ac:dyDescent="0.25">
      <c r="P119" s="1"/>
      <c r="Q119" s="1"/>
      <c r="R119" s="1"/>
      <c r="S119" s="1"/>
    </row>
    <row r="120" spans="16:19" x14ac:dyDescent="0.25">
      <c r="P120" s="1"/>
      <c r="Q120" s="1"/>
      <c r="R120" s="1"/>
      <c r="S120" s="1"/>
    </row>
    <row r="121" spans="16:19" x14ac:dyDescent="0.25">
      <c r="P121" s="1"/>
      <c r="Q121" s="1"/>
      <c r="R121" s="1"/>
      <c r="S121" s="1"/>
    </row>
    <row r="122" spans="16:19" x14ac:dyDescent="0.25">
      <c r="P122" s="1"/>
      <c r="Q122" s="1"/>
      <c r="R122" s="1"/>
      <c r="S122" s="1"/>
    </row>
    <row r="123" spans="16:19" x14ac:dyDescent="0.25">
      <c r="P123" s="1"/>
      <c r="Q123" s="1"/>
      <c r="R123" s="1"/>
      <c r="S123" s="1"/>
    </row>
    <row r="124" spans="16:19" x14ac:dyDescent="0.25">
      <c r="P124" s="1"/>
      <c r="Q124" s="1"/>
      <c r="R124" s="1"/>
      <c r="S124" s="1"/>
    </row>
    <row r="125" spans="16:19" x14ac:dyDescent="0.25">
      <c r="P125" s="1"/>
      <c r="Q125" s="1"/>
      <c r="R125" s="1"/>
      <c r="S125" s="1"/>
    </row>
    <row r="126" spans="16:19" x14ac:dyDescent="0.25">
      <c r="P126" s="1"/>
      <c r="Q126" s="1"/>
      <c r="R126" s="1"/>
      <c r="S126" s="1"/>
    </row>
    <row r="127" spans="16:19" x14ac:dyDescent="0.25">
      <c r="P127" s="1"/>
      <c r="Q127" s="1"/>
      <c r="R127" s="1"/>
      <c r="S127" s="1"/>
    </row>
    <row r="128" spans="16:19" x14ac:dyDescent="0.25">
      <c r="P128" s="1"/>
      <c r="Q128" s="1"/>
      <c r="R128" s="1"/>
      <c r="S128" s="1"/>
    </row>
    <row r="129" spans="16:19" x14ac:dyDescent="0.25">
      <c r="P129" s="1"/>
      <c r="Q129" s="1"/>
      <c r="R129" s="1"/>
      <c r="S129" s="1"/>
    </row>
    <row r="130" spans="16:19" x14ac:dyDescent="0.25">
      <c r="P130" s="1"/>
      <c r="Q130" s="1"/>
      <c r="R130" s="1"/>
      <c r="S130" s="1"/>
    </row>
    <row r="131" spans="16:19" x14ac:dyDescent="0.25">
      <c r="P131" s="1"/>
      <c r="Q131" s="1"/>
      <c r="R131" s="1"/>
      <c r="S131" s="1"/>
    </row>
    <row r="132" spans="16:19" x14ac:dyDescent="0.25">
      <c r="P132" s="1"/>
      <c r="Q132" s="1"/>
      <c r="R132" s="1"/>
      <c r="S132" s="1"/>
    </row>
    <row r="133" spans="16:19" x14ac:dyDescent="0.25">
      <c r="P133" s="1"/>
      <c r="Q133" s="1"/>
      <c r="R133" s="1"/>
      <c r="S133" s="1"/>
    </row>
    <row r="134" spans="16:19" x14ac:dyDescent="0.25">
      <c r="P134" s="1"/>
      <c r="Q134" s="1"/>
      <c r="R134" s="1"/>
      <c r="S134" s="1"/>
    </row>
    <row r="135" spans="16:19" x14ac:dyDescent="0.25">
      <c r="P135" s="1"/>
      <c r="Q135" s="1"/>
      <c r="R135" s="1"/>
      <c r="S135" s="1"/>
    </row>
    <row r="136" spans="16:19" x14ac:dyDescent="0.25">
      <c r="P136" s="1"/>
      <c r="Q136" s="1"/>
      <c r="R136" s="1"/>
      <c r="S136" s="1"/>
    </row>
    <row r="137" spans="16:19" x14ac:dyDescent="0.25">
      <c r="P137" s="1"/>
      <c r="Q137" s="1"/>
      <c r="R137" s="1"/>
      <c r="S137" s="1"/>
    </row>
    <row r="138" spans="16:19" x14ac:dyDescent="0.25">
      <c r="P138" s="1"/>
      <c r="Q138" s="1"/>
      <c r="R138" s="1"/>
      <c r="S138" s="1"/>
    </row>
    <row r="139" spans="16:19" x14ac:dyDescent="0.25">
      <c r="P139" s="1"/>
      <c r="Q139" s="1"/>
      <c r="R139" s="1"/>
      <c r="S139" s="1"/>
    </row>
    <row r="140" spans="16:19" x14ac:dyDescent="0.25">
      <c r="P140" s="1"/>
      <c r="Q140" s="1"/>
      <c r="R140" s="1"/>
      <c r="S140" s="1"/>
    </row>
    <row r="141" spans="16:19" x14ac:dyDescent="0.25">
      <c r="P141" s="1"/>
      <c r="Q141" s="1"/>
      <c r="R141" s="1"/>
      <c r="S141" s="1"/>
    </row>
    <row r="142" spans="16:19" x14ac:dyDescent="0.25">
      <c r="P142" s="1"/>
      <c r="Q142" s="1"/>
      <c r="R142" s="1"/>
      <c r="S142" s="1"/>
    </row>
    <row r="143" spans="16:19" x14ac:dyDescent="0.25">
      <c r="P143" s="1"/>
      <c r="Q143" s="1"/>
      <c r="R143" s="1"/>
      <c r="S143" s="1"/>
    </row>
    <row r="144" spans="16:19" x14ac:dyDescent="0.25">
      <c r="P144" s="1"/>
      <c r="Q144" s="1"/>
      <c r="R144" s="1"/>
      <c r="S144" s="1"/>
    </row>
    <row r="145" spans="16:19" x14ac:dyDescent="0.25">
      <c r="P145" s="1"/>
      <c r="Q145" s="1"/>
      <c r="R145" s="1"/>
      <c r="S145" s="1"/>
    </row>
    <row r="146" spans="16:19" x14ac:dyDescent="0.25">
      <c r="P146" s="1"/>
      <c r="Q146" s="1"/>
      <c r="R146" s="1"/>
      <c r="S146" s="1"/>
    </row>
    <row r="147" spans="16:19" x14ac:dyDescent="0.25">
      <c r="P147" s="1"/>
      <c r="Q147" s="1"/>
      <c r="R147" s="1"/>
      <c r="S147" s="1"/>
    </row>
    <row r="148" spans="16:19" x14ac:dyDescent="0.25">
      <c r="P148" s="1"/>
      <c r="Q148" s="1"/>
      <c r="R148" s="1"/>
      <c r="S148" s="1"/>
    </row>
    <row r="149" spans="16:19" x14ac:dyDescent="0.25">
      <c r="P149" s="1"/>
      <c r="Q149" s="1"/>
      <c r="R149" s="1"/>
      <c r="S149" s="1"/>
    </row>
    <row r="150" spans="16:19" x14ac:dyDescent="0.25">
      <c r="P150" s="1"/>
      <c r="Q150" s="1"/>
      <c r="R150" s="1"/>
      <c r="S150" s="1"/>
    </row>
    <row r="151" spans="16:19" x14ac:dyDescent="0.25">
      <c r="P151" s="1"/>
      <c r="Q151" s="1"/>
      <c r="R151" s="1"/>
      <c r="S151" s="1"/>
    </row>
    <row r="152" spans="16:19" x14ac:dyDescent="0.25">
      <c r="P152" s="1"/>
      <c r="Q152" s="1"/>
      <c r="R152" s="1"/>
      <c r="S152" s="1"/>
    </row>
    <row r="153" spans="16:19" x14ac:dyDescent="0.25">
      <c r="P153" s="1"/>
      <c r="Q153" s="1"/>
      <c r="R153" s="1"/>
      <c r="S153" s="1"/>
    </row>
    <row r="154" spans="16:19" x14ac:dyDescent="0.25">
      <c r="P154" s="1"/>
      <c r="Q154" s="1"/>
      <c r="R154" s="1"/>
      <c r="S154" s="1"/>
    </row>
    <row r="155" spans="16:19" x14ac:dyDescent="0.25">
      <c r="P155" s="1"/>
      <c r="Q155" s="1"/>
      <c r="R155" s="1"/>
      <c r="S155" s="1"/>
    </row>
    <row r="156" spans="16:19" x14ac:dyDescent="0.25">
      <c r="P156" s="1"/>
      <c r="Q156" s="1"/>
      <c r="R156" s="1"/>
      <c r="S156" s="1"/>
    </row>
    <row r="157" spans="16:19" x14ac:dyDescent="0.25">
      <c r="P157" s="1"/>
      <c r="Q157" s="1"/>
      <c r="R157" s="1"/>
      <c r="S157" s="1"/>
    </row>
    <row r="158" spans="16:19" x14ac:dyDescent="0.25">
      <c r="P158" s="1"/>
      <c r="Q158" s="1"/>
      <c r="R158" s="1"/>
      <c r="S158" s="1"/>
    </row>
    <row r="159" spans="16:19" x14ac:dyDescent="0.25">
      <c r="P159" s="1"/>
      <c r="Q159" s="1"/>
      <c r="R159" s="1"/>
      <c r="S159" s="1"/>
    </row>
    <row r="160" spans="16:19" x14ac:dyDescent="0.25">
      <c r="P160" s="1"/>
      <c r="Q160" s="1"/>
      <c r="R160" s="1"/>
      <c r="S160" s="1"/>
    </row>
    <row r="161" spans="16:19" x14ac:dyDescent="0.25">
      <c r="P161" s="1"/>
      <c r="Q161" s="1"/>
      <c r="R161" s="1"/>
      <c r="S161" s="1"/>
    </row>
    <row r="162" spans="16:19" x14ac:dyDescent="0.25">
      <c r="P162" s="1"/>
      <c r="Q162" s="1"/>
      <c r="R162" s="1"/>
      <c r="S162" s="1"/>
    </row>
    <row r="163" spans="16:19" x14ac:dyDescent="0.25">
      <c r="P163" s="1"/>
      <c r="Q163" s="1"/>
      <c r="R163" s="1"/>
      <c r="S163" s="1"/>
    </row>
    <row r="164" spans="16:19" x14ac:dyDescent="0.25">
      <c r="P164" s="1"/>
      <c r="Q164" s="1"/>
      <c r="R164" s="1"/>
      <c r="S164" s="1"/>
    </row>
    <row r="165" spans="16:19" x14ac:dyDescent="0.25">
      <c r="P165" s="1"/>
      <c r="Q165" s="1"/>
      <c r="R165" s="1"/>
      <c r="S165" s="1"/>
    </row>
    <row r="166" spans="16:19" x14ac:dyDescent="0.25">
      <c r="P166" s="1"/>
      <c r="Q166" s="1"/>
      <c r="R166" s="1"/>
      <c r="S166" s="1"/>
    </row>
    <row r="167" spans="16:19" x14ac:dyDescent="0.25">
      <c r="P167" s="1"/>
      <c r="Q167" s="1"/>
      <c r="R167" s="1"/>
      <c r="S167" s="1"/>
    </row>
    <row r="168" spans="16:19" x14ac:dyDescent="0.25">
      <c r="P168" s="1"/>
      <c r="Q168" s="1"/>
      <c r="R168" s="1"/>
      <c r="S168" s="1"/>
    </row>
    <row r="169" spans="16:19" x14ac:dyDescent="0.25">
      <c r="P169" s="1"/>
      <c r="Q169" s="1"/>
      <c r="R169" s="1"/>
      <c r="S169" s="1"/>
    </row>
    <row r="170" spans="16:19" x14ac:dyDescent="0.25">
      <c r="P170" s="1"/>
      <c r="Q170" s="1"/>
      <c r="R170" s="1"/>
      <c r="S170" s="1"/>
    </row>
    <row r="171" spans="16:19" x14ac:dyDescent="0.25">
      <c r="P171" s="1"/>
      <c r="Q171" s="1"/>
      <c r="R171" s="1"/>
      <c r="S171" s="1"/>
    </row>
    <row r="172" spans="16:19" x14ac:dyDescent="0.25">
      <c r="P172" s="1"/>
      <c r="Q172" s="1"/>
      <c r="R172" s="1"/>
      <c r="S172" s="1"/>
    </row>
    <row r="173" spans="16:19" x14ac:dyDescent="0.25">
      <c r="P173" s="1"/>
      <c r="Q173" s="1"/>
      <c r="R173" s="1"/>
      <c r="S173" s="1"/>
    </row>
    <row r="174" spans="16:19" x14ac:dyDescent="0.25">
      <c r="P174" s="1"/>
      <c r="Q174" s="1"/>
      <c r="R174" s="1"/>
      <c r="S174" s="1"/>
    </row>
    <row r="175" spans="16:19" x14ac:dyDescent="0.25">
      <c r="P175" s="1"/>
      <c r="Q175" s="1"/>
      <c r="R175" s="1"/>
      <c r="S175" s="1"/>
    </row>
    <row r="176" spans="16:19" x14ac:dyDescent="0.25">
      <c r="P176" s="1"/>
      <c r="Q176" s="1"/>
      <c r="R176" s="1"/>
      <c r="S176" s="1"/>
    </row>
    <row r="177" spans="16:19" x14ac:dyDescent="0.25">
      <c r="P177" s="1"/>
      <c r="Q177" s="1"/>
      <c r="R177" s="1"/>
      <c r="S177" s="1"/>
    </row>
    <row r="178" spans="16:19" x14ac:dyDescent="0.25">
      <c r="P178" s="1"/>
      <c r="Q178" s="1"/>
      <c r="R178" s="1"/>
      <c r="S178" s="1"/>
    </row>
    <row r="179" spans="16:19" x14ac:dyDescent="0.25">
      <c r="P179" s="1"/>
      <c r="Q179" s="1"/>
      <c r="R179" s="1"/>
      <c r="S179" s="1"/>
    </row>
    <row r="180" spans="16:19" x14ac:dyDescent="0.25">
      <c r="P180" s="1"/>
      <c r="Q180" s="1"/>
      <c r="R180" s="1"/>
      <c r="S180" s="1"/>
    </row>
    <row r="181" spans="16:19" x14ac:dyDescent="0.25">
      <c r="P181" s="1"/>
      <c r="Q181" s="1"/>
      <c r="R181" s="1"/>
      <c r="S181" s="1"/>
    </row>
    <row r="182" spans="16:19" x14ac:dyDescent="0.25">
      <c r="P182" s="1"/>
      <c r="Q182" s="1"/>
      <c r="R182" s="1"/>
      <c r="S182" s="1"/>
    </row>
    <row r="183" spans="16:19" x14ac:dyDescent="0.25">
      <c r="P183" s="1"/>
      <c r="Q183" s="1"/>
      <c r="R183" s="1"/>
      <c r="S183" s="1"/>
    </row>
    <row r="184" spans="16:19" x14ac:dyDescent="0.25">
      <c r="P184" s="1"/>
      <c r="Q184" s="1"/>
      <c r="R184" s="1"/>
      <c r="S18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0"/>
  <sheetViews>
    <sheetView tabSelected="1" workbookViewId="0">
      <selection activeCell="C2" sqref="C2"/>
    </sheetView>
  </sheetViews>
  <sheetFormatPr defaultRowHeight="15" x14ac:dyDescent="0.25"/>
  <cols>
    <col min="4" max="4" width="16.28515625" customWidth="1"/>
    <col min="5" max="5" width="12.85546875" customWidth="1"/>
    <col min="6" max="6" width="10.85546875" customWidth="1"/>
    <col min="8" max="8" width="9.42578125" customWidth="1"/>
  </cols>
  <sheetData>
    <row r="1" spans="1:16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x14ac:dyDescent="0.25">
      <c r="A2" s="59"/>
      <c r="B2" s="58" t="s">
        <v>41</v>
      </c>
      <c r="C2" s="63" t="s">
        <v>55</v>
      </c>
      <c r="D2" s="33"/>
      <c r="E2" s="44" t="s">
        <v>45</v>
      </c>
      <c r="F2" s="33" t="s">
        <v>46</v>
      </c>
      <c r="G2" s="45" t="s">
        <v>47</v>
      </c>
      <c r="H2" s="45" t="s">
        <v>54</v>
      </c>
      <c r="I2" s="45" t="s">
        <v>39</v>
      </c>
      <c r="J2" s="33"/>
      <c r="K2" s="33"/>
      <c r="L2" s="33"/>
      <c r="M2" s="33"/>
      <c r="N2" s="33"/>
      <c r="O2" s="33"/>
      <c r="P2" s="42"/>
    </row>
    <row r="3" spans="1:16" x14ac:dyDescent="0.25">
      <c r="A3" s="32"/>
      <c r="B3" s="46" t="str">
        <f>IF(C2="Yes","Interaction!", "Regular!")</f>
        <v>Regular!</v>
      </c>
      <c r="C3" s="33"/>
      <c r="D3" s="33"/>
      <c r="E3" s="53" t="s">
        <v>0</v>
      </c>
      <c r="F3" s="60">
        <v>9</v>
      </c>
      <c r="G3" s="48">
        <f>Regular!N20</f>
        <v>9.2460342618005456</v>
      </c>
      <c r="H3" s="48">
        <f>Regular!N19</f>
        <v>2.8601201830708729</v>
      </c>
      <c r="I3" s="49">
        <f>Regular!N33</f>
        <v>0.73847985581234654</v>
      </c>
      <c r="J3" s="33"/>
      <c r="K3" s="33"/>
      <c r="L3" s="33"/>
      <c r="M3" s="33"/>
      <c r="N3" s="33"/>
      <c r="O3" s="33"/>
      <c r="P3" s="42"/>
    </row>
    <row r="4" spans="1:16" x14ac:dyDescent="0.25">
      <c r="A4" s="32"/>
      <c r="B4" s="33"/>
      <c r="C4" s="33"/>
      <c r="D4" s="33"/>
      <c r="E4" s="54" t="s">
        <v>1</v>
      </c>
      <c r="F4" s="61">
        <v>10</v>
      </c>
      <c r="G4" s="47">
        <f>Regular!O20</f>
        <v>9.929062936284657</v>
      </c>
      <c r="H4" s="47">
        <f>Regular!O19</f>
        <v>4.3342702384320209</v>
      </c>
      <c r="I4" s="50">
        <f>Regular!O33</f>
        <v>1.1191037634273111</v>
      </c>
      <c r="J4" s="33"/>
      <c r="K4" s="33"/>
      <c r="L4" s="33"/>
      <c r="M4" s="33"/>
      <c r="N4" s="33"/>
      <c r="O4" s="33"/>
      <c r="P4" s="42"/>
    </row>
    <row r="5" spans="1:16" x14ac:dyDescent="0.25">
      <c r="A5" s="32"/>
      <c r="B5" s="33"/>
      <c r="C5" s="33"/>
      <c r="D5" s="33"/>
      <c r="E5" s="54" t="s">
        <v>2</v>
      </c>
      <c r="F5" s="61">
        <v>11</v>
      </c>
      <c r="G5" s="47">
        <f>Regular!P20</f>
        <v>11.67176186704919</v>
      </c>
      <c r="H5" s="47">
        <f>Regular!P19</f>
        <v>2.8601201830708729</v>
      </c>
      <c r="I5" s="50">
        <f>Regular!P33</f>
        <v>0.73847985581234654</v>
      </c>
      <c r="J5" s="33"/>
      <c r="K5" s="33"/>
      <c r="L5" s="33"/>
      <c r="M5" s="33"/>
      <c r="N5" s="33"/>
      <c r="O5" s="33"/>
      <c r="P5" s="42"/>
    </row>
    <row r="6" spans="1:16" x14ac:dyDescent="0.25">
      <c r="A6" s="32"/>
      <c r="B6" s="33"/>
      <c r="C6" s="33"/>
      <c r="D6" s="33"/>
      <c r="E6" s="40" t="s">
        <v>49</v>
      </c>
      <c r="F6" s="64"/>
      <c r="G6" s="51">
        <f>Regular!Q20</f>
        <v>10.282286355044798</v>
      </c>
      <c r="H6" s="51">
        <f>Regular!Q19</f>
        <v>3.4626797457094933</v>
      </c>
      <c r="I6" s="52">
        <f>Regular!Q33</f>
        <v>0.51618581971454081</v>
      </c>
      <c r="J6" s="33"/>
      <c r="K6" s="33"/>
      <c r="L6" s="33"/>
      <c r="M6" s="33"/>
      <c r="N6" s="33"/>
      <c r="O6" s="33"/>
      <c r="P6" s="42"/>
    </row>
    <row r="7" spans="1:16" x14ac:dyDescent="0.25">
      <c r="A7" s="32"/>
      <c r="B7" s="33"/>
      <c r="C7" s="33"/>
      <c r="D7" s="33"/>
      <c r="E7" s="56"/>
      <c r="F7" s="55"/>
      <c r="G7" s="33"/>
      <c r="H7" s="33"/>
      <c r="I7" s="33"/>
      <c r="J7" s="33"/>
      <c r="K7" s="33"/>
      <c r="L7" s="33"/>
      <c r="M7" s="33"/>
      <c r="N7" s="33"/>
      <c r="O7" s="33"/>
      <c r="P7" s="42"/>
    </row>
    <row r="8" spans="1:16" x14ac:dyDescent="0.25">
      <c r="A8" s="32"/>
      <c r="B8" s="33"/>
      <c r="C8" s="33"/>
      <c r="D8" s="42"/>
      <c r="E8" s="57" t="s">
        <v>48</v>
      </c>
      <c r="F8" s="62">
        <v>4</v>
      </c>
      <c r="G8" s="33"/>
      <c r="H8" s="33"/>
      <c r="I8" s="33"/>
      <c r="J8" s="33"/>
      <c r="K8" s="33"/>
      <c r="L8" s="33"/>
      <c r="M8" s="33"/>
      <c r="N8" s="33"/>
      <c r="O8" s="33"/>
      <c r="P8" s="42"/>
    </row>
    <row r="9" spans="1:16" x14ac:dyDescent="0.2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42"/>
    </row>
    <row r="10" spans="1:16" x14ac:dyDescent="0.25">
      <c r="A10" s="32"/>
      <c r="B10" s="33"/>
      <c r="C10" s="33"/>
      <c r="D10" s="29" t="str">
        <f t="shared" ref="D10:J18" ca="1" si="0">INDIRECT($B$3&amp;"R" &amp; ROW()+12 &amp; "C" &amp; COLUMN()+4,FALSE)</f>
        <v/>
      </c>
      <c r="E10" s="30" t="str">
        <f t="shared" ca="1" si="0"/>
        <v>SS</v>
      </c>
      <c r="F10" s="30" t="str">
        <f t="shared" ca="1" si="0"/>
        <v>DF</v>
      </c>
      <c r="G10" s="30" t="str">
        <f t="shared" ca="1" si="0"/>
        <v>MS</v>
      </c>
      <c r="H10" s="30" t="str">
        <f t="shared" ca="1" si="0"/>
        <v>F</v>
      </c>
      <c r="I10" s="30" t="str">
        <f t="shared" ca="1" si="0"/>
        <v>Sig.</v>
      </c>
      <c r="J10" s="31" t="str">
        <f t="shared" ca="1" si="0"/>
        <v/>
      </c>
      <c r="K10" s="33"/>
      <c r="L10" s="33"/>
      <c r="M10" s="33"/>
      <c r="N10" s="33"/>
      <c r="O10" s="33"/>
      <c r="P10" s="42"/>
    </row>
    <row r="11" spans="1:16" x14ac:dyDescent="0.25">
      <c r="A11" s="32"/>
      <c r="B11" s="33"/>
      <c r="C11" s="33"/>
      <c r="D11" s="32" t="str">
        <f t="shared" ca="1" si="0"/>
        <v>Between Groups</v>
      </c>
      <c r="E11" s="34">
        <f t="shared" ca="1" si="0"/>
        <v>46.938410741603455</v>
      </c>
      <c r="F11" s="34">
        <f t="shared" ca="1" si="0"/>
        <v>2</v>
      </c>
      <c r="G11" s="34">
        <f t="shared" ca="1" si="0"/>
        <v>23.469205370801728</v>
      </c>
      <c r="H11" s="34">
        <f t="shared" ca="1" si="0"/>
        <v>1.9922550769014096</v>
      </c>
      <c r="I11" s="34">
        <f t="shared" ca="1" si="0"/>
        <v>0.14907068345428631</v>
      </c>
      <c r="J11" s="35" t="str">
        <f t="shared" ca="1" si="0"/>
        <v/>
      </c>
      <c r="K11" s="33"/>
      <c r="L11" s="33"/>
      <c r="M11" s="33"/>
      <c r="N11" s="33"/>
      <c r="O11" s="33"/>
      <c r="P11" s="42"/>
    </row>
    <row r="12" spans="1:16" x14ac:dyDescent="0.25">
      <c r="A12" s="32"/>
      <c r="B12" s="33"/>
      <c r="C12" s="33"/>
      <c r="D12" s="32" t="str">
        <f t="shared" ca="1" si="0"/>
        <v>Within Groups</v>
      </c>
      <c r="E12" s="34">
        <f t="shared" ca="1" si="0"/>
        <v>494.76928782972908</v>
      </c>
      <c r="F12" s="34">
        <f t="shared" ca="1" si="0"/>
        <v>42</v>
      </c>
      <c r="G12" s="34">
        <f t="shared" ca="1" si="0"/>
        <v>11.780221138803073</v>
      </c>
      <c r="H12" s="34" t="str">
        <f t="shared" ca="1" si="0"/>
        <v/>
      </c>
      <c r="I12" s="34" t="str">
        <f t="shared" ca="1" si="0"/>
        <v/>
      </c>
      <c r="J12" s="35" t="str">
        <f t="shared" ca="1" si="0"/>
        <v/>
      </c>
      <c r="K12" s="33"/>
      <c r="L12" s="33"/>
      <c r="M12" s="33"/>
      <c r="N12" s="33"/>
      <c r="O12" s="33"/>
      <c r="P12" s="42"/>
    </row>
    <row r="13" spans="1:16" x14ac:dyDescent="0.25">
      <c r="A13" s="32"/>
      <c r="B13" s="33"/>
      <c r="C13" s="33"/>
      <c r="D13" s="32" t="str">
        <f t="shared" ca="1" si="0"/>
        <v>Total</v>
      </c>
      <c r="E13" s="34">
        <f t="shared" ca="1" si="0"/>
        <v>541.70769857133257</v>
      </c>
      <c r="F13" s="34">
        <f t="shared" ca="1" si="0"/>
        <v>44</v>
      </c>
      <c r="G13" s="34" t="str">
        <f t="shared" ca="1" si="0"/>
        <v/>
      </c>
      <c r="H13" s="34" t="str">
        <f t="shared" ca="1" si="0"/>
        <v/>
      </c>
      <c r="I13" s="34" t="str">
        <f t="shared" ca="1" si="0"/>
        <v/>
      </c>
      <c r="J13" s="35" t="str">
        <f t="shared" ca="1" si="0"/>
        <v/>
      </c>
      <c r="K13" s="33"/>
      <c r="L13" s="33"/>
      <c r="M13" s="33"/>
      <c r="N13" s="33"/>
      <c r="O13" s="33"/>
      <c r="P13" s="42"/>
    </row>
    <row r="14" spans="1:16" x14ac:dyDescent="0.25">
      <c r="A14" s="32"/>
      <c r="B14" s="33"/>
      <c r="C14" s="33"/>
      <c r="D14" s="32" t="str">
        <f t="shared" ca="1" si="0"/>
        <v/>
      </c>
      <c r="E14" s="33" t="str">
        <f t="shared" ca="1" si="0"/>
        <v/>
      </c>
      <c r="F14" s="34" t="str">
        <f t="shared" ca="1" si="0"/>
        <v/>
      </c>
      <c r="G14" s="34" t="str">
        <f t="shared" ca="1" si="0"/>
        <v/>
      </c>
      <c r="H14" s="34" t="str">
        <f t="shared" ca="1" si="0"/>
        <v/>
      </c>
      <c r="I14" s="34" t="str">
        <f t="shared" ca="1" si="0"/>
        <v/>
      </c>
      <c r="J14" s="35" t="str">
        <f t="shared" ca="1" si="0"/>
        <v/>
      </c>
      <c r="K14" s="33"/>
      <c r="L14" s="33"/>
      <c r="M14" s="33"/>
      <c r="N14" s="33"/>
      <c r="O14" s="33"/>
      <c r="P14" s="42"/>
    </row>
    <row r="15" spans="1:16" x14ac:dyDescent="0.25">
      <c r="A15" s="32"/>
      <c r="B15" s="33"/>
      <c r="C15" s="33"/>
      <c r="D15" s="32" t="str">
        <f t="shared" ca="1" si="0"/>
        <v/>
      </c>
      <c r="E15" s="33" t="str">
        <f t="shared" ca="1" si="0"/>
        <v/>
      </c>
      <c r="F15" s="34" t="str">
        <f t="shared" ca="1" si="0"/>
        <v/>
      </c>
      <c r="G15" s="34" t="str">
        <f t="shared" ca="1" si="0"/>
        <v/>
      </c>
      <c r="H15" s="34" t="str">
        <f t="shared" ca="1" si="0"/>
        <v/>
      </c>
      <c r="I15" s="34" t="str">
        <f t="shared" ca="1" si="0"/>
        <v/>
      </c>
      <c r="J15" s="35" t="str">
        <f t="shared" ca="1" si="0"/>
        <v/>
      </c>
      <c r="K15" s="33"/>
      <c r="L15" s="33"/>
      <c r="M15" s="33"/>
      <c r="N15" s="33"/>
      <c r="O15" s="33"/>
      <c r="P15" s="42"/>
    </row>
    <row r="16" spans="1:16" x14ac:dyDescent="0.25">
      <c r="A16" s="32"/>
      <c r="B16" s="33"/>
      <c r="C16" s="33"/>
      <c r="D16" s="32" t="str">
        <f t="shared" ca="1" si="0"/>
        <v/>
      </c>
      <c r="E16" s="33" t="str">
        <f t="shared" ca="1" si="0"/>
        <v/>
      </c>
      <c r="F16" s="34" t="str">
        <f t="shared" ca="1" si="0"/>
        <v/>
      </c>
      <c r="G16" s="34" t="str">
        <f t="shared" ca="1" si="0"/>
        <v/>
      </c>
      <c r="H16" s="34" t="str">
        <f t="shared" ca="1" si="0"/>
        <v/>
      </c>
      <c r="I16" s="34" t="str">
        <f t="shared" ca="1" si="0"/>
        <v/>
      </c>
      <c r="J16" s="35" t="str">
        <f t="shared" ca="1" si="0"/>
        <v/>
      </c>
      <c r="K16" s="33"/>
      <c r="L16" s="33"/>
      <c r="M16" s="33"/>
      <c r="N16" s="33"/>
      <c r="O16" s="33"/>
      <c r="P16" s="42"/>
    </row>
    <row r="17" spans="1:16" x14ac:dyDescent="0.25">
      <c r="A17" s="32"/>
      <c r="B17" s="33"/>
      <c r="C17" s="33"/>
      <c r="D17" s="32" t="str">
        <f t="shared" ca="1" si="0"/>
        <v/>
      </c>
      <c r="E17" s="33" t="str">
        <f t="shared" ca="1" si="0"/>
        <v/>
      </c>
      <c r="F17" s="34" t="str">
        <f t="shared" ca="1" si="0"/>
        <v/>
      </c>
      <c r="G17" s="34" t="str">
        <f t="shared" ca="1" si="0"/>
        <v/>
      </c>
      <c r="H17" s="34" t="str">
        <f t="shared" ca="1" si="0"/>
        <v/>
      </c>
      <c r="I17" s="34" t="str">
        <f t="shared" ca="1" si="0"/>
        <v/>
      </c>
      <c r="J17" s="35" t="str">
        <f t="shared" ca="1" si="0"/>
        <v/>
      </c>
      <c r="K17" s="33"/>
      <c r="L17" s="33"/>
      <c r="M17" s="33"/>
      <c r="N17" s="33"/>
      <c r="O17" s="33"/>
      <c r="P17" s="42"/>
    </row>
    <row r="18" spans="1:16" x14ac:dyDescent="0.25">
      <c r="A18" s="32"/>
      <c r="B18" s="33"/>
      <c r="C18" s="33"/>
      <c r="D18" s="36" t="str">
        <f t="shared" ca="1" si="0"/>
        <v/>
      </c>
      <c r="E18" s="37" t="str">
        <f t="shared" ca="1" si="0"/>
        <v/>
      </c>
      <c r="F18" s="38" t="str">
        <f t="shared" ca="1" si="0"/>
        <v/>
      </c>
      <c r="G18" s="38" t="str">
        <f t="shared" ca="1" si="0"/>
        <v/>
      </c>
      <c r="H18" s="38" t="str">
        <f t="shared" ca="1" si="0"/>
        <v/>
      </c>
      <c r="I18" s="38" t="str">
        <f t="shared" ca="1" si="0"/>
        <v/>
      </c>
      <c r="J18" s="39" t="str">
        <f t="shared" ca="1" si="0"/>
        <v/>
      </c>
      <c r="K18" s="33"/>
      <c r="L18" s="33"/>
      <c r="M18" s="33"/>
      <c r="N18" s="33"/>
      <c r="O18" s="33"/>
      <c r="P18" s="42"/>
    </row>
    <row r="19" spans="1:16" x14ac:dyDescent="0.2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42"/>
    </row>
    <row r="20" spans="1:16" x14ac:dyDescent="0.2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42"/>
    </row>
    <row r="21" spans="1:16" x14ac:dyDescent="0.2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42"/>
    </row>
    <row r="22" spans="1:16" x14ac:dyDescent="0.2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42"/>
    </row>
    <row r="23" spans="1:16" x14ac:dyDescent="0.2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42"/>
    </row>
    <row r="24" spans="1:16" x14ac:dyDescent="0.2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42"/>
    </row>
    <row r="25" spans="1:16" x14ac:dyDescent="0.2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42"/>
    </row>
    <row r="26" spans="1:16" x14ac:dyDescent="0.2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42"/>
    </row>
    <row r="27" spans="1:16" x14ac:dyDescent="0.2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42"/>
    </row>
    <row r="28" spans="1:16" x14ac:dyDescent="0.2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42"/>
    </row>
    <row r="29" spans="1:16" x14ac:dyDescent="0.2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42"/>
    </row>
    <row r="30" spans="1:16" x14ac:dyDescent="0.2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42"/>
    </row>
    <row r="31" spans="1:16" x14ac:dyDescent="0.2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42"/>
    </row>
    <row r="32" spans="1:16" x14ac:dyDescent="0.2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42"/>
    </row>
    <row r="33" spans="1:16" x14ac:dyDescent="0.2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42"/>
    </row>
    <row r="34" spans="1:16" x14ac:dyDescent="0.2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42"/>
    </row>
    <row r="35" spans="1:16" x14ac:dyDescent="0.2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42"/>
    </row>
    <row r="36" spans="1:16" x14ac:dyDescent="0.2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42"/>
    </row>
    <row r="37" spans="1:16" x14ac:dyDescent="0.2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42"/>
    </row>
    <row r="38" spans="1:16" x14ac:dyDescent="0.25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42"/>
    </row>
    <row r="39" spans="1:16" x14ac:dyDescent="0.25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42"/>
    </row>
    <row r="40" spans="1:16" x14ac:dyDescent="0.25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43"/>
    </row>
  </sheetData>
  <sheetProtection password="E269" sheet="1" objects="1" scenarios="1" selectLockedCells="1"/>
  <dataValidations count="1">
    <dataValidation type="list" allowBlank="1" showInputMessage="1" showErrorMessage="1" sqref="C2">
      <formula1>"No, Yes"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 Fabian van den (PSYCHOLOGY)</dc:creator>
  <cp:lastModifiedBy>Berg Fabian van den (PSYCHOLOGY)</cp:lastModifiedBy>
  <dcterms:created xsi:type="dcterms:W3CDTF">2019-04-02T08:04:20Z</dcterms:created>
  <dcterms:modified xsi:type="dcterms:W3CDTF">2019-04-04T13:01:11Z</dcterms:modified>
</cp:coreProperties>
</file>