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20" yWindow="-120" windowWidth="24240" windowHeight="13740"/>
  </bookViews>
  <sheets>
    <sheet name="Covariance Selection" sheetId="2" r:id="rId1"/>
    <sheet name="Sheet1" sheetId="1" state="veryHidden" r:id="rId2"/>
    <sheet name="Sheet3" sheetId="3" state="veryHidden" r:id="rId3"/>
    <sheet name="Sheet4" sheetId="4" state="veryHidden" r:id="rId4"/>
  </sheets>
  <calcPr calcId="145621"/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2" i="3"/>
  <c r="K55" i="3"/>
  <c r="K56" i="3"/>
  <c r="K57" i="3"/>
  <c r="K58" i="3"/>
  <c r="K59" i="3"/>
  <c r="K54" i="3"/>
  <c r="M55" i="3"/>
  <c r="M56" i="3"/>
  <c r="M57" i="3"/>
  <c r="M58" i="3"/>
  <c r="M59" i="3"/>
  <c r="M54" i="3"/>
  <c r="E145" i="1"/>
  <c r="F144" i="1" s="1"/>
  <c r="E146" i="1"/>
  <c r="G144" i="1" s="1"/>
  <c r="G143" i="1"/>
  <c r="F143" i="1"/>
  <c r="E143" i="1"/>
  <c r="G140" i="1"/>
  <c r="G139" i="1"/>
  <c r="G138" i="1"/>
  <c r="F139" i="1"/>
  <c r="F138" i="1"/>
  <c r="E138" i="1"/>
  <c r="G135" i="1"/>
  <c r="G134" i="1"/>
  <c r="F134" i="1"/>
  <c r="G133" i="1"/>
  <c r="F133" i="1"/>
  <c r="E133" i="1"/>
  <c r="G130" i="1"/>
  <c r="G129" i="1"/>
  <c r="F129" i="1"/>
  <c r="G128" i="1"/>
  <c r="F128" i="1"/>
  <c r="E128" i="1"/>
  <c r="G125" i="1"/>
  <c r="G124" i="1"/>
  <c r="F124" i="1"/>
  <c r="G123" i="1"/>
  <c r="F123" i="1"/>
  <c r="E123" i="1"/>
  <c r="G120" i="1"/>
  <c r="G119" i="1"/>
  <c r="G118" i="1"/>
  <c r="F119" i="1"/>
  <c r="F118" i="1"/>
  <c r="E118" i="1"/>
  <c r="G115" i="1"/>
  <c r="G114" i="1"/>
  <c r="F114" i="1"/>
  <c r="G113" i="1"/>
  <c r="F113" i="1"/>
  <c r="E113" i="1"/>
  <c r="C144" i="1"/>
  <c r="C146" i="1"/>
  <c r="C149" i="1"/>
  <c r="C150" i="1"/>
  <c r="C151" i="1"/>
  <c r="C141" i="1"/>
  <c r="C140" i="1"/>
  <c r="C139" i="1"/>
  <c r="C136" i="1"/>
  <c r="C134" i="1"/>
  <c r="C131" i="1"/>
  <c r="C130" i="1"/>
  <c r="C129" i="1"/>
  <c r="C126" i="1"/>
  <c r="C124" i="1"/>
  <c r="C121" i="1"/>
  <c r="C120" i="1"/>
  <c r="C119" i="1"/>
  <c r="C114" i="1"/>
  <c r="C116" i="1"/>
  <c r="J113" i="1"/>
  <c r="M113" i="1" s="1"/>
  <c r="F146" i="1" l="1"/>
  <c r="G145" i="1" s="1"/>
  <c r="J116" i="1"/>
  <c r="N114" i="1" s="1"/>
  <c r="J114" i="1"/>
  <c r="N113" i="1" s="1"/>
  <c r="J120" i="1"/>
  <c r="N117" i="1" s="1"/>
  <c r="J115" i="1"/>
  <c r="M114" i="1" s="1"/>
  <c r="J119" i="1"/>
  <c r="N116" i="1" s="1"/>
  <c r="J118" i="1"/>
  <c r="N115" i="1" s="1"/>
  <c r="J117" i="1"/>
  <c r="M115" i="1" s="1"/>
  <c r="E15" i="2"/>
  <c r="G4" i="4"/>
  <c r="H4" i="4"/>
  <c r="I4" i="4"/>
  <c r="J4" i="4"/>
  <c r="G5" i="4"/>
  <c r="H5" i="4"/>
  <c r="I5" i="4"/>
  <c r="J5" i="4"/>
  <c r="G6" i="4"/>
  <c r="H6" i="4"/>
  <c r="I6" i="4"/>
  <c r="J6" i="4"/>
  <c r="G7" i="4"/>
  <c r="H7" i="4"/>
  <c r="I7" i="4"/>
  <c r="J7" i="4"/>
  <c r="G8" i="4"/>
  <c r="H8" i="4"/>
  <c r="I8" i="4"/>
  <c r="J8" i="4"/>
  <c r="G9" i="4"/>
  <c r="H9" i="4"/>
  <c r="I9" i="4"/>
  <c r="J9" i="4"/>
  <c r="G10" i="4"/>
  <c r="H10" i="4"/>
  <c r="I10" i="4"/>
  <c r="J10" i="4"/>
  <c r="G11" i="4"/>
  <c r="H11" i="4"/>
  <c r="I11" i="4"/>
  <c r="J11" i="4"/>
  <c r="G12" i="4"/>
  <c r="H12" i="4"/>
  <c r="I12" i="4"/>
  <c r="J12" i="4"/>
  <c r="G13" i="4"/>
  <c r="H13" i="4"/>
  <c r="I13" i="4"/>
  <c r="J13" i="4"/>
  <c r="G14" i="4"/>
  <c r="H14" i="4"/>
  <c r="I14" i="4"/>
  <c r="J14" i="4"/>
  <c r="G15" i="4"/>
  <c r="H15" i="4"/>
  <c r="I15" i="4"/>
  <c r="J15" i="4"/>
  <c r="G16" i="4"/>
  <c r="H16" i="4"/>
  <c r="I16" i="4"/>
  <c r="J16" i="4"/>
  <c r="G17" i="4"/>
  <c r="H17" i="4"/>
  <c r="I17" i="4"/>
  <c r="J17" i="4"/>
  <c r="G18" i="4"/>
  <c r="H18" i="4"/>
  <c r="I18" i="4"/>
  <c r="J18" i="4"/>
  <c r="G19" i="4"/>
  <c r="H19" i="4"/>
  <c r="I19" i="4"/>
  <c r="J19" i="4"/>
  <c r="G20" i="4"/>
  <c r="H20" i="4"/>
  <c r="I20" i="4"/>
  <c r="J20" i="4"/>
  <c r="G21" i="4"/>
  <c r="H21" i="4"/>
  <c r="I21" i="4"/>
  <c r="J21" i="4"/>
  <c r="G22" i="4"/>
  <c r="H22" i="4"/>
  <c r="I22" i="4"/>
  <c r="J22" i="4"/>
  <c r="G23" i="4"/>
  <c r="H23" i="4"/>
  <c r="I23" i="4"/>
  <c r="J23" i="4"/>
  <c r="G24" i="4"/>
  <c r="H24" i="4"/>
  <c r="I24" i="4"/>
  <c r="J24" i="4"/>
  <c r="G25" i="4"/>
  <c r="H25" i="4"/>
  <c r="I25" i="4"/>
  <c r="J25" i="4"/>
  <c r="G26" i="4"/>
  <c r="H26" i="4"/>
  <c r="I26" i="4"/>
  <c r="J26" i="4"/>
  <c r="G27" i="4"/>
  <c r="H27" i="4"/>
  <c r="I27" i="4"/>
  <c r="J27" i="4"/>
  <c r="J3" i="4"/>
  <c r="I3" i="4"/>
  <c r="H3" i="4"/>
  <c r="G3" i="4"/>
  <c r="K41" i="4"/>
  <c r="K40" i="4"/>
  <c r="K39" i="4"/>
  <c r="J40" i="4"/>
  <c r="J39" i="4"/>
  <c r="I39" i="4"/>
  <c r="AE29" i="1"/>
  <c r="AB29" i="1"/>
  <c r="AC29" i="1"/>
  <c r="AD29" i="1"/>
  <c r="AF29" i="1"/>
  <c r="AG29" i="1"/>
  <c r="AH29" i="1"/>
  <c r="AI29" i="1"/>
  <c r="AA29" i="1"/>
  <c r="R90" i="1"/>
  <c r="R91" i="1"/>
  <c r="S91" i="1"/>
  <c r="R92" i="1"/>
  <c r="S92" i="1"/>
  <c r="T92" i="1"/>
  <c r="R93" i="1"/>
  <c r="S93" i="1"/>
  <c r="T93" i="1"/>
  <c r="U93" i="1"/>
  <c r="R94" i="1"/>
  <c r="S94" i="1"/>
  <c r="T94" i="1"/>
  <c r="U94" i="1"/>
  <c r="V94" i="1"/>
  <c r="Q90" i="1"/>
  <c r="Q91" i="1"/>
  <c r="Q92" i="1"/>
  <c r="Q93" i="1"/>
  <c r="Q94" i="1"/>
  <c r="Q89" i="1"/>
  <c r="B91" i="1"/>
  <c r="B90" i="1"/>
  <c r="R32" i="3"/>
  <c r="W27" i="3" s="1"/>
  <c r="P22" i="3"/>
  <c r="Q22" i="3"/>
  <c r="R22" i="3"/>
  <c r="P4" i="3"/>
  <c r="Q4" i="3"/>
  <c r="V32" i="3" s="1"/>
  <c r="W31" i="3" s="1"/>
  <c r="R4" i="3"/>
  <c r="W32" i="3" s="1"/>
  <c r="P5" i="3"/>
  <c r="Q5" i="3"/>
  <c r="R5" i="3"/>
  <c r="P6" i="3"/>
  <c r="Q6" i="3"/>
  <c r="R6" i="3"/>
  <c r="P7" i="3"/>
  <c r="U30" i="3" s="1"/>
  <c r="Q7" i="3"/>
  <c r="R7" i="3"/>
  <c r="P8" i="3"/>
  <c r="Q8" i="3"/>
  <c r="R8" i="3"/>
  <c r="P9" i="3"/>
  <c r="Q9" i="3"/>
  <c r="R9" i="3"/>
  <c r="P10" i="3"/>
  <c r="Q10" i="3"/>
  <c r="R10" i="3"/>
  <c r="P11" i="3"/>
  <c r="Q11" i="3"/>
  <c r="R11" i="3"/>
  <c r="P12" i="3"/>
  <c r="Q12" i="3"/>
  <c r="R12" i="3"/>
  <c r="P13" i="3"/>
  <c r="Q13" i="3"/>
  <c r="R13" i="3"/>
  <c r="P14" i="3"/>
  <c r="Q14" i="3"/>
  <c r="R14" i="3"/>
  <c r="P15" i="3"/>
  <c r="Q15" i="3"/>
  <c r="R15" i="3"/>
  <c r="P16" i="3"/>
  <c r="Q16" i="3"/>
  <c r="R16" i="3"/>
  <c r="P17" i="3"/>
  <c r="Q17" i="3"/>
  <c r="R17" i="3"/>
  <c r="P18" i="3"/>
  <c r="U31" i="3" s="1"/>
  <c r="V30" i="3" s="1"/>
  <c r="Q18" i="3"/>
  <c r="R18" i="3"/>
  <c r="P19" i="3"/>
  <c r="Q19" i="3"/>
  <c r="R19" i="3"/>
  <c r="P20" i="3"/>
  <c r="Q20" i="3"/>
  <c r="R20" i="3"/>
  <c r="P21" i="3"/>
  <c r="Q21" i="3"/>
  <c r="R21" i="3"/>
  <c r="R3" i="3"/>
  <c r="Q3" i="3"/>
  <c r="V31" i="3" s="1"/>
  <c r="P3" i="3"/>
  <c r="K4" i="3"/>
  <c r="R28" i="3" s="1"/>
  <c r="S27" i="3" s="1"/>
  <c r="L4" i="3"/>
  <c r="S32" i="3" s="1"/>
  <c r="W28" i="3" s="1"/>
  <c r="M4" i="3"/>
  <c r="K5" i="3"/>
  <c r="L5" i="3"/>
  <c r="M5" i="3"/>
  <c r="K6" i="3"/>
  <c r="L6" i="3"/>
  <c r="M6" i="3"/>
  <c r="K7" i="3"/>
  <c r="L7" i="3"/>
  <c r="M7" i="3"/>
  <c r="K8" i="3"/>
  <c r="L8" i="3"/>
  <c r="M8" i="3"/>
  <c r="K9" i="3"/>
  <c r="L9" i="3"/>
  <c r="M9" i="3"/>
  <c r="K10" i="3"/>
  <c r="L10" i="3"/>
  <c r="M10" i="3"/>
  <c r="K11" i="3"/>
  <c r="L11" i="3"/>
  <c r="M11" i="3"/>
  <c r="K12" i="3"/>
  <c r="L12" i="3"/>
  <c r="M12" i="3"/>
  <c r="K13" i="3"/>
  <c r="L13" i="3"/>
  <c r="M13" i="3"/>
  <c r="K14" i="3"/>
  <c r="L14" i="3"/>
  <c r="M14" i="3"/>
  <c r="K15" i="3"/>
  <c r="L15" i="3"/>
  <c r="M15" i="3"/>
  <c r="K16" i="3"/>
  <c r="L16" i="3"/>
  <c r="M16" i="3"/>
  <c r="K17" i="3"/>
  <c r="L17" i="3"/>
  <c r="M17" i="3"/>
  <c r="K18" i="3"/>
  <c r="L18" i="3"/>
  <c r="M18" i="3"/>
  <c r="K19" i="3"/>
  <c r="L19" i="3"/>
  <c r="M19" i="3"/>
  <c r="K20" i="3"/>
  <c r="L20" i="3"/>
  <c r="M20" i="3"/>
  <c r="K21" i="3"/>
  <c r="L21" i="3"/>
  <c r="M21" i="3"/>
  <c r="K22" i="3"/>
  <c r="L22" i="3"/>
  <c r="M22" i="3"/>
  <c r="M3" i="3"/>
  <c r="T30" i="3" s="1"/>
  <c r="U29" i="3" s="1"/>
  <c r="L3" i="3"/>
  <c r="S30" i="3" s="1"/>
  <c r="U28" i="3" s="1"/>
  <c r="K3" i="3"/>
  <c r="R31" i="3" s="1"/>
  <c r="V27" i="3" s="1"/>
  <c r="K2" i="2"/>
  <c r="AF23" i="1"/>
  <c r="AF27" i="1"/>
  <c r="AG27" i="1"/>
  <c r="AH27" i="1"/>
  <c r="AI27" i="1"/>
  <c r="AF28" i="1"/>
  <c r="AG28" i="1"/>
  <c r="AH28" i="1"/>
  <c r="AI28" i="1"/>
  <c r="AE28" i="1"/>
  <c r="AE27" i="1"/>
  <c r="K72" i="1"/>
  <c r="L71" i="1" s="1"/>
  <c r="J72" i="1"/>
  <c r="L70" i="1" s="1"/>
  <c r="I72" i="1"/>
  <c r="L69" i="1" s="1"/>
  <c r="H72" i="1"/>
  <c r="L68" i="1" s="1"/>
  <c r="G72" i="1"/>
  <c r="L67" i="1" s="1"/>
  <c r="J71" i="1"/>
  <c r="K70" i="1" s="1"/>
  <c r="I71" i="1"/>
  <c r="K69" i="1" s="1"/>
  <c r="H71" i="1"/>
  <c r="K68" i="1" s="1"/>
  <c r="G71" i="1"/>
  <c r="K67" i="1" s="1"/>
  <c r="I70" i="1"/>
  <c r="J69" i="1" s="1"/>
  <c r="H70" i="1"/>
  <c r="J68" i="1" s="1"/>
  <c r="G70" i="1"/>
  <c r="J67" i="1" s="1"/>
  <c r="H69" i="1"/>
  <c r="I68" i="1" s="1"/>
  <c r="G69" i="1"/>
  <c r="I67" i="1" s="1"/>
  <c r="G68" i="1"/>
  <c r="H67" i="1" s="1"/>
  <c r="L72" i="1"/>
  <c r="K71" i="1"/>
  <c r="J70" i="1"/>
  <c r="I69" i="1"/>
  <c r="H68" i="1"/>
  <c r="G67" i="1"/>
  <c r="Z10" i="1"/>
  <c r="AA10" i="1" s="1"/>
  <c r="Z9" i="1"/>
  <c r="M116" i="1" l="1"/>
  <c r="M117" i="1"/>
  <c r="U32" i="3"/>
  <c r="W30" i="3" s="1"/>
  <c r="D33" i="4"/>
  <c r="S28" i="3"/>
  <c r="R29" i="3"/>
  <c r="T27" i="3" s="1"/>
  <c r="T32" i="3"/>
  <c r="W29" i="3" s="1"/>
  <c r="S31" i="3"/>
  <c r="V28" i="3" s="1"/>
  <c r="R27" i="3"/>
  <c r="R30" i="3"/>
  <c r="U27" i="3" s="1"/>
  <c r="T31" i="3"/>
  <c r="V29" i="3" s="1"/>
  <c r="S29" i="3"/>
  <c r="T28" i="3" s="1"/>
  <c r="T29" i="3"/>
  <c r="Z11" i="1"/>
  <c r="AA31" i="1"/>
  <c r="AB33" i="1" s="1"/>
  <c r="L4" i="2" s="1"/>
  <c r="J35" i="1"/>
  <c r="L33" i="1" s="1"/>
  <c r="I35" i="1"/>
  <c r="L32" i="1" s="1"/>
  <c r="I34" i="1"/>
  <c r="K32" i="1" s="1"/>
  <c r="H35" i="1"/>
  <c r="L31" i="1" s="1"/>
  <c r="H34" i="1"/>
  <c r="K31" i="1" s="1"/>
  <c r="H33" i="1"/>
  <c r="G35" i="1"/>
  <c r="L30" i="1" s="1"/>
  <c r="G34" i="1"/>
  <c r="K30" i="1" s="1"/>
  <c r="G33" i="1"/>
  <c r="J30" i="1" s="1"/>
  <c r="G32" i="1"/>
  <c r="I30" i="1" s="1"/>
  <c r="AF7" i="1"/>
  <c r="AF6" i="1"/>
  <c r="AA23" i="1"/>
  <c r="K52" i="1"/>
  <c r="L51" i="1" s="1"/>
  <c r="J52" i="1"/>
  <c r="L50" i="1" s="1"/>
  <c r="J51" i="1"/>
  <c r="K50" i="1" s="1"/>
  <c r="I51" i="1"/>
  <c r="K49" i="1" s="1"/>
  <c r="I52" i="1"/>
  <c r="L49" i="1" s="1"/>
  <c r="I50" i="1"/>
  <c r="J49" i="1" s="1"/>
  <c r="H50" i="1"/>
  <c r="H51" i="1"/>
  <c r="K48" i="1" s="1"/>
  <c r="H52" i="1"/>
  <c r="L48" i="1" s="1"/>
  <c r="H49" i="1"/>
  <c r="I48" i="1" s="1"/>
  <c r="B68" i="1"/>
  <c r="Z4" i="1"/>
  <c r="Q114" i="1" s="1"/>
  <c r="Z3" i="1"/>
  <c r="Q113" i="1" s="1"/>
  <c r="U25" i="1"/>
  <c r="F17" i="2" s="1"/>
  <c r="U24" i="1"/>
  <c r="F16" i="2" s="1"/>
  <c r="B69" i="1"/>
  <c r="B61" i="1"/>
  <c r="B60" i="1"/>
  <c r="B49" i="1"/>
  <c r="B48" i="1"/>
  <c r="B41" i="1"/>
  <c r="B40" i="1"/>
  <c r="B32" i="1"/>
  <c r="B23" i="1"/>
  <c r="B31" i="1"/>
  <c r="B13" i="1"/>
  <c r="B12" i="1"/>
  <c r="G12" i="1"/>
  <c r="H11" i="1" s="1"/>
  <c r="B5" i="1"/>
  <c r="B4" i="1"/>
  <c r="P4" i="1" s="1"/>
  <c r="T3" i="1" s="1"/>
  <c r="V7" i="1"/>
  <c r="V6" i="1"/>
  <c r="V5" i="1"/>
  <c r="V4" i="1"/>
  <c r="V3" i="1"/>
  <c r="U7" i="1"/>
  <c r="U6" i="1"/>
  <c r="U5" i="1"/>
  <c r="U4" i="1"/>
  <c r="U3" i="1"/>
  <c r="AB9" i="1" s="1"/>
  <c r="P12" i="1"/>
  <c r="P3" i="1"/>
  <c r="S3" i="1" s="1"/>
  <c r="H63" i="1"/>
  <c r="K60" i="1" s="1"/>
  <c r="J48" i="1"/>
  <c r="L52" i="1"/>
  <c r="K51" i="1"/>
  <c r="J50" i="1"/>
  <c r="I49" i="1"/>
  <c r="H48" i="1"/>
  <c r="J31" i="1"/>
  <c r="I31" i="1"/>
  <c r="K35" i="1"/>
  <c r="L34" i="1" s="1"/>
  <c r="J34" i="1"/>
  <c r="K33" i="1" s="1"/>
  <c r="I33" i="1"/>
  <c r="J32" i="1" s="1"/>
  <c r="H32" i="1"/>
  <c r="L35" i="1"/>
  <c r="K34" i="1"/>
  <c r="J33" i="1"/>
  <c r="I32" i="1"/>
  <c r="H31" i="1"/>
  <c r="G31" i="1"/>
  <c r="H30" i="1" s="1"/>
  <c r="G26" i="1"/>
  <c r="L21" i="1" s="1"/>
  <c r="G25" i="1"/>
  <c r="K21" i="1" s="1"/>
  <c r="G24" i="1"/>
  <c r="H25" i="1" s="1"/>
  <c r="K22" i="1" s="1"/>
  <c r="L13" i="1"/>
  <c r="K16" i="1"/>
  <c r="L15" i="1" s="1"/>
  <c r="J16" i="1"/>
  <c r="L14" i="1" s="1"/>
  <c r="J15" i="1"/>
  <c r="K14" i="1" s="1"/>
  <c r="I15" i="1"/>
  <c r="K13" i="1" s="1"/>
  <c r="I16" i="1"/>
  <c r="I14" i="1"/>
  <c r="J13" i="1" s="1"/>
  <c r="H14" i="1"/>
  <c r="J12" i="1" s="1"/>
  <c r="H15" i="1"/>
  <c r="K12" i="1" s="1"/>
  <c r="H16" i="1"/>
  <c r="L12" i="1" s="1"/>
  <c r="L16" i="1"/>
  <c r="K15" i="1"/>
  <c r="J14" i="1"/>
  <c r="I13" i="1"/>
  <c r="H13" i="1"/>
  <c r="I12" i="1" s="1"/>
  <c r="H12" i="1"/>
  <c r="G16" i="1"/>
  <c r="L11" i="1" s="1"/>
  <c r="G13" i="1"/>
  <c r="I11" i="1" s="1"/>
  <c r="G14" i="1"/>
  <c r="J11" i="1" s="1"/>
  <c r="G15" i="1"/>
  <c r="K11" i="1" s="1"/>
  <c r="I8" i="1"/>
  <c r="L5" i="1" s="1"/>
  <c r="H7" i="1"/>
  <c r="K4" i="1" s="1"/>
  <c r="H8" i="1"/>
  <c r="L4" i="1" s="1"/>
  <c r="L8" i="1"/>
  <c r="K8" i="1"/>
  <c r="L7" i="1" s="1"/>
  <c r="K7" i="1"/>
  <c r="J8" i="1"/>
  <c r="L6" i="1" s="1"/>
  <c r="J7" i="1"/>
  <c r="K6" i="1" s="1"/>
  <c r="J6" i="1"/>
  <c r="I7" i="1"/>
  <c r="K5" i="1" s="1"/>
  <c r="I6" i="1"/>
  <c r="J5" i="1" s="1"/>
  <c r="I5" i="1"/>
  <c r="H6" i="1"/>
  <c r="J4" i="1" s="1"/>
  <c r="H5" i="1"/>
  <c r="I4" i="1" s="1"/>
  <c r="H4" i="1"/>
  <c r="G8" i="1"/>
  <c r="L3" i="1" s="1"/>
  <c r="G5" i="1"/>
  <c r="G6" i="1"/>
  <c r="J3" i="1" s="1"/>
  <c r="G7" i="1"/>
  <c r="K3" i="1" s="1"/>
  <c r="G3" i="1"/>
  <c r="G4" i="1"/>
  <c r="I3" i="1" s="1"/>
  <c r="G64" i="1"/>
  <c r="L59" i="1" s="1"/>
  <c r="G63" i="1"/>
  <c r="K59" i="1" s="1"/>
  <c r="G62" i="1"/>
  <c r="J59" i="1" s="1"/>
  <c r="G61" i="1"/>
  <c r="J64" i="1" s="1"/>
  <c r="L62" i="1" s="1"/>
  <c r="G60" i="1"/>
  <c r="K64" i="1" s="1"/>
  <c r="L63" i="1" s="1"/>
  <c r="G59" i="1"/>
  <c r="L64" i="1" s="1"/>
  <c r="G52" i="1"/>
  <c r="L47" i="1" s="1"/>
  <c r="G49" i="1"/>
  <c r="I47" i="1" s="1"/>
  <c r="G50" i="1"/>
  <c r="J47" i="1" s="1"/>
  <c r="G51" i="1"/>
  <c r="K47" i="1" s="1"/>
  <c r="G48" i="1"/>
  <c r="H47" i="1" s="1"/>
  <c r="G47" i="1"/>
  <c r="G39" i="1"/>
  <c r="K43" i="1" s="1"/>
  <c r="G30" i="1"/>
  <c r="G23" i="1"/>
  <c r="I25" i="1" s="1"/>
  <c r="K23" i="1" s="1"/>
  <c r="G22" i="1"/>
  <c r="H21" i="1" s="1"/>
  <c r="G21" i="1"/>
  <c r="I23" i="1" s="1"/>
  <c r="G11" i="1"/>
  <c r="H64" i="1" l="1"/>
  <c r="L60" i="1" s="1"/>
  <c r="L44" i="1"/>
  <c r="G41" i="1"/>
  <c r="I43" i="1" s="1"/>
  <c r="K41" i="1" s="1"/>
  <c r="J21" i="1"/>
  <c r="G40" i="1"/>
  <c r="I42" i="1" s="1"/>
  <c r="J41" i="1" s="1"/>
  <c r="G43" i="1"/>
  <c r="K39" i="1" s="1"/>
  <c r="I26" i="1"/>
  <c r="L23" i="1" s="1"/>
  <c r="J26" i="1"/>
  <c r="L24" i="1" s="1"/>
  <c r="H3" i="1"/>
  <c r="H26" i="1"/>
  <c r="L22" i="1" s="1"/>
  <c r="I24" i="1"/>
  <c r="J23" i="1" s="1"/>
  <c r="J25" i="1"/>
  <c r="K24" i="1" s="1"/>
  <c r="K44" i="1"/>
  <c r="L43" i="1" s="1"/>
  <c r="H62" i="1"/>
  <c r="J60" i="1" s="1"/>
  <c r="H59" i="1"/>
  <c r="J24" i="1"/>
  <c r="J63" i="1"/>
  <c r="K62" i="1" s="1"/>
  <c r="K26" i="1"/>
  <c r="L25" i="1" s="1"/>
  <c r="G44" i="1"/>
  <c r="L39" i="1" s="1"/>
  <c r="H42" i="1"/>
  <c r="J40" i="1" s="1"/>
  <c r="H39" i="1"/>
  <c r="H60" i="1"/>
  <c r="H61" i="1"/>
  <c r="I60" i="1" s="1"/>
  <c r="I59" i="1"/>
  <c r="H24" i="1"/>
  <c r="J22" i="1" s="1"/>
  <c r="L26" i="1"/>
  <c r="H40" i="1"/>
  <c r="H41" i="1"/>
  <c r="I40" i="1" s="1"/>
  <c r="I39" i="1"/>
  <c r="I61" i="1"/>
  <c r="I64" i="1"/>
  <c r="L61" i="1" s="1"/>
  <c r="H23" i="1"/>
  <c r="I22" i="1" s="1"/>
  <c r="I41" i="1"/>
  <c r="J62" i="1"/>
  <c r="I63" i="1"/>
  <c r="K61" i="1" s="1"/>
  <c r="H22" i="1"/>
  <c r="I21" i="1"/>
  <c r="J42" i="1"/>
  <c r="K63" i="1"/>
  <c r="I62" i="1"/>
  <c r="J61" i="1" s="1"/>
  <c r="P11" i="1"/>
  <c r="S8" i="1" s="1"/>
  <c r="K25" i="1"/>
  <c r="G42" i="1"/>
  <c r="P8" i="1"/>
  <c r="T5" i="1" s="1"/>
  <c r="L3" i="4" a="1"/>
  <c r="AA33" i="1"/>
  <c r="K4" i="2" s="1"/>
  <c r="AD33" i="1"/>
  <c r="N4" i="2" s="1"/>
  <c r="AC33" i="1"/>
  <c r="M4" i="2" s="1"/>
  <c r="Z33" i="1"/>
  <c r="J4" i="2" s="1"/>
  <c r="AA4" i="1"/>
  <c r="Z31" i="1"/>
  <c r="P7" i="1"/>
  <c r="S5" i="1" s="1"/>
  <c r="P6" i="1"/>
  <c r="T4" i="1" s="1"/>
  <c r="P10" i="1"/>
  <c r="T7" i="1" s="1"/>
  <c r="P9" i="1"/>
  <c r="P5" i="1"/>
  <c r="S4" i="1" s="1"/>
  <c r="Z7" i="1" l="1"/>
  <c r="R114" i="1"/>
  <c r="R113" i="1" s="1"/>
  <c r="H44" i="1"/>
  <c r="L40" i="1" s="1"/>
  <c r="J43" i="1"/>
  <c r="K42" i="1" s="1"/>
  <c r="J44" i="1"/>
  <c r="L42" i="1" s="1"/>
  <c r="T8" i="1"/>
  <c r="AA9" i="1"/>
  <c r="J39" i="1"/>
  <c r="I44" i="1"/>
  <c r="L41" i="1" s="1"/>
  <c r="H43" i="1"/>
  <c r="K40" i="1" s="1"/>
  <c r="O3" i="4"/>
  <c r="N27" i="4"/>
  <c r="N23" i="4"/>
  <c r="N19" i="4"/>
  <c r="N15" i="4"/>
  <c r="N11" i="4"/>
  <c r="N7" i="4"/>
  <c r="N3" i="4"/>
  <c r="M22" i="4"/>
  <c r="M17" i="4"/>
  <c r="M13" i="4"/>
  <c r="M9" i="4"/>
  <c r="M5" i="4"/>
  <c r="M20" i="4"/>
  <c r="L25" i="4"/>
  <c r="L21" i="4"/>
  <c r="L17" i="4"/>
  <c r="L13" i="4"/>
  <c r="L9" i="4"/>
  <c r="L5" i="4"/>
  <c r="O26" i="4"/>
  <c r="O22" i="4"/>
  <c r="O18" i="4"/>
  <c r="O14" i="4"/>
  <c r="O10" i="4"/>
  <c r="O6" i="4"/>
  <c r="N26" i="4"/>
  <c r="N22" i="4"/>
  <c r="N18" i="4"/>
  <c r="N14" i="4"/>
  <c r="N10" i="4"/>
  <c r="N6" i="4"/>
  <c r="M27" i="4"/>
  <c r="M21" i="4"/>
  <c r="M16" i="4"/>
  <c r="M12" i="4"/>
  <c r="M8" i="4"/>
  <c r="M3" i="4"/>
  <c r="M4" i="4"/>
  <c r="L24" i="4"/>
  <c r="L20" i="4"/>
  <c r="L16" i="4"/>
  <c r="L12" i="4"/>
  <c r="L8" i="4"/>
  <c r="L4" i="4"/>
  <c r="O25" i="4"/>
  <c r="O21" i="4"/>
  <c r="O17" i="4"/>
  <c r="O13" i="4"/>
  <c r="O9" i="4"/>
  <c r="O5" i="4"/>
  <c r="N25" i="4"/>
  <c r="N21" i="4"/>
  <c r="N17" i="4"/>
  <c r="N13" i="4"/>
  <c r="N9" i="4"/>
  <c r="N5" i="4"/>
  <c r="M25" i="4"/>
  <c r="M19" i="4"/>
  <c r="M15" i="4"/>
  <c r="M11" i="4"/>
  <c r="M7" i="4"/>
  <c r="M26" i="4"/>
  <c r="L27" i="4"/>
  <c r="L23" i="4"/>
  <c r="L19" i="4"/>
  <c r="L15" i="4"/>
  <c r="L11" i="4"/>
  <c r="L7" i="4"/>
  <c r="L3" i="4"/>
  <c r="O24" i="4"/>
  <c r="O20" i="4"/>
  <c r="O16" i="4"/>
  <c r="O12" i="4"/>
  <c r="O8" i="4"/>
  <c r="O4" i="4"/>
  <c r="N24" i="4"/>
  <c r="N20" i="4"/>
  <c r="N16" i="4"/>
  <c r="N12" i="4"/>
  <c r="N8" i="4"/>
  <c r="N4" i="4"/>
  <c r="M23" i="4"/>
  <c r="M18" i="4"/>
  <c r="M14" i="4"/>
  <c r="M10" i="4"/>
  <c r="M6" i="4"/>
  <c r="M24" i="4"/>
  <c r="L26" i="4"/>
  <c r="L22" i="4"/>
  <c r="L18" i="4"/>
  <c r="L14" i="4"/>
  <c r="L10" i="4"/>
  <c r="L6" i="4"/>
  <c r="O27" i="4"/>
  <c r="O23" i="4"/>
  <c r="O19" i="4"/>
  <c r="O15" i="4"/>
  <c r="O11" i="4"/>
  <c r="O7" i="4"/>
  <c r="AA3" i="1"/>
  <c r="AB3" i="1"/>
  <c r="P30" i="1" s="1"/>
  <c r="AB32" i="1"/>
  <c r="X37" i="1" s="1"/>
  <c r="X38" i="1" s="1"/>
  <c r="Z32" i="1"/>
  <c r="J3" i="2" s="1"/>
  <c r="AD32" i="1"/>
  <c r="N3" i="2" s="1"/>
  <c r="AA32" i="1"/>
  <c r="K3" i="2" s="1"/>
  <c r="AC32" i="1"/>
  <c r="M3" i="2" s="1"/>
  <c r="S7" i="1"/>
  <c r="T6" i="1"/>
  <c r="S6" i="1"/>
  <c r="Q30" i="1"/>
  <c r="R30" i="1"/>
  <c r="R121" i="1"/>
  <c r="U17" i="1"/>
  <c r="S20" i="1"/>
  <c r="R122" i="1"/>
  <c r="T15" i="1"/>
  <c r="U19" i="1"/>
  <c r="U119" i="1"/>
  <c r="T121" i="1"/>
  <c r="U20" i="1"/>
  <c r="W16" i="1"/>
  <c r="U121" i="1"/>
  <c r="V18" i="1"/>
  <c r="V24" i="1"/>
  <c r="R120" i="1"/>
  <c r="R19" i="1"/>
  <c r="S17" i="1"/>
  <c r="S121" i="1"/>
  <c r="V25" i="1"/>
  <c r="S16" i="1"/>
  <c r="T122" i="1"/>
  <c r="T17" i="1"/>
  <c r="R18" i="1"/>
  <c r="W15" i="1"/>
  <c r="Q122" i="1"/>
  <c r="U16" i="1"/>
  <c r="U15" i="1"/>
  <c r="T120" i="1"/>
  <c r="U122" i="1"/>
  <c r="Q121" i="1"/>
  <c r="R15" i="1"/>
  <c r="W20" i="1"/>
  <c r="T119" i="1"/>
  <c r="Q120" i="1"/>
  <c r="V19" i="1"/>
  <c r="S119" i="1"/>
  <c r="S120" i="1"/>
  <c r="V20" i="1"/>
  <c r="R119" i="1"/>
  <c r="Q119" i="1"/>
  <c r="S18" i="1"/>
  <c r="W19" i="1"/>
  <c r="R16" i="1"/>
  <c r="S122" i="1"/>
  <c r="U120" i="1"/>
  <c r="V17" i="1"/>
  <c r="T19" i="1"/>
  <c r="L3" i="2" l="1"/>
  <c r="X35" i="1"/>
  <c r="X36" i="1" s="1"/>
  <c r="G22" i="2"/>
  <c r="G24" i="2"/>
  <c r="H22" i="2"/>
  <c r="H24" i="2"/>
  <c r="E23" i="2"/>
  <c r="F23" i="2"/>
  <c r="G23" i="2"/>
  <c r="F24" i="2"/>
  <c r="H23" i="2"/>
  <c r="E22" i="2"/>
  <c r="E24" i="2"/>
  <c r="F22" i="2"/>
  <c r="H21" i="2"/>
  <c r="F21" i="2"/>
  <c r="G21" i="2"/>
  <c r="E21" i="2"/>
  <c r="I21" i="2"/>
  <c r="I22" i="2"/>
  <c r="I23" i="2"/>
  <c r="I24" i="2"/>
  <c r="P42" i="1"/>
  <c r="Q42" i="1" s="1"/>
  <c r="V13" i="4"/>
  <c r="U12" i="4"/>
  <c r="U13" i="4"/>
  <c r="T12" i="4"/>
  <c r="T11" i="4"/>
  <c r="T13" i="4"/>
  <c r="U5" i="4"/>
  <c r="T4" i="4"/>
  <c r="N35" i="4"/>
  <c r="L35" i="4"/>
  <c r="T5" i="4"/>
  <c r="U4" i="4" s="1"/>
  <c r="P43" i="1"/>
  <c r="P28" i="1"/>
  <c r="P27" i="1"/>
  <c r="P39" i="1"/>
  <c r="Q39" i="1" s="1"/>
  <c r="P24" i="1"/>
  <c r="P26" i="1"/>
  <c r="P32" i="1"/>
  <c r="P25" i="1"/>
  <c r="P34" i="1"/>
  <c r="G16" i="2"/>
  <c r="G17" i="2"/>
  <c r="P38" i="1"/>
  <c r="P41" i="1"/>
  <c r="P40" i="1"/>
  <c r="Q40" i="1" s="1"/>
  <c r="P37" i="1"/>
  <c r="R37" i="1" s="1"/>
  <c r="P35" i="1"/>
  <c r="R35" i="1" s="1"/>
  <c r="P44" i="1"/>
  <c r="P36" i="1"/>
  <c r="P33" i="1"/>
  <c r="P29" i="1"/>
  <c r="P31" i="1"/>
  <c r="AF33" i="1"/>
  <c r="AF32" i="1"/>
  <c r="K9" i="2"/>
  <c r="F11" i="2"/>
  <c r="F12" i="2"/>
  <c r="J13" i="2"/>
  <c r="J10" i="2"/>
  <c r="G13" i="2"/>
  <c r="K13" i="2"/>
  <c r="G10" i="2"/>
  <c r="G9" i="2"/>
  <c r="K8" i="2"/>
  <c r="F9" i="2"/>
  <c r="H8" i="2"/>
  <c r="F8" i="2"/>
  <c r="I9" i="2"/>
  <c r="J11" i="2"/>
  <c r="K12" i="2"/>
  <c r="I8" i="2"/>
  <c r="I12" i="2"/>
  <c r="I10" i="2"/>
  <c r="G11" i="2"/>
  <c r="H10" i="2"/>
  <c r="H12" i="2"/>
  <c r="J12" i="2"/>
  <c r="I13" i="2"/>
  <c r="C14" i="2"/>
  <c r="B14" i="2"/>
  <c r="Q36" i="1"/>
  <c r="Q35" i="1"/>
  <c r="Q37" i="1"/>
  <c r="R43" i="1"/>
  <c r="R42" i="1"/>
  <c r="R40" i="1"/>
  <c r="Q44" i="1"/>
  <c r="R44" i="1"/>
  <c r="Q38" i="1"/>
  <c r="R36" i="1"/>
  <c r="Q41" i="1"/>
  <c r="Q43" i="1"/>
  <c r="R41" i="1"/>
  <c r="Q33" i="1"/>
  <c r="Q32" i="1"/>
  <c r="R31" i="1"/>
  <c r="Q34" i="1"/>
  <c r="R32" i="1"/>
  <c r="R33" i="1"/>
  <c r="R34" i="1"/>
  <c r="Q31" i="1"/>
  <c r="R29" i="1"/>
  <c r="R27" i="1"/>
  <c r="Q27" i="1"/>
  <c r="R26" i="1"/>
  <c r="Q26" i="1"/>
  <c r="Q28" i="1"/>
  <c r="R28" i="1"/>
  <c r="Q29" i="1"/>
  <c r="AE20" i="1"/>
  <c r="AE17" i="1"/>
  <c r="AC16" i="1"/>
  <c r="V15" i="1"/>
  <c r="AF15" i="1"/>
  <c r="T20" i="1"/>
  <c r="AE15" i="1"/>
  <c r="AA20" i="1"/>
  <c r="S15" i="1"/>
  <c r="AD20" i="1"/>
  <c r="V16" i="1"/>
  <c r="AE18" i="1"/>
  <c r="AB18" i="1"/>
  <c r="AA19" i="1"/>
  <c r="W17" i="1"/>
  <c r="U18" i="1"/>
  <c r="R20" i="1"/>
  <c r="T18" i="1"/>
  <c r="AA18" i="1"/>
  <c r="AB17" i="1"/>
  <c r="AE16" i="1"/>
  <c r="AB15" i="1"/>
  <c r="AD18" i="1"/>
  <c r="AC15" i="1"/>
  <c r="AA15" i="1"/>
  <c r="AC19" i="1"/>
  <c r="AF18" i="1"/>
  <c r="AF20" i="1"/>
  <c r="AC18" i="1"/>
  <c r="Q24" i="1"/>
  <c r="AD19" i="1"/>
  <c r="AD16" i="1"/>
  <c r="S19" i="1"/>
  <c r="W18" i="1"/>
  <c r="T16" i="1"/>
  <c r="AD15" i="1"/>
  <c r="R24" i="1"/>
  <c r="AD17" i="1"/>
  <c r="AE19" i="1"/>
  <c r="R17" i="1"/>
  <c r="AB19" i="1"/>
  <c r="AF17" i="1"/>
  <c r="AA16" i="1"/>
  <c r="AB20" i="1"/>
  <c r="AC20" i="1"/>
  <c r="AB16" i="1"/>
  <c r="AA17" i="1"/>
  <c r="AC17" i="1"/>
  <c r="AF19" i="1"/>
  <c r="Q25" i="1"/>
  <c r="R25" i="1"/>
  <c r="AF16" i="1"/>
  <c r="B26" i="2" l="1"/>
  <c r="H13" i="2"/>
  <c r="G12" i="2"/>
  <c r="K10" i="2"/>
  <c r="H11" i="2"/>
  <c r="J9" i="2"/>
  <c r="H9" i="2"/>
  <c r="F13" i="2"/>
  <c r="J8" i="2"/>
  <c r="I11" i="2"/>
  <c r="G8" i="2"/>
  <c r="K11" i="2"/>
  <c r="F10" i="2"/>
  <c r="B9" i="2"/>
  <c r="C9" i="2"/>
  <c r="B10" i="2"/>
  <c r="C10" i="2"/>
  <c r="C18" i="2"/>
  <c r="B8" i="2"/>
  <c r="C8" i="2"/>
  <c r="C15" i="2"/>
  <c r="C19" i="2"/>
  <c r="B22" i="2"/>
  <c r="AG32" i="1"/>
  <c r="AH32" i="1" s="1"/>
  <c r="Z35" i="1" s="1"/>
  <c r="C28" i="2"/>
  <c r="B28" i="2"/>
  <c r="B18" i="2"/>
  <c r="C26" i="2"/>
  <c r="C12" i="2"/>
  <c r="C13" i="2"/>
  <c r="C11" i="2"/>
  <c r="C17" i="2"/>
  <c r="C24" i="2"/>
  <c r="C21" i="2"/>
  <c r="C25" i="2"/>
  <c r="C27" i="2"/>
  <c r="C16" i="2"/>
  <c r="C20" i="2"/>
  <c r="B13" i="2"/>
  <c r="B12" i="2"/>
  <c r="B11" i="2"/>
  <c r="B17" i="2"/>
  <c r="B24" i="2"/>
  <c r="B23" i="2"/>
  <c r="B15" i="2"/>
  <c r="B16" i="2"/>
  <c r="B20" i="2"/>
  <c r="B19" i="2"/>
  <c r="B21" i="2"/>
  <c r="B25" i="2"/>
  <c r="B27" i="2"/>
  <c r="R39" i="1"/>
  <c r="R38" i="1"/>
  <c r="Z36" i="1" l="1"/>
  <c r="C22" i="2"/>
  <c r="C23" i="2"/>
  <c r="V6" i="4"/>
  <c r="U6" i="4"/>
  <c r="V5" i="4" s="1"/>
  <c r="T6" i="4"/>
  <c r="V4" i="4" s="1"/>
  <c r="V7" i="4"/>
  <c r="W6" i="4" s="1"/>
  <c r="U7" i="4"/>
  <c r="W5" i="4" s="1"/>
  <c r="M35" i="4"/>
  <c r="W7" i="4" l="1"/>
  <c r="T7" i="4"/>
  <c r="W4" i="4" s="1"/>
</calcChain>
</file>

<file path=xl/sharedStrings.xml><?xml version="1.0" encoding="utf-8"?>
<sst xmlns="http://schemas.openxmlformats.org/spreadsheetml/2006/main" count="477" uniqueCount="192">
  <si>
    <t>CS</t>
  </si>
  <si>
    <t>Time=1*Rep=1</t>
  </si>
  <si>
    <t>Time=1*Rep=2</t>
  </si>
  <si>
    <t>Time=1*Rep=3</t>
  </si>
  <si>
    <t>CSH</t>
  </si>
  <si>
    <t>CSH Rho</t>
  </si>
  <si>
    <t>AR1</t>
  </si>
  <si>
    <t>Rho</t>
  </si>
  <si>
    <t>ARH1</t>
  </si>
  <si>
    <t>ARH1 Rho</t>
  </si>
  <si>
    <t>TP</t>
  </si>
  <si>
    <t>Rho1</t>
  </si>
  <si>
    <t>Rho2</t>
  </si>
  <si>
    <t>Rho3</t>
  </si>
  <si>
    <t>Rho4</t>
  </si>
  <si>
    <t>Rho5</t>
  </si>
  <si>
    <t>Estimate</t>
  </si>
  <si>
    <t>TPH</t>
  </si>
  <si>
    <t>ARMA</t>
  </si>
  <si>
    <t>Phi</t>
  </si>
  <si>
    <t>UN</t>
  </si>
  <si>
    <t>UN (1,1)</t>
  </si>
  <si>
    <t>UN (2,1)</t>
  </si>
  <si>
    <t>UN (2,2)</t>
  </si>
  <si>
    <t>UN (3,1)</t>
  </si>
  <si>
    <t>UN (3,2)</t>
  </si>
  <si>
    <t>UN (3,3)</t>
  </si>
  <si>
    <t>UN (4,1)</t>
  </si>
  <si>
    <t>UN (4,2)</t>
  </si>
  <si>
    <t>UN (4,3)</t>
  </si>
  <si>
    <t>UN (4,4)</t>
  </si>
  <si>
    <t>UN (5,1)</t>
  </si>
  <si>
    <t>UN (5,2)</t>
  </si>
  <si>
    <t>UN (5,3)</t>
  </si>
  <si>
    <t>UN (5,4)</t>
  </si>
  <si>
    <t>UN (5,5)</t>
  </si>
  <si>
    <t>UN (6,1)</t>
  </si>
  <si>
    <t>UN (6,2)</t>
  </si>
  <si>
    <t>UN (6,3)</t>
  </si>
  <si>
    <t>UN (6,4)</t>
  </si>
  <si>
    <t>UN (6,5)</t>
  </si>
  <si>
    <t>UN (6,6)</t>
  </si>
  <si>
    <t>[T1;R1]</t>
  </si>
  <si>
    <t>[T1;R2]</t>
  </si>
  <si>
    <t>[T1;R3]</t>
  </si>
  <si>
    <t>[T2;R1]</t>
  </si>
  <si>
    <t>[T2;R2]</t>
  </si>
  <si>
    <t>[T2;R3]</t>
  </si>
  <si>
    <t>Collumn</t>
  </si>
  <si>
    <t>Hetrogenous</t>
  </si>
  <si>
    <t>Structure</t>
  </si>
  <si>
    <t>Hetrogenous?</t>
  </si>
  <si>
    <t>No</t>
  </si>
  <si>
    <t>Offset</t>
  </si>
  <si>
    <t>Var [T1;R1]</t>
  </si>
  <si>
    <t>Var [T1;R2]</t>
  </si>
  <si>
    <t>Var [T1;R3]</t>
  </si>
  <si>
    <t>Var [T2;R1]</t>
  </si>
  <si>
    <t>Var [T2;R2]</t>
  </si>
  <si>
    <t>Var [T2;R3]</t>
  </si>
  <si>
    <t>Diagonal</t>
  </si>
  <si>
    <t>Row</t>
  </si>
  <si>
    <t>Par</t>
  </si>
  <si>
    <t>Covariance</t>
  </si>
  <si>
    <t>Variance</t>
  </si>
  <si>
    <t>i is the diagonal, we have 5 so i ranges from 1 to 5</t>
  </si>
  <si>
    <t>j is the diagonal offset, which can be 1 to 4</t>
  </si>
  <si>
    <t>AIC</t>
  </si>
  <si>
    <t>BIC</t>
  </si>
  <si>
    <t>Compound Symmetry (CS)</t>
  </si>
  <si>
    <t>First-Order Autoregressive (AR1)</t>
  </si>
  <si>
    <t>Toeplitz (TP)</t>
  </si>
  <si>
    <t>Autoregressive Moving Average (ARMA)</t>
  </si>
  <si>
    <t>Unstructured (UN)</t>
  </si>
  <si>
    <t>Heterogenous Compound Symmetry (CSH)</t>
  </si>
  <si>
    <t>Heterogenous First-Order Autoregressive (ARH1)</t>
  </si>
  <si>
    <t>Heterogenous Toeplitz (TPH)</t>
  </si>
  <si>
    <t>Parameters</t>
  </si>
  <si>
    <t>PP</t>
  </si>
  <si>
    <t>Reps</t>
  </si>
  <si>
    <t>Time</t>
  </si>
  <si>
    <t>Score</t>
  </si>
  <si>
    <t>Rep1</t>
  </si>
  <si>
    <t>Rep2</t>
  </si>
  <si>
    <t>Rep3</t>
  </si>
  <si>
    <t>.079966</t>
  </si>
  <si>
    <t>.041707</t>
  </si>
  <si>
    <t>.012208</t>
  </si>
  <si>
    <t>.002474</t>
  </si>
  <si>
    <t>.018715</t>
  </si>
  <si>
    <t>-.023002</t>
  </si>
  <si>
    <t>.090535</t>
  </si>
  <si>
    <t>-.000667</t>
  </si>
  <si>
    <t>-.009685</t>
  </si>
  <si>
    <t>.029274</t>
  </si>
  <si>
    <t>.006531</t>
  </si>
  <si>
    <t>.086879</t>
  </si>
  <si>
    <t>.023354</t>
  </si>
  <si>
    <t>.011137</t>
  </si>
  <si>
    <t>-.048401</t>
  </si>
  <si>
    <t>.084949</t>
  </si>
  <si>
    <t>.012414</t>
  </si>
  <si>
    <t>.015236</t>
  </si>
  <si>
    <t>.060174</t>
  </si>
  <si>
    <t>-.014588</t>
  </si>
  <si>
    <t>.120216</t>
  </si>
  <si>
    <t>By Hand</t>
  </si>
  <si>
    <t>Var[T1;R1]</t>
  </si>
  <si>
    <t>Var[T1;R2]</t>
  </si>
  <si>
    <t>Var[T1;R3]</t>
  </si>
  <si>
    <t>Var[T2;R1]</t>
  </si>
  <si>
    <t>Var[T2;R2]</t>
  </si>
  <si>
    <t>Var[T2;R3]</t>
  </si>
  <si>
    <t>Var</t>
  </si>
  <si>
    <t>Covar[T1;R2]-[T1;R1]</t>
  </si>
  <si>
    <t>Covar[T1;R3]-[T1;R1]</t>
  </si>
  <si>
    <t>Covar[T2;R1]-[T1;R1]</t>
  </si>
  <si>
    <t>Covar[T2;R2]-[T1;R1]</t>
  </si>
  <si>
    <t>Covar[T2;R3]-[T1;R1]</t>
  </si>
  <si>
    <t>Covar[T1;R3]-[T1;R2]</t>
  </si>
  <si>
    <t>Covar[T2;R1]-[T1;R2]</t>
  </si>
  <si>
    <t>Covar[T2;R2]-[T1;R2]</t>
  </si>
  <si>
    <t>Covar[T2;R3]-[T1;R2]</t>
  </si>
  <si>
    <t>Covar[T2;R1]-[T1;R3]</t>
  </si>
  <si>
    <t>Covar[T2;R2]-[T1;R3]</t>
  </si>
  <si>
    <t>Covar[T2;R3]-[T1;R3]</t>
  </si>
  <si>
    <t>Covar[T2;R2]-[T2;R1]</t>
  </si>
  <si>
    <t>Covar[T2;R3]-[T2;R1]</t>
  </si>
  <si>
    <t>Covar[T2;R3]-[T2;R2]</t>
  </si>
  <si>
    <t>Manually</t>
  </si>
  <si>
    <t>Selected (Left)</t>
  </si>
  <si>
    <t>Compare (Right)</t>
  </si>
  <si>
    <t>Z1</t>
  </si>
  <si>
    <t>Z2</t>
  </si>
  <si>
    <t>Mean</t>
  </si>
  <si>
    <t>SD</t>
  </si>
  <si>
    <t>rho</t>
  </si>
  <si>
    <t>X</t>
  </si>
  <si>
    <t>Correlation</t>
  </si>
  <si>
    <t>Z3</t>
  </si>
  <si>
    <t>Z4</t>
  </si>
  <si>
    <t>T1</t>
  </si>
  <si>
    <t>T2</t>
  </si>
  <si>
    <t>T3</t>
  </si>
  <si>
    <t>T4</t>
  </si>
  <si>
    <t>Correlation Matrix</t>
  </si>
  <si>
    <t>s1^2</t>
  </si>
  <si>
    <t>s2^2</t>
  </si>
  <si>
    <t>s3^2</t>
  </si>
  <si>
    <t>s1*s2*r</t>
  </si>
  <si>
    <t>s1*s3*r</t>
  </si>
  <si>
    <t>s1*s4*r</t>
  </si>
  <si>
    <t>s2*s3*r</t>
  </si>
  <si>
    <t>s2*s4*r</t>
  </si>
  <si>
    <t>s3*s4*r</t>
  </si>
  <si>
    <t>s4^2</t>
  </si>
  <si>
    <t>s1*s2*r1</t>
  </si>
  <si>
    <t>s1*s3*r2</t>
  </si>
  <si>
    <t>s1*s4*r3</t>
  </si>
  <si>
    <t>s2*s4*r2</t>
  </si>
  <si>
    <t>s2*s3*r1</t>
  </si>
  <si>
    <t>s3*s4*r1</t>
  </si>
  <si>
    <t>rho^2</t>
  </si>
  <si>
    <t>rho^3</t>
  </si>
  <si>
    <t>rho1</t>
  </si>
  <si>
    <t>rho2</t>
  </si>
  <si>
    <t>rho3</t>
  </si>
  <si>
    <t>Rho*Phi</t>
  </si>
  <si>
    <t>Rho*Phi^2</t>
  </si>
  <si>
    <r>
      <t>Sigma</t>
    </r>
    <r>
      <rPr>
        <vertAlign val="subscript"/>
        <sz val="11"/>
        <color theme="1"/>
        <rFont val="Calibri"/>
        <family val="2"/>
        <scheme val="minor"/>
      </rPr>
      <t>1^</t>
    </r>
    <r>
      <rPr>
        <vertAlign val="superscript"/>
        <sz val="11"/>
        <color theme="1"/>
        <rFont val="Calibri"/>
        <family val="2"/>
        <scheme val="minor"/>
      </rPr>
      <t>2</t>
    </r>
  </si>
  <si>
    <t>Sigma12</t>
  </si>
  <si>
    <t>Sigma13</t>
  </si>
  <si>
    <t>Sigma14</t>
  </si>
  <si>
    <t>Sigma23</t>
  </si>
  <si>
    <t>Sigma24</t>
  </si>
  <si>
    <t>Sigma34</t>
  </si>
  <si>
    <t>Sigma21</t>
  </si>
  <si>
    <t>Sigma31</t>
  </si>
  <si>
    <t>Sigma32</t>
  </si>
  <si>
    <t>Sigma41</t>
  </si>
  <si>
    <t>Sigma42</t>
  </si>
  <si>
    <t>Sigma43</t>
  </si>
  <si>
    <r>
      <t>Sigma2</t>
    </r>
    <r>
      <rPr>
        <sz val="11"/>
        <color theme="1"/>
        <rFont val="Calibri"/>
        <family val="2"/>
        <scheme val="minor"/>
      </rPr>
      <t>^2</t>
    </r>
  </si>
  <si>
    <t>Sigma3^2</t>
  </si>
  <si>
    <t>NewValue = (((OldValue - OldMin) * (NewMax - NewMin)) / (OldMax - OldMin)) + NewMin</t>
  </si>
  <si>
    <t>Oldmin</t>
  </si>
  <si>
    <t>Newmax</t>
  </si>
  <si>
    <t>NewMin</t>
  </si>
  <si>
    <t>OldMax</t>
  </si>
  <si>
    <t>OldMin</t>
  </si>
  <si>
    <t>Sigma^2</t>
  </si>
  <si>
    <t>Heterogeneous?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</si>
</sst>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0"/>
      <color theme="8" tint="-0.249977111117893"/>
      <name val="Calibri"/>
      <family val="2"/>
      <scheme val="minor"/>
    </font>
    <font>
      <b/>
      <sz val="10"/>
      <color theme="9" tint="0.39997558519241921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1"/>
    <xf numFmtId="164" fontId="0" fillId="0" borderId="0" xfId="0" applyNumberFormat="1"/>
    <xf numFmtId="164" fontId="1" fillId="0" borderId="0" xfId="1" applyNumberFormat="1"/>
    <xf numFmtId="164" fontId="2" fillId="2" borderId="0" xfId="0" applyNumberFormat="1" applyFont="1" applyFill="1" applyAlignment="1">
      <alignment horizontal="right"/>
    </xf>
    <xf numFmtId="164" fontId="2" fillId="3" borderId="0" xfId="0" applyNumberFormat="1" applyFont="1" applyFill="1" applyAlignment="1">
      <alignment horizontal="right"/>
    </xf>
    <xf numFmtId="164" fontId="3" fillId="4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2" fillId="5" borderId="0" xfId="0" applyFont="1" applyFill="1"/>
    <xf numFmtId="0" fontId="0" fillId="6" borderId="1" xfId="0" applyFill="1" applyBorder="1"/>
    <xf numFmtId="0" fontId="0" fillId="6" borderId="3" xfId="0" applyFill="1" applyBorder="1"/>
    <xf numFmtId="0" fontId="0" fillId="6" borderId="4" xfId="0" applyFill="1" applyBorder="1" applyAlignment="1">
      <alignment horizontal="right"/>
    </xf>
    <xf numFmtId="0" fontId="0" fillId="6" borderId="5" xfId="0" applyFill="1" applyBorder="1"/>
    <xf numFmtId="0" fontId="0" fillId="6" borderId="6" xfId="0" applyFill="1" applyBorder="1" applyAlignment="1">
      <alignment horizontal="right"/>
    </xf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 applyAlignment="1">
      <alignment horizontal="right"/>
    </xf>
    <xf numFmtId="0" fontId="0" fillId="6" borderId="10" xfId="0" applyFill="1" applyBorder="1" applyAlignment="1">
      <alignment horizontal="right"/>
    </xf>
    <xf numFmtId="0" fontId="0" fillId="6" borderId="6" xfId="0" applyFill="1" applyBorder="1"/>
    <xf numFmtId="0" fontId="0" fillId="6" borderId="11" xfId="0" applyFill="1" applyBorder="1"/>
    <xf numFmtId="0" fontId="0" fillId="6" borderId="0" xfId="0" applyFill="1"/>
    <xf numFmtId="0" fontId="0" fillId="6" borderId="4" xfId="0" applyFill="1" applyBorder="1"/>
    <xf numFmtId="0" fontId="0" fillId="6" borderId="11" xfId="0" applyFill="1" applyBorder="1" applyAlignment="1">
      <alignment horizontal="center"/>
    </xf>
    <xf numFmtId="0" fontId="0" fillId="6" borderId="10" xfId="0" applyFill="1" applyBorder="1"/>
    <xf numFmtId="0" fontId="0" fillId="6" borderId="10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right"/>
    </xf>
    <xf numFmtId="0" fontId="2" fillId="5" borderId="0" xfId="0" applyFont="1" applyFill="1" applyAlignment="1">
      <alignment horizontal="center"/>
    </xf>
    <xf numFmtId="0" fontId="5" fillId="6" borderId="0" xfId="0" applyFont="1" applyFill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4" fillId="6" borderId="0" xfId="0" applyFont="1" applyFill="1" applyAlignment="1">
      <alignment horizontal="center"/>
    </xf>
    <xf numFmtId="0" fontId="0" fillId="6" borderId="2" xfId="0" applyFill="1" applyBorder="1" applyProtection="1">
      <protection locked="0"/>
    </xf>
    <xf numFmtId="0" fontId="0" fillId="6" borderId="6" xfId="0" applyFill="1" applyBorder="1" applyProtection="1">
      <protection locked="0"/>
    </xf>
    <xf numFmtId="0" fontId="0" fillId="6" borderId="4" xfId="0" applyFill="1" applyBorder="1" applyProtection="1">
      <protection locked="0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9" xfId="0" applyFill="1" applyBorder="1" applyAlignment="1">
      <alignment horizontal="right" vertical="center"/>
    </xf>
    <xf numFmtId="0" fontId="0" fillId="6" borderId="2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0" xfId="0" applyFill="1" applyBorder="1" applyAlignment="1">
      <alignment horizontal="right" vertical="center"/>
    </xf>
    <xf numFmtId="0" fontId="0" fillId="6" borderId="6" xfId="0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9" fillId="6" borderId="0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9" xfId="0" applyFont="1" applyBorder="1"/>
    <xf numFmtId="0" fontId="0" fillId="0" borderId="2" xfId="0" applyFont="1" applyBorder="1"/>
    <xf numFmtId="0" fontId="0" fillId="0" borderId="0" xfId="0" applyFont="1" applyBorder="1"/>
    <xf numFmtId="0" fontId="0" fillId="0" borderId="4" xfId="0" applyFont="1" applyBorder="1"/>
    <xf numFmtId="0" fontId="0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Sheet1!$Z$7</c:f>
          <c:strCache>
            <c:ptCount val="1"/>
            <c:pt idx="0">
              <c:v>Compound Symmetry (CS)</c:v>
            </c:pt>
          </c:strCache>
        </c:strRef>
      </c:tx>
      <c:layout>
        <c:manualLayout>
          <c:xMode val="edge"/>
          <c:yMode val="edge"/>
          <c:x val="1.8933097964524331E-2"/>
          <c:y val="1.966568338249754E-2"/>
        </c:manualLayout>
      </c:layout>
      <c:overlay val="1"/>
      <c:txPr>
        <a:bodyPr/>
        <a:lstStyle/>
        <a:p>
          <a:pPr>
            <a:defRPr sz="140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R1C1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bubbleSize>
            <c:numRef>
              <c:f>Sheet1!$R$15</c:f>
              <c:numCache>
                <c:formatCode>General</c:formatCode>
                <c:ptCount val="1"/>
                <c:pt idx="0">
                  <c:v>8.712015226218231E-2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68E-45D4-82AE-8D563824A093}"/>
            </c:ext>
          </c:extLst>
        </c:ser>
        <c:ser>
          <c:idx val="2"/>
          <c:order val="1"/>
          <c:tx>
            <c:v>R2C1</c:v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2</c:v>
              </c:pt>
            </c:numLit>
          </c:yVal>
          <c:bubbleSize>
            <c:numRef>
              <c:f>Sheet1!$R$16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68E-45D4-82AE-8D563824A093}"/>
            </c:ext>
          </c:extLst>
        </c:ser>
        <c:ser>
          <c:idx val="3"/>
          <c:order val="2"/>
          <c:tx>
            <c:v>R3C1</c:v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3</c:v>
              </c:pt>
            </c:numLit>
          </c:yVal>
          <c:bubbleSize>
            <c:numRef>
              <c:f>Sheet1!$R$17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68E-45D4-82AE-8D563824A093}"/>
            </c:ext>
          </c:extLst>
        </c:ser>
        <c:ser>
          <c:idx val="4"/>
          <c:order val="3"/>
          <c:tx>
            <c:v>R4C1</c:v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4</c:v>
              </c:pt>
            </c:numLit>
          </c:yVal>
          <c:bubbleSize>
            <c:numRef>
              <c:f>Sheet1!$R$18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68E-45D4-82AE-8D563824A093}"/>
            </c:ext>
          </c:extLst>
        </c:ser>
        <c:ser>
          <c:idx val="5"/>
          <c:order val="4"/>
          <c:tx>
            <c:v>R5C1</c:v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5</c:v>
              </c:pt>
            </c:numLit>
          </c:yVal>
          <c:bubbleSize>
            <c:numRef>
              <c:f>Sheet1!$R$19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4-768E-45D4-82AE-8D563824A093}"/>
            </c:ext>
          </c:extLst>
        </c:ser>
        <c:ser>
          <c:idx val="20"/>
          <c:order val="5"/>
          <c:tx>
            <c:v>R6C1</c:v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6</c:v>
              </c:pt>
            </c:numLit>
          </c:yVal>
          <c:bubbleSize>
            <c:numRef>
              <c:f>Sheet1!$R$20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5-768E-45D4-82AE-8D563824A093}"/>
            </c:ext>
          </c:extLst>
        </c:ser>
        <c:ser>
          <c:idx val="1"/>
          <c:order val="6"/>
          <c:tx>
            <c:v>R1C2</c:v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bubbleSize>
            <c:numRef>
              <c:f>Sheet1!$S$15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6-768E-45D4-82AE-8D563824A093}"/>
            </c:ext>
          </c:extLst>
        </c:ser>
        <c:ser>
          <c:idx val="6"/>
          <c:order val="7"/>
          <c:tx>
            <c:v>R2C2</c:v>
          </c:tx>
          <c:spPr>
            <a:solidFill>
              <a:schemeClr val="accent5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2</c:v>
              </c:pt>
            </c:numLit>
          </c:yVal>
          <c:bubbleSize>
            <c:numRef>
              <c:f>Sheet1!$S$16</c:f>
              <c:numCache>
                <c:formatCode>General</c:formatCode>
                <c:ptCount val="1"/>
                <c:pt idx="0">
                  <c:v>8.712015226218231E-2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7-768E-45D4-82AE-8D563824A093}"/>
            </c:ext>
          </c:extLst>
        </c:ser>
        <c:ser>
          <c:idx val="7"/>
          <c:order val="8"/>
          <c:tx>
            <c:v>R3C2</c:v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3</c:v>
              </c:pt>
            </c:numLit>
          </c:yVal>
          <c:bubbleSize>
            <c:numRef>
              <c:f>Sheet1!$S$17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8-768E-45D4-82AE-8D563824A093}"/>
            </c:ext>
          </c:extLst>
        </c:ser>
        <c:ser>
          <c:idx val="8"/>
          <c:order val="9"/>
          <c:tx>
            <c:v>R4C2</c:v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4</c:v>
              </c:pt>
            </c:numLit>
          </c:yVal>
          <c:bubbleSize>
            <c:numRef>
              <c:f>Sheet1!$S$18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9-768E-45D4-82AE-8D563824A093}"/>
            </c:ext>
          </c:extLst>
        </c:ser>
        <c:ser>
          <c:idx val="9"/>
          <c:order val="10"/>
          <c:tx>
            <c:v>R5C2</c:v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5</c:v>
              </c:pt>
            </c:numLit>
          </c:yVal>
          <c:bubbleSize>
            <c:numRef>
              <c:f>Sheet1!$S$19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A-768E-45D4-82AE-8D563824A093}"/>
            </c:ext>
          </c:extLst>
        </c:ser>
        <c:ser>
          <c:idx val="21"/>
          <c:order val="11"/>
          <c:tx>
            <c:v>R6C2</c:v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6</c:v>
              </c:pt>
            </c:numLit>
          </c:yVal>
          <c:bubbleSize>
            <c:numRef>
              <c:f>Sheet1!$S$20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B-768E-45D4-82AE-8D563824A093}"/>
            </c:ext>
          </c:extLst>
        </c:ser>
        <c:ser>
          <c:idx val="10"/>
          <c:order val="12"/>
          <c:tx>
            <c:v>R1C3</c:v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bubbleSize>
            <c:numRef>
              <c:f>Sheet1!$T$15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C-768E-45D4-82AE-8D563824A093}"/>
            </c:ext>
          </c:extLst>
        </c:ser>
        <c:ser>
          <c:idx val="11"/>
          <c:order val="13"/>
          <c:tx>
            <c:v>R2C3</c:v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Lit>
              <c:formatCode>General</c:formatCode>
              <c:ptCount val="1"/>
              <c:pt idx="0">
                <c:v>2</c:v>
              </c:pt>
            </c:numLit>
          </c:yVal>
          <c:bubbleSize>
            <c:numRef>
              <c:f>Sheet1!$T$16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D-768E-45D4-82AE-8D563824A093}"/>
            </c:ext>
          </c:extLst>
        </c:ser>
        <c:ser>
          <c:idx val="12"/>
          <c:order val="14"/>
          <c:tx>
            <c:v>R3C3</c:v>
          </c:tx>
          <c:spPr>
            <a:solidFill>
              <a:schemeClr val="accent5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Lit>
              <c:formatCode>General</c:formatCode>
              <c:ptCount val="1"/>
              <c:pt idx="0">
                <c:v>3</c:v>
              </c:pt>
            </c:numLit>
          </c:yVal>
          <c:bubbleSize>
            <c:numRef>
              <c:f>Sheet1!$T$17</c:f>
              <c:numCache>
                <c:formatCode>General</c:formatCode>
                <c:ptCount val="1"/>
                <c:pt idx="0">
                  <c:v>8.712015226218231E-2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E-768E-45D4-82AE-8D563824A093}"/>
            </c:ext>
          </c:extLst>
        </c:ser>
        <c:ser>
          <c:idx val="13"/>
          <c:order val="15"/>
          <c:tx>
            <c:v>R4C3</c:v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Lit>
              <c:formatCode>General</c:formatCode>
              <c:ptCount val="1"/>
              <c:pt idx="0">
                <c:v>4</c:v>
              </c:pt>
            </c:numLit>
          </c:yVal>
          <c:bubbleSize>
            <c:numRef>
              <c:f>Sheet1!$T$18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F-768E-45D4-82AE-8D563824A093}"/>
            </c:ext>
          </c:extLst>
        </c:ser>
        <c:ser>
          <c:idx val="14"/>
          <c:order val="16"/>
          <c:tx>
            <c:v>R5C3</c:v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Lit>
              <c:formatCode>General</c:formatCode>
              <c:ptCount val="1"/>
              <c:pt idx="0">
                <c:v>5</c:v>
              </c:pt>
            </c:numLit>
          </c:yVal>
          <c:bubbleSize>
            <c:numRef>
              <c:f>Sheet1!$T$19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10-768E-45D4-82AE-8D563824A093}"/>
            </c:ext>
          </c:extLst>
        </c:ser>
        <c:ser>
          <c:idx val="22"/>
          <c:order val="17"/>
          <c:tx>
            <c:v>R6C3</c:v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Lit>
              <c:formatCode>General</c:formatCode>
              <c:ptCount val="1"/>
              <c:pt idx="0">
                <c:v>6</c:v>
              </c:pt>
            </c:numLit>
          </c:yVal>
          <c:bubbleSize>
            <c:numRef>
              <c:f>Sheet1!$T$20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11-768E-45D4-82AE-8D563824A093}"/>
            </c:ext>
          </c:extLst>
        </c:ser>
        <c:ser>
          <c:idx val="15"/>
          <c:order val="18"/>
          <c:tx>
            <c:v>R1C4</c:v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bubbleSize>
            <c:numRef>
              <c:f>Sheet1!$U$15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12-768E-45D4-82AE-8D563824A093}"/>
            </c:ext>
          </c:extLst>
        </c:ser>
        <c:ser>
          <c:idx val="16"/>
          <c:order val="19"/>
          <c:tx>
            <c:v>R2C4</c:v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Lit>
              <c:formatCode>General</c:formatCode>
              <c:ptCount val="1"/>
              <c:pt idx="0">
                <c:v>2</c:v>
              </c:pt>
            </c:numLit>
          </c:yVal>
          <c:bubbleSize>
            <c:numRef>
              <c:f>Sheet1!$U$16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13-768E-45D4-82AE-8D563824A093}"/>
            </c:ext>
          </c:extLst>
        </c:ser>
        <c:ser>
          <c:idx val="17"/>
          <c:order val="20"/>
          <c:tx>
            <c:v>R3C4</c:v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Lit>
              <c:formatCode>General</c:formatCode>
              <c:ptCount val="1"/>
              <c:pt idx="0">
                <c:v>3</c:v>
              </c:pt>
            </c:numLit>
          </c:yVal>
          <c:bubbleSize>
            <c:numRef>
              <c:f>Sheet1!$U$17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14-768E-45D4-82AE-8D563824A093}"/>
            </c:ext>
          </c:extLst>
        </c:ser>
        <c:ser>
          <c:idx val="18"/>
          <c:order val="21"/>
          <c:tx>
            <c:v>R4C4</c:v>
          </c:tx>
          <c:spPr>
            <a:solidFill>
              <a:schemeClr val="accent5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Lit>
              <c:formatCode>General</c:formatCode>
              <c:ptCount val="1"/>
              <c:pt idx="0">
                <c:v>4</c:v>
              </c:pt>
            </c:numLit>
          </c:yVal>
          <c:bubbleSize>
            <c:numRef>
              <c:f>Sheet1!$U$18</c:f>
              <c:numCache>
                <c:formatCode>General</c:formatCode>
                <c:ptCount val="1"/>
                <c:pt idx="0">
                  <c:v>8.712015226218231E-2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15-768E-45D4-82AE-8D563824A093}"/>
            </c:ext>
          </c:extLst>
        </c:ser>
        <c:ser>
          <c:idx val="19"/>
          <c:order val="22"/>
          <c:tx>
            <c:v>R5C4</c:v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Lit>
              <c:formatCode>General</c:formatCode>
              <c:ptCount val="1"/>
              <c:pt idx="0">
                <c:v>5</c:v>
              </c:pt>
            </c:numLit>
          </c:yVal>
          <c:bubbleSize>
            <c:numRef>
              <c:f>Sheet1!$U$19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16-768E-45D4-82AE-8D563824A093}"/>
            </c:ext>
          </c:extLst>
        </c:ser>
        <c:ser>
          <c:idx val="23"/>
          <c:order val="23"/>
          <c:tx>
            <c:v>R6C4</c:v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Lit>
              <c:formatCode>General</c:formatCode>
              <c:ptCount val="1"/>
              <c:pt idx="0">
                <c:v>6</c:v>
              </c:pt>
            </c:numLit>
          </c:yVal>
          <c:bubbleSize>
            <c:numRef>
              <c:f>Sheet1!$U$20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17-768E-45D4-82AE-8D563824A093}"/>
            </c:ext>
          </c:extLst>
        </c:ser>
        <c:ser>
          <c:idx val="24"/>
          <c:order val="24"/>
          <c:tx>
            <c:v>R1C5</c:v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5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bubbleSize>
            <c:numRef>
              <c:f>Sheet1!$V$15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18-768E-45D4-82AE-8D563824A093}"/>
            </c:ext>
          </c:extLst>
        </c:ser>
        <c:ser>
          <c:idx val="25"/>
          <c:order val="25"/>
          <c:tx>
            <c:v>R2C5</c:v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5</c:v>
              </c:pt>
            </c:numLit>
          </c:xVal>
          <c:yVal>
            <c:numLit>
              <c:formatCode>General</c:formatCode>
              <c:ptCount val="1"/>
              <c:pt idx="0">
                <c:v>2</c:v>
              </c:pt>
            </c:numLit>
          </c:yVal>
          <c:bubbleSize>
            <c:numRef>
              <c:f>Sheet1!$V$16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19-768E-45D4-82AE-8D563824A093}"/>
            </c:ext>
          </c:extLst>
        </c:ser>
        <c:ser>
          <c:idx val="26"/>
          <c:order val="26"/>
          <c:tx>
            <c:v>R3C5</c:v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5</c:v>
              </c:pt>
            </c:numLit>
          </c:xVal>
          <c:yVal>
            <c:numLit>
              <c:formatCode>General</c:formatCode>
              <c:ptCount val="1"/>
              <c:pt idx="0">
                <c:v>3</c:v>
              </c:pt>
            </c:numLit>
          </c:yVal>
          <c:bubbleSize>
            <c:numRef>
              <c:f>Sheet1!$V$17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1A-768E-45D4-82AE-8D563824A093}"/>
            </c:ext>
          </c:extLst>
        </c:ser>
        <c:ser>
          <c:idx val="27"/>
          <c:order val="27"/>
          <c:tx>
            <c:v>R4C5</c:v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5</c:v>
              </c:pt>
            </c:numLit>
          </c:xVal>
          <c:yVal>
            <c:numLit>
              <c:formatCode>General</c:formatCode>
              <c:ptCount val="1"/>
              <c:pt idx="0">
                <c:v>4</c:v>
              </c:pt>
            </c:numLit>
          </c:yVal>
          <c:bubbleSize>
            <c:numRef>
              <c:f>Sheet1!$V$18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1B-768E-45D4-82AE-8D563824A093}"/>
            </c:ext>
          </c:extLst>
        </c:ser>
        <c:ser>
          <c:idx val="28"/>
          <c:order val="28"/>
          <c:tx>
            <c:v>R5C5</c:v>
          </c:tx>
          <c:spPr>
            <a:solidFill>
              <a:schemeClr val="accent5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5</c:v>
              </c:pt>
            </c:numLit>
          </c:xVal>
          <c:yVal>
            <c:numLit>
              <c:formatCode>General</c:formatCode>
              <c:ptCount val="1"/>
              <c:pt idx="0">
                <c:v>5</c:v>
              </c:pt>
            </c:numLit>
          </c:yVal>
          <c:bubbleSize>
            <c:numRef>
              <c:f>Sheet1!$V$19</c:f>
              <c:numCache>
                <c:formatCode>General</c:formatCode>
                <c:ptCount val="1"/>
                <c:pt idx="0">
                  <c:v>8.712015226218231E-2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1C-768E-45D4-82AE-8D563824A093}"/>
            </c:ext>
          </c:extLst>
        </c:ser>
        <c:ser>
          <c:idx val="29"/>
          <c:order val="29"/>
          <c:tx>
            <c:v>R6C5</c:v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5</c:v>
              </c:pt>
            </c:numLit>
          </c:xVal>
          <c:yVal>
            <c:numLit>
              <c:formatCode>General</c:formatCode>
              <c:ptCount val="1"/>
              <c:pt idx="0">
                <c:v>6</c:v>
              </c:pt>
            </c:numLit>
          </c:yVal>
          <c:bubbleSize>
            <c:numRef>
              <c:f>Sheet1!$V$20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1D-768E-45D4-82AE-8D563824A093}"/>
            </c:ext>
          </c:extLst>
        </c:ser>
        <c:ser>
          <c:idx val="30"/>
          <c:order val="30"/>
          <c:tx>
            <c:v>R1C6</c:v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6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bubbleSize>
            <c:numRef>
              <c:f>Sheet1!$W$15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1E-768E-45D4-82AE-8D563824A093}"/>
            </c:ext>
          </c:extLst>
        </c:ser>
        <c:ser>
          <c:idx val="31"/>
          <c:order val="31"/>
          <c:tx>
            <c:v>R2C6</c:v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6</c:v>
              </c:pt>
            </c:numLit>
          </c:xVal>
          <c:yVal>
            <c:numLit>
              <c:formatCode>General</c:formatCode>
              <c:ptCount val="1"/>
              <c:pt idx="0">
                <c:v>2</c:v>
              </c:pt>
            </c:numLit>
          </c:yVal>
          <c:bubbleSize>
            <c:numRef>
              <c:f>Sheet1!$W$16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1F-768E-45D4-82AE-8D563824A093}"/>
            </c:ext>
          </c:extLst>
        </c:ser>
        <c:ser>
          <c:idx val="32"/>
          <c:order val="32"/>
          <c:tx>
            <c:v>R3C6</c:v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6</c:v>
              </c:pt>
            </c:numLit>
          </c:xVal>
          <c:yVal>
            <c:numLit>
              <c:formatCode>General</c:formatCode>
              <c:ptCount val="1"/>
              <c:pt idx="0">
                <c:v>3</c:v>
              </c:pt>
            </c:numLit>
          </c:yVal>
          <c:bubbleSize>
            <c:numRef>
              <c:f>Sheet1!$W$17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20-768E-45D4-82AE-8D563824A093}"/>
            </c:ext>
          </c:extLst>
        </c:ser>
        <c:ser>
          <c:idx val="33"/>
          <c:order val="33"/>
          <c:tx>
            <c:v>R4C6</c:v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6</c:v>
              </c:pt>
            </c:numLit>
          </c:xVal>
          <c:yVal>
            <c:numLit>
              <c:formatCode>General</c:formatCode>
              <c:ptCount val="1"/>
              <c:pt idx="0">
                <c:v>4</c:v>
              </c:pt>
            </c:numLit>
          </c:yVal>
          <c:bubbleSize>
            <c:numRef>
              <c:f>Sheet1!$W$18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21-768E-45D4-82AE-8D563824A093}"/>
            </c:ext>
          </c:extLst>
        </c:ser>
        <c:ser>
          <c:idx val="34"/>
          <c:order val="34"/>
          <c:tx>
            <c:v>R5C6</c:v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6</c:v>
              </c:pt>
            </c:numLit>
          </c:xVal>
          <c:yVal>
            <c:numLit>
              <c:formatCode>General</c:formatCode>
              <c:ptCount val="1"/>
              <c:pt idx="0">
                <c:v>5</c:v>
              </c:pt>
            </c:numLit>
          </c:yVal>
          <c:bubbleSize>
            <c:numRef>
              <c:f>Sheet1!$W$19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22-768E-45D4-82AE-8D563824A093}"/>
            </c:ext>
          </c:extLst>
        </c:ser>
        <c:ser>
          <c:idx val="35"/>
          <c:order val="35"/>
          <c:tx>
            <c:v>R6C6</c:v>
          </c:tx>
          <c:spPr>
            <a:solidFill>
              <a:schemeClr val="accent5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6</c:v>
              </c:pt>
            </c:numLit>
          </c:xVal>
          <c:yVal>
            <c:numLit>
              <c:formatCode>General</c:formatCode>
              <c:ptCount val="1"/>
              <c:pt idx="0">
                <c:v>6</c:v>
              </c:pt>
            </c:numLit>
          </c:yVal>
          <c:bubbleSize>
            <c:numRef>
              <c:f>Sheet1!$W$20</c:f>
              <c:numCache>
                <c:formatCode>General</c:formatCode>
                <c:ptCount val="1"/>
                <c:pt idx="0">
                  <c:v>8.712015226218231E-2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23-768E-45D4-82AE-8D563824A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1"/>
        <c:axId val="47938560"/>
        <c:axId val="47944448"/>
      </c:bubbleChart>
      <c:bubbleChart>
        <c:varyColors val="0"/>
        <c:ser>
          <c:idx val="36"/>
          <c:order val="36"/>
          <c:tx>
            <c:v>grid</c:v>
          </c:tx>
          <c:spPr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bubbleSize>
            <c:numLit>
              <c:formatCode>General</c:formatCode>
              <c:ptCount val="1"/>
              <c:pt idx="0">
                <c:v>0</c:v>
              </c:pt>
            </c:numLit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24-768E-45D4-82AE-8D563824A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1"/>
        <c:axId val="47955968"/>
        <c:axId val="47945984"/>
      </c:bubbleChart>
      <c:valAx>
        <c:axId val="47938560"/>
        <c:scaling>
          <c:orientation val="minMax"/>
          <c:max val="7"/>
          <c:min val="0"/>
        </c:scaling>
        <c:delete val="1"/>
        <c:axPos val="t"/>
        <c:numFmt formatCode="General" sourceLinked="1"/>
        <c:majorTickMark val="out"/>
        <c:minorTickMark val="in"/>
        <c:tickLblPos val="nextTo"/>
        <c:crossAx val="47944448"/>
        <c:crosses val="autoZero"/>
        <c:crossBetween val="midCat"/>
        <c:majorUnit val="1"/>
        <c:minorUnit val="0.5"/>
      </c:valAx>
      <c:valAx>
        <c:axId val="47944448"/>
        <c:scaling>
          <c:orientation val="maxMin"/>
          <c:max val="7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47938560"/>
        <c:crosses val="autoZero"/>
        <c:crossBetween val="midCat"/>
        <c:majorUnit val="1"/>
        <c:minorUnit val="0.5"/>
      </c:valAx>
      <c:valAx>
        <c:axId val="47945984"/>
        <c:scaling>
          <c:orientation val="minMax"/>
          <c:max val="7"/>
          <c:min val="0"/>
        </c:scaling>
        <c:delete val="1"/>
        <c:axPos val="r"/>
        <c:numFmt formatCode="General" sourceLinked="1"/>
        <c:majorTickMark val="out"/>
        <c:minorTickMark val="none"/>
        <c:tickLblPos val="nextTo"/>
        <c:crossAx val="47955968"/>
        <c:crosses val="max"/>
        <c:crossBetween val="midCat"/>
        <c:majorUnit val="1"/>
      </c:valAx>
      <c:valAx>
        <c:axId val="479559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9459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Sheet1!$Z$11</c:f>
          <c:strCache>
            <c:ptCount val="1"/>
            <c:pt idx="0">
              <c:v>Compound Symmetry (CS)</c:v>
            </c:pt>
          </c:strCache>
        </c:strRef>
      </c:tx>
      <c:layout>
        <c:manualLayout>
          <c:xMode val="edge"/>
          <c:yMode val="edge"/>
          <c:x val="1.8933097964524331E-2"/>
          <c:y val="1.966568338249754E-2"/>
        </c:manualLayout>
      </c:layout>
      <c:overlay val="1"/>
      <c:txPr>
        <a:bodyPr/>
        <a:lstStyle/>
        <a:p>
          <a:pPr>
            <a:defRPr sz="140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R1C1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bubbleSize>
            <c:numRef>
              <c:f>Sheet1!$AA$15</c:f>
              <c:numCache>
                <c:formatCode>General</c:formatCode>
                <c:ptCount val="1"/>
                <c:pt idx="0">
                  <c:v>8.712015226218231E-2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865-41B6-A2FE-AC0C47E51A20}"/>
            </c:ext>
          </c:extLst>
        </c:ser>
        <c:ser>
          <c:idx val="2"/>
          <c:order val="1"/>
          <c:tx>
            <c:v>R2C1</c:v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2</c:v>
              </c:pt>
            </c:numLit>
          </c:yVal>
          <c:bubbleSize>
            <c:numRef>
              <c:f>Sheet1!$AA$16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865-41B6-A2FE-AC0C47E51A20}"/>
            </c:ext>
          </c:extLst>
        </c:ser>
        <c:ser>
          <c:idx val="3"/>
          <c:order val="2"/>
          <c:tx>
            <c:v>R3C1</c:v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3</c:v>
              </c:pt>
            </c:numLit>
          </c:yVal>
          <c:bubbleSize>
            <c:numRef>
              <c:f>Sheet1!$AA$17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865-41B6-A2FE-AC0C47E51A20}"/>
            </c:ext>
          </c:extLst>
        </c:ser>
        <c:ser>
          <c:idx val="4"/>
          <c:order val="3"/>
          <c:tx>
            <c:v>R4C1</c:v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4</c:v>
              </c:pt>
            </c:numLit>
          </c:yVal>
          <c:bubbleSize>
            <c:numRef>
              <c:f>Sheet1!$AA$18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865-41B6-A2FE-AC0C47E51A20}"/>
            </c:ext>
          </c:extLst>
        </c:ser>
        <c:ser>
          <c:idx val="5"/>
          <c:order val="4"/>
          <c:tx>
            <c:v>R5C1</c:v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5</c:v>
              </c:pt>
            </c:numLit>
          </c:yVal>
          <c:bubbleSize>
            <c:numRef>
              <c:f>Sheet1!$AA$19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4-A865-41B6-A2FE-AC0C47E51A20}"/>
            </c:ext>
          </c:extLst>
        </c:ser>
        <c:ser>
          <c:idx val="20"/>
          <c:order val="5"/>
          <c:tx>
            <c:v>R6C1</c:v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6</c:v>
              </c:pt>
            </c:numLit>
          </c:yVal>
          <c:bubbleSize>
            <c:numRef>
              <c:f>Sheet1!$AA$20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5-A865-41B6-A2FE-AC0C47E51A20}"/>
            </c:ext>
          </c:extLst>
        </c:ser>
        <c:ser>
          <c:idx val="1"/>
          <c:order val="6"/>
          <c:tx>
            <c:v>R1C2</c:v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bubbleSize>
            <c:numRef>
              <c:f>Sheet1!$AB$15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6-A865-41B6-A2FE-AC0C47E51A20}"/>
            </c:ext>
          </c:extLst>
        </c:ser>
        <c:ser>
          <c:idx val="6"/>
          <c:order val="7"/>
          <c:tx>
            <c:v>R2C2</c:v>
          </c:tx>
          <c:spPr>
            <a:solidFill>
              <a:schemeClr val="accent5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2</c:v>
              </c:pt>
            </c:numLit>
          </c:yVal>
          <c:bubbleSize>
            <c:numRef>
              <c:f>Sheet1!$AB$16</c:f>
              <c:numCache>
                <c:formatCode>General</c:formatCode>
                <c:ptCount val="1"/>
                <c:pt idx="0">
                  <c:v>8.712015226218231E-2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7-A865-41B6-A2FE-AC0C47E51A20}"/>
            </c:ext>
          </c:extLst>
        </c:ser>
        <c:ser>
          <c:idx val="7"/>
          <c:order val="8"/>
          <c:tx>
            <c:v>R3C2</c:v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3</c:v>
              </c:pt>
            </c:numLit>
          </c:yVal>
          <c:bubbleSize>
            <c:numRef>
              <c:f>Sheet1!$AB$17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8-A865-41B6-A2FE-AC0C47E51A20}"/>
            </c:ext>
          </c:extLst>
        </c:ser>
        <c:ser>
          <c:idx val="8"/>
          <c:order val="9"/>
          <c:tx>
            <c:v>R4C2</c:v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4</c:v>
              </c:pt>
            </c:numLit>
          </c:yVal>
          <c:bubbleSize>
            <c:numRef>
              <c:f>Sheet1!$AB$18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9-A865-41B6-A2FE-AC0C47E51A20}"/>
            </c:ext>
          </c:extLst>
        </c:ser>
        <c:ser>
          <c:idx val="9"/>
          <c:order val="10"/>
          <c:tx>
            <c:v>R5C2</c:v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5</c:v>
              </c:pt>
            </c:numLit>
          </c:yVal>
          <c:bubbleSize>
            <c:numRef>
              <c:f>Sheet1!$AB$19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A-A865-41B6-A2FE-AC0C47E51A20}"/>
            </c:ext>
          </c:extLst>
        </c:ser>
        <c:ser>
          <c:idx val="21"/>
          <c:order val="11"/>
          <c:tx>
            <c:v>R6C2</c:v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6</c:v>
              </c:pt>
            </c:numLit>
          </c:yVal>
          <c:bubbleSize>
            <c:numRef>
              <c:f>Sheet1!$AB$20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B-A865-41B6-A2FE-AC0C47E51A20}"/>
            </c:ext>
          </c:extLst>
        </c:ser>
        <c:ser>
          <c:idx val="10"/>
          <c:order val="12"/>
          <c:tx>
            <c:v>R1C3</c:v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bubbleSize>
            <c:numRef>
              <c:f>Sheet1!$AC$15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C-A865-41B6-A2FE-AC0C47E51A20}"/>
            </c:ext>
          </c:extLst>
        </c:ser>
        <c:ser>
          <c:idx val="11"/>
          <c:order val="13"/>
          <c:tx>
            <c:v>R2C3</c:v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Lit>
              <c:formatCode>General</c:formatCode>
              <c:ptCount val="1"/>
              <c:pt idx="0">
                <c:v>2</c:v>
              </c:pt>
            </c:numLit>
          </c:yVal>
          <c:bubbleSize>
            <c:numRef>
              <c:f>Sheet1!$AC$16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D-A865-41B6-A2FE-AC0C47E51A20}"/>
            </c:ext>
          </c:extLst>
        </c:ser>
        <c:ser>
          <c:idx val="12"/>
          <c:order val="14"/>
          <c:tx>
            <c:v>R3C3</c:v>
          </c:tx>
          <c:spPr>
            <a:solidFill>
              <a:schemeClr val="accent5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Lit>
              <c:formatCode>General</c:formatCode>
              <c:ptCount val="1"/>
              <c:pt idx="0">
                <c:v>3</c:v>
              </c:pt>
            </c:numLit>
          </c:yVal>
          <c:bubbleSize>
            <c:numRef>
              <c:f>Sheet1!$AC$17</c:f>
              <c:numCache>
                <c:formatCode>General</c:formatCode>
                <c:ptCount val="1"/>
                <c:pt idx="0">
                  <c:v>8.712015226218231E-2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E-A865-41B6-A2FE-AC0C47E51A20}"/>
            </c:ext>
          </c:extLst>
        </c:ser>
        <c:ser>
          <c:idx val="13"/>
          <c:order val="15"/>
          <c:tx>
            <c:v>R4C3</c:v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Lit>
              <c:formatCode>General</c:formatCode>
              <c:ptCount val="1"/>
              <c:pt idx="0">
                <c:v>4</c:v>
              </c:pt>
            </c:numLit>
          </c:yVal>
          <c:bubbleSize>
            <c:numRef>
              <c:f>Sheet1!$AC$18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F-A865-41B6-A2FE-AC0C47E51A20}"/>
            </c:ext>
          </c:extLst>
        </c:ser>
        <c:ser>
          <c:idx val="14"/>
          <c:order val="16"/>
          <c:tx>
            <c:v>R5C3</c:v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Lit>
              <c:formatCode>General</c:formatCode>
              <c:ptCount val="1"/>
              <c:pt idx="0">
                <c:v>5</c:v>
              </c:pt>
            </c:numLit>
          </c:yVal>
          <c:bubbleSize>
            <c:numRef>
              <c:f>Sheet1!$AC$19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10-A865-41B6-A2FE-AC0C47E51A20}"/>
            </c:ext>
          </c:extLst>
        </c:ser>
        <c:ser>
          <c:idx val="22"/>
          <c:order val="17"/>
          <c:tx>
            <c:v>R6C3</c:v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Lit>
              <c:formatCode>General</c:formatCode>
              <c:ptCount val="1"/>
              <c:pt idx="0">
                <c:v>6</c:v>
              </c:pt>
            </c:numLit>
          </c:yVal>
          <c:bubbleSize>
            <c:numRef>
              <c:f>Sheet1!$AC$20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11-A865-41B6-A2FE-AC0C47E51A20}"/>
            </c:ext>
          </c:extLst>
        </c:ser>
        <c:ser>
          <c:idx val="15"/>
          <c:order val="18"/>
          <c:tx>
            <c:v>R1C4</c:v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bubbleSize>
            <c:numRef>
              <c:f>Sheet1!$AD$15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12-A865-41B6-A2FE-AC0C47E51A20}"/>
            </c:ext>
          </c:extLst>
        </c:ser>
        <c:ser>
          <c:idx val="16"/>
          <c:order val="19"/>
          <c:tx>
            <c:v>R2C4</c:v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Lit>
              <c:formatCode>General</c:formatCode>
              <c:ptCount val="1"/>
              <c:pt idx="0">
                <c:v>2</c:v>
              </c:pt>
            </c:numLit>
          </c:yVal>
          <c:bubbleSize>
            <c:numRef>
              <c:f>Sheet1!$AD$16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13-A865-41B6-A2FE-AC0C47E51A20}"/>
            </c:ext>
          </c:extLst>
        </c:ser>
        <c:ser>
          <c:idx val="17"/>
          <c:order val="20"/>
          <c:tx>
            <c:v>R3C4</c:v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Lit>
              <c:formatCode>General</c:formatCode>
              <c:ptCount val="1"/>
              <c:pt idx="0">
                <c:v>3</c:v>
              </c:pt>
            </c:numLit>
          </c:yVal>
          <c:bubbleSize>
            <c:numRef>
              <c:f>Sheet1!$AD$17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14-A865-41B6-A2FE-AC0C47E51A20}"/>
            </c:ext>
          </c:extLst>
        </c:ser>
        <c:ser>
          <c:idx val="18"/>
          <c:order val="21"/>
          <c:tx>
            <c:v>R4C4</c:v>
          </c:tx>
          <c:spPr>
            <a:solidFill>
              <a:schemeClr val="accent5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Lit>
              <c:formatCode>General</c:formatCode>
              <c:ptCount val="1"/>
              <c:pt idx="0">
                <c:v>4</c:v>
              </c:pt>
            </c:numLit>
          </c:yVal>
          <c:bubbleSize>
            <c:numRef>
              <c:f>Sheet1!$AD$18</c:f>
              <c:numCache>
                <c:formatCode>General</c:formatCode>
                <c:ptCount val="1"/>
                <c:pt idx="0">
                  <c:v>8.712015226218231E-2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15-A865-41B6-A2FE-AC0C47E51A20}"/>
            </c:ext>
          </c:extLst>
        </c:ser>
        <c:ser>
          <c:idx val="19"/>
          <c:order val="22"/>
          <c:tx>
            <c:v>R5C4</c:v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Lit>
              <c:formatCode>General</c:formatCode>
              <c:ptCount val="1"/>
              <c:pt idx="0">
                <c:v>5</c:v>
              </c:pt>
            </c:numLit>
          </c:yVal>
          <c:bubbleSize>
            <c:numRef>
              <c:f>Sheet1!$AD$19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16-A865-41B6-A2FE-AC0C47E51A20}"/>
            </c:ext>
          </c:extLst>
        </c:ser>
        <c:ser>
          <c:idx val="23"/>
          <c:order val="23"/>
          <c:tx>
            <c:v>R6C4</c:v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Lit>
              <c:formatCode>General</c:formatCode>
              <c:ptCount val="1"/>
              <c:pt idx="0">
                <c:v>6</c:v>
              </c:pt>
            </c:numLit>
          </c:yVal>
          <c:bubbleSize>
            <c:numRef>
              <c:f>Sheet1!$AD$20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17-A865-41B6-A2FE-AC0C47E51A20}"/>
            </c:ext>
          </c:extLst>
        </c:ser>
        <c:ser>
          <c:idx val="24"/>
          <c:order val="24"/>
          <c:tx>
            <c:v>R1C5</c:v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5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bubbleSize>
            <c:numRef>
              <c:f>Sheet1!$AE$15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18-A865-41B6-A2FE-AC0C47E51A20}"/>
            </c:ext>
          </c:extLst>
        </c:ser>
        <c:ser>
          <c:idx val="25"/>
          <c:order val="25"/>
          <c:tx>
            <c:v>R2C5</c:v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5</c:v>
              </c:pt>
            </c:numLit>
          </c:xVal>
          <c:yVal>
            <c:numLit>
              <c:formatCode>General</c:formatCode>
              <c:ptCount val="1"/>
              <c:pt idx="0">
                <c:v>2</c:v>
              </c:pt>
            </c:numLit>
          </c:yVal>
          <c:bubbleSize>
            <c:numRef>
              <c:f>Sheet1!$AE$16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19-A865-41B6-A2FE-AC0C47E51A20}"/>
            </c:ext>
          </c:extLst>
        </c:ser>
        <c:ser>
          <c:idx val="26"/>
          <c:order val="26"/>
          <c:tx>
            <c:v>R3C5</c:v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5</c:v>
              </c:pt>
            </c:numLit>
          </c:xVal>
          <c:yVal>
            <c:numLit>
              <c:formatCode>General</c:formatCode>
              <c:ptCount val="1"/>
              <c:pt idx="0">
                <c:v>3</c:v>
              </c:pt>
            </c:numLit>
          </c:yVal>
          <c:bubbleSize>
            <c:numRef>
              <c:f>Sheet1!$AE$17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1A-A865-41B6-A2FE-AC0C47E51A20}"/>
            </c:ext>
          </c:extLst>
        </c:ser>
        <c:ser>
          <c:idx val="27"/>
          <c:order val="27"/>
          <c:tx>
            <c:v>R4C5</c:v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5</c:v>
              </c:pt>
            </c:numLit>
          </c:xVal>
          <c:yVal>
            <c:numLit>
              <c:formatCode>General</c:formatCode>
              <c:ptCount val="1"/>
              <c:pt idx="0">
                <c:v>4</c:v>
              </c:pt>
            </c:numLit>
          </c:yVal>
          <c:bubbleSize>
            <c:numRef>
              <c:f>Sheet1!$AE$18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1B-A865-41B6-A2FE-AC0C47E51A20}"/>
            </c:ext>
          </c:extLst>
        </c:ser>
        <c:ser>
          <c:idx val="28"/>
          <c:order val="28"/>
          <c:tx>
            <c:v>R5C5</c:v>
          </c:tx>
          <c:spPr>
            <a:solidFill>
              <a:schemeClr val="accent5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5</c:v>
              </c:pt>
            </c:numLit>
          </c:xVal>
          <c:yVal>
            <c:numLit>
              <c:formatCode>General</c:formatCode>
              <c:ptCount val="1"/>
              <c:pt idx="0">
                <c:v>5</c:v>
              </c:pt>
            </c:numLit>
          </c:yVal>
          <c:bubbleSize>
            <c:numRef>
              <c:f>Sheet1!$AE$19</c:f>
              <c:numCache>
                <c:formatCode>General</c:formatCode>
                <c:ptCount val="1"/>
                <c:pt idx="0">
                  <c:v>8.712015226218231E-2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1C-A865-41B6-A2FE-AC0C47E51A20}"/>
            </c:ext>
          </c:extLst>
        </c:ser>
        <c:ser>
          <c:idx val="29"/>
          <c:order val="29"/>
          <c:tx>
            <c:v>R6C5</c:v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5</c:v>
              </c:pt>
            </c:numLit>
          </c:xVal>
          <c:yVal>
            <c:numLit>
              <c:formatCode>General</c:formatCode>
              <c:ptCount val="1"/>
              <c:pt idx="0">
                <c:v>6</c:v>
              </c:pt>
            </c:numLit>
          </c:yVal>
          <c:bubbleSize>
            <c:numRef>
              <c:f>Sheet1!$AE$20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1D-A865-41B6-A2FE-AC0C47E51A20}"/>
            </c:ext>
          </c:extLst>
        </c:ser>
        <c:ser>
          <c:idx val="30"/>
          <c:order val="30"/>
          <c:tx>
            <c:v>R1C6</c:v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6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bubbleSize>
            <c:numRef>
              <c:f>Sheet1!$AF$15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1E-A865-41B6-A2FE-AC0C47E51A20}"/>
            </c:ext>
          </c:extLst>
        </c:ser>
        <c:ser>
          <c:idx val="31"/>
          <c:order val="31"/>
          <c:tx>
            <c:v>R2C6</c:v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6</c:v>
              </c:pt>
            </c:numLit>
          </c:xVal>
          <c:yVal>
            <c:numLit>
              <c:formatCode>General</c:formatCode>
              <c:ptCount val="1"/>
              <c:pt idx="0">
                <c:v>2</c:v>
              </c:pt>
            </c:numLit>
          </c:yVal>
          <c:bubbleSize>
            <c:numRef>
              <c:f>Sheet1!$AF$16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1F-A865-41B6-A2FE-AC0C47E51A20}"/>
            </c:ext>
          </c:extLst>
        </c:ser>
        <c:ser>
          <c:idx val="32"/>
          <c:order val="32"/>
          <c:tx>
            <c:v>R3C6</c:v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6</c:v>
              </c:pt>
            </c:numLit>
          </c:xVal>
          <c:yVal>
            <c:numLit>
              <c:formatCode>General</c:formatCode>
              <c:ptCount val="1"/>
              <c:pt idx="0">
                <c:v>3</c:v>
              </c:pt>
            </c:numLit>
          </c:yVal>
          <c:bubbleSize>
            <c:numRef>
              <c:f>Sheet1!$AF$17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20-A865-41B6-A2FE-AC0C47E51A20}"/>
            </c:ext>
          </c:extLst>
        </c:ser>
        <c:ser>
          <c:idx val="33"/>
          <c:order val="33"/>
          <c:tx>
            <c:v>R4C6</c:v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6</c:v>
              </c:pt>
            </c:numLit>
          </c:xVal>
          <c:yVal>
            <c:numLit>
              <c:formatCode>General</c:formatCode>
              <c:ptCount val="1"/>
              <c:pt idx="0">
                <c:v>4</c:v>
              </c:pt>
            </c:numLit>
          </c:yVal>
          <c:bubbleSize>
            <c:numRef>
              <c:f>Sheet1!$AF$18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21-A865-41B6-A2FE-AC0C47E51A20}"/>
            </c:ext>
          </c:extLst>
        </c:ser>
        <c:ser>
          <c:idx val="34"/>
          <c:order val="34"/>
          <c:tx>
            <c:v>R5C6</c:v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6</c:v>
              </c:pt>
            </c:numLit>
          </c:xVal>
          <c:yVal>
            <c:numLit>
              <c:formatCode>General</c:formatCode>
              <c:ptCount val="1"/>
              <c:pt idx="0">
                <c:v>5</c:v>
              </c:pt>
            </c:numLit>
          </c:yVal>
          <c:bubbleSize>
            <c:numRef>
              <c:f>Sheet1!$AF$19</c:f>
              <c:numCache>
                <c:formatCode>General</c:formatCode>
                <c:ptCount val="1"/>
                <c:pt idx="0">
                  <c:v>5.1138720952028961E-3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22-A865-41B6-A2FE-AC0C47E51A20}"/>
            </c:ext>
          </c:extLst>
        </c:ser>
        <c:ser>
          <c:idx val="35"/>
          <c:order val="35"/>
          <c:tx>
            <c:v>R6C6</c:v>
          </c:tx>
          <c:spPr>
            <a:solidFill>
              <a:schemeClr val="accent5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6</c:v>
              </c:pt>
            </c:numLit>
          </c:xVal>
          <c:yVal>
            <c:numLit>
              <c:formatCode>General</c:formatCode>
              <c:ptCount val="1"/>
              <c:pt idx="0">
                <c:v>6</c:v>
              </c:pt>
            </c:numLit>
          </c:yVal>
          <c:bubbleSize>
            <c:numRef>
              <c:f>Sheet1!$AF$20</c:f>
              <c:numCache>
                <c:formatCode>General</c:formatCode>
                <c:ptCount val="1"/>
                <c:pt idx="0">
                  <c:v>8.712015226218231E-2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23-A865-41B6-A2FE-AC0C47E51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1"/>
        <c:axId val="49617152"/>
        <c:axId val="49623040"/>
      </c:bubbleChart>
      <c:valAx>
        <c:axId val="49617152"/>
        <c:scaling>
          <c:orientation val="minMax"/>
          <c:max val="7"/>
          <c:min val="0"/>
        </c:scaling>
        <c:delete val="1"/>
        <c:axPos val="t"/>
        <c:numFmt formatCode="General" sourceLinked="1"/>
        <c:majorTickMark val="out"/>
        <c:minorTickMark val="in"/>
        <c:tickLblPos val="nextTo"/>
        <c:crossAx val="49623040"/>
        <c:crosses val="autoZero"/>
        <c:crossBetween val="midCat"/>
        <c:majorUnit val="1"/>
        <c:minorUnit val="0.5"/>
      </c:valAx>
      <c:valAx>
        <c:axId val="49623040"/>
        <c:scaling>
          <c:orientation val="maxMin"/>
          <c:max val="7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49617152"/>
        <c:crosses val="autoZero"/>
        <c:crossBetween val="midCat"/>
        <c:majorUnit val="1"/>
        <c:minorUnit val="0.5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Sheet3!$F$2:$F$121</c:f>
              <c:numCache>
                <c:formatCode>General</c:formatCode>
                <c:ptCount val="120"/>
              </c:numCache>
            </c:numRef>
          </c:xVal>
          <c:yVal>
            <c:numRef>
              <c:f>Sheet3!$D$2:$D$121</c:f>
              <c:numCache>
                <c:formatCode>General</c:formatCode>
                <c:ptCount val="120"/>
                <c:pt idx="0">
                  <c:v>0.7</c:v>
                </c:pt>
                <c:pt idx="1">
                  <c:v>0.33</c:v>
                </c:pt>
                <c:pt idx="2">
                  <c:v>0.18</c:v>
                </c:pt>
                <c:pt idx="3">
                  <c:v>0.05</c:v>
                </c:pt>
                <c:pt idx="4">
                  <c:v>0.13</c:v>
                </c:pt>
                <c:pt idx="5">
                  <c:v>0.09</c:v>
                </c:pt>
                <c:pt idx="6">
                  <c:v>0.94</c:v>
                </c:pt>
                <c:pt idx="7">
                  <c:v>0.31</c:v>
                </c:pt>
                <c:pt idx="8">
                  <c:v>0.34</c:v>
                </c:pt>
                <c:pt idx="9">
                  <c:v>0.68</c:v>
                </c:pt>
                <c:pt idx="10">
                  <c:v>0.1</c:v>
                </c:pt>
                <c:pt idx="11">
                  <c:v>0.6</c:v>
                </c:pt>
                <c:pt idx="12">
                  <c:v>0.56999999999999995</c:v>
                </c:pt>
                <c:pt idx="13">
                  <c:v>0.36</c:v>
                </c:pt>
                <c:pt idx="14">
                  <c:v>0.56000000000000005</c:v>
                </c:pt>
                <c:pt idx="15">
                  <c:v>0.9</c:v>
                </c:pt>
                <c:pt idx="16">
                  <c:v>0.78</c:v>
                </c:pt>
                <c:pt idx="17">
                  <c:v>0.12</c:v>
                </c:pt>
                <c:pt idx="18">
                  <c:v>0.32</c:v>
                </c:pt>
                <c:pt idx="19">
                  <c:v>0.2</c:v>
                </c:pt>
                <c:pt idx="20">
                  <c:v>0.11</c:v>
                </c:pt>
                <c:pt idx="21">
                  <c:v>0.55000000000000004</c:v>
                </c:pt>
                <c:pt idx="22">
                  <c:v>0.08</c:v>
                </c:pt>
                <c:pt idx="23">
                  <c:v>0</c:v>
                </c:pt>
                <c:pt idx="24">
                  <c:v>0.2</c:v>
                </c:pt>
                <c:pt idx="25">
                  <c:v>0.57999999999999996</c:v>
                </c:pt>
                <c:pt idx="26">
                  <c:v>0.89</c:v>
                </c:pt>
                <c:pt idx="27">
                  <c:v>0.15</c:v>
                </c:pt>
                <c:pt idx="28">
                  <c:v>0.11</c:v>
                </c:pt>
                <c:pt idx="29">
                  <c:v>0.68</c:v>
                </c:pt>
                <c:pt idx="30">
                  <c:v>0.71</c:v>
                </c:pt>
                <c:pt idx="31">
                  <c:v>0.66</c:v>
                </c:pt>
                <c:pt idx="32">
                  <c:v>0.23</c:v>
                </c:pt>
                <c:pt idx="33">
                  <c:v>0.67</c:v>
                </c:pt>
                <c:pt idx="34">
                  <c:v>0.28999999999999998</c:v>
                </c:pt>
                <c:pt idx="35">
                  <c:v>0.65</c:v>
                </c:pt>
                <c:pt idx="36">
                  <c:v>1</c:v>
                </c:pt>
                <c:pt idx="37">
                  <c:v>7.0000000000000007E-2</c:v>
                </c:pt>
                <c:pt idx="38">
                  <c:v>0.44</c:v>
                </c:pt>
                <c:pt idx="39">
                  <c:v>0.57999999999999996</c:v>
                </c:pt>
                <c:pt idx="40">
                  <c:v>0.13</c:v>
                </c:pt>
                <c:pt idx="41">
                  <c:v>0.48</c:v>
                </c:pt>
                <c:pt idx="42">
                  <c:v>0.17</c:v>
                </c:pt>
                <c:pt idx="43">
                  <c:v>0.01</c:v>
                </c:pt>
                <c:pt idx="44">
                  <c:v>0.1</c:v>
                </c:pt>
                <c:pt idx="45">
                  <c:v>0.56000000000000005</c:v>
                </c:pt>
                <c:pt idx="46">
                  <c:v>0.63</c:v>
                </c:pt>
                <c:pt idx="47">
                  <c:v>0.88</c:v>
                </c:pt>
                <c:pt idx="48">
                  <c:v>0.69</c:v>
                </c:pt>
                <c:pt idx="49">
                  <c:v>0.52</c:v>
                </c:pt>
                <c:pt idx="50">
                  <c:v>0.08</c:v>
                </c:pt>
                <c:pt idx="51">
                  <c:v>0.69</c:v>
                </c:pt>
                <c:pt idx="52">
                  <c:v>0.94</c:v>
                </c:pt>
                <c:pt idx="53">
                  <c:v>0.52</c:v>
                </c:pt>
                <c:pt idx="54">
                  <c:v>0.41</c:v>
                </c:pt>
                <c:pt idx="55">
                  <c:v>0.06</c:v>
                </c:pt>
                <c:pt idx="56">
                  <c:v>0.45</c:v>
                </c:pt>
                <c:pt idx="57">
                  <c:v>0.87</c:v>
                </c:pt>
                <c:pt idx="58">
                  <c:v>0.32</c:v>
                </c:pt>
                <c:pt idx="59">
                  <c:v>0.17</c:v>
                </c:pt>
                <c:pt idx="60">
                  <c:v>0.56000000000000005</c:v>
                </c:pt>
                <c:pt idx="61">
                  <c:v>0.12</c:v>
                </c:pt>
                <c:pt idx="62">
                  <c:v>0.7</c:v>
                </c:pt>
                <c:pt idx="63">
                  <c:v>0.45</c:v>
                </c:pt>
                <c:pt idx="64">
                  <c:v>0.46</c:v>
                </c:pt>
                <c:pt idx="65">
                  <c:v>0.27</c:v>
                </c:pt>
                <c:pt idx="66">
                  <c:v>0.88</c:v>
                </c:pt>
                <c:pt idx="67">
                  <c:v>0.95</c:v>
                </c:pt>
                <c:pt idx="68">
                  <c:v>0.35</c:v>
                </c:pt>
                <c:pt idx="69">
                  <c:v>0.66</c:v>
                </c:pt>
                <c:pt idx="70">
                  <c:v>0.65</c:v>
                </c:pt>
                <c:pt idx="71">
                  <c:v>0.02</c:v>
                </c:pt>
                <c:pt idx="72">
                  <c:v>0.44</c:v>
                </c:pt>
                <c:pt idx="73">
                  <c:v>0.65</c:v>
                </c:pt>
                <c:pt idx="74">
                  <c:v>0.64</c:v>
                </c:pt>
                <c:pt idx="75">
                  <c:v>0.08</c:v>
                </c:pt>
                <c:pt idx="76">
                  <c:v>0.77</c:v>
                </c:pt>
                <c:pt idx="77">
                  <c:v>0.94</c:v>
                </c:pt>
                <c:pt idx="78">
                  <c:v>0.14000000000000001</c:v>
                </c:pt>
                <c:pt idx="79">
                  <c:v>0.19</c:v>
                </c:pt>
                <c:pt idx="80">
                  <c:v>0.22</c:v>
                </c:pt>
                <c:pt idx="81">
                  <c:v>0.94</c:v>
                </c:pt>
                <c:pt idx="82">
                  <c:v>0.69</c:v>
                </c:pt>
                <c:pt idx="83">
                  <c:v>0.54</c:v>
                </c:pt>
                <c:pt idx="84">
                  <c:v>0.41</c:v>
                </c:pt>
                <c:pt idx="85">
                  <c:v>0.19</c:v>
                </c:pt>
                <c:pt idx="86">
                  <c:v>0.64</c:v>
                </c:pt>
                <c:pt idx="87">
                  <c:v>0.69</c:v>
                </c:pt>
                <c:pt idx="88">
                  <c:v>0.09</c:v>
                </c:pt>
                <c:pt idx="89">
                  <c:v>0.88</c:v>
                </c:pt>
                <c:pt idx="90">
                  <c:v>0.41</c:v>
                </c:pt>
                <c:pt idx="91">
                  <c:v>0.56000000000000005</c:v>
                </c:pt>
                <c:pt idx="92">
                  <c:v>0.67</c:v>
                </c:pt>
                <c:pt idx="93">
                  <c:v>1</c:v>
                </c:pt>
                <c:pt idx="94">
                  <c:v>0.56999999999999995</c:v>
                </c:pt>
                <c:pt idx="95">
                  <c:v>0.66</c:v>
                </c:pt>
                <c:pt idx="96">
                  <c:v>0.9</c:v>
                </c:pt>
                <c:pt idx="97">
                  <c:v>0.62</c:v>
                </c:pt>
                <c:pt idx="98">
                  <c:v>0.73</c:v>
                </c:pt>
                <c:pt idx="99">
                  <c:v>0.5</c:v>
                </c:pt>
                <c:pt idx="100">
                  <c:v>0.87</c:v>
                </c:pt>
                <c:pt idx="101">
                  <c:v>0.24</c:v>
                </c:pt>
                <c:pt idx="102">
                  <c:v>0.02</c:v>
                </c:pt>
                <c:pt idx="103">
                  <c:v>0.91</c:v>
                </c:pt>
                <c:pt idx="104">
                  <c:v>0.92</c:v>
                </c:pt>
                <c:pt idx="105">
                  <c:v>0.68</c:v>
                </c:pt>
                <c:pt idx="106">
                  <c:v>0.2</c:v>
                </c:pt>
                <c:pt idx="107">
                  <c:v>0.56999999999999995</c:v>
                </c:pt>
                <c:pt idx="108">
                  <c:v>0.13</c:v>
                </c:pt>
                <c:pt idx="109">
                  <c:v>0.1</c:v>
                </c:pt>
                <c:pt idx="110">
                  <c:v>1</c:v>
                </c:pt>
                <c:pt idx="111">
                  <c:v>0.22</c:v>
                </c:pt>
                <c:pt idx="112">
                  <c:v>0.13</c:v>
                </c:pt>
                <c:pt idx="113">
                  <c:v>0.83</c:v>
                </c:pt>
                <c:pt idx="114">
                  <c:v>0.94</c:v>
                </c:pt>
                <c:pt idx="115">
                  <c:v>0.41</c:v>
                </c:pt>
                <c:pt idx="116">
                  <c:v>0.98</c:v>
                </c:pt>
                <c:pt idx="117">
                  <c:v>0.41</c:v>
                </c:pt>
                <c:pt idx="118">
                  <c:v>0.36</c:v>
                </c:pt>
                <c:pt idx="119">
                  <c:v>0.78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221-4B3D-BFDD-281CA27D9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71392"/>
        <c:axId val="47373312"/>
      </c:scatterChart>
      <c:valAx>
        <c:axId val="47371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73312"/>
        <c:crosses val="autoZero"/>
        <c:crossBetween val="midCat"/>
      </c:valAx>
      <c:valAx>
        <c:axId val="4737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71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ubbleChart>
        <c:varyColors val="0"/>
        <c:ser>
          <c:idx val="0"/>
          <c:order val="0"/>
          <c:tx>
            <c:v>R1C1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bubbleSize>
            <c:numRef>
              <c:f>Sheet4!$T$4</c:f>
              <c:numCache>
                <c:formatCode>General</c:formatCode>
                <c:ptCount val="1"/>
                <c:pt idx="0">
                  <c:v>1.3479802834946506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5A0-44CE-8A16-B2B419E0238F}"/>
            </c:ext>
          </c:extLst>
        </c:ser>
        <c:ser>
          <c:idx val="1"/>
          <c:order val="1"/>
          <c:tx>
            <c:v>R2C1</c:v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2</c:v>
              </c:pt>
            </c:numLit>
          </c:yVal>
          <c:bubbleSize>
            <c:numRef>
              <c:f>Sheet4!$T$5</c:f>
              <c:numCache>
                <c:formatCode>General</c:formatCode>
                <c:ptCount val="1"/>
                <c:pt idx="0">
                  <c:v>-8.5298518060577019E-2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5A0-44CE-8A16-B2B419E0238F}"/>
            </c:ext>
          </c:extLst>
        </c:ser>
        <c:ser>
          <c:idx val="2"/>
          <c:order val="2"/>
          <c:tx>
            <c:v>R3C1</c:v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3</c:v>
              </c:pt>
            </c:numLit>
          </c:yVal>
          <c:bubbleSize>
            <c:numRef>
              <c:f>Sheet4!$T$6</c:f>
              <c:numCache>
                <c:formatCode>General</c:formatCode>
                <c:ptCount val="1"/>
                <c:pt idx="0">
                  <c:v>8.9564079014836762E-2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5A0-44CE-8A16-B2B419E0238F}"/>
            </c:ext>
          </c:extLst>
        </c:ser>
        <c:ser>
          <c:idx val="3"/>
          <c:order val="3"/>
          <c:tx>
            <c:v>R4C1</c:v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4</c:v>
              </c:pt>
            </c:numLit>
          </c:yVal>
          <c:bubbleSize>
            <c:numRef>
              <c:f>Sheet4!$T$7</c:f>
              <c:numCache>
                <c:formatCode>General</c:formatCode>
                <c:ptCount val="1"/>
                <c:pt idx="0">
                  <c:v>0.18585753655756368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5A0-44CE-8A16-B2B419E0238F}"/>
            </c:ext>
          </c:extLst>
        </c:ser>
        <c:ser>
          <c:idx val="4"/>
          <c:order val="4"/>
          <c:tx>
            <c:v>R1C2</c:v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bubbleSize>
            <c:numRef>
              <c:f>Sheet4!$U$4</c:f>
              <c:numCache>
                <c:formatCode>General</c:formatCode>
                <c:ptCount val="1"/>
                <c:pt idx="0">
                  <c:v>-8.5298518060577019E-2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4-D5A0-44CE-8A16-B2B419E0238F}"/>
            </c:ext>
          </c:extLst>
        </c:ser>
        <c:ser>
          <c:idx val="5"/>
          <c:order val="5"/>
          <c:tx>
            <c:v>R2C2</c:v>
          </c:tx>
          <c:spPr>
            <a:solidFill>
              <a:schemeClr val="accent5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2</c:v>
              </c:pt>
            </c:numLit>
          </c:yVal>
          <c:bubbleSize>
            <c:numRef>
              <c:f>Sheet4!$U$5</c:f>
              <c:numCache>
                <c:formatCode>General</c:formatCode>
                <c:ptCount val="1"/>
                <c:pt idx="0">
                  <c:v>0.8961636624544278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5-D5A0-44CE-8A16-B2B419E0238F}"/>
            </c:ext>
          </c:extLst>
        </c:ser>
        <c:ser>
          <c:idx val="6"/>
          <c:order val="6"/>
          <c:tx>
            <c:v>R3C2</c:v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3</c:v>
              </c:pt>
            </c:numLit>
          </c:yVal>
          <c:bubbleSize>
            <c:numRef>
              <c:f>Sheet4!$U$6</c:f>
              <c:numCache>
                <c:formatCode>General</c:formatCode>
                <c:ptCount val="1"/>
                <c:pt idx="0">
                  <c:v>0.22963241738648246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6-D5A0-44CE-8A16-B2B419E0238F}"/>
            </c:ext>
          </c:extLst>
        </c:ser>
        <c:ser>
          <c:idx val="7"/>
          <c:order val="7"/>
          <c:tx>
            <c:v>R4C2</c:v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4</c:v>
              </c:pt>
            </c:numLit>
          </c:yVal>
          <c:bubbleSize>
            <c:numRef>
              <c:f>Sheet4!$U$7</c:f>
              <c:numCache>
                <c:formatCode>General</c:formatCode>
                <c:ptCount val="1"/>
                <c:pt idx="0">
                  <c:v>-5.3439061801141247E-2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7-D5A0-44CE-8A16-B2B419E0238F}"/>
            </c:ext>
          </c:extLst>
        </c:ser>
        <c:ser>
          <c:idx val="8"/>
          <c:order val="8"/>
          <c:tx>
            <c:v>R1C3</c:v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bubbleSize>
            <c:numRef>
              <c:f>Sheet4!$V$4</c:f>
              <c:numCache>
                <c:formatCode>General</c:formatCode>
                <c:ptCount val="1"/>
                <c:pt idx="0">
                  <c:v>8.9564079014836762E-2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8-D5A0-44CE-8A16-B2B419E0238F}"/>
            </c:ext>
          </c:extLst>
        </c:ser>
        <c:ser>
          <c:idx val="9"/>
          <c:order val="9"/>
          <c:tx>
            <c:v>R2C3</c:v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Lit>
              <c:formatCode>General</c:formatCode>
              <c:ptCount val="1"/>
              <c:pt idx="0">
                <c:v>2</c:v>
              </c:pt>
            </c:numLit>
          </c:yVal>
          <c:bubbleSize>
            <c:numRef>
              <c:f>Sheet4!$V$5</c:f>
              <c:numCache>
                <c:formatCode>General</c:formatCode>
                <c:ptCount val="1"/>
                <c:pt idx="0">
                  <c:v>0.22963241738648246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9-D5A0-44CE-8A16-B2B419E0238F}"/>
            </c:ext>
          </c:extLst>
        </c:ser>
        <c:ser>
          <c:idx val="10"/>
          <c:order val="10"/>
          <c:tx>
            <c:v>R3C3</c:v>
          </c:tx>
          <c:spPr>
            <a:solidFill>
              <a:schemeClr val="accent5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Lit>
              <c:formatCode>General</c:formatCode>
              <c:ptCount val="1"/>
              <c:pt idx="0">
                <c:v>3</c:v>
              </c:pt>
            </c:numLit>
          </c:yVal>
          <c:bubbleSize>
            <c:numRef>
              <c:f>Sheet4!$V$6</c:f>
              <c:numCache>
                <c:formatCode>General</c:formatCode>
                <c:ptCount val="1"/>
                <c:pt idx="0">
                  <c:v>2.0739904671338953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A-D5A0-44CE-8A16-B2B419E0238F}"/>
            </c:ext>
          </c:extLst>
        </c:ser>
        <c:ser>
          <c:idx val="11"/>
          <c:order val="11"/>
          <c:tx>
            <c:v>R4C3</c:v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Lit>
              <c:formatCode>General</c:formatCode>
              <c:ptCount val="1"/>
              <c:pt idx="0">
                <c:v>4</c:v>
              </c:pt>
            </c:numLit>
          </c:yVal>
          <c:bubbleSize>
            <c:numRef>
              <c:f>Sheet4!$V$7</c:f>
              <c:numCache>
                <c:formatCode>General</c:formatCode>
                <c:ptCount val="1"/>
                <c:pt idx="0">
                  <c:v>0.37938295644333625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B-D5A0-44CE-8A16-B2B419E0238F}"/>
            </c:ext>
          </c:extLst>
        </c:ser>
        <c:ser>
          <c:idx val="12"/>
          <c:order val="12"/>
          <c:tx>
            <c:v>R1C4</c:v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bubbleSize>
            <c:numRef>
              <c:f>Sheet4!$W$4</c:f>
              <c:numCache>
                <c:formatCode>General</c:formatCode>
                <c:ptCount val="1"/>
                <c:pt idx="0">
                  <c:v>0.18585753655756368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C-D5A0-44CE-8A16-B2B419E0238F}"/>
            </c:ext>
          </c:extLst>
        </c:ser>
        <c:ser>
          <c:idx val="13"/>
          <c:order val="13"/>
          <c:tx>
            <c:v>R2C4</c:v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Lit>
              <c:formatCode>General</c:formatCode>
              <c:ptCount val="1"/>
              <c:pt idx="0">
                <c:v>2</c:v>
              </c:pt>
            </c:numLit>
          </c:yVal>
          <c:bubbleSize>
            <c:numRef>
              <c:f>Sheet4!$W$5</c:f>
              <c:numCache>
                <c:formatCode>General</c:formatCode>
                <c:ptCount val="1"/>
                <c:pt idx="0">
                  <c:v>-5.3439061801141247E-2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D-D5A0-44CE-8A16-B2B419E0238F}"/>
            </c:ext>
          </c:extLst>
        </c:ser>
        <c:ser>
          <c:idx val="14"/>
          <c:order val="14"/>
          <c:tx>
            <c:v>R3C4</c:v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Lit>
              <c:formatCode>General</c:formatCode>
              <c:ptCount val="1"/>
              <c:pt idx="0">
                <c:v>3</c:v>
              </c:pt>
            </c:numLit>
          </c:yVal>
          <c:bubbleSize>
            <c:numRef>
              <c:f>Sheet4!$W$6</c:f>
              <c:numCache>
                <c:formatCode>General</c:formatCode>
                <c:ptCount val="1"/>
                <c:pt idx="0">
                  <c:v>0.37938295644333625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E-D5A0-44CE-8A16-B2B419E0238F}"/>
            </c:ext>
          </c:extLst>
        </c:ser>
        <c:ser>
          <c:idx val="15"/>
          <c:order val="15"/>
          <c:tx>
            <c:v>R4C4</c:v>
          </c:tx>
          <c:spPr>
            <a:solidFill>
              <a:schemeClr val="accent5">
                <a:lumMod val="75000"/>
              </a:schemeClr>
            </a:solidFill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Lit>
              <c:formatCode>General</c:formatCode>
              <c:ptCount val="1"/>
              <c:pt idx="0">
                <c:v>4</c:v>
              </c:pt>
            </c:numLit>
          </c:yVal>
          <c:bubbleSize>
            <c:numRef>
              <c:f>Sheet4!$W$7</c:f>
              <c:numCache>
                <c:formatCode>General</c:formatCode>
                <c:ptCount val="1"/>
                <c:pt idx="0">
                  <c:v>0.87064150750820934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F-D5A0-44CE-8A16-B2B419E02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75"/>
        <c:showNegBubbles val="1"/>
        <c:axId val="50297088"/>
        <c:axId val="50319360"/>
      </c:bubbleChart>
      <c:valAx>
        <c:axId val="50297088"/>
        <c:scaling>
          <c:orientation val="minMax"/>
          <c:max val="4.5"/>
          <c:min val="0.5"/>
        </c:scaling>
        <c:delete val="1"/>
        <c:axPos val="t"/>
        <c:numFmt formatCode="General" sourceLinked="1"/>
        <c:majorTickMark val="out"/>
        <c:minorTickMark val="none"/>
        <c:tickLblPos val="nextTo"/>
        <c:crossAx val="50319360"/>
        <c:crosses val="autoZero"/>
        <c:crossBetween val="midCat"/>
      </c:valAx>
      <c:valAx>
        <c:axId val="50319360"/>
        <c:scaling>
          <c:orientation val="maxMin"/>
          <c:max val="4.5"/>
          <c:min val="0.5"/>
        </c:scaling>
        <c:delete val="1"/>
        <c:axPos val="l"/>
        <c:numFmt formatCode="General" sourceLinked="1"/>
        <c:majorTickMark val="out"/>
        <c:minorTickMark val="none"/>
        <c:tickLblPos val="nextTo"/>
        <c:crossAx val="502970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114300</xdr:colOff>
      <xdr:row>5</xdr:row>
      <xdr:rowOff>14287</xdr:rowOff>
    </xdr:from>
    <xdr:to>
      <xdr:col>21</xdr:col>
      <xdr:colOff>241125</xdr:colOff>
      <xdr:row>25</xdr:row>
      <xdr:rowOff>92287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114300</xdr:colOff>
      <xdr:row>26</xdr:row>
      <xdr:rowOff>23812</xdr:rowOff>
    </xdr:from>
    <xdr:to>
      <xdr:col>21</xdr:col>
      <xdr:colOff>241125</xdr:colOff>
      <xdr:row>46</xdr:row>
      <xdr:rowOff>101812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142875</xdr:colOff>
      <xdr:row>1</xdr:row>
      <xdr:rowOff>1</xdr:rowOff>
    </xdr:from>
    <xdr:to>
      <xdr:col>18</xdr:col>
      <xdr:colOff>219075</xdr:colOff>
      <xdr:row>4</xdr:row>
      <xdr:rowOff>1</xdr:rowOff>
    </xdr:to>
    <xdr:sp macro="" textlink="Sheet1!Z36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8934450" y="190501"/>
          <a:ext cx="25146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85000"/>
              <a:lumOff val="1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6C16452-6B65-4C42-9590-34689D96D6C8}" type="TxLink">
            <a:rPr lang="en-US" sz="1000" b="0" i="0" u="none" strike="noStrike">
              <a:solidFill>
                <a:srgbClr val="000000"/>
              </a:solidFill>
              <a:latin typeface="Calibri"/>
            </a:rPr>
            <a:pPr/>
            <a:t>No comparison needed</a:t>
          </a:fld>
          <a:endParaRPr lang="en-US" sz="1000"/>
        </a:p>
      </xdr:txBody>
    </xdr:sp>
    <xdr:clientData/>
  </xdr:twoCellAnchor>
  <xdr:twoCellAnchor>
    <xdr:from>
      <xdr:col>4</xdr:col>
      <xdr:colOff>590550</xdr:colOff>
      <xdr:row>19</xdr:row>
      <xdr:rowOff>128587</xdr:rowOff>
    </xdr:from>
    <xdr:to>
      <xdr:col>5</xdr:col>
      <xdr:colOff>57150</xdr:colOff>
      <xdr:row>24</xdr:row>
      <xdr:rowOff>128587</xdr:rowOff>
    </xdr:to>
    <xdr:sp macro="" textlink="">
      <xdr:nvSpPr>
        <xdr:cNvPr id="6" name="Left Bracket 5">
          <a:extLst>
            <a:ext uri="{FF2B5EF4-FFF2-40B4-BE49-F238E27FC236}">
              <a16:creationId xmlns="" xmlns:a16="http://schemas.microsoft.com/office/drawing/2014/main" id="{829E0AB5-0DC2-4A79-8F8B-F987A0F6C12B}"/>
            </a:ext>
          </a:extLst>
        </xdr:cNvPr>
        <xdr:cNvSpPr/>
      </xdr:nvSpPr>
      <xdr:spPr>
        <a:xfrm>
          <a:off x="3028950" y="3748087"/>
          <a:ext cx="76200" cy="952500"/>
        </a:xfrm>
        <a:prstGeom prst="leftBracket">
          <a:avLst/>
        </a:prstGeom>
        <a:ln w="28575"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8</xdr:col>
      <xdr:colOff>539115</xdr:colOff>
      <xdr:row>19</xdr:row>
      <xdr:rowOff>128587</xdr:rowOff>
    </xdr:from>
    <xdr:to>
      <xdr:col>9</xdr:col>
      <xdr:colOff>13335</xdr:colOff>
      <xdr:row>24</xdr:row>
      <xdr:rowOff>128587</xdr:rowOff>
    </xdr:to>
    <xdr:sp macro="" textlink="">
      <xdr:nvSpPr>
        <xdr:cNvPr id="7" name="Left Bracket 6">
          <a:extLst>
            <a:ext uri="{FF2B5EF4-FFF2-40B4-BE49-F238E27FC236}">
              <a16:creationId xmlns="" xmlns:a16="http://schemas.microsoft.com/office/drawing/2014/main" id="{2AB9E8E7-E5CF-45D7-BA77-8FD95C3435DE}"/>
            </a:ext>
          </a:extLst>
        </xdr:cNvPr>
        <xdr:cNvSpPr/>
      </xdr:nvSpPr>
      <xdr:spPr>
        <a:xfrm flipH="1">
          <a:off x="5415915" y="3748087"/>
          <a:ext cx="83820" cy="952500"/>
        </a:xfrm>
        <a:prstGeom prst="leftBracket">
          <a:avLst/>
        </a:prstGeom>
        <a:ln w="28575"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32</xdr:row>
      <xdr:rowOff>180975</xdr:rowOff>
    </xdr:from>
    <xdr:to>
      <xdr:col>15</xdr:col>
      <xdr:colOff>304800</xdr:colOff>
      <xdr:row>47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74172FA7-7130-4FCA-834F-C8751D504F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476250</xdr:colOff>
      <xdr:row>16</xdr:row>
      <xdr:rowOff>19050</xdr:rowOff>
    </xdr:from>
    <xdr:to>
      <xdr:col>25</xdr:col>
      <xdr:colOff>342900</xdr:colOff>
      <xdr:row>32</xdr:row>
      <xdr:rowOff>182880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66"/>
  <sheetViews>
    <sheetView tabSelected="1" workbookViewId="0">
      <selection activeCell="D4" sqref="D4"/>
    </sheetView>
  </sheetViews>
  <sheetFormatPr defaultRowHeight="15" x14ac:dyDescent="0.25"/>
  <cols>
    <col min="14" max="14" width="13" customWidth="1"/>
  </cols>
  <sheetData>
    <row r="1" spans="1:40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</row>
    <row r="2" spans="1:40" x14ac:dyDescent="0.25">
      <c r="A2" s="22"/>
      <c r="B2" s="16"/>
      <c r="C2" s="24" t="s">
        <v>130</v>
      </c>
      <c r="D2" s="17"/>
      <c r="E2" s="16"/>
      <c r="F2" s="24" t="s">
        <v>131</v>
      </c>
      <c r="G2" s="17"/>
      <c r="H2" s="22"/>
      <c r="I2" s="22"/>
      <c r="J2" s="37" t="s">
        <v>50</v>
      </c>
      <c r="K2" s="38" t="str">
        <f>"-2LL"</f>
        <v>-2LL</v>
      </c>
      <c r="L2" s="38" t="s">
        <v>67</v>
      </c>
      <c r="M2" s="38" t="s">
        <v>68</v>
      </c>
      <c r="N2" s="39" t="s">
        <v>77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</row>
    <row r="3" spans="1:40" x14ac:dyDescent="0.25">
      <c r="A3" s="22"/>
      <c r="B3" s="11"/>
      <c r="C3" s="18" t="s">
        <v>50</v>
      </c>
      <c r="D3" s="34" t="s">
        <v>0</v>
      </c>
      <c r="E3" s="12"/>
      <c r="F3" s="22" t="s">
        <v>50</v>
      </c>
      <c r="G3" s="36" t="s">
        <v>0</v>
      </c>
      <c r="H3" s="22"/>
      <c r="I3" s="22"/>
      <c r="J3" s="40" t="str">
        <f>SUBSTITUTE(TEXT(Sheet1!Z32,"#,######"),",",".")</f>
        <v>CS</v>
      </c>
      <c r="K3" s="41" t="str">
        <f>SUBSTITUTE(TEXT(Sheet1!AA32,"#,######"),",",".")</f>
        <v>62.422</v>
      </c>
      <c r="L3" s="41" t="str">
        <f>SUBSTITUTE(TEXT(Sheet1!AB32,"#,######"),",",".")</f>
        <v>66.422</v>
      </c>
      <c r="M3" s="41" t="str">
        <f>SUBSTITUTE(TEXT(Sheet1!AC32,"#,######"),",",".")</f>
        <v>71.894</v>
      </c>
      <c r="N3" s="42" t="str">
        <f>SUBSTITUTE(TEXT(Sheet1!AD32,"#"),",",".")</f>
        <v>8</v>
      </c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</row>
    <row r="4" spans="1:40" x14ac:dyDescent="0.25">
      <c r="A4" s="22"/>
      <c r="B4" s="14"/>
      <c r="C4" s="19" t="s">
        <v>191</v>
      </c>
      <c r="D4" s="35" t="s">
        <v>52</v>
      </c>
      <c r="E4" s="14"/>
      <c r="F4" s="19" t="s">
        <v>191</v>
      </c>
      <c r="G4" s="35" t="s">
        <v>52</v>
      </c>
      <c r="H4" s="22"/>
      <c r="I4" s="22"/>
      <c r="J4" s="43" t="str">
        <f>Sheet1!Z33</f>
        <v>CS</v>
      </c>
      <c r="K4" s="44" t="str">
        <f>SUBSTITUTE(TEXT(Sheet1!AA33,"#,######"),",",".")</f>
        <v>62.422</v>
      </c>
      <c r="L4" s="44" t="str">
        <f>SUBSTITUTE(TEXT(Sheet1!AB33,"#,######"),",",".")</f>
        <v>66.422</v>
      </c>
      <c r="M4" s="44" t="str">
        <f>SUBSTITUTE(TEXT(Sheet1!AC33,"#,######"),",",".")</f>
        <v>71.894</v>
      </c>
      <c r="N4" s="45" t="str">
        <f>SUBSTITUTE(TEXT(Sheet1!AD33,"#"),",",".")</f>
        <v>8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</row>
    <row r="5" spans="1:40" x14ac:dyDescent="0.2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</row>
    <row r="6" spans="1:40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</row>
    <row r="7" spans="1:40" x14ac:dyDescent="0.25">
      <c r="A7" s="22"/>
      <c r="B7" s="16"/>
      <c r="C7" s="17" t="s">
        <v>16</v>
      </c>
      <c r="D7" s="22"/>
      <c r="E7" s="10"/>
      <c r="F7" s="29" t="s">
        <v>42</v>
      </c>
      <c r="G7" s="29" t="s">
        <v>43</v>
      </c>
      <c r="H7" s="29" t="s">
        <v>44</v>
      </c>
      <c r="I7" s="29" t="s">
        <v>45</v>
      </c>
      <c r="J7" s="29" t="s">
        <v>46</v>
      </c>
      <c r="K7" s="29" t="s">
        <v>47</v>
      </c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</row>
    <row r="8" spans="1:40" x14ac:dyDescent="0.25">
      <c r="A8" s="22"/>
      <c r="B8" s="12" t="str">
        <f ca="1">Sheet1!Q24</f>
        <v>Diagonal</v>
      </c>
      <c r="C8" s="13" t="str">
        <f ca="1">SUBSTITUTE(TEXT(Sheet1!R24,"#,######"),",",".")</f>
        <v>.082006</v>
      </c>
      <c r="D8" s="22"/>
      <c r="E8" s="9" t="s">
        <v>42</v>
      </c>
      <c r="F8" s="6" t="str">
        <f ca="1">SUBSTITUTE(TEXT(Sheet1!R15, "#,######"), ",",".")</f>
        <v>.08712</v>
      </c>
      <c r="G8" s="8" t="str">
        <f ca="1">SUBSTITUTE(TEXT(Sheet1!S15, "#,######"), ",",".")</f>
        <v>.005114</v>
      </c>
      <c r="H8" s="8" t="str">
        <f ca="1">SUBSTITUTE(TEXT(Sheet1!T15, "#,######"), ",",".")</f>
        <v>.005114</v>
      </c>
      <c r="I8" s="8" t="str">
        <f ca="1">SUBSTITUTE(TEXT(Sheet1!U15, "#,######"), ",",".")</f>
        <v>.005114</v>
      </c>
      <c r="J8" s="8" t="str">
        <f ca="1">SUBSTITUTE(TEXT(Sheet1!V15, "#,######"), ",",".")</f>
        <v>.005114</v>
      </c>
      <c r="K8" s="8" t="str">
        <f ca="1">SUBSTITUTE(TEXT(Sheet1!W15, "#,######"), ",",".")</f>
        <v>.005114</v>
      </c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</row>
    <row r="9" spans="1:40" x14ac:dyDescent="0.25">
      <c r="A9" s="22"/>
      <c r="B9" s="12" t="str">
        <f ca="1">Sheet1!Q25</f>
        <v>Offset</v>
      </c>
      <c r="C9" s="13" t="str">
        <f ca="1">SUBSTITUTE(TEXT(Sheet1!R25,"#,######"),",",".")</f>
        <v>.005114</v>
      </c>
      <c r="D9" s="22"/>
      <c r="E9" s="9" t="s">
        <v>43</v>
      </c>
      <c r="F9" s="7" t="str">
        <f ca="1">SUBSTITUTE(TEXT(Sheet1!R16, "#,######"), ",",".")</f>
        <v>.005114</v>
      </c>
      <c r="G9" s="6" t="str">
        <f ca="1">SUBSTITUTE(TEXT(Sheet1!S16, "#,######"), ",",".")</f>
        <v>.08712</v>
      </c>
      <c r="H9" s="8" t="str">
        <f ca="1">SUBSTITUTE(TEXT(Sheet1!T16, "#,######"), ",",".")</f>
        <v>.005114</v>
      </c>
      <c r="I9" s="8" t="str">
        <f ca="1">SUBSTITUTE(TEXT(Sheet1!U16, "#,######"), ",",".")</f>
        <v>.005114</v>
      </c>
      <c r="J9" s="8" t="str">
        <f ca="1">SUBSTITUTE(TEXT(Sheet1!V16, "#,######"), ",",".")</f>
        <v>.005114</v>
      </c>
      <c r="K9" s="8" t="str">
        <f ca="1">SUBSTITUTE(TEXT(Sheet1!W16, "#,######"), ",",".")</f>
        <v>.005114</v>
      </c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</row>
    <row r="10" spans="1:40" x14ac:dyDescent="0.25">
      <c r="A10" s="22"/>
      <c r="B10" s="12" t="str">
        <f ca="1">Sheet1!Q26</f>
        <v/>
      </c>
      <c r="C10" s="13" t="str">
        <f ca="1">SUBSTITUTE(TEXT(Sheet1!R26,"#,######"),",",".")</f>
        <v/>
      </c>
      <c r="D10" s="22"/>
      <c r="E10" s="9" t="s">
        <v>44</v>
      </c>
      <c r="F10" s="7" t="str">
        <f ca="1">SUBSTITUTE(TEXT(Sheet1!R17, "#,######"), ",",".")</f>
        <v>.005114</v>
      </c>
      <c r="G10" s="7" t="str">
        <f ca="1">SUBSTITUTE(TEXT(Sheet1!S17, "#,######"), ",",".")</f>
        <v>.005114</v>
      </c>
      <c r="H10" s="6" t="str">
        <f ca="1">SUBSTITUTE(TEXT(Sheet1!T17, "#,######"), ",",".")</f>
        <v>.08712</v>
      </c>
      <c r="I10" s="8" t="str">
        <f ca="1">SUBSTITUTE(TEXT(Sheet1!U17, "#,######"), ",",".")</f>
        <v>.005114</v>
      </c>
      <c r="J10" s="8" t="str">
        <f ca="1">SUBSTITUTE(TEXT(Sheet1!V17, "#,######"), ",",".")</f>
        <v>.005114</v>
      </c>
      <c r="K10" s="8" t="str">
        <f ca="1">SUBSTITUTE(TEXT(Sheet1!W17, "#,######"), ",",".")</f>
        <v>.005114</v>
      </c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</row>
    <row r="11" spans="1:40" x14ac:dyDescent="0.25">
      <c r="A11" s="22"/>
      <c r="B11" s="12" t="str">
        <f ca="1">Sheet1!Q27</f>
        <v/>
      </c>
      <c r="C11" s="13" t="str">
        <f ca="1">SUBSTITUTE(TEXT(Sheet1!R27,"#,######"),",",".")</f>
        <v/>
      </c>
      <c r="D11" s="22"/>
      <c r="E11" s="9" t="s">
        <v>45</v>
      </c>
      <c r="F11" s="7" t="str">
        <f ca="1">SUBSTITUTE(TEXT(Sheet1!R18, "#,######"), ",",".")</f>
        <v>.005114</v>
      </c>
      <c r="G11" s="7" t="str">
        <f ca="1">SUBSTITUTE(TEXT(Sheet1!S18, "#,######"), ",",".")</f>
        <v>.005114</v>
      </c>
      <c r="H11" s="7" t="str">
        <f ca="1">SUBSTITUTE(TEXT(Sheet1!T18, "#,######"), ",",".")</f>
        <v>.005114</v>
      </c>
      <c r="I11" s="6" t="str">
        <f ca="1">SUBSTITUTE(TEXT(Sheet1!U18, "#,######"), ",",".")</f>
        <v>.08712</v>
      </c>
      <c r="J11" s="8" t="str">
        <f ca="1">SUBSTITUTE(TEXT(Sheet1!V18, "#,######"), ",",".")</f>
        <v>.005114</v>
      </c>
      <c r="K11" s="8" t="str">
        <f ca="1">SUBSTITUTE(TEXT(Sheet1!W18, "#,######"), ",",".")</f>
        <v>.005114</v>
      </c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</row>
    <row r="12" spans="1:40" x14ac:dyDescent="0.25">
      <c r="A12" s="22"/>
      <c r="B12" s="12" t="str">
        <f ca="1">Sheet1!Q28</f>
        <v/>
      </c>
      <c r="C12" s="13" t="str">
        <f ca="1">SUBSTITUTE(TEXT(Sheet1!R28,"#,######"),",",".")</f>
        <v/>
      </c>
      <c r="D12" s="22"/>
      <c r="E12" s="9" t="s">
        <v>46</v>
      </c>
      <c r="F12" s="7" t="str">
        <f ca="1">SUBSTITUTE(TEXT(Sheet1!R19, "#,######"), ",",".")</f>
        <v>.005114</v>
      </c>
      <c r="G12" s="7" t="str">
        <f ca="1">SUBSTITUTE(TEXT(Sheet1!S19, "#,######"), ",",".")</f>
        <v>.005114</v>
      </c>
      <c r="H12" s="7" t="str">
        <f ca="1">SUBSTITUTE(TEXT(Sheet1!T19, "#,######"), ",",".")</f>
        <v>.005114</v>
      </c>
      <c r="I12" s="7" t="str">
        <f ca="1">SUBSTITUTE(TEXT(Sheet1!U19, "#,######"), ",",".")</f>
        <v>.005114</v>
      </c>
      <c r="J12" s="6" t="str">
        <f ca="1">SUBSTITUTE(TEXT(Sheet1!V19, "#,######"), ",",".")</f>
        <v>.08712</v>
      </c>
      <c r="K12" s="8" t="str">
        <f ca="1">SUBSTITUTE(TEXT(Sheet1!W19, "#,######"), ",",".")</f>
        <v>.005114</v>
      </c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</row>
    <row r="13" spans="1:40" x14ac:dyDescent="0.25">
      <c r="A13" s="22"/>
      <c r="B13" s="12" t="str">
        <f ca="1">Sheet1!Q29</f>
        <v/>
      </c>
      <c r="C13" s="13" t="str">
        <f ca="1">SUBSTITUTE(TEXT(Sheet1!R29,"#,######"),",",".")</f>
        <v/>
      </c>
      <c r="D13" s="22"/>
      <c r="E13" s="9" t="s">
        <v>47</v>
      </c>
      <c r="F13" s="7" t="str">
        <f ca="1">SUBSTITUTE(TEXT(Sheet1!R20, "#,######"), ",",".")</f>
        <v>.005114</v>
      </c>
      <c r="G13" s="7" t="str">
        <f ca="1">SUBSTITUTE(TEXT(Sheet1!S20, "#,######"), ",",".")</f>
        <v>.005114</v>
      </c>
      <c r="H13" s="7" t="str">
        <f ca="1">SUBSTITUTE(TEXT(Sheet1!T20, "#,######"), ",",".")</f>
        <v>.005114</v>
      </c>
      <c r="I13" s="7" t="str">
        <f ca="1">SUBSTITUTE(TEXT(Sheet1!U20, "#,######"), ",",".")</f>
        <v>.005114</v>
      </c>
      <c r="J13" s="7" t="str">
        <f ca="1">SUBSTITUTE(TEXT(Sheet1!V20, "#,######"), ",",".")</f>
        <v>.005114</v>
      </c>
      <c r="K13" s="6" t="str">
        <f ca="1">SUBSTITUTE(TEXT(Sheet1!W20, "#,######"), ",",".")</f>
        <v>.08712</v>
      </c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</row>
    <row r="14" spans="1:40" x14ac:dyDescent="0.25">
      <c r="A14" s="22"/>
      <c r="B14" s="12" t="str">
        <f ca="1">Sheet1!Q30</f>
        <v/>
      </c>
      <c r="C14" s="13" t="str">
        <f ca="1">SUBSTITUTE(TEXT(Sheet1!R30,"#,######"),",",".")</f>
        <v/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</row>
    <row r="15" spans="1:40" x14ac:dyDescent="0.25">
      <c r="A15" s="22"/>
      <c r="B15" s="12" t="str">
        <f ca="1">Sheet1!Q31</f>
        <v/>
      </c>
      <c r="C15" s="13" t="str">
        <f ca="1">SUBSTITUTE(TEXT(Sheet1!R31,"#,######"),",",".")</f>
        <v/>
      </c>
      <c r="D15" s="22"/>
      <c r="E15" s="16" t="str">
        <f>"     Formulas used for the estimates"</f>
        <v xml:space="preserve">     Formulas used for the estimates</v>
      </c>
      <c r="F15" s="21"/>
      <c r="G15" s="21"/>
      <c r="H15" s="21"/>
      <c r="I15" s="21"/>
      <c r="J15" s="21"/>
      <c r="K15" s="17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</row>
    <row r="16" spans="1:40" x14ac:dyDescent="0.25">
      <c r="A16" s="22"/>
      <c r="B16" s="12" t="str">
        <f ca="1">Sheet1!Q32</f>
        <v/>
      </c>
      <c r="C16" s="13" t="str">
        <f ca="1">SUBSTITUTE(TEXT(Sheet1!R32,"#,######"),",",".")</f>
        <v/>
      </c>
      <c r="D16" s="22"/>
      <c r="E16" s="12"/>
      <c r="F16" s="28" t="str">
        <f>Sheet1!U24</f>
        <v>Variance</v>
      </c>
      <c r="G16" s="27" t="str">
        <f ca="1">Sheet1!V24</f>
        <v>Diagonal+Offset</v>
      </c>
      <c r="H16" s="22"/>
      <c r="I16" s="22"/>
      <c r="J16" s="22"/>
      <c r="K16" s="23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</row>
    <row r="17" spans="1:40" x14ac:dyDescent="0.25">
      <c r="A17" s="22"/>
      <c r="B17" s="12" t="str">
        <f ca="1">Sheet1!Q33</f>
        <v/>
      </c>
      <c r="C17" s="13" t="str">
        <f ca="1">SUBSTITUTE(TEXT(Sheet1!R33,"#,######"),",",".")</f>
        <v/>
      </c>
      <c r="D17" s="22"/>
      <c r="E17" s="14"/>
      <c r="F17" s="19" t="str">
        <f>Sheet1!U25</f>
        <v>Covariance</v>
      </c>
      <c r="G17" s="26" t="str">
        <f ca="1">Sheet1!V25</f>
        <v>Offset</v>
      </c>
      <c r="H17" s="25"/>
      <c r="I17" s="25"/>
      <c r="J17" s="25"/>
      <c r="K17" s="20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</row>
    <row r="18" spans="1:40" x14ac:dyDescent="0.25">
      <c r="A18" s="22"/>
      <c r="B18" s="12" t="str">
        <f ca="1">Sheet1!Q34</f>
        <v/>
      </c>
      <c r="C18" s="13" t="str">
        <f ca="1">SUBSTITUTE(TEXT(Sheet1!R34,"#,######"),",",".")</f>
        <v/>
      </c>
      <c r="D18" s="22"/>
      <c r="E18" s="30" t="s">
        <v>65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</row>
    <row r="19" spans="1:40" x14ac:dyDescent="0.25">
      <c r="A19" s="22"/>
      <c r="B19" s="12" t="str">
        <f ca="1">Sheet1!Q35</f>
        <v/>
      </c>
      <c r="C19" s="13" t="str">
        <f ca="1">SUBSTITUTE(TEXT(Sheet1!R35,"#,######"),",",".")</f>
        <v/>
      </c>
      <c r="D19" s="22"/>
      <c r="E19" s="30" t="s">
        <v>66</v>
      </c>
      <c r="F19" s="30"/>
      <c r="G19" s="30"/>
      <c r="H19" s="30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</row>
    <row r="20" spans="1:40" x14ac:dyDescent="0.25">
      <c r="A20" s="22"/>
      <c r="B20" s="12" t="str">
        <f ca="1">Sheet1!Q36</f>
        <v/>
      </c>
      <c r="C20" s="13" t="str">
        <f ca="1">SUBSTITUTE(TEXT(Sheet1!R36,"#,######"),",",".")</f>
        <v/>
      </c>
      <c r="D20" s="22"/>
      <c r="E20" s="22"/>
      <c r="F20" s="30"/>
      <c r="G20" s="30"/>
      <c r="H20" s="30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</row>
    <row r="21" spans="1:40" x14ac:dyDescent="0.25">
      <c r="A21" s="22"/>
      <c r="B21" s="12" t="str">
        <f ca="1">Sheet1!Q37</f>
        <v/>
      </c>
      <c r="C21" s="13" t="str">
        <f ca="1">SUBSTITUTE(TEXT(Sheet1!R37,"#,######"),",",".")</f>
        <v/>
      </c>
      <c r="D21" s="22"/>
      <c r="E21" s="33" t="str">
        <f ca="1">Sheet1!Q119</f>
        <v>CS</v>
      </c>
      <c r="F21" s="46">
        <f ca="1">Sheet1!R119</f>
        <v>1</v>
      </c>
      <c r="G21" s="47" t="str">
        <f ca="1">Sheet1!S119</f>
        <v>rho</v>
      </c>
      <c r="H21" s="47" t="str">
        <f ca="1">Sheet1!T119</f>
        <v>rho</v>
      </c>
      <c r="I21" s="47" t="str">
        <f ca="1">Sheet1!U119</f>
        <v>rho</v>
      </c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</row>
    <row r="22" spans="1:40" x14ac:dyDescent="0.25">
      <c r="A22" s="22"/>
      <c r="B22" s="12" t="str">
        <f ca="1">Sheet1!Q38</f>
        <v/>
      </c>
      <c r="C22" s="13" t="str">
        <f ca="1">SUBSTITUTE(TEXT(Sheet1!R38,"#,######"),",",".")</f>
        <v/>
      </c>
      <c r="D22" s="22"/>
      <c r="E22" s="22" t="str">
        <f ca="1">Sheet1!Q120</f>
        <v/>
      </c>
      <c r="F22" s="48" t="str">
        <f ca="1">Sheet1!R120</f>
        <v>rho</v>
      </c>
      <c r="G22" s="46">
        <f ca="1">Sheet1!S120</f>
        <v>1</v>
      </c>
      <c r="H22" s="47" t="str">
        <f ca="1">Sheet1!T120</f>
        <v>rho</v>
      </c>
      <c r="I22" s="47" t="str">
        <f ca="1">Sheet1!U120</f>
        <v>rho</v>
      </c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</row>
    <row r="23" spans="1:40" x14ac:dyDescent="0.25">
      <c r="A23" s="22"/>
      <c r="B23" s="12" t="str">
        <f ca="1">Sheet1!Q39</f>
        <v/>
      </c>
      <c r="C23" s="13" t="str">
        <f ca="1">SUBSTITUTE(TEXT(Sheet1!R39,"#,######"),",",".")</f>
        <v/>
      </c>
      <c r="D23" s="22"/>
      <c r="E23" s="33" t="str">
        <f ca="1">Sheet1!Q121</f>
        <v>Sigma^2</v>
      </c>
      <c r="F23" s="48" t="str">
        <f ca="1">Sheet1!R121</f>
        <v>rho</v>
      </c>
      <c r="G23" s="48" t="str">
        <f ca="1">Sheet1!S121</f>
        <v>rho</v>
      </c>
      <c r="H23" s="46">
        <f ca="1">Sheet1!T121</f>
        <v>1</v>
      </c>
      <c r="I23" s="47" t="str">
        <f ca="1">Sheet1!U121</f>
        <v>rho</v>
      </c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</row>
    <row r="24" spans="1:40" x14ac:dyDescent="0.25">
      <c r="A24" s="22"/>
      <c r="B24" s="12" t="str">
        <f ca="1">Sheet1!Q40</f>
        <v/>
      </c>
      <c r="C24" s="13" t="str">
        <f ca="1">SUBSTITUTE(TEXT(Sheet1!R40,"#,######"),",",".")</f>
        <v/>
      </c>
      <c r="D24" s="22"/>
      <c r="E24" s="22" t="str">
        <f ca="1">Sheet1!Q122</f>
        <v/>
      </c>
      <c r="F24" s="48" t="str">
        <f ca="1">Sheet1!R122</f>
        <v>rho</v>
      </c>
      <c r="G24" s="48" t="str">
        <f ca="1">Sheet1!S122</f>
        <v>rho</v>
      </c>
      <c r="H24" s="48" t="str">
        <f ca="1">Sheet1!T122</f>
        <v>rho</v>
      </c>
      <c r="I24" s="46">
        <f ca="1">Sheet1!U122</f>
        <v>1</v>
      </c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</row>
    <row r="25" spans="1:40" x14ac:dyDescent="0.25">
      <c r="A25" s="22"/>
      <c r="B25" s="12" t="str">
        <f ca="1">Sheet1!Q41</f>
        <v/>
      </c>
      <c r="C25" s="13" t="str">
        <f ca="1">SUBSTITUTE(TEXT(Sheet1!R41,"#,######"),",",".")</f>
        <v/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</row>
    <row r="26" spans="1:40" x14ac:dyDescent="0.25">
      <c r="A26" s="22"/>
      <c r="B26" s="12" t="str">
        <f ca="1">Sheet1!Q42</f>
        <v/>
      </c>
      <c r="C26" s="13" t="str">
        <f ca="1">SUBSTITUTE(TEXT(Sheet1!R42,"#,######"),",",".")</f>
        <v/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</row>
    <row r="27" spans="1:40" x14ac:dyDescent="0.25">
      <c r="A27" s="22"/>
      <c r="B27" s="12" t="str">
        <f ca="1">Sheet1!Q43</f>
        <v/>
      </c>
      <c r="C27" s="13" t="str">
        <f ca="1">SUBSTITUTE(TEXT(Sheet1!R43,"#,######"),",",".")</f>
        <v/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</row>
    <row r="28" spans="1:40" x14ac:dyDescent="0.25">
      <c r="A28" s="22"/>
      <c r="B28" s="14" t="str">
        <f ca="1">Sheet1!Q44</f>
        <v/>
      </c>
      <c r="C28" s="15" t="str">
        <f ca="1">SUBSTITUTE(TEXT(Sheet1!R44,"#,######"),",",".")</f>
        <v/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</row>
    <row r="29" spans="1:40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</row>
    <row r="30" spans="1:40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</row>
    <row r="31" spans="1:40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</row>
    <row r="32" spans="1:40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</row>
    <row r="33" spans="1:40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</row>
    <row r="34" spans="1:40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</row>
    <row r="35" spans="1:40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</row>
    <row r="36" spans="1:40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</row>
    <row r="37" spans="1:40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</row>
    <row r="38" spans="1:40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</row>
    <row r="39" spans="1:40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</row>
    <row r="40" spans="1:40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</row>
    <row r="41" spans="1:40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</row>
    <row r="42" spans="1:40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</row>
    <row r="43" spans="1:40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</row>
    <row r="44" spans="1:40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</row>
    <row r="45" spans="1:40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</row>
    <row r="46" spans="1:40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</row>
    <row r="47" spans="1:40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</row>
    <row r="48" spans="1:40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</row>
    <row r="49" spans="1:40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</row>
    <row r="50" spans="1:40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</row>
    <row r="51" spans="1:40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</row>
    <row r="52" spans="1:40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</row>
    <row r="53" spans="1:40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</row>
    <row r="54" spans="1:40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</row>
    <row r="55" spans="1:40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</row>
    <row r="56" spans="1:40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</row>
    <row r="57" spans="1:40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</row>
    <row r="58" spans="1:40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</row>
    <row r="59" spans="1:40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</row>
    <row r="60" spans="1:40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</row>
    <row r="61" spans="1:40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</row>
    <row r="62" spans="1:40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</row>
    <row r="63" spans="1:40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</row>
    <row r="64" spans="1:40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</row>
    <row r="65" spans="1:40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</row>
    <row r="66" spans="1:40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</row>
  </sheetData>
  <sheetProtection password="E269" sheet="1" objects="1" scenarios="1" selectLockedCells="1"/>
  <dataValidations count="1">
    <dataValidation type="list" allowBlank="1" showInputMessage="1" showErrorMessage="1" sqref="D4 G4">
      <formula1>"No,Yes"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Sheet1!$R$3:$R$8</xm:f>
          </x14:formula1>
          <xm:sqref>G3 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151"/>
  <sheetViews>
    <sheetView topLeftCell="A115" workbookViewId="0">
      <selection activeCell="B145" sqref="B145"/>
    </sheetView>
  </sheetViews>
  <sheetFormatPr defaultRowHeight="15" x14ac:dyDescent="0.25"/>
  <cols>
    <col min="7" max="7" width="10.5703125" bestFit="1" customWidth="1"/>
  </cols>
  <sheetData>
    <row r="1" spans="1:32" x14ac:dyDescent="0.25">
      <c r="R1" t="s">
        <v>49</v>
      </c>
    </row>
    <row r="2" spans="1:32" x14ac:dyDescent="0.25">
      <c r="G2" s="2" t="s">
        <v>1</v>
      </c>
      <c r="H2" s="2"/>
      <c r="I2" s="2"/>
      <c r="J2" s="2"/>
      <c r="K2" s="2"/>
      <c r="L2" s="2"/>
      <c r="P2" t="s">
        <v>61</v>
      </c>
      <c r="Q2" t="s">
        <v>62</v>
      </c>
    </row>
    <row r="3" spans="1:32" x14ac:dyDescent="0.25">
      <c r="B3" t="s">
        <v>0</v>
      </c>
      <c r="C3" s="1" t="s">
        <v>60</v>
      </c>
      <c r="D3">
        <v>8.2006280166979417E-2</v>
      </c>
      <c r="F3" s="1" t="s">
        <v>1</v>
      </c>
      <c r="G3" s="4">
        <f>$D$3+$D$4</f>
        <v>8.712015226218231E-2</v>
      </c>
      <c r="H3" s="4">
        <f>G4</f>
        <v>5.1138720952028961E-3</v>
      </c>
      <c r="I3" s="4">
        <f>G4</f>
        <v>5.1138720952028961E-3</v>
      </c>
      <c r="J3" s="4">
        <f>G6</f>
        <v>5.1138720952028961E-3</v>
      </c>
      <c r="K3" s="4">
        <f>G7</f>
        <v>5.1138720952028961E-3</v>
      </c>
      <c r="L3" s="4">
        <f>G8</f>
        <v>5.1138720952028961E-3</v>
      </c>
      <c r="O3" t="s">
        <v>0</v>
      </c>
      <c r="P3">
        <f>MATCH(O3,$B$1:$B$67,0)</f>
        <v>3</v>
      </c>
      <c r="Q3">
        <v>2</v>
      </c>
      <c r="R3" t="s">
        <v>0</v>
      </c>
      <c r="S3">
        <f>P3</f>
        <v>3</v>
      </c>
      <c r="T3">
        <f>P4</f>
        <v>11</v>
      </c>
      <c r="U3">
        <f>Q3</f>
        <v>2</v>
      </c>
      <c r="V3">
        <f>Q4</f>
        <v>7</v>
      </c>
      <c r="Y3" s="1" t="s">
        <v>50</v>
      </c>
      <c r="Z3" t="str">
        <f>'Covariance Selection'!D3</f>
        <v>CS</v>
      </c>
      <c r="AA3">
        <f>INDEX(S3:T8,MATCH(Z3,R3:R8,0),AA4)</f>
        <v>3</v>
      </c>
      <c r="AB3">
        <f>INDEX(U3:V8,MATCH(Z3,R3:R8,0),AA4)</f>
        <v>2</v>
      </c>
      <c r="AE3" t="s">
        <v>69</v>
      </c>
      <c r="AF3" t="s">
        <v>74</v>
      </c>
    </row>
    <row r="4" spans="1:32" x14ac:dyDescent="0.25">
      <c r="A4" s="1" t="s">
        <v>64</v>
      </c>
      <c r="B4" t="str">
        <f>"Diagonal+Offset"</f>
        <v>Diagonal+Offset</v>
      </c>
      <c r="C4" s="1" t="s">
        <v>53</v>
      </c>
      <c r="D4">
        <v>5.1138720952028961E-3</v>
      </c>
      <c r="F4" s="1" t="s">
        <v>2</v>
      </c>
      <c r="G4" s="4">
        <f>$D$4</f>
        <v>5.1138720952028961E-3</v>
      </c>
      <c r="H4" s="4">
        <f>$D$3+$D$4</f>
        <v>8.712015226218231E-2</v>
      </c>
      <c r="I4" s="4">
        <f>H5</f>
        <v>5.1138720952028961E-3</v>
      </c>
      <c r="J4" s="4">
        <f>H6</f>
        <v>5.1138720952028961E-3</v>
      </c>
      <c r="K4" s="4">
        <f>H7</f>
        <v>5.1138720952028961E-3</v>
      </c>
      <c r="L4" s="4">
        <f>H8</f>
        <v>5.1138720952028961E-3</v>
      </c>
      <c r="O4" t="s">
        <v>4</v>
      </c>
      <c r="P4">
        <f t="shared" ref="P4:P10" si="0">MATCH(O4,$B$1:$B$67,0)</f>
        <v>11</v>
      </c>
      <c r="Q4">
        <v>7</v>
      </c>
      <c r="R4" t="s">
        <v>6</v>
      </c>
      <c r="S4">
        <f>P5</f>
        <v>21</v>
      </c>
      <c r="T4">
        <f>P6</f>
        <v>30</v>
      </c>
      <c r="U4">
        <f>Q5</f>
        <v>2</v>
      </c>
      <c r="V4">
        <f>Q6</f>
        <v>7</v>
      </c>
      <c r="Y4" s="1" t="s">
        <v>51</v>
      </c>
      <c r="Z4" t="str">
        <f>'Covariance Selection'!D4</f>
        <v>No</v>
      </c>
      <c r="AA4">
        <f>IF(Z4="No",1,2)</f>
        <v>1</v>
      </c>
      <c r="AE4" t="s">
        <v>70</v>
      </c>
      <c r="AF4" t="s">
        <v>75</v>
      </c>
    </row>
    <row r="5" spans="1:32" x14ac:dyDescent="0.25">
      <c r="A5" s="1" t="s">
        <v>63</v>
      </c>
      <c r="B5" t="str">
        <f>"Offset"</f>
        <v>Offset</v>
      </c>
      <c r="F5" s="1"/>
      <c r="G5" s="4">
        <f t="shared" ref="G5:J8" si="1">$D$4</f>
        <v>5.1138720952028961E-3</v>
      </c>
      <c r="H5" s="4">
        <f>$D$4</f>
        <v>5.1138720952028961E-3</v>
      </c>
      <c r="I5" s="4">
        <f>$D$3+$D$4</f>
        <v>8.712015226218231E-2</v>
      </c>
      <c r="J5" s="4">
        <f>I6</f>
        <v>5.1138720952028961E-3</v>
      </c>
      <c r="K5" s="4">
        <f>I7</f>
        <v>5.1138720952028961E-3</v>
      </c>
      <c r="L5" s="4">
        <f>I8</f>
        <v>5.1138720952028961E-3</v>
      </c>
      <c r="O5" t="s">
        <v>6</v>
      </c>
      <c r="P5">
        <f t="shared" si="0"/>
        <v>21</v>
      </c>
      <c r="Q5">
        <v>2</v>
      </c>
      <c r="R5" t="s">
        <v>10</v>
      </c>
      <c r="S5">
        <f>P7</f>
        <v>39</v>
      </c>
      <c r="T5">
        <f>P8</f>
        <v>47</v>
      </c>
      <c r="U5">
        <f>Q7</f>
        <v>6</v>
      </c>
      <c r="V5">
        <f>Q8</f>
        <v>11</v>
      </c>
      <c r="AE5" t="s">
        <v>71</v>
      </c>
      <c r="AF5" t="s">
        <v>76</v>
      </c>
    </row>
    <row r="6" spans="1:32" x14ac:dyDescent="0.25">
      <c r="F6" s="1"/>
      <c r="G6" s="4">
        <f t="shared" si="1"/>
        <v>5.1138720952028961E-3</v>
      </c>
      <c r="H6" s="4">
        <f t="shared" si="1"/>
        <v>5.1138720952028961E-3</v>
      </c>
      <c r="I6" s="4">
        <f>$D$4</f>
        <v>5.1138720952028961E-3</v>
      </c>
      <c r="J6" s="4">
        <f>$D$3+$D$4</f>
        <v>8.712015226218231E-2</v>
      </c>
      <c r="K6" s="4">
        <f>J7</f>
        <v>5.1138720952028961E-3</v>
      </c>
      <c r="L6" s="4">
        <f>J8</f>
        <v>5.1138720952028961E-3</v>
      </c>
      <c r="O6" t="s">
        <v>8</v>
      </c>
      <c r="P6">
        <f t="shared" si="0"/>
        <v>30</v>
      </c>
      <c r="Q6">
        <v>7</v>
      </c>
      <c r="R6" t="s">
        <v>18</v>
      </c>
      <c r="S6">
        <f>P9</f>
        <v>59</v>
      </c>
      <c r="T6">
        <f>P9</f>
        <v>59</v>
      </c>
      <c r="U6">
        <f>Q9</f>
        <v>3</v>
      </c>
      <c r="V6">
        <f>Q9</f>
        <v>3</v>
      </c>
      <c r="AE6" t="s">
        <v>72</v>
      </c>
      <c r="AF6" t="str">
        <f>AE6</f>
        <v>Autoregressive Moving Average (ARMA)</v>
      </c>
    </row>
    <row r="7" spans="1:32" x14ac:dyDescent="0.25">
      <c r="F7" s="1"/>
      <c r="G7" s="4">
        <f t="shared" si="1"/>
        <v>5.1138720952028961E-3</v>
      </c>
      <c r="H7" s="4">
        <f t="shared" si="1"/>
        <v>5.1138720952028961E-3</v>
      </c>
      <c r="I7" s="4">
        <f t="shared" si="1"/>
        <v>5.1138720952028961E-3</v>
      </c>
      <c r="J7" s="4">
        <f>$D$4</f>
        <v>5.1138720952028961E-3</v>
      </c>
      <c r="K7" s="4">
        <f>$D$3+$D$4</f>
        <v>8.712015226218231E-2</v>
      </c>
      <c r="L7" s="4">
        <f>K8</f>
        <v>5.1138720952028961E-3</v>
      </c>
      <c r="O7" t="s">
        <v>10</v>
      </c>
      <c r="P7">
        <f t="shared" si="0"/>
        <v>39</v>
      </c>
      <c r="Q7">
        <v>6</v>
      </c>
      <c r="R7" t="s">
        <v>20</v>
      </c>
      <c r="S7">
        <f>P10</f>
        <v>67</v>
      </c>
      <c r="T7">
        <f>P10</f>
        <v>67</v>
      </c>
      <c r="U7">
        <f>Q10</f>
        <v>21</v>
      </c>
      <c r="V7">
        <f>Q10</f>
        <v>21</v>
      </c>
      <c r="Z7" t="str">
        <f>INDEX(AE3:AF8,MATCH(Z3,R3:R8,0),AA4)</f>
        <v>Compound Symmetry (CS)</v>
      </c>
      <c r="AE7" t="s">
        <v>73</v>
      </c>
      <c r="AF7" t="str">
        <f>AE7</f>
        <v>Unstructured (UN)</v>
      </c>
    </row>
    <row r="8" spans="1:32" x14ac:dyDescent="0.25">
      <c r="F8" s="1"/>
      <c r="G8" s="4">
        <f t="shared" si="1"/>
        <v>5.1138720952028961E-3</v>
      </c>
      <c r="H8" s="4">
        <f t="shared" si="1"/>
        <v>5.1138720952028961E-3</v>
      </c>
      <c r="I8" s="4">
        <f t="shared" si="1"/>
        <v>5.1138720952028961E-3</v>
      </c>
      <c r="J8" s="4">
        <f t="shared" si="1"/>
        <v>5.1138720952028961E-3</v>
      </c>
      <c r="K8" s="4">
        <f>$D$4</f>
        <v>5.1138720952028961E-3</v>
      </c>
      <c r="L8" s="4">
        <f>$D$3+$D$4</f>
        <v>8.712015226218231E-2</v>
      </c>
      <c r="O8" t="s">
        <v>17</v>
      </c>
      <c r="P8">
        <f t="shared" si="0"/>
        <v>47</v>
      </c>
      <c r="Q8">
        <v>11</v>
      </c>
      <c r="R8" t="s">
        <v>106</v>
      </c>
      <c r="S8">
        <f>P11</f>
        <v>89</v>
      </c>
      <c r="T8">
        <f>S8</f>
        <v>89</v>
      </c>
      <c r="U8">
        <v>21</v>
      </c>
      <c r="V8">
        <v>21</v>
      </c>
      <c r="AE8" t="s">
        <v>129</v>
      </c>
      <c r="AF8" t="s">
        <v>129</v>
      </c>
    </row>
    <row r="9" spans="1:32" x14ac:dyDescent="0.25">
      <c r="F9" s="1"/>
      <c r="G9" s="4"/>
      <c r="K9" s="4"/>
      <c r="L9" s="4"/>
      <c r="O9" t="s">
        <v>18</v>
      </c>
      <c r="P9">
        <f t="shared" si="0"/>
        <v>59</v>
      </c>
      <c r="Q9">
        <v>3</v>
      </c>
      <c r="Z9" t="str">
        <f>'Covariance Selection'!G3</f>
        <v>CS</v>
      </c>
      <c r="AA9">
        <f>INDEX(S3:T8,MATCH(Z9,R3:R8,0),AA10)</f>
        <v>3</v>
      </c>
      <c r="AB9">
        <f>INDEX(U3:V8,MATCH(Z9,R3:R8,0),AA10)</f>
        <v>2</v>
      </c>
    </row>
    <row r="10" spans="1:32" x14ac:dyDescent="0.25">
      <c r="G10" s="2" t="s">
        <v>1</v>
      </c>
      <c r="O10" t="s">
        <v>20</v>
      </c>
      <c r="P10">
        <f t="shared" si="0"/>
        <v>67</v>
      </c>
      <c r="Q10">
        <v>21</v>
      </c>
      <c r="Z10" t="str">
        <f>'Covariance Selection'!G4</f>
        <v>No</v>
      </c>
      <c r="AA10">
        <f>IF(Z10="No",1,2)</f>
        <v>1</v>
      </c>
    </row>
    <row r="11" spans="1:32" x14ac:dyDescent="0.25">
      <c r="B11" t="s">
        <v>4</v>
      </c>
      <c r="C11" s="1" t="s">
        <v>54</v>
      </c>
      <c r="D11">
        <v>7.8419347166097025E-2</v>
      </c>
      <c r="F11" s="1" t="s">
        <v>1</v>
      </c>
      <c r="G11" s="4">
        <f>D11</f>
        <v>7.8419347166097025E-2</v>
      </c>
      <c r="H11" s="4">
        <f>G12</f>
        <v>6.6503334592503838E-3</v>
      </c>
      <c r="I11" s="4">
        <f>G13</f>
        <v>6.6618797850979761E-3</v>
      </c>
      <c r="J11" s="4">
        <f>G14</f>
        <v>6.5073432072494828E-3</v>
      </c>
      <c r="K11" s="4">
        <f>G15</f>
        <v>5.4224042281673934E-3</v>
      </c>
      <c r="L11" s="4">
        <f>G16</f>
        <v>8.0252669363393321E-3</v>
      </c>
      <c r="O11" t="s">
        <v>106</v>
      </c>
      <c r="P11">
        <f>MATCH(O11,$B:$B,0)</f>
        <v>89</v>
      </c>
      <c r="Z11" t="str">
        <f>INDEX(AE3:AF8,MATCH(Z9,R3:R8,0),AA10)</f>
        <v>Compound Symmetry (CS)</v>
      </c>
    </row>
    <row r="12" spans="1:32" x14ac:dyDescent="0.25">
      <c r="A12" s="1" t="s">
        <v>64</v>
      </c>
      <c r="B12" t="str">
        <f>"Variance[i]"</f>
        <v>Variance[i]</v>
      </c>
      <c r="C12" s="1" t="s">
        <v>55</v>
      </c>
      <c r="D12">
        <v>8.8128467982422007E-2</v>
      </c>
      <c r="F12" s="1" t="s">
        <v>2</v>
      </c>
      <c r="G12" s="4">
        <f>SQRT($D$11)*SQRT($D12)*$D$17</f>
        <v>6.6503334592503838E-3</v>
      </c>
      <c r="H12">
        <f>D12</f>
        <v>8.8128467982422007E-2</v>
      </c>
      <c r="I12" s="4">
        <f>H13</f>
        <v>7.0622533037638172E-3</v>
      </c>
      <c r="J12" s="4">
        <f>H14</f>
        <v>6.8984292041599496E-3</v>
      </c>
      <c r="K12" s="4">
        <f>H15</f>
        <v>5.7482862810552607E-3</v>
      </c>
      <c r="L12" s="4">
        <f>H16</f>
        <v>8.5075789061113231E-3</v>
      </c>
      <c r="O12" t="s">
        <v>48</v>
      </c>
      <c r="P12">
        <f>7</f>
        <v>7</v>
      </c>
    </row>
    <row r="13" spans="1:32" x14ac:dyDescent="0.25">
      <c r="A13" s="1" t="s">
        <v>63</v>
      </c>
      <c r="B13" t="str">
        <f>"SQRT(Var[i])*SQRT(Var[i+j])*Rho"</f>
        <v>SQRT(Var[i])*SQRT(Var[i+j])*Rho</v>
      </c>
      <c r="C13" s="1" t="s">
        <v>56</v>
      </c>
      <c r="D13">
        <v>8.8434751376826187E-2</v>
      </c>
      <c r="G13" s="4">
        <f>SQRT($D$11)*SQRT($D13)*$D$17</f>
        <v>6.6618797850979761E-3</v>
      </c>
      <c r="H13" s="4">
        <f>SQRT($D$12)*SQRT($D13)*$D$17</f>
        <v>7.0622533037638172E-3</v>
      </c>
      <c r="I13">
        <f>D13</f>
        <v>8.8434751376826187E-2</v>
      </c>
      <c r="J13" s="4">
        <f>I14</f>
        <v>6.9104062744701584E-3</v>
      </c>
      <c r="K13" s="4">
        <f>I15</f>
        <v>5.7582664703003548E-3</v>
      </c>
      <c r="L13" s="4">
        <f>I16</f>
        <v>8.5223497862222178E-3</v>
      </c>
      <c r="R13">
        <v>0</v>
      </c>
      <c r="S13">
        <v>1</v>
      </c>
      <c r="T13">
        <v>2</v>
      </c>
      <c r="U13">
        <v>3</v>
      </c>
      <c r="V13">
        <v>4</v>
      </c>
      <c r="W13">
        <v>5</v>
      </c>
      <c r="AA13">
        <v>0</v>
      </c>
      <c r="AB13">
        <v>1</v>
      </c>
      <c r="AC13">
        <v>2</v>
      </c>
      <c r="AD13">
        <v>3</v>
      </c>
      <c r="AE13">
        <v>4</v>
      </c>
      <c r="AF13">
        <v>5</v>
      </c>
    </row>
    <row r="14" spans="1:32" x14ac:dyDescent="0.25">
      <c r="C14" s="1" t="s">
        <v>57</v>
      </c>
      <c r="D14">
        <v>8.4379471631623029E-2</v>
      </c>
      <c r="G14" s="4">
        <f>SQRT($D$11)*SQRT($D14)*$D$17</f>
        <v>6.5073432072494828E-3</v>
      </c>
      <c r="H14" s="4">
        <f>SQRT($D$12)*SQRT($D14)*$D$17</f>
        <v>6.8984292041599496E-3</v>
      </c>
      <c r="I14" s="4">
        <f>SQRT($D$13)*SQRT($D14)*$D$17</f>
        <v>6.9104062744701584E-3</v>
      </c>
      <c r="J14">
        <f>D14</f>
        <v>8.4379471631623029E-2</v>
      </c>
      <c r="K14" s="4">
        <f>J15</f>
        <v>5.6246911397081567E-3</v>
      </c>
      <c r="L14" s="4">
        <f>J16</f>
        <v>8.3246556197593708E-3</v>
      </c>
      <c r="R14" s="1" t="s">
        <v>42</v>
      </c>
      <c r="S14" s="1" t="s">
        <v>43</v>
      </c>
      <c r="T14" s="1" t="s">
        <v>44</v>
      </c>
      <c r="U14" s="1" t="s">
        <v>45</v>
      </c>
      <c r="V14" s="1" t="s">
        <v>46</v>
      </c>
      <c r="W14" s="1" t="s">
        <v>47</v>
      </c>
      <c r="AA14" s="1" t="s">
        <v>42</v>
      </c>
      <c r="AB14" s="1" t="s">
        <v>43</v>
      </c>
      <c r="AC14" s="1" t="s">
        <v>44</v>
      </c>
      <c r="AD14" s="1" t="s">
        <v>45</v>
      </c>
      <c r="AE14" s="1" t="s">
        <v>46</v>
      </c>
      <c r="AF14" s="1" t="s">
        <v>47</v>
      </c>
    </row>
    <row r="15" spans="1:32" x14ac:dyDescent="0.25">
      <c r="C15" s="1" t="s">
        <v>58</v>
      </c>
      <c r="D15">
        <v>5.8588604856029645E-2</v>
      </c>
      <c r="G15" s="4">
        <f>SQRT($D$11)*SQRT($D15)*$D$17</f>
        <v>5.4224042281673934E-3</v>
      </c>
      <c r="H15" s="4">
        <f>SQRT($D$12)*SQRT($D15)*$D$17</f>
        <v>5.7482862810552607E-3</v>
      </c>
      <c r="I15" s="4">
        <f>SQRT($D$13)*SQRT($D15)*$D$17</f>
        <v>5.7582664703003548E-3</v>
      </c>
      <c r="J15" s="4">
        <f>SQRT($D$14)*SQRT($D15)*$D$17</f>
        <v>5.6246911397081567E-3</v>
      </c>
      <c r="K15">
        <f>D15</f>
        <v>5.8588604856029645E-2</v>
      </c>
      <c r="L15" s="4">
        <f>K16</f>
        <v>6.9367246190938578E-3</v>
      </c>
      <c r="P15">
        <v>0</v>
      </c>
      <c r="Q15" s="1" t="s">
        <v>42</v>
      </c>
      <c r="R15">
        <f t="shared" ref="R15:W20" ca="1" si="2">INDIRECT("R"&amp;$AA$3 + $P15 &amp; "C" &amp; $P$12+R$13,FALSE)</f>
        <v>8.712015226218231E-2</v>
      </c>
      <c r="S15">
        <f t="shared" ca="1" si="2"/>
        <v>5.1138720952028961E-3</v>
      </c>
      <c r="T15">
        <f t="shared" ca="1" si="2"/>
        <v>5.1138720952028961E-3</v>
      </c>
      <c r="U15">
        <f t="shared" ca="1" si="2"/>
        <v>5.1138720952028961E-3</v>
      </c>
      <c r="V15">
        <f t="shared" ca="1" si="2"/>
        <v>5.1138720952028961E-3</v>
      </c>
      <c r="W15">
        <f t="shared" ca="1" si="2"/>
        <v>5.1138720952028961E-3</v>
      </c>
      <c r="Y15">
        <v>0</v>
      </c>
      <c r="Z15" s="1" t="s">
        <v>42</v>
      </c>
      <c r="AA15">
        <f ca="1">INDIRECT("R"&amp;$AA$9 + $P15 &amp; "C" &amp; $P$12+AA$13,FALSE)</f>
        <v>8.712015226218231E-2</v>
      </c>
      <c r="AB15">
        <f t="shared" ref="AB15:AF15" ca="1" si="3">INDIRECT("R"&amp;$AA$9 + $P15 &amp; "C" &amp; $P$12+AB$13,FALSE)</f>
        <v>5.1138720952028961E-3</v>
      </c>
      <c r="AC15">
        <f t="shared" ca="1" si="3"/>
        <v>5.1138720952028961E-3</v>
      </c>
      <c r="AD15">
        <f t="shared" ca="1" si="3"/>
        <v>5.1138720952028961E-3</v>
      </c>
      <c r="AE15">
        <f t="shared" ca="1" si="3"/>
        <v>5.1138720952028961E-3</v>
      </c>
      <c r="AF15">
        <f t="shared" ca="1" si="3"/>
        <v>5.1138720952028961E-3</v>
      </c>
    </row>
    <row r="16" spans="1:32" x14ac:dyDescent="0.25">
      <c r="C16" s="1" t="s">
        <v>59</v>
      </c>
      <c r="D16">
        <v>0.12833595591970959</v>
      </c>
      <c r="G16" s="4">
        <f>SQRT($D$11)*SQRT($D16)*$D$17</f>
        <v>8.0252669363393321E-3</v>
      </c>
      <c r="H16" s="4">
        <f>SQRT($D$12)*SQRT($D16)*$D$17</f>
        <v>8.5075789061113231E-3</v>
      </c>
      <c r="I16" s="4">
        <f>SQRT($D$13)*SQRT($D16)*$D$17</f>
        <v>8.5223497862222178E-3</v>
      </c>
      <c r="J16" s="4">
        <f>SQRT($D$14)*SQRT($D16)*$D$17</f>
        <v>8.3246556197593708E-3</v>
      </c>
      <c r="K16" s="4">
        <f>SQRT($D$15)*SQRT($D16)*$D$17</f>
        <v>6.9367246190938578E-3</v>
      </c>
      <c r="L16">
        <f>D16</f>
        <v>0.12833595591970959</v>
      </c>
      <c r="P16">
        <v>1</v>
      </c>
      <c r="Q16" s="1" t="s">
        <v>43</v>
      </c>
      <c r="R16">
        <f t="shared" ca="1" si="2"/>
        <v>5.1138720952028961E-3</v>
      </c>
      <c r="S16">
        <f t="shared" ca="1" si="2"/>
        <v>8.712015226218231E-2</v>
      </c>
      <c r="T16">
        <f t="shared" ca="1" si="2"/>
        <v>5.1138720952028961E-3</v>
      </c>
      <c r="U16">
        <f t="shared" ca="1" si="2"/>
        <v>5.1138720952028961E-3</v>
      </c>
      <c r="V16">
        <f t="shared" ca="1" si="2"/>
        <v>5.1138720952028961E-3</v>
      </c>
      <c r="W16">
        <f t="shared" ca="1" si="2"/>
        <v>5.1138720952028961E-3</v>
      </c>
      <c r="Y16">
        <v>1</v>
      </c>
      <c r="Z16" s="1" t="s">
        <v>43</v>
      </c>
      <c r="AA16">
        <f t="shared" ref="AA16:AF20" ca="1" si="4">INDIRECT("R"&amp;$AA$9 + $P16 &amp; "C" &amp; $P$12+AA$13,FALSE)</f>
        <v>5.1138720952028961E-3</v>
      </c>
      <c r="AB16">
        <f t="shared" ca="1" si="4"/>
        <v>8.712015226218231E-2</v>
      </c>
      <c r="AC16">
        <f t="shared" ca="1" si="4"/>
        <v>5.1138720952028961E-3</v>
      </c>
      <c r="AD16">
        <f t="shared" ca="1" si="4"/>
        <v>5.1138720952028961E-3</v>
      </c>
      <c r="AE16">
        <f t="shared" ca="1" si="4"/>
        <v>5.1138720952028961E-3</v>
      </c>
      <c r="AF16">
        <f t="shared" ca="1" si="4"/>
        <v>5.1138720952028961E-3</v>
      </c>
    </row>
    <row r="17" spans="1:35" x14ac:dyDescent="0.25">
      <c r="C17" s="1" t="s">
        <v>5</v>
      </c>
      <c r="D17">
        <v>7.9996999999999999E-2</v>
      </c>
      <c r="P17">
        <v>2</v>
      </c>
      <c r="Q17" s="1" t="s">
        <v>44</v>
      </c>
      <c r="R17">
        <f t="shared" ca="1" si="2"/>
        <v>5.1138720952028961E-3</v>
      </c>
      <c r="S17">
        <f t="shared" ca="1" si="2"/>
        <v>5.1138720952028961E-3</v>
      </c>
      <c r="T17">
        <f t="shared" ca="1" si="2"/>
        <v>8.712015226218231E-2</v>
      </c>
      <c r="U17">
        <f t="shared" ca="1" si="2"/>
        <v>5.1138720952028961E-3</v>
      </c>
      <c r="V17">
        <f t="shared" ca="1" si="2"/>
        <v>5.1138720952028961E-3</v>
      </c>
      <c r="W17">
        <f t="shared" ca="1" si="2"/>
        <v>5.1138720952028961E-3</v>
      </c>
      <c r="Y17">
        <v>2</v>
      </c>
      <c r="Z17" s="1" t="s">
        <v>44</v>
      </c>
      <c r="AA17">
        <f t="shared" ca="1" si="4"/>
        <v>5.1138720952028961E-3</v>
      </c>
      <c r="AB17">
        <f t="shared" ca="1" si="4"/>
        <v>5.1138720952028961E-3</v>
      </c>
      <c r="AC17">
        <f t="shared" ca="1" si="4"/>
        <v>8.712015226218231E-2</v>
      </c>
      <c r="AD17">
        <f t="shared" ca="1" si="4"/>
        <v>5.1138720952028961E-3</v>
      </c>
      <c r="AE17">
        <f t="shared" ca="1" si="4"/>
        <v>5.1138720952028961E-3</v>
      </c>
      <c r="AF17">
        <f t="shared" ca="1" si="4"/>
        <v>5.1138720952028961E-3</v>
      </c>
    </row>
    <row r="18" spans="1:35" x14ac:dyDescent="0.25">
      <c r="C18" s="1"/>
      <c r="P18" s="1">
        <v>3</v>
      </c>
      <c r="Q18" s="1" t="s">
        <v>45</v>
      </c>
      <c r="R18">
        <f t="shared" ca="1" si="2"/>
        <v>5.1138720952028961E-3</v>
      </c>
      <c r="S18">
        <f t="shared" ca="1" si="2"/>
        <v>5.1138720952028961E-3</v>
      </c>
      <c r="T18">
        <f t="shared" ca="1" si="2"/>
        <v>5.1138720952028961E-3</v>
      </c>
      <c r="U18">
        <f t="shared" ca="1" si="2"/>
        <v>8.712015226218231E-2</v>
      </c>
      <c r="V18">
        <f t="shared" ca="1" si="2"/>
        <v>5.1138720952028961E-3</v>
      </c>
      <c r="W18">
        <f t="shared" ca="1" si="2"/>
        <v>5.1138720952028961E-3</v>
      </c>
      <c r="Y18" s="1">
        <v>3</v>
      </c>
      <c r="Z18" s="1" t="s">
        <v>45</v>
      </c>
      <c r="AA18">
        <f t="shared" ca="1" si="4"/>
        <v>5.1138720952028961E-3</v>
      </c>
      <c r="AB18">
        <f t="shared" ca="1" si="4"/>
        <v>5.1138720952028961E-3</v>
      </c>
      <c r="AC18">
        <f t="shared" ca="1" si="4"/>
        <v>5.1138720952028961E-3</v>
      </c>
      <c r="AD18">
        <f t="shared" ca="1" si="4"/>
        <v>8.712015226218231E-2</v>
      </c>
      <c r="AE18">
        <f t="shared" ca="1" si="4"/>
        <v>5.1138720952028961E-3</v>
      </c>
      <c r="AF18">
        <f t="shared" ca="1" si="4"/>
        <v>5.1138720952028961E-3</v>
      </c>
    </row>
    <row r="19" spans="1:35" x14ac:dyDescent="0.25">
      <c r="C19" s="1"/>
      <c r="P19" s="1">
        <v>4</v>
      </c>
      <c r="Q19" s="1" t="s">
        <v>46</v>
      </c>
      <c r="R19">
        <f t="shared" ca="1" si="2"/>
        <v>5.1138720952028961E-3</v>
      </c>
      <c r="S19">
        <f t="shared" ca="1" si="2"/>
        <v>5.1138720952028961E-3</v>
      </c>
      <c r="T19">
        <f t="shared" ca="1" si="2"/>
        <v>5.1138720952028961E-3</v>
      </c>
      <c r="U19">
        <f t="shared" ca="1" si="2"/>
        <v>5.1138720952028961E-3</v>
      </c>
      <c r="V19">
        <f t="shared" ca="1" si="2"/>
        <v>8.712015226218231E-2</v>
      </c>
      <c r="W19">
        <f t="shared" ca="1" si="2"/>
        <v>5.1138720952028961E-3</v>
      </c>
      <c r="Y19" s="1">
        <v>4</v>
      </c>
      <c r="Z19" s="1" t="s">
        <v>46</v>
      </c>
      <c r="AA19">
        <f t="shared" ca="1" si="4"/>
        <v>5.1138720952028961E-3</v>
      </c>
      <c r="AB19">
        <f t="shared" ca="1" si="4"/>
        <v>5.1138720952028961E-3</v>
      </c>
      <c r="AC19">
        <f t="shared" ca="1" si="4"/>
        <v>5.1138720952028961E-3</v>
      </c>
      <c r="AD19">
        <f t="shared" ca="1" si="4"/>
        <v>5.1138720952028961E-3</v>
      </c>
      <c r="AE19">
        <f t="shared" ca="1" si="4"/>
        <v>8.712015226218231E-2</v>
      </c>
      <c r="AF19">
        <f t="shared" ca="1" si="4"/>
        <v>5.1138720952028961E-3</v>
      </c>
    </row>
    <row r="20" spans="1:35" x14ac:dyDescent="0.25">
      <c r="G20" s="2" t="s">
        <v>1</v>
      </c>
      <c r="P20">
        <v>5</v>
      </c>
      <c r="Q20" s="1" t="s">
        <v>47</v>
      </c>
      <c r="R20">
        <f t="shared" ca="1" si="2"/>
        <v>5.1138720952028961E-3</v>
      </c>
      <c r="S20">
        <f t="shared" ca="1" si="2"/>
        <v>5.1138720952028961E-3</v>
      </c>
      <c r="T20">
        <f t="shared" ca="1" si="2"/>
        <v>5.1138720952028961E-3</v>
      </c>
      <c r="U20">
        <f t="shared" ca="1" si="2"/>
        <v>5.1138720952028961E-3</v>
      </c>
      <c r="V20">
        <f t="shared" ca="1" si="2"/>
        <v>5.1138720952028961E-3</v>
      </c>
      <c r="W20">
        <f t="shared" ca="1" si="2"/>
        <v>8.712015226218231E-2</v>
      </c>
      <c r="Y20">
        <v>5</v>
      </c>
      <c r="Z20" s="1" t="s">
        <v>47</v>
      </c>
      <c r="AA20">
        <f t="shared" ca="1" si="4"/>
        <v>5.1138720952028961E-3</v>
      </c>
      <c r="AB20">
        <f t="shared" ca="1" si="4"/>
        <v>5.1138720952028961E-3</v>
      </c>
      <c r="AC20">
        <f t="shared" ca="1" si="4"/>
        <v>5.1138720952028961E-3</v>
      </c>
      <c r="AD20">
        <f t="shared" ca="1" si="4"/>
        <v>5.1138720952028961E-3</v>
      </c>
      <c r="AE20">
        <f t="shared" ca="1" si="4"/>
        <v>5.1138720952028961E-3</v>
      </c>
      <c r="AF20">
        <f t="shared" ca="1" si="4"/>
        <v>8.712015226218231E-2</v>
      </c>
    </row>
    <row r="21" spans="1:35" x14ac:dyDescent="0.25">
      <c r="B21" t="s">
        <v>6</v>
      </c>
      <c r="C21" s="1" t="s">
        <v>60</v>
      </c>
      <c r="D21">
        <v>8.7221400611189562E-2</v>
      </c>
      <c r="F21" s="1" t="s">
        <v>1</v>
      </c>
      <c r="G21" s="4">
        <f>D21</f>
        <v>8.7221400611189562E-2</v>
      </c>
      <c r="H21" s="4">
        <f>G22</f>
        <v>1.3244207000548918E-2</v>
      </c>
      <c r="I21" s="4">
        <f>G23</f>
        <v>2.0110777612402371E-3</v>
      </c>
      <c r="J21" s="4">
        <f>G24</f>
        <v>3.053737956215437E-4</v>
      </c>
      <c r="K21" s="4">
        <f>G25</f>
        <v>4.6369741066003772E-5</v>
      </c>
      <c r="L21" s="4">
        <f>G26</f>
        <v>7.0410523671551941E-6</v>
      </c>
    </row>
    <row r="22" spans="1:35" x14ac:dyDescent="0.25">
      <c r="A22" s="1" t="s">
        <v>64</v>
      </c>
      <c r="B22" t="s">
        <v>60</v>
      </c>
      <c r="C22" s="1" t="s">
        <v>7</v>
      </c>
      <c r="D22">
        <v>0.151845841820268</v>
      </c>
      <c r="F22" s="1" t="s">
        <v>2</v>
      </c>
      <c r="G22" s="4">
        <f>$D$21*($D$22^1)</f>
        <v>1.3244207000548918E-2</v>
      </c>
      <c r="H22" s="4">
        <f>G21</f>
        <v>8.7221400611189562E-2</v>
      </c>
      <c r="I22" s="4">
        <f>H23</f>
        <v>1.3244207000548918E-2</v>
      </c>
      <c r="J22" s="4">
        <f>H24</f>
        <v>2.0110777612402371E-3</v>
      </c>
      <c r="K22" s="4">
        <f>H25</f>
        <v>3.053737956215437E-4</v>
      </c>
      <c r="L22" s="4">
        <f>H26</f>
        <v>4.6369741066003772E-5</v>
      </c>
    </row>
    <row r="23" spans="1:35" x14ac:dyDescent="0.25">
      <c r="A23" s="1" t="s">
        <v>63</v>
      </c>
      <c r="B23" t="str">
        <f>"Diagonal*Rho^j"</f>
        <v>Diagonal*Rho^j</v>
      </c>
      <c r="F23" s="1" t="s">
        <v>3</v>
      </c>
      <c r="G23" s="4">
        <f>$D$21*($D$22^2)</f>
        <v>2.0110777612402371E-3</v>
      </c>
      <c r="H23" s="4">
        <f t="shared" ref="H23:H26" si="5">G22</f>
        <v>1.3244207000548918E-2</v>
      </c>
      <c r="I23" s="4">
        <f>G21</f>
        <v>8.7221400611189562E-2</v>
      </c>
      <c r="J23" s="4">
        <f>I24</f>
        <v>1.3244207000548918E-2</v>
      </c>
      <c r="K23" s="4">
        <f>I25</f>
        <v>2.0110777612402371E-3</v>
      </c>
      <c r="L23" s="4">
        <f>I26</f>
        <v>3.053737956215437E-4</v>
      </c>
      <c r="Q23">
        <v>3</v>
      </c>
      <c r="R23">
        <v>4</v>
      </c>
      <c r="AA23" t="str">
        <f>"-2LL"</f>
        <v>-2LL</v>
      </c>
      <c r="AB23" t="s">
        <v>67</v>
      </c>
      <c r="AC23" t="s">
        <v>68</v>
      </c>
      <c r="AD23" t="s">
        <v>77</v>
      </c>
      <c r="AF23" t="str">
        <f>"-2LL"</f>
        <v>-2LL</v>
      </c>
      <c r="AG23" t="s">
        <v>67</v>
      </c>
      <c r="AH23" t="s">
        <v>68</v>
      </c>
      <c r="AI23" t="s">
        <v>77</v>
      </c>
    </row>
    <row r="24" spans="1:35" x14ac:dyDescent="0.25">
      <c r="G24" s="4">
        <f>$D$21*($D$22^3)</f>
        <v>3.053737956215437E-4</v>
      </c>
      <c r="H24" s="4">
        <f t="shared" si="5"/>
        <v>2.0110777612402371E-3</v>
      </c>
      <c r="I24" s="4">
        <f t="shared" ref="I24:I26" si="6">G22</f>
        <v>1.3244207000548918E-2</v>
      </c>
      <c r="J24" s="4">
        <f>G21</f>
        <v>8.7221400611189562E-2</v>
      </c>
      <c r="K24" s="4">
        <f>J25</f>
        <v>1.3244207000548918E-2</v>
      </c>
      <c r="L24" s="4">
        <f>J26</f>
        <v>2.0110777612402371E-3</v>
      </c>
      <c r="O24">
        <v>20</v>
      </c>
      <c r="P24">
        <f>IF(20-$O24&lt;$AB$3,20-$O24,-1)</f>
        <v>0</v>
      </c>
      <c r="Q24" t="str">
        <f ca="1">IF(P24&lt;&gt;-1,INDIRECT("R"&amp;$AA$3 + $P24 &amp; "C" &amp; $Q$23,FALSE),"")</f>
        <v>Diagonal</v>
      </c>
      <c r="R24">
        <f ca="1">IF(P24&lt;&gt;-1,INDIRECT("R"&amp;$AA$3 + $P24 &amp; "C" &amp; $R$23,FALSE),"")</f>
        <v>8.2006280166979417E-2</v>
      </c>
      <c r="U24" s="1" t="str">
        <f>A4</f>
        <v>Variance</v>
      </c>
      <c r="V24" t="str">
        <f ca="1">INDIRECT("R"&amp;$AA$3 + 1 &amp; "C2",FALSE)</f>
        <v>Diagonal+Offset</v>
      </c>
      <c r="Z24" t="s">
        <v>0</v>
      </c>
      <c r="AA24">
        <v>62.421999999999997</v>
      </c>
      <c r="AB24">
        <v>66.421999999999997</v>
      </c>
      <c r="AC24">
        <v>71.894000000000005</v>
      </c>
      <c r="AD24">
        <v>8</v>
      </c>
      <c r="AE24" t="s">
        <v>4</v>
      </c>
      <c r="AF24">
        <v>59.469000000000001</v>
      </c>
      <c r="AG24">
        <v>73.468999999999994</v>
      </c>
      <c r="AH24">
        <v>92.623000000000005</v>
      </c>
      <c r="AI24">
        <v>13</v>
      </c>
    </row>
    <row r="25" spans="1:35" x14ac:dyDescent="0.25">
      <c r="G25" s="4">
        <f>$D$21*($D$22^4)</f>
        <v>4.6369741066003772E-5</v>
      </c>
      <c r="H25" s="4">
        <f t="shared" si="5"/>
        <v>3.053737956215437E-4</v>
      </c>
      <c r="I25" s="4">
        <f t="shared" si="6"/>
        <v>2.0110777612402371E-3</v>
      </c>
      <c r="J25" s="4">
        <f t="shared" ref="J25:J26" si="7">G22</f>
        <v>1.3244207000548918E-2</v>
      </c>
      <c r="K25" s="4">
        <f>G21</f>
        <v>8.7221400611189562E-2</v>
      </c>
      <c r="L25" s="4">
        <f>K26</f>
        <v>1.3244207000548918E-2</v>
      </c>
      <c r="O25">
        <v>19</v>
      </c>
      <c r="P25">
        <f t="shared" ref="P25:P44" si="8">IF(20-$O25&lt;$AB$3,20-$O25,-1)</f>
        <v>1</v>
      </c>
      <c r="Q25" t="str">
        <f t="shared" ref="Q25:Q44" ca="1" si="9">IF(P25&lt;&gt;-1,INDIRECT("R"&amp;$AA$3 + $P25 &amp; "C" &amp; $Q$23,FALSE),"")</f>
        <v>Offset</v>
      </c>
      <c r="R25">
        <f t="shared" ref="R25:R44" ca="1" si="10">IF(P25&lt;&gt;-1,INDIRECT("R"&amp;$AA$3 + $P25 &amp; "C" &amp; $R$23,FALSE),"")</f>
        <v>5.1138720952028961E-3</v>
      </c>
      <c r="U25" s="1" t="str">
        <f>A5</f>
        <v>Covariance</v>
      </c>
      <c r="V25" t="str">
        <f ca="1">INDIRECT("R"&amp;$AA$3 + 2 &amp; "C2",FALSE)</f>
        <v>Offset</v>
      </c>
      <c r="Z25" t="s">
        <v>6</v>
      </c>
      <c r="AA25">
        <v>61.195</v>
      </c>
      <c r="AB25">
        <v>65.194999999999993</v>
      </c>
      <c r="AC25">
        <v>70.668000000000006</v>
      </c>
      <c r="AD25">
        <v>8</v>
      </c>
      <c r="AE25" t="s">
        <v>8</v>
      </c>
      <c r="AF25">
        <v>58.651000000000003</v>
      </c>
      <c r="AG25">
        <v>72.650999999999996</v>
      </c>
      <c r="AH25">
        <v>91.805000000000007</v>
      </c>
      <c r="AI25">
        <v>13</v>
      </c>
    </row>
    <row r="26" spans="1:35" x14ac:dyDescent="0.25">
      <c r="G26" s="4">
        <f>$D$21*($D$22^5)</f>
        <v>7.0410523671551941E-6</v>
      </c>
      <c r="H26" s="4">
        <f t="shared" si="5"/>
        <v>4.6369741066003772E-5</v>
      </c>
      <c r="I26" s="4">
        <f t="shared" si="6"/>
        <v>3.053737956215437E-4</v>
      </c>
      <c r="J26" s="4">
        <f t="shared" si="7"/>
        <v>2.0110777612402371E-3</v>
      </c>
      <c r="K26" s="4">
        <f>G22</f>
        <v>1.3244207000548918E-2</v>
      </c>
      <c r="L26" s="4">
        <f>G21</f>
        <v>8.7221400611189562E-2</v>
      </c>
      <c r="O26">
        <v>18</v>
      </c>
      <c r="P26">
        <f t="shared" si="8"/>
        <v>-1</v>
      </c>
      <c r="Q26" t="str">
        <f t="shared" ca="1" si="9"/>
        <v/>
      </c>
      <c r="R26" t="str">
        <f t="shared" ca="1" si="10"/>
        <v/>
      </c>
      <c r="Z26" t="s">
        <v>10</v>
      </c>
      <c r="AA26">
        <v>58.76</v>
      </c>
      <c r="AB26">
        <v>70.760000000000005</v>
      </c>
      <c r="AC26">
        <v>87.177000000000007</v>
      </c>
      <c r="AD26">
        <v>12</v>
      </c>
      <c r="AE26" t="s">
        <v>17</v>
      </c>
      <c r="AF26">
        <v>56.161999999999999</v>
      </c>
      <c r="AG26">
        <v>78.162000000000006</v>
      </c>
      <c r="AH26">
        <v>108.26</v>
      </c>
      <c r="AI26">
        <v>17</v>
      </c>
    </row>
    <row r="27" spans="1:35" x14ac:dyDescent="0.25">
      <c r="O27">
        <v>17</v>
      </c>
      <c r="P27">
        <f t="shared" si="8"/>
        <v>-1</v>
      </c>
      <c r="Q27" t="str">
        <f t="shared" ca="1" si="9"/>
        <v/>
      </c>
      <c r="R27" t="str">
        <f t="shared" ca="1" si="10"/>
        <v/>
      </c>
      <c r="Z27" t="s">
        <v>18</v>
      </c>
      <c r="AA27">
        <v>61.014000000000003</v>
      </c>
      <c r="AB27">
        <v>67.013999999999996</v>
      </c>
      <c r="AC27">
        <v>75.222999999999999</v>
      </c>
      <c r="AD27">
        <v>9</v>
      </c>
      <c r="AE27" t="str">
        <f>Z27</f>
        <v>ARMA</v>
      </c>
      <c r="AF27">
        <f t="shared" ref="AF27:AI28" si="11">AA27</f>
        <v>61.014000000000003</v>
      </c>
      <c r="AG27">
        <f t="shared" si="11"/>
        <v>67.013999999999996</v>
      </c>
      <c r="AH27">
        <f t="shared" si="11"/>
        <v>75.222999999999999</v>
      </c>
      <c r="AI27">
        <f t="shared" si="11"/>
        <v>9</v>
      </c>
    </row>
    <row r="28" spans="1:35" x14ac:dyDescent="0.25">
      <c r="O28">
        <v>16</v>
      </c>
      <c r="P28">
        <f t="shared" si="8"/>
        <v>-1</v>
      </c>
      <c r="Q28" t="str">
        <f t="shared" ca="1" si="9"/>
        <v/>
      </c>
      <c r="R28" t="str">
        <f t="shared" ca="1" si="10"/>
        <v/>
      </c>
      <c r="Z28" t="s">
        <v>20</v>
      </c>
      <c r="AA28">
        <v>38.673999999999999</v>
      </c>
      <c r="AB28">
        <v>80.674000000000007</v>
      </c>
      <c r="AC28">
        <v>138.13399999999999</v>
      </c>
      <c r="AD28">
        <v>27</v>
      </c>
      <c r="AE28" t="str">
        <f>Z28</f>
        <v>UN</v>
      </c>
      <c r="AF28">
        <f t="shared" si="11"/>
        <v>38.673999999999999</v>
      </c>
      <c r="AG28">
        <f t="shared" si="11"/>
        <v>80.674000000000007</v>
      </c>
      <c r="AH28">
        <f t="shared" si="11"/>
        <v>138.13399999999999</v>
      </c>
      <c r="AI28">
        <f t="shared" si="11"/>
        <v>27</v>
      </c>
    </row>
    <row r="29" spans="1:35" x14ac:dyDescent="0.25">
      <c r="G29" s="2" t="s">
        <v>1</v>
      </c>
      <c r="O29">
        <v>15</v>
      </c>
      <c r="P29">
        <f t="shared" si="8"/>
        <v>-1</v>
      </c>
      <c r="Q29" t="str">
        <f t="shared" ca="1" si="9"/>
        <v/>
      </c>
      <c r="R29" t="str">
        <f t="shared" ca="1" si="10"/>
        <v/>
      </c>
      <c r="Z29" t="s">
        <v>106</v>
      </c>
      <c r="AA29" t="str">
        <f>"-"</f>
        <v>-</v>
      </c>
      <c r="AB29" t="str">
        <f t="shared" ref="AB29:AI29" si="12">"-"</f>
        <v>-</v>
      </c>
      <c r="AC29" t="str">
        <f t="shared" si="12"/>
        <v>-</v>
      </c>
      <c r="AD29" t="str">
        <f t="shared" si="12"/>
        <v>-</v>
      </c>
      <c r="AE29" t="str">
        <f>Z29</f>
        <v>By Hand</v>
      </c>
      <c r="AF29" t="str">
        <f t="shared" si="12"/>
        <v>-</v>
      </c>
      <c r="AG29" t="str">
        <f t="shared" si="12"/>
        <v>-</v>
      </c>
      <c r="AH29" t="str">
        <f t="shared" si="12"/>
        <v>-</v>
      </c>
      <c r="AI29" t="str">
        <f t="shared" si="12"/>
        <v>-</v>
      </c>
    </row>
    <row r="30" spans="1:35" x14ac:dyDescent="0.25">
      <c r="B30" t="s">
        <v>8</v>
      </c>
      <c r="C30" s="1" t="s">
        <v>54</v>
      </c>
      <c r="D30">
        <v>7.5755868987491634E-2</v>
      </c>
      <c r="F30" s="1" t="s">
        <v>1</v>
      </c>
      <c r="G30" s="4">
        <f>D30</f>
        <v>7.5755868987491634E-2</v>
      </c>
      <c r="H30" s="4">
        <f>G31</f>
        <v>1.2828439832869272E-2</v>
      </c>
      <c r="I30" s="4">
        <f>G32</f>
        <v>2.0104926208702398E-3</v>
      </c>
      <c r="J30" s="4">
        <f>G33</f>
        <v>3.0815395187531016E-4</v>
      </c>
      <c r="K30" s="4">
        <f>G34</f>
        <v>4.21598612663557E-5</v>
      </c>
      <c r="L30" s="4">
        <f>G35</f>
        <v>9.3800317735849804E-6</v>
      </c>
      <c r="O30">
        <v>14</v>
      </c>
      <c r="P30">
        <f t="shared" si="8"/>
        <v>-1</v>
      </c>
      <c r="Q30" t="str">
        <f t="shared" ca="1" si="9"/>
        <v/>
      </c>
      <c r="R30" t="str">
        <f t="shared" ca="1" si="10"/>
        <v/>
      </c>
    </row>
    <row r="31" spans="1:35" x14ac:dyDescent="0.25">
      <c r="A31" s="1" t="s">
        <v>64</v>
      </c>
      <c r="B31" t="str">
        <f>"Variance[i]"</f>
        <v>Variance[i]</v>
      </c>
      <c r="C31" s="1" t="s">
        <v>55</v>
      </c>
      <c r="D31">
        <v>8.7985443664423846E-2</v>
      </c>
      <c r="F31" s="1" t="s">
        <v>2</v>
      </c>
      <c r="G31" s="4">
        <f>SQRT($D$30)*SQRT($D31)*($D$36^1)</f>
        <v>1.2828439832869272E-2</v>
      </c>
      <c r="H31">
        <f>D31</f>
        <v>8.7985443664423846E-2</v>
      </c>
      <c r="I31" s="4">
        <f>H32</f>
        <v>1.37892126818163E-2</v>
      </c>
      <c r="J31" s="4">
        <f>H33</f>
        <v>2.1135120502514325E-3</v>
      </c>
      <c r="K31" s="4">
        <f>H34</f>
        <v>2.8915863087625285E-4</v>
      </c>
      <c r="L31" s="4">
        <f>H35</f>
        <v>6.4334109832331406E-5</v>
      </c>
      <c r="O31">
        <v>13</v>
      </c>
      <c r="P31">
        <f t="shared" si="8"/>
        <v>-1</v>
      </c>
      <c r="Q31" t="str">
        <f t="shared" ca="1" si="9"/>
        <v/>
      </c>
      <c r="R31" t="str">
        <f t="shared" ca="1" si="10"/>
        <v/>
      </c>
      <c r="Z31">
        <f>IF(Z4="No",1,6)</f>
        <v>1</v>
      </c>
      <c r="AA31">
        <f>IF(Z10="No",1,6)</f>
        <v>1</v>
      </c>
    </row>
    <row r="32" spans="1:35" x14ac:dyDescent="0.25">
      <c r="A32" s="1" t="s">
        <v>63</v>
      </c>
      <c r="B32" t="str">
        <f>"SQRT(Var[i])*SQRT(Var[i+j])*(Rho^j)"</f>
        <v>SQRT(Var[i])*SQRT(Var[i+j])*(Rho^j)</v>
      </c>
      <c r="C32" s="1" t="s">
        <v>56</v>
      </c>
      <c r="D32">
        <v>8.7528108075411615E-2</v>
      </c>
      <c r="F32" s="1" t="s">
        <v>3</v>
      </c>
      <c r="G32" s="4">
        <f>SQRT($D$30)*SQRT($D32)*($D$36^2)</f>
        <v>2.0104926208702398E-3</v>
      </c>
      <c r="H32" s="4">
        <f>SQRT($D$31)*SQRT($D32)*($D$36^1)</f>
        <v>1.37892126818163E-2</v>
      </c>
      <c r="I32">
        <f>D32</f>
        <v>8.7528108075411615E-2</v>
      </c>
      <c r="J32" s="4">
        <f>I33</f>
        <v>1.3415683362186367E-2</v>
      </c>
      <c r="K32" s="4">
        <f>I34</f>
        <v>1.8354570691080949E-3</v>
      </c>
      <c r="L32" s="4">
        <f>I35</f>
        <v>4.0836580363760042E-4</v>
      </c>
      <c r="O32">
        <v>12</v>
      </c>
      <c r="P32">
        <f t="shared" si="8"/>
        <v>-1</v>
      </c>
      <c r="Q32" t="str">
        <f t="shared" ca="1" si="9"/>
        <v/>
      </c>
      <c r="R32" t="str">
        <f t="shared" ca="1" si="10"/>
        <v/>
      </c>
      <c r="Z32" t="str">
        <f>INDEX($Z$24:$AI$29,MATCH($Z$3,$R$3:$R$8,0),$Z$31)</f>
        <v>CS</v>
      </c>
      <c r="AA32">
        <f>INDEX($Z$24:$AI$29,MATCH($Z$3,$R$3:$R$8,0),$Z$31+1)</f>
        <v>62.421999999999997</v>
      </c>
      <c r="AB32">
        <f>INDEX($Z$24:$AI$29,MATCH($Z$3,$R$3:$R$8,0),$Z$31+2)</f>
        <v>66.421999999999997</v>
      </c>
      <c r="AC32">
        <f>INDEX($Z$24:$AI$29,MATCH($Z$3,$R$3:$R$8,0),$Z$31+3)</f>
        <v>71.894000000000005</v>
      </c>
      <c r="AD32">
        <f>INDEX($Z$24:$AI$29,MATCH($Z$3,$R$3:$R$8,0),$Z$31+4)</f>
        <v>8</v>
      </c>
      <c r="AF32">
        <f>INDEX(AD32:AD33,MATCH(MAX(AB32:AB33),AB32:AB33,0))</f>
        <v>8</v>
      </c>
      <c r="AG32">
        <f>AF32-AF33</f>
        <v>0</v>
      </c>
      <c r="AH32" t="str">
        <f>IF(AG32&gt;0, "and you gain " &amp; AG32 &amp; " parameters", "and you lose " &amp; ABS(AG32) &amp; " parameters")</f>
        <v>and you lose 0 parameters</v>
      </c>
    </row>
    <row r="33" spans="1:32" x14ac:dyDescent="0.25">
      <c r="C33" s="1" t="s">
        <v>57</v>
      </c>
      <c r="D33">
        <v>8.3283215963801102E-2</v>
      </c>
      <c r="G33" s="4">
        <f>SQRT($D$30)*SQRT($D33)*($D$36^3)</f>
        <v>3.0815395187531016E-4</v>
      </c>
      <c r="H33" s="4">
        <f>SQRT($D$31)*SQRT($D33)*($D$36^2)</f>
        <v>2.1135120502514325E-3</v>
      </c>
      <c r="I33" s="4">
        <f>SQRT($D$32)*SQRT($D33)*($D$36^1)</f>
        <v>1.3415683362186367E-2</v>
      </c>
      <c r="J33">
        <f>D33</f>
        <v>8.3283215963801102E-2</v>
      </c>
      <c r="K33" s="4">
        <f>J34</f>
        <v>1.1394333285300696E-2</v>
      </c>
      <c r="L33" s="4">
        <f>J35</f>
        <v>2.5350939268917586E-3</v>
      </c>
      <c r="O33">
        <v>11</v>
      </c>
      <c r="P33">
        <f t="shared" si="8"/>
        <v>-1</v>
      </c>
      <c r="Q33" t="str">
        <f t="shared" ca="1" si="9"/>
        <v/>
      </c>
      <c r="R33" t="str">
        <f t="shared" ca="1" si="10"/>
        <v/>
      </c>
      <c r="Z33" t="str">
        <f>INDEX($Z$24:$AI$29,MATCH($Z$9,$R$3:$R$8,0),$AA$31)</f>
        <v>CS</v>
      </c>
      <c r="AA33">
        <f>INDEX($Z$24:$AI$29,MATCH($Z$9,$R$3:$R$8,0),$AA$31+1)</f>
        <v>62.421999999999997</v>
      </c>
      <c r="AB33">
        <f>INDEX($Z$24:$AI$29,MATCH($Z$9,$R$3:$R$8,0),$AA$31+2)</f>
        <v>66.421999999999997</v>
      </c>
      <c r="AC33">
        <f>INDEX($Z$24:$AI$29,MATCH($Z$9,$R$3:$R$8,0),$AA$31+3)</f>
        <v>71.894000000000005</v>
      </c>
      <c r="AD33">
        <f>INDEX($Z$24:$AI$29,MATCH($Z$9,$R$3:$R$8,0),$AA$31+4)</f>
        <v>8</v>
      </c>
      <c r="AF33">
        <f>INDEX(AD32:AD33,MATCH(MIN(AB32:AB33),AB32:AB33,0))</f>
        <v>8</v>
      </c>
    </row>
    <row r="34" spans="1:32" x14ac:dyDescent="0.25">
      <c r="C34" s="1" t="s">
        <v>58</v>
      </c>
      <c r="D34">
        <v>6.3139302400400124E-2</v>
      </c>
      <c r="G34" s="4">
        <f>SQRT($D$30)*SQRT($D34)*($D$36^4)</f>
        <v>4.21598612663557E-5</v>
      </c>
      <c r="H34" s="4">
        <f>SQRT($D$31)*SQRT($D34)*($D$36^3)</f>
        <v>2.8915863087625285E-4</v>
      </c>
      <c r="I34" s="4">
        <f>SQRT($D$32)*SQRT($D34)*($D$36^2)</f>
        <v>1.8354570691080949E-3</v>
      </c>
      <c r="J34" s="4">
        <f>SQRT($D$33)*SQRT($D34)*($D$36^1)</f>
        <v>1.1394333285300696E-2</v>
      </c>
      <c r="K34">
        <f>D34</f>
        <v>6.3139302400400124E-2</v>
      </c>
      <c r="L34" s="4">
        <f>K35</f>
        <v>1.4047690027632235E-2</v>
      </c>
      <c r="O34">
        <v>10</v>
      </c>
      <c r="P34">
        <f t="shared" si="8"/>
        <v>-1</v>
      </c>
      <c r="Q34" t="str">
        <f t="shared" ca="1" si="9"/>
        <v/>
      </c>
      <c r="R34" t="str">
        <f t="shared" ca="1" si="10"/>
        <v/>
      </c>
    </row>
    <row r="35" spans="1:32" x14ac:dyDescent="0.25">
      <c r="C35" s="1" t="s">
        <v>59</v>
      </c>
      <c r="D35">
        <v>0.1265871089543916</v>
      </c>
      <c r="G35" s="4">
        <f>SQRT($D$30)*SQRT($D35)*($D$36^5)</f>
        <v>9.3800317735849804E-6</v>
      </c>
      <c r="H35" s="4">
        <f>SQRT($D$31)*SQRT($D35)*($D$36^4)</f>
        <v>6.4334109832331406E-5</v>
      </c>
      <c r="I35" s="4">
        <f>SQRT($D$32)*SQRT($D35)*($D$36^3)</f>
        <v>4.0836580363760042E-4</v>
      </c>
      <c r="J35" s="4">
        <f>SQRT($D$33)*SQRT($D35)*($D$36^2)</f>
        <v>2.5350939268917586E-3</v>
      </c>
      <c r="K35" s="4">
        <f>SQRT($D$34)*SQRT($D35)*($D$36^1)</f>
        <v>1.4047690027632235E-2</v>
      </c>
      <c r="L35">
        <f>D35</f>
        <v>0.1265871089543916</v>
      </c>
      <c r="O35">
        <v>9</v>
      </c>
      <c r="P35">
        <f t="shared" si="8"/>
        <v>-1</v>
      </c>
      <c r="Q35" t="str">
        <f t="shared" ca="1" si="9"/>
        <v/>
      </c>
      <c r="R35" t="str">
        <f t="shared" ca="1" si="10"/>
        <v/>
      </c>
      <c r="X35">
        <f>ROUND((EXP((-(MAX(AB32:AB33)-MIN(AB32:AB33)))/2))*100,2)</f>
        <v>100</v>
      </c>
      <c r="Z35" t="str">
        <f>"The evidence for " &amp; INDEX(Z32:Z33,MATCH(MAX(AB32:AB33),AB32:AB33,0)) &amp; " being a better fit than "  &amp; INDEX(Z32:Z33,MATCH(MIN(AB32:AB33),AB32:AB33,0)) &amp; " is " &amp; X36  &amp; AH32 &amp; " (Delta AIC="&amp;X38&amp;")"</f>
        <v>The evidence for CS being a better fit than CS is  100.% and you lose 0 parameters (Delta AIC= .)</v>
      </c>
    </row>
    <row r="36" spans="1:32" x14ac:dyDescent="0.25">
      <c r="C36" s="1" t="s">
        <v>9</v>
      </c>
      <c r="D36">
        <v>0.15713042505798833</v>
      </c>
      <c r="O36">
        <v>8</v>
      </c>
      <c r="P36">
        <f t="shared" si="8"/>
        <v>-1</v>
      </c>
      <c r="Q36" t="str">
        <f t="shared" ca="1" si="9"/>
        <v/>
      </c>
      <c r="R36" t="str">
        <f t="shared" ca="1" si="10"/>
        <v/>
      </c>
      <c r="X36" t="str">
        <f>SUBSTITUTE(TEXT(X35," #,##"),",",".") &amp; "% "</f>
        <v xml:space="preserve"> 100.% </v>
      </c>
      <c r="Z36" t="str">
        <f>IF(OR(AA32="-", AA33="-"), "No comparison can be made",IF(Z32=Z33, "No comparison needed",Z35))</f>
        <v>No comparison needed</v>
      </c>
    </row>
    <row r="37" spans="1:32" x14ac:dyDescent="0.25">
      <c r="O37">
        <v>7</v>
      </c>
      <c r="P37">
        <f t="shared" si="8"/>
        <v>-1</v>
      </c>
      <c r="Q37" t="str">
        <f t="shared" ca="1" si="9"/>
        <v/>
      </c>
      <c r="R37" t="str">
        <f t="shared" ca="1" si="10"/>
        <v/>
      </c>
      <c r="X37">
        <f>ABS(AB32-AB33)</f>
        <v>0</v>
      </c>
    </row>
    <row r="38" spans="1:32" x14ac:dyDescent="0.25">
      <c r="G38" s="2" t="s">
        <v>1</v>
      </c>
      <c r="O38">
        <v>6</v>
      </c>
      <c r="P38">
        <f t="shared" si="8"/>
        <v>-1</v>
      </c>
      <c r="Q38" t="str">
        <f t="shared" ca="1" si="9"/>
        <v/>
      </c>
      <c r="R38" t="str">
        <f t="shared" ca="1" si="10"/>
        <v/>
      </c>
      <c r="X38" t="str">
        <f>SUBSTITUTE(TEXT(X37," #,##"),",",".")</f>
        <v xml:space="preserve"> .</v>
      </c>
    </row>
    <row r="39" spans="1:32" x14ac:dyDescent="0.25">
      <c r="B39" t="s">
        <v>10</v>
      </c>
      <c r="C39" s="1" t="s">
        <v>60</v>
      </c>
      <c r="D39">
        <v>8.6567133024661083E-2</v>
      </c>
      <c r="F39" s="1" t="s">
        <v>1</v>
      </c>
      <c r="G39" s="4">
        <f>D39</f>
        <v>8.6567133024661083E-2</v>
      </c>
      <c r="H39" s="4">
        <f>G40</f>
        <v>1.2106397396811236E-2</v>
      </c>
      <c r="I39" s="4">
        <f>G41</f>
        <v>5.6343425959611412E-3</v>
      </c>
      <c r="J39" s="4">
        <f>G42</f>
        <v>-3.7966858394450015E-3</v>
      </c>
      <c r="K39" s="4">
        <f>G43</f>
        <v>9.456013523989195E-3</v>
      </c>
      <c r="L39" s="4">
        <f>G44</f>
        <v>-1.6248418110090892E-2</v>
      </c>
      <c r="O39">
        <v>5</v>
      </c>
      <c r="P39">
        <f t="shared" si="8"/>
        <v>-1</v>
      </c>
      <c r="Q39" t="str">
        <f t="shared" ca="1" si="9"/>
        <v/>
      </c>
      <c r="R39" t="str">
        <f t="shared" ca="1" si="10"/>
        <v/>
      </c>
    </row>
    <row r="40" spans="1:32" x14ac:dyDescent="0.25">
      <c r="A40" s="1" t="s">
        <v>64</v>
      </c>
      <c r="B40" t="str">
        <f>"Diagonal"</f>
        <v>Diagonal</v>
      </c>
      <c r="C40" s="1" t="s">
        <v>11</v>
      </c>
      <c r="D40">
        <v>0.13984981336233451</v>
      </c>
      <c r="F40" s="1" t="s">
        <v>2</v>
      </c>
      <c r="G40" s="4">
        <f>$G$39*D40</f>
        <v>1.2106397396811236E-2</v>
      </c>
      <c r="H40" s="4">
        <f>G39</f>
        <v>8.6567133024661083E-2</v>
      </c>
      <c r="I40" s="4">
        <f>H41</f>
        <v>1.2106397396811236E-2</v>
      </c>
      <c r="J40" s="4">
        <f>H42</f>
        <v>5.6343425959611412E-3</v>
      </c>
      <c r="K40" s="4">
        <f>H43</f>
        <v>-3.7966858394450015E-3</v>
      </c>
      <c r="L40" s="4">
        <f>H44</f>
        <v>9.456013523989195E-3</v>
      </c>
      <c r="O40">
        <v>4</v>
      </c>
      <c r="P40">
        <f t="shared" si="8"/>
        <v>-1</v>
      </c>
      <c r="Q40" t="str">
        <f t="shared" ca="1" si="9"/>
        <v/>
      </c>
      <c r="R40" t="str">
        <f t="shared" ca="1" si="10"/>
        <v/>
      </c>
    </row>
    <row r="41" spans="1:32" x14ac:dyDescent="0.25">
      <c r="A41" s="1" t="s">
        <v>63</v>
      </c>
      <c r="B41" t="str">
        <f>"Diagonal * Rho[j]"</f>
        <v>Diagonal * Rho[j]</v>
      </c>
      <c r="C41" s="1" t="s">
        <v>12</v>
      </c>
      <c r="D41">
        <v>6.5086394790919558E-2</v>
      </c>
      <c r="F41" s="1" t="s">
        <v>3</v>
      </c>
      <c r="G41" s="4">
        <f>$G$39*D41</f>
        <v>5.6343425959611412E-3</v>
      </c>
      <c r="H41" s="4">
        <f t="shared" ref="H41:H44" si="13">G40</f>
        <v>1.2106397396811236E-2</v>
      </c>
      <c r="I41" s="4">
        <f>G39</f>
        <v>8.6567133024661083E-2</v>
      </c>
      <c r="J41" s="4">
        <f>I42</f>
        <v>1.2106397396811236E-2</v>
      </c>
      <c r="K41" s="4">
        <f>I43</f>
        <v>5.6343425959611412E-3</v>
      </c>
      <c r="L41" s="4">
        <f>I44</f>
        <v>-3.7966858394450015E-3</v>
      </c>
      <c r="O41">
        <v>3</v>
      </c>
      <c r="P41">
        <f t="shared" si="8"/>
        <v>-1</v>
      </c>
      <c r="Q41" t="str">
        <f t="shared" ca="1" si="9"/>
        <v/>
      </c>
      <c r="R41" t="str">
        <f t="shared" ca="1" si="10"/>
        <v/>
      </c>
    </row>
    <row r="42" spans="1:32" x14ac:dyDescent="0.25">
      <c r="C42" s="1" t="s">
        <v>13</v>
      </c>
      <c r="D42">
        <v>-4.3858283239707252E-2</v>
      </c>
      <c r="G42" s="4">
        <f>$G$39*D42</f>
        <v>-3.7966858394450015E-3</v>
      </c>
      <c r="H42" s="4">
        <f t="shared" si="13"/>
        <v>5.6343425959611412E-3</v>
      </c>
      <c r="I42" s="4">
        <f t="shared" ref="I42:I44" si="14">G40</f>
        <v>1.2106397396811236E-2</v>
      </c>
      <c r="J42" s="4">
        <f>G39</f>
        <v>8.6567133024661083E-2</v>
      </c>
      <c r="K42" s="4">
        <f>J43</f>
        <v>1.2106397396811236E-2</v>
      </c>
      <c r="L42" s="4">
        <f>J44</f>
        <v>5.6343425959611412E-3</v>
      </c>
      <c r="O42">
        <v>2</v>
      </c>
      <c r="P42">
        <f t="shared" si="8"/>
        <v>-1</v>
      </c>
      <c r="Q42" t="str">
        <f t="shared" ca="1" si="9"/>
        <v/>
      </c>
      <c r="R42" t="str">
        <f t="shared" ca="1" si="10"/>
        <v/>
      </c>
    </row>
    <row r="43" spans="1:32" x14ac:dyDescent="0.25">
      <c r="C43" s="1" t="s">
        <v>14</v>
      </c>
      <c r="D43">
        <v>0.10923329898537108</v>
      </c>
      <c r="G43" s="4">
        <f>$G$39*D43</f>
        <v>9.456013523989195E-3</v>
      </c>
      <c r="H43" s="4">
        <f t="shared" si="13"/>
        <v>-3.7966858394450015E-3</v>
      </c>
      <c r="I43" s="4">
        <f t="shared" si="14"/>
        <v>5.6343425959611412E-3</v>
      </c>
      <c r="J43" s="4">
        <f t="shared" ref="J43:J44" si="15">G40</f>
        <v>1.2106397396811236E-2</v>
      </c>
      <c r="K43" s="4">
        <f>G39</f>
        <v>8.6567133024661083E-2</v>
      </c>
      <c r="L43" s="4">
        <f>K44</f>
        <v>1.2106397396811236E-2</v>
      </c>
      <c r="O43">
        <v>1</v>
      </c>
      <c r="P43">
        <f t="shared" si="8"/>
        <v>-1</v>
      </c>
      <c r="Q43" t="str">
        <f t="shared" ca="1" si="9"/>
        <v/>
      </c>
      <c r="R43" t="str">
        <f t="shared" ca="1" si="10"/>
        <v/>
      </c>
    </row>
    <row r="44" spans="1:32" x14ac:dyDescent="0.25">
      <c r="C44" s="1" t="s">
        <v>15</v>
      </c>
      <c r="D44">
        <v>-0.18769731123545552</v>
      </c>
      <c r="G44" s="4">
        <f>$G$39*D44</f>
        <v>-1.6248418110090892E-2</v>
      </c>
      <c r="H44" s="4">
        <f t="shared" si="13"/>
        <v>9.456013523989195E-3</v>
      </c>
      <c r="I44" s="4">
        <f t="shared" si="14"/>
        <v>-3.7966858394450015E-3</v>
      </c>
      <c r="J44" s="4">
        <f t="shared" si="15"/>
        <v>5.6343425959611412E-3</v>
      </c>
      <c r="K44" s="4">
        <f>G40</f>
        <v>1.2106397396811236E-2</v>
      </c>
      <c r="L44" s="4">
        <f>G39</f>
        <v>8.6567133024661083E-2</v>
      </c>
      <c r="O44">
        <v>0</v>
      </c>
      <c r="P44">
        <f t="shared" si="8"/>
        <v>-1</v>
      </c>
      <c r="Q44" t="str">
        <f t="shared" ca="1" si="9"/>
        <v/>
      </c>
      <c r="R44" t="str">
        <f t="shared" ca="1" si="10"/>
        <v/>
      </c>
    </row>
    <row r="46" spans="1:32" x14ac:dyDescent="0.25">
      <c r="G46" s="2" t="s">
        <v>1</v>
      </c>
      <c r="H46" s="3"/>
    </row>
    <row r="47" spans="1:32" x14ac:dyDescent="0.25">
      <c r="B47" t="s">
        <v>17</v>
      </c>
      <c r="C47" s="1" t="s">
        <v>54</v>
      </c>
      <c r="D47">
        <v>7.2896895929040195E-2</v>
      </c>
      <c r="F47" s="1" t="s">
        <v>1</v>
      </c>
      <c r="G47" s="4">
        <f>D47</f>
        <v>7.2896895929040195E-2</v>
      </c>
      <c r="H47" s="5">
        <f>G48</f>
        <v>1.1737094095616402E-2</v>
      </c>
      <c r="I47" s="4">
        <f>G49</f>
        <v>4.7240865157241957E-3</v>
      </c>
      <c r="J47" s="4">
        <f>G50</f>
        <v>2.7108812743862341E-4</v>
      </c>
      <c r="K47" s="4">
        <f>G51</f>
        <v>9.1528211067652618E-3</v>
      </c>
      <c r="L47" s="4">
        <f>G52</f>
        <v>-2.1403067250369445E-2</v>
      </c>
    </row>
    <row r="48" spans="1:32" x14ac:dyDescent="0.25">
      <c r="A48" s="1" t="s">
        <v>64</v>
      </c>
      <c r="B48" t="str">
        <f>"Variance[i]"</f>
        <v>Variance[i]</v>
      </c>
      <c r="C48" s="1" t="s">
        <v>55</v>
      </c>
      <c r="D48">
        <v>9.0071937330929414E-2</v>
      </c>
      <c r="F48" s="1" t="s">
        <v>2</v>
      </c>
      <c r="G48" s="4">
        <f>SQRT($D$47)*SQRT($D48)*($D53)</f>
        <v>1.1737094095616402E-2</v>
      </c>
      <c r="H48" s="3">
        <f>D48</f>
        <v>9.0071937330929414E-2</v>
      </c>
      <c r="I48" s="4">
        <f>H49</f>
        <v>1.2729222341057955E-2</v>
      </c>
      <c r="J48" s="4">
        <f>H50</f>
        <v>5.1853338900511971E-3</v>
      </c>
      <c r="K48" s="4">
        <f>H51</f>
        <v>2.6203995269125666E-4</v>
      </c>
      <c r="L48" s="4">
        <f>H52</f>
        <v>1.4403681914611515E-2</v>
      </c>
    </row>
    <row r="49" spans="1:12" x14ac:dyDescent="0.25">
      <c r="A49" s="1" t="s">
        <v>63</v>
      </c>
      <c r="B49" t="str">
        <f>"SQRT(Var[i])*SQRT(Var[i+j]) * Rho[j]"</f>
        <v>SQRT(Var[i])*SQRT(Var[i+j]) * Rho[j]</v>
      </c>
      <c r="C49" s="1" t="s">
        <v>56</v>
      </c>
      <c r="D49">
        <v>8.5741604805673707E-2</v>
      </c>
      <c r="F49" s="1" t="s">
        <v>3</v>
      </c>
      <c r="G49" s="4">
        <f>SQRT($D$47)*SQRT($D49)*($D54)</f>
        <v>4.7240865157241957E-3</v>
      </c>
      <c r="H49" s="4">
        <f>SQRT($D$48)*SQRT($D49)*($D53)</f>
        <v>1.2729222341057955E-2</v>
      </c>
      <c r="I49">
        <f>D49</f>
        <v>8.5741604805673707E-2</v>
      </c>
      <c r="J49" s="4">
        <f>I50</f>
        <v>1.2263701579324946E-2</v>
      </c>
      <c r="K49" s="4">
        <f>I51</f>
        <v>4.39941122842211E-3</v>
      </c>
      <c r="L49" s="4">
        <f>I52</f>
        <v>3.6194858079807994E-4</v>
      </c>
    </row>
    <row r="50" spans="1:12" x14ac:dyDescent="0.25">
      <c r="C50" s="1" t="s">
        <v>57</v>
      </c>
      <c r="D50">
        <v>8.3604356260913573E-2</v>
      </c>
      <c r="G50" s="4">
        <f>SQRT($D$47)*SQRT($D50)*($D55)</f>
        <v>2.7108812743862341E-4</v>
      </c>
      <c r="H50" s="4">
        <f t="shared" ref="H50:H52" si="16">SQRT($D$48)*SQRT($D50)*($D54)</f>
        <v>5.1853338900511971E-3</v>
      </c>
      <c r="I50" s="4">
        <f>SQRT($D$49)*SQRT($D50)*($D53)</f>
        <v>1.2263701579324946E-2</v>
      </c>
      <c r="J50">
        <f>D50</f>
        <v>8.3604356260913573E-2</v>
      </c>
      <c r="K50" s="4">
        <f>J51</f>
        <v>1.0530694267236339E-2</v>
      </c>
      <c r="L50" s="4">
        <f>J52</f>
        <v>6.1502323370120201E-3</v>
      </c>
    </row>
    <row r="51" spans="1:12" x14ac:dyDescent="0.25">
      <c r="C51" s="1" t="s">
        <v>58</v>
      </c>
      <c r="D51">
        <v>6.3221161202093312E-2</v>
      </c>
      <c r="G51" s="4">
        <f>SQRT($D$47)*SQRT($D51)*($D56)</f>
        <v>9.1528211067652618E-3</v>
      </c>
      <c r="H51" s="4">
        <f t="shared" si="16"/>
        <v>2.6203995269125666E-4</v>
      </c>
      <c r="I51" s="4">
        <f t="shared" ref="I51:I52" si="17">SQRT($D$49)*SQRT($D51)*($D54)</f>
        <v>4.39941122842211E-3</v>
      </c>
      <c r="J51" s="4">
        <f>SQRT($D$50)*SQRT($D51)*($D53)</f>
        <v>1.0530694267236339E-2</v>
      </c>
      <c r="K51">
        <f>D51</f>
        <v>6.3221161202093312E-2</v>
      </c>
      <c r="L51" s="4">
        <f>K52</f>
        <v>1.2964390342896514E-2</v>
      </c>
    </row>
    <row r="52" spans="1:12" x14ac:dyDescent="0.25">
      <c r="C52" s="1" t="s">
        <v>59</v>
      </c>
      <c r="D52">
        <v>0.12671239394276737</v>
      </c>
      <c r="G52" s="4">
        <f>SQRT($D$47)*SQRT($D52)*($D57)</f>
        <v>-2.1403067250369445E-2</v>
      </c>
      <c r="H52" s="4">
        <f t="shared" si="16"/>
        <v>1.4403681914611515E-2</v>
      </c>
      <c r="I52" s="4">
        <f t="shared" si="17"/>
        <v>3.6194858079807994E-4</v>
      </c>
      <c r="J52" s="4">
        <f>SQRT($D$50)*SQRT($D52)*($D54)</f>
        <v>6.1502323370120201E-3</v>
      </c>
      <c r="K52" s="4">
        <f>SQRT($D$51)*SQRT($D52)*($D53)</f>
        <v>1.2964390342896514E-2</v>
      </c>
      <c r="L52">
        <f>D52</f>
        <v>0.12671239394276737</v>
      </c>
    </row>
    <row r="53" spans="1:12" x14ac:dyDescent="0.25">
      <c r="C53" s="1" t="s">
        <v>11</v>
      </c>
      <c r="D53">
        <v>0.14484760425342547</v>
      </c>
    </row>
    <row r="54" spans="1:12" x14ac:dyDescent="0.25">
      <c r="C54" s="1" t="s">
        <v>12</v>
      </c>
      <c r="D54">
        <v>5.9754074027377452E-2</v>
      </c>
      <c r="H54" s="3"/>
    </row>
    <row r="55" spans="1:12" x14ac:dyDescent="0.25">
      <c r="C55" s="1" t="s">
        <v>13</v>
      </c>
      <c r="D55">
        <v>3.4724941772526301E-3</v>
      </c>
      <c r="H55" s="3"/>
    </row>
    <row r="56" spans="1:12" x14ac:dyDescent="0.25">
      <c r="C56" s="1" t="s">
        <v>14</v>
      </c>
      <c r="D56">
        <v>0.13482462531471517</v>
      </c>
    </row>
    <row r="57" spans="1:12" x14ac:dyDescent="0.25">
      <c r="C57" s="1" t="s">
        <v>15</v>
      </c>
      <c r="D57">
        <v>-0.22269576093340901</v>
      </c>
    </row>
    <row r="58" spans="1:12" x14ac:dyDescent="0.25">
      <c r="G58" s="2" t="s">
        <v>1</v>
      </c>
    </row>
    <row r="59" spans="1:12" x14ac:dyDescent="0.25">
      <c r="B59" t="s">
        <v>18</v>
      </c>
      <c r="C59" s="1" t="s">
        <v>60</v>
      </c>
      <c r="D59">
        <v>8.7226798902592925E-2</v>
      </c>
      <c r="F59" s="1" t="s">
        <v>1</v>
      </c>
      <c r="G59" s="4">
        <f>D59</f>
        <v>8.7226798902592925E-2</v>
      </c>
      <c r="H59" s="5">
        <f>G60</f>
        <v>1.3464847351044956E-2</v>
      </c>
      <c r="I59" s="4">
        <f>G61</f>
        <v>5.2896500347368522E-3</v>
      </c>
      <c r="J59" s="4">
        <f>G62</f>
        <v>2.0780330263320906E-3</v>
      </c>
      <c r="K59" s="4">
        <f>G63</f>
        <v>8.1635292130280391E-4</v>
      </c>
      <c r="L59" s="4">
        <f>G64</f>
        <v>3.2070332072437391E-4</v>
      </c>
    </row>
    <row r="60" spans="1:12" x14ac:dyDescent="0.25">
      <c r="A60" s="1" t="s">
        <v>64</v>
      </c>
      <c r="B60" t="str">
        <f>"Diagonal"</f>
        <v>Diagonal</v>
      </c>
      <c r="C60" s="1" t="s">
        <v>19</v>
      </c>
      <c r="D60">
        <v>0.39284886763505289</v>
      </c>
      <c r="F60" s="1" t="s">
        <v>2</v>
      </c>
      <c r="G60" s="4">
        <f>$D$59*$D$61*($D$60^0)</f>
        <v>1.3464847351044956E-2</v>
      </c>
      <c r="H60" s="5">
        <f>G59</f>
        <v>8.7226798902592925E-2</v>
      </c>
      <c r="I60" s="4">
        <f>H61</f>
        <v>1.3464847351044956E-2</v>
      </c>
      <c r="J60" s="4">
        <f>H62</f>
        <v>5.2896500347368522E-3</v>
      </c>
      <c r="K60" s="4">
        <f>H63</f>
        <v>2.0780330263320906E-3</v>
      </c>
      <c r="L60" s="4">
        <f>H64</f>
        <v>8.1635292130280391E-4</v>
      </c>
    </row>
    <row r="61" spans="1:12" x14ac:dyDescent="0.25">
      <c r="A61" s="1" t="s">
        <v>63</v>
      </c>
      <c r="B61" t="str">
        <f>"Diagonal * Rho*(Phi^[j-1])"</f>
        <v>Diagonal * Rho*(Phi^[j-1])</v>
      </c>
      <c r="C61" s="1" t="s">
        <v>7</v>
      </c>
      <c r="D61">
        <v>0.15436594625100586</v>
      </c>
      <c r="F61" s="1" t="s">
        <v>3</v>
      </c>
      <c r="G61" s="4">
        <f>$D$59*$D$61*($D$60^1)</f>
        <v>5.2896500347368522E-3</v>
      </c>
      <c r="H61" s="5">
        <f t="shared" ref="H61:H64" si="18">G60</f>
        <v>1.3464847351044956E-2</v>
      </c>
      <c r="I61" s="4">
        <f>G59</f>
        <v>8.7226798902592925E-2</v>
      </c>
      <c r="J61" s="4">
        <f>I62</f>
        <v>1.3464847351044956E-2</v>
      </c>
      <c r="K61" s="4">
        <f>I63</f>
        <v>5.2896500347368522E-3</v>
      </c>
      <c r="L61" s="4">
        <f>I64</f>
        <v>2.0780330263320906E-3</v>
      </c>
    </row>
    <row r="62" spans="1:12" x14ac:dyDescent="0.25">
      <c r="G62" s="4">
        <f>$D$59*$D$61*($D$60^2)</f>
        <v>2.0780330263320906E-3</v>
      </c>
      <c r="H62" s="5">
        <f t="shared" si="18"/>
        <v>5.2896500347368522E-3</v>
      </c>
      <c r="I62" s="4">
        <f t="shared" ref="I62:I64" si="19">G60</f>
        <v>1.3464847351044956E-2</v>
      </c>
      <c r="J62" s="4">
        <f>G59</f>
        <v>8.7226798902592925E-2</v>
      </c>
      <c r="K62" s="4">
        <f>J63</f>
        <v>1.3464847351044956E-2</v>
      </c>
      <c r="L62" s="4">
        <f>J64</f>
        <v>5.2896500347368522E-3</v>
      </c>
    </row>
    <row r="63" spans="1:12" x14ac:dyDescent="0.25">
      <c r="G63" s="4">
        <f>$D$59*$D$61*($D$60^3)</f>
        <v>8.1635292130280391E-4</v>
      </c>
      <c r="H63" s="5">
        <f t="shared" si="18"/>
        <v>2.0780330263320906E-3</v>
      </c>
      <c r="I63" s="4">
        <f t="shared" si="19"/>
        <v>5.2896500347368522E-3</v>
      </c>
      <c r="J63" s="4">
        <f t="shared" ref="J63:J64" si="20">G60</f>
        <v>1.3464847351044956E-2</v>
      </c>
      <c r="K63" s="4">
        <f>G59</f>
        <v>8.7226798902592925E-2</v>
      </c>
      <c r="L63" s="4">
        <f>K64</f>
        <v>1.3464847351044956E-2</v>
      </c>
    </row>
    <row r="64" spans="1:12" x14ac:dyDescent="0.25">
      <c r="G64" s="4">
        <f>$D$59*$D$61*($D$60^4)</f>
        <v>3.2070332072437391E-4</v>
      </c>
      <c r="H64" s="5">
        <f t="shared" si="18"/>
        <v>8.1635292130280391E-4</v>
      </c>
      <c r="I64" s="4">
        <f t="shared" si="19"/>
        <v>2.0780330263320906E-3</v>
      </c>
      <c r="J64" s="4">
        <f t="shared" si="20"/>
        <v>5.2896500347368522E-3</v>
      </c>
      <c r="K64" s="4">
        <f>G60</f>
        <v>1.3464847351044956E-2</v>
      </c>
      <c r="L64" s="4">
        <f>G59</f>
        <v>8.7226798902592925E-2</v>
      </c>
    </row>
    <row r="65" spans="1:12" x14ac:dyDescent="0.25">
      <c r="G65" s="4"/>
      <c r="H65" s="3"/>
    </row>
    <row r="66" spans="1:12" x14ac:dyDescent="0.25">
      <c r="G66" s="2" t="s">
        <v>1</v>
      </c>
      <c r="H66" s="3"/>
    </row>
    <row r="67" spans="1:12" x14ac:dyDescent="0.25">
      <c r="B67" t="s">
        <v>20</v>
      </c>
      <c r="C67" t="s">
        <v>21</v>
      </c>
      <c r="D67">
        <v>7.9966466613801718E-2</v>
      </c>
      <c r="F67" s="1" t="s">
        <v>1</v>
      </c>
      <c r="G67" s="4">
        <f>D67</f>
        <v>7.9966466613801718E-2</v>
      </c>
      <c r="H67" s="4">
        <f>G68</f>
        <v>4.1707345223529882E-2</v>
      </c>
      <c r="I67" s="4">
        <f>G69</f>
        <v>1.2207661811290266E-2</v>
      </c>
      <c r="J67" s="4">
        <f>G70</f>
        <v>2.4743313232540483E-3</v>
      </c>
      <c r="K67" s="4">
        <f>G71</f>
        <v>1.8714948056880485E-2</v>
      </c>
      <c r="L67" s="4">
        <f>G72</f>
        <v>-2.3002393960999921E-2</v>
      </c>
    </row>
    <row r="68" spans="1:12" x14ac:dyDescent="0.25">
      <c r="A68" s="1" t="s">
        <v>64</v>
      </c>
      <c r="B68" t="str">
        <f>"Variance[i]"</f>
        <v>Variance[i]</v>
      </c>
      <c r="C68" t="s">
        <v>22</v>
      </c>
      <c r="D68">
        <v>4.1707345223529882E-2</v>
      </c>
      <c r="F68" s="1" t="s">
        <v>2</v>
      </c>
      <c r="G68" s="4">
        <f>D68</f>
        <v>4.1707345223529882E-2</v>
      </c>
      <c r="H68" s="4">
        <f>D69</f>
        <v>9.0535396127248882E-2</v>
      </c>
      <c r="I68" s="4">
        <f>H69</f>
        <v>-6.6689320575788805E-4</v>
      </c>
      <c r="J68" s="4">
        <f>H70</f>
        <v>-9.6853034579537194E-3</v>
      </c>
      <c r="K68" s="4">
        <f>H71</f>
        <v>2.9273825657339946E-2</v>
      </c>
      <c r="L68" s="4">
        <f>H72</f>
        <v>6.5314277424445696E-3</v>
      </c>
    </row>
    <row r="69" spans="1:12" x14ac:dyDescent="0.25">
      <c r="A69" s="1" t="s">
        <v>63</v>
      </c>
      <c r="B69" t="str">
        <f>"Covariance[i,j]"</f>
        <v>Covariance[i,j]</v>
      </c>
      <c r="C69" t="s">
        <v>23</v>
      </c>
      <c r="D69">
        <v>9.0535396127248882E-2</v>
      </c>
      <c r="F69" s="1" t="s">
        <v>3</v>
      </c>
      <c r="G69" s="4">
        <f>D70</f>
        <v>1.2207661811290266E-2</v>
      </c>
      <c r="H69" s="4">
        <f>D71</f>
        <v>-6.6689320575788805E-4</v>
      </c>
      <c r="I69" s="4">
        <f>D72</f>
        <v>8.6879474223760134E-2</v>
      </c>
      <c r="J69" s="4">
        <f>I70</f>
        <v>2.335412296091122E-2</v>
      </c>
      <c r="K69" s="4">
        <f>I71</f>
        <v>1.1137423772493125E-2</v>
      </c>
      <c r="L69" s="4">
        <f>I72</f>
        <v>-4.8400578205197026E-2</v>
      </c>
    </row>
    <row r="70" spans="1:12" x14ac:dyDescent="0.25">
      <c r="C70" t="s">
        <v>24</v>
      </c>
      <c r="D70">
        <v>1.2207661811290266E-2</v>
      </c>
      <c r="G70" s="4">
        <f>D73</f>
        <v>2.4743313232540483E-3</v>
      </c>
      <c r="H70" s="4">
        <f>D74</f>
        <v>-9.6853034579537194E-3</v>
      </c>
      <c r="I70" s="4">
        <f>D75</f>
        <v>2.335412296091122E-2</v>
      </c>
      <c r="J70" s="4">
        <f>D76</f>
        <v>8.4949383558632199E-2</v>
      </c>
      <c r="K70" s="4">
        <f>J71</f>
        <v>1.2413998055297049E-2</v>
      </c>
      <c r="L70" s="4">
        <f>J72</f>
        <v>1.5236406548393961E-2</v>
      </c>
    </row>
    <row r="71" spans="1:12" x14ac:dyDescent="0.25">
      <c r="C71" t="s">
        <v>25</v>
      </c>
      <c r="D71">
        <v>-6.6689320575788805E-4</v>
      </c>
      <c r="G71" s="4">
        <f>D77</f>
        <v>1.8714948056880485E-2</v>
      </c>
      <c r="H71" s="4">
        <f>D78</f>
        <v>2.9273825657339946E-2</v>
      </c>
      <c r="I71" s="4">
        <f>D79</f>
        <v>1.1137423772493125E-2</v>
      </c>
      <c r="J71" s="4">
        <f>D80</f>
        <v>1.2413998055297049E-2</v>
      </c>
      <c r="K71" s="4">
        <f>D81</f>
        <v>6.0174213739446897E-2</v>
      </c>
      <c r="L71" s="4">
        <f>K72</f>
        <v>-1.458824089383042E-2</v>
      </c>
    </row>
    <row r="72" spans="1:12" x14ac:dyDescent="0.25">
      <c r="C72" t="s">
        <v>26</v>
      </c>
      <c r="D72">
        <v>8.6879474223760134E-2</v>
      </c>
      <c r="G72" s="4">
        <f>D82</f>
        <v>-2.3002393960999921E-2</v>
      </c>
      <c r="H72" s="4">
        <f>D83</f>
        <v>6.5314277424445696E-3</v>
      </c>
      <c r="I72" s="4">
        <f>D84</f>
        <v>-4.8400578205197026E-2</v>
      </c>
      <c r="J72" s="4">
        <f>D85</f>
        <v>1.5236406548393961E-2</v>
      </c>
      <c r="K72" s="4">
        <f>D86</f>
        <v>-1.458824089383042E-2</v>
      </c>
      <c r="L72" s="4">
        <f>D87</f>
        <v>0.12021597931021026</v>
      </c>
    </row>
    <row r="73" spans="1:12" x14ac:dyDescent="0.25">
      <c r="C73" t="s">
        <v>27</v>
      </c>
      <c r="D73">
        <v>2.4743313232540483E-3</v>
      </c>
    </row>
    <row r="74" spans="1:12" x14ac:dyDescent="0.25">
      <c r="C74" t="s">
        <v>28</v>
      </c>
      <c r="D74">
        <v>-9.6853034579537194E-3</v>
      </c>
    </row>
    <row r="75" spans="1:12" x14ac:dyDescent="0.25">
      <c r="C75" t="s">
        <v>29</v>
      </c>
      <c r="D75">
        <v>2.335412296091122E-2</v>
      </c>
    </row>
    <row r="76" spans="1:12" x14ac:dyDescent="0.25">
      <c r="C76" t="s">
        <v>30</v>
      </c>
      <c r="D76">
        <v>8.4949383558632199E-2</v>
      </c>
    </row>
    <row r="77" spans="1:12" x14ac:dyDescent="0.25">
      <c r="C77" t="s">
        <v>31</v>
      </c>
      <c r="D77">
        <v>1.8714948056880485E-2</v>
      </c>
    </row>
    <row r="78" spans="1:12" x14ac:dyDescent="0.25">
      <c r="C78" t="s">
        <v>32</v>
      </c>
      <c r="D78">
        <v>2.9273825657339946E-2</v>
      </c>
    </row>
    <row r="79" spans="1:12" x14ac:dyDescent="0.25">
      <c r="C79" t="s">
        <v>33</v>
      </c>
      <c r="D79">
        <v>1.1137423772493125E-2</v>
      </c>
    </row>
    <row r="80" spans="1:12" x14ac:dyDescent="0.25">
      <c r="C80" t="s">
        <v>34</v>
      </c>
      <c r="D80">
        <v>1.2413998055297049E-2</v>
      </c>
    </row>
    <row r="81" spans="1:22" x14ac:dyDescent="0.25">
      <c r="C81" t="s">
        <v>35</v>
      </c>
      <c r="D81">
        <v>6.0174213739446897E-2</v>
      </c>
    </row>
    <row r="82" spans="1:22" x14ac:dyDescent="0.25">
      <c r="C82" t="s">
        <v>36</v>
      </c>
      <c r="D82">
        <v>-2.3002393960999921E-2</v>
      </c>
    </row>
    <row r="83" spans="1:22" x14ac:dyDescent="0.25">
      <c r="C83" t="s">
        <v>37</v>
      </c>
      <c r="D83">
        <v>6.5314277424445696E-3</v>
      </c>
    </row>
    <row r="84" spans="1:22" x14ac:dyDescent="0.25">
      <c r="C84" t="s">
        <v>38</v>
      </c>
      <c r="D84">
        <v>-4.8400578205197026E-2</v>
      </c>
    </row>
    <row r="85" spans="1:22" x14ac:dyDescent="0.25">
      <c r="C85" t="s">
        <v>39</v>
      </c>
      <c r="D85">
        <v>1.5236406548393961E-2</v>
      </c>
    </row>
    <row r="86" spans="1:22" x14ac:dyDescent="0.25">
      <c r="C86" t="s">
        <v>40</v>
      </c>
      <c r="D86">
        <v>-1.458824089383042E-2</v>
      </c>
      <c r="G86" s="3"/>
    </row>
    <row r="87" spans="1:22" x14ac:dyDescent="0.25">
      <c r="C87" t="s">
        <v>41</v>
      </c>
      <c r="D87">
        <v>0.12021597931021026</v>
      </c>
      <c r="G87" s="3"/>
    </row>
    <row r="88" spans="1:22" x14ac:dyDescent="0.25">
      <c r="G88" s="3" t="s">
        <v>42</v>
      </c>
      <c r="H88" t="s">
        <v>43</v>
      </c>
      <c r="I88" t="s">
        <v>44</v>
      </c>
      <c r="J88" t="s">
        <v>45</v>
      </c>
      <c r="K88" t="s">
        <v>46</v>
      </c>
      <c r="L88" t="s">
        <v>47</v>
      </c>
      <c r="Q88" t="s">
        <v>42</v>
      </c>
      <c r="R88" t="s">
        <v>43</v>
      </c>
      <c r="S88" t="s">
        <v>44</v>
      </c>
      <c r="T88" t="s">
        <v>45</v>
      </c>
      <c r="U88" t="s">
        <v>46</v>
      </c>
      <c r="V88" t="s">
        <v>47</v>
      </c>
    </row>
    <row r="89" spans="1:22" x14ac:dyDescent="0.25">
      <c r="B89" t="s">
        <v>106</v>
      </c>
      <c r="C89" t="s">
        <v>107</v>
      </c>
      <c r="D89">
        <v>7.9916842105263106E-2</v>
      </c>
      <c r="F89" t="s">
        <v>42</v>
      </c>
      <c r="G89" s="3">
        <v>7.9916842105263106E-2</v>
      </c>
      <c r="H89">
        <v>4.1760526315789477E-2</v>
      </c>
      <c r="I89">
        <v>1.2245263157894733E-2</v>
      </c>
      <c r="J89">
        <v>2.3757894736842144E-3</v>
      </c>
      <c r="K89">
        <v>1.8608947368421055E-2</v>
      </c>
      <c r="L89">
        <v>-2.3105263157894743E-2</v>
      </c>
      <c r="O89" t="s">
        <v>113</v>
      </c>
      <c r="P89" t="s">
        <v>42</v>
      </c>
      <c r="Q89" t="str">
        <f>IF($P89=Q$88, "Var"&amp;$P89, "Covar" &amp; $P89 &amp; "-" &amp;Q$88)</f>
        <v>Var[T1;R1]</v>
      </c>
    </row>
    <row r="90" spans="1:22" x14ac:dyDescent="0.25">
      <c r="A90" s="1" t="s">
        <v>64</v>
      </c>
      <c r="B90" t="str">
        <f>"Sample Variance"</f>
        <v>Sample Variance</v>
      </c>
      <c r="C90" t="s">
        <v>108</v>
      </c>
      <c r="D90">
        <v>9.0967105263157808E-2</v>
      </c>
      <c r="F90" t="s">
        <v>43</v>
      </c>
      <c r="G90" s="3">
        <v>4.1760526315789477E-2</v>
      </c>
      <c r="H90">
        <v>9.0967105263157808E-2</v>
      </c>
      <c r="I90">
        <v>-5.3684210526315393E-4</v>
      </c>
      <c r="J90">
        <v>-9.9263157894736789E-3</v>
      </c>
      <c r="K90">
        <v>2.9085526315789482E-2</v>
      </c>
      <c r="L90">
        <v>6.6078947368420973E-3</v>
      </c>
      <c r="P90" t="s">
        <v>43</v>
      </c>
      <c r="Q90" t="str">
        <f t="shared" ref="Q90:V94" si="21">IF($P90=Q$88, "Var"&amp;$P90, "Covar" &amp; $P90 &amp; "-" &amp;Q$88)</f>
        <v>Covar[T1;R2]-[T1;R1]</v>
      </c>
      <c r="R90" t="str">
        <f t="shared" si="21"/>
        <v>Var[T1;R2]</v>
      </c>
    </row>
    <row r="91" spans="1:22" x14ac:dyDescent="0.25">
      <c r="A91" s="1" t="s">
        <v>63</v>
      </c>
      <c r="B91" t="str">
        <f>"Sample Covariance"</f>
        <v>Sample Covariance</v>
      </c>
      <c r="C91" t="s">
        <v>109</v>
      </c>
      <c r="D91">
        <v>8.6814736842105333E-2</v>
      </c>
      <c r="F91" t="s">
        <v>44</v>
      </c>
      <c r="G91" s="3">
        <v>1.2245263157894733E-2</v>
      </c>
      <c r="H91">
        <v>-5.3684210526315393E-4</v>
      </c>
      <c r="I91">
        <v>8.6814736842105333E-2</v>
      </c>
      <c r="J91">
        <v>2.3522105263157893E-2</v>
      </c>
      <c r="K91">
        <v>1.1387368421052632E-2</v>
      </c>
      <c r="L91">
        <v>-4.8410526315789473E-2</v>
      </c>
      <c r="P91" t="s">
        <v>44</v>
      </c>
      <c r="Q91" t="str">
        <f t="shared" si="21"/>
        <v>Covar[T1;R3]-[T1;R1]</v>
      </c>
      <c r="R91" t="str">
        <f t="shared" si="21"/>
        <v>Covar[T1;R3]-[T1;R2]</v>
      </c>
      <c r="S91" t="str">
        <f t="shared" si="21"/>
        <v>Var[T1;R3]</v>
      </c>
    </row>
    <row r="92" spans="1:22" x14ac:dyDescent="0.25">
      <c r="C92" t="s">
        <v>110</v>
      </c>
      <c r="D92">
        <v>8.4572631578947385E-2</v>
      </c>
      <c r="F92" t="s">
        <v>45</v>
      </c>
      <c r="G92" s="3">
        <v>2.3757894736842144E-3</v>
      </c>
      <c r="H92">
        <v>-9.9263157894736789E-3</v>
      </c>
      <c r="I92">
        <v>2.3522105263157893E-2</v>
      </c>
      <c r="J92">
        <v>8.4572631578947385E-2</v>
      </c>
      <c r="K92">
        <v>1.2559999999999998E-2</v>
      </c>
      <c r="L92">
        <v>1.5378947368421053E-2</v>
      </c>
      <c r="P92" t="s">
        <v>45</v>
      </c>
      <c r="Q92" t="str">
        <f t="shared" si="21"/>
        <v>Covar[T2;R1]-[T1;R1]</v>
      </c>
      <c r="R92" t="str">
        <f t="shared" si="21"/>
        <v>Covar[T2;R1]-[T1;R2]</v>
      </c>
      <c r="S92" t="str">
        <f t="shared" si="21"/>
        <v>Covar[T2;R1]-[T1;R3]</v>
      </c>
      <c r="T92" t="str">
        <f t="shared" si="21"/>
        <v>Var[T2;R1]</v>
      </c>
    </row>
    <row r="93" spans="1:22" x14ac:dyDescent="0.25">
      <c r="C93" t="s">
        <v>111</v>
      </c>
      <c r="D93">
        <v>6.0426052631578929E-2</v>
      </c>
      <c r="F93" t="s">
        <v>46</v>
      </c>
      <c r="G93" s="3">
        <v>1.8608947368421055E-2</v>
      </c>
      <c r="H93">
        <v>2.9085526315789482E-2</v>
      </c>
      <c r="I93">
        <v>1.1387368421052632E-2</v>
      </c>
      <c r="J93">
        <v>1.2559999999999998E-2</v>
      </c>
      <c r="K93">
        <v>6.0426052631578929E-2</v>
      </c>
      <c r="L93">
        <v>-1.4555263157894734E-2</v>
      </c>
      <c r="P93" t="s">
        <v>46</v>
      </c>
      <c r="Q93" t="str">
        <f t="shared" si="21"/>
        <v>Covar[T2;R2]-[T1;R1]</v>
      </c>
      <c r="R93" t="str">
        <f t="shared" si="21"/>
        <v>Covar[T2;R2]-[T1;R2]</v>
      </c>
      <c r="S93" t="str">
        <f t="shared" si="21"/>
        <v>Covar[T2;R2]-[T1;R3]</v>
      </c>
      <c r="T93" t="str">
        <f t="shared" si="21"/>
        <v>Covar[T2;R2]-[T2;R1]</v>
      </c>
      <c r="U93" t="str">
        <f t="shared" si="21"/>
        <v>Var[T2;R2]</v>
      </c>
    </row>
    <row r="94" spans="1:22" x14ac:dyDescent="0.25">
      <c r="C94" t="s">
        <v>112</v>
      </c>
      <c r="D94">
        <v>0.12060526315789478</v>
      </c>
      <c r="F94" t="s">
        <v>47</v>
      </c>
      <c r="G94" s="3">
        <v>-2.3105263157894743E-2</v>
      </c>
      <c r="H94">
        <v>6.6078947368420973E-3</v>
      </c>
      <c r="I94">
        <v>-4.8410526315789473E-2</v>
      </c>
      <c r="J94">
        <v>1.5378947368421053E-2</v>
      </c>
      <c r="K94">
        <v>-1.4555263157894734E-2</v>
      </c>
      <c r="L94">
        <v>0.12060526315789478</v>
      </c>
      <c r="P94" t="s">
        <v>47</v>
      </c>
      <c r="Q94" t="str">
        <f t="shared" si="21"/>
        <v>Covar[T2;R3]-[T1;R1]</v>
      </c>
      <c r="R94" t="str">
        <f t="shared" si="21"/>
        <v>Covar[T2;R3]-[T1;R2]</v>
      </c>
      <c r="S94" t="str">
        <f t="shared" si="21"/>
        <v>Covar[T2;R3]-[T1;R3]</v>
      </c>
      <c r="T94" t="str">
        <f t="shared" si="21"/>
        <v>Covar[T2;R3]-[T2;R1]</v>
      </c>
      <c r="U94" t="str">
        <f t="shared" si="21"/>
        <v>Covar[T2;R3]-[T2;R2]</v>
      </c>
      <c r="V94" t="str">
        <f t="shared" si="21"/>
        <v>Var[T2;R3]</v>
      </c>
    </row>
    <row r="95" spans="1:22" x14ac:dyDescent="0.25">
      <c r="C95" t="s">
        <v>114</v>
      </c>
      <c r="D95">
        <v>4.1760526315789477E-2</v>
      </c>
    </row>
    <row r="96" spans="1:22" x14ac:dyDescent="0.25">
      <c r="C96" t="s">
        <v>115</v>
      </c>
      <c r="D96">
        <v>1.2245263157894733E-2</v>
      </c>
      <c r="G96" s="3"/>
    </row>
    <row r="97" spans="3:7" x14ac:dyDescent="0.25">
      <c r="C97" t="s">
        <v>116</v>
      </c>
      <c r="D97">
        <v>2.3757894736842144E-3</v>
      </c>
      <c r="G97" s="3"/>
    </row>
    <row r="98" spans="3:7" x14ac:dyDescent="0.25">
      <c r="C98" t="s">
        <v>117</v>
      </c>
      <c r="D98">
        <v>1.8608947368421055E-2</v>
      </c>
      <c r="G98" s="3"/>
    </row>
    <row r="99" spans="3:7" x14ac:dyDescent="0.25">
      <c r="C99" t="s">
        <v>118</v>
      </c>
      <c r="D99">
        <v>-2.3105263157894743E-2</v>
      </c>
      <c r="G99" s="3"/>
    </row>
    <row r="100" spans="3:7" x14ac:dyDescent="0.25">
      <c r="C100" t="s">
        <v>119</v>
      </c>
      <c r="D100">
        <v>-5.3684210526315393E-4</v>
      </c>
      <c r="G100" s="3"/>
    </row>
    <row r="101" spans="3:7" x14ac:dyDescent="0.25">
      <c r="C101" t="s">
        <v>120</v>
      </c>
      <c r="D101">
        <v>-9.9263157894736789E-3</v>
      </c>
      <c r="G101" s="3"/>
    </row>
    <row r="102" spans="3:7" x14ac:dyDescent="0.25">
      <c r="C102" t="s">
        <v>121</v>
      </c>
      <c r="D102">
        <v>2.9085526315789482E-2</v>
      </c>
      <c r="G102" s="3"/>
    </row>
    <row r="103" spans="3:7" x14ac:dyDescent="0.25">
      <c r="C103" t="s">
        <v>122</v>
      </c>
      <c r="D103">
        <v>6.6078947368420973E-3</v>
      </c>
      <c r="G103" s="3"/>
    </row>
    <row r="104" spans="3:7" x14ac:dyDescent="0.25">
      <c r="C104" t="s">
        <v>123</v>
      </c>
      <c r="D104">
        <v>2.3522105263157893E-2</v>
      </c>
      <c r="G104" s="3"/>
    </row>
    <row r="105" spans="3:7" x14ac:dyDescent="0.25">
      <c r="C105" t="s">
        <v>124</v>
      </c>
      <c r="D105">
        <v>1.1387368421052632E-2</v>
      </c>
      <c r="G105" s="3"/>
    </row>
    <row r="106" spans="3:7" x14ac:dyDescent="0.25">
      <c r="C106" t="s">
        <v>125</v>
      </c>
      <c r="D106">
        <v>-4.8410526315789473E-2</v>
      </c>
      <c r="G106" s="3"/>
    </row>
    <row r="107" spans="3:7" x14ac:dyDescent="0.25">
      <c r="C107" t="s">
        <v>126</v>
      </c>
      <c r="D107">
        <v>1.2559999999999998E-2</v>
      </c>
      <c r="G107" s="3"/>
    </row>
    <row r="108" spans="3:7" x14ac:dyDescent="0.25">
      <c r="C108" t="s">
        <v>127</v>
      </c>
      <c r="D108">
        <v>1.5378947368421053E-2</v>
      </c>
      <c r="G108" s="3"/>
    </row>
    <row r="109" spans="3:7" x14ac:dyDescent="0.25">
      <c r="C109" t="s">
        <v>128</v>
      </c>
      <c r="D109">
        <v>-1.4555263157894734E-2</v>
      </c>
      <c r="G109" s="3"/>
    </row>
    <row r="113" spans="3:21" x14ac:dyDescent="0.25">
      <c r="C113" t="s">
        <v>0</v>
      </c>
      <c r="D113" s="49">
        <v>1</v>
      </c>
      <c r="E113" s="50" t="str">
        <f>D114</f>
        <v>rho</v>
      </c>
      <c r="F113" s="50" t="str">
        <f>D115</f>
        <v>rho</v>
      </c>
      <c r="G113" s="51" t="str">
        <f>D116</f>
        <v>rho</v>
      </c>
      <c r="I113" t="s">
        <v>0</v>
      </c>
      <c r="J113">
        <f t="shared" ref="J113:J120" si="22">MATCH($I113,$C$113:$C$151,0)+112</f>
        <v>113</v>
      </c>
      <c r="L113" t="s">
        <v>0</v>
      </c>
      <c r="M113">
        <f>J113</f>
        <v>113</v>
      </c>
      <c r="N113">
        <f>J114</f>
        <v>118</v>
      </c>
      <c r="Q113" t="str">
        <f>Z3</f>
        <v>CS</v>
      </c>
      <c r="R113">
        <f>INDEX(M113:N117,MATCH(Q113,L113:L117,0),R114)</f>
        <v>113</v>
      </c>
    </row>
    <row r="114" spans="3:21" x14ac:dyDescent="0.25">
      <c r="C114" t="str">
        <f>""</f>
        <v/>
      </c>
      <c r="D114" s="52" t="s">
        <v>136</v>
      </c>
      <c r="E114" s="53">
        <v>1</v>
      </c>
      <c r="F114" s="53" t="str">
        <f>E115</f>
        <v>rho</v>
      </c>
      <c r="G114" s="54" t="str">
        <f>E116</f>
        <v>rho</v>
      </c>
      <c r="I114" t="s">
        <v>4</v>
      </c>
      <c r="J114">
        <f t="shared" si="22"/>
        <v>118</v>
      </c>
      <c r="L114" t="s">
        <v>6</v>
      </c>
      <c r="M114">
        <f>J115</f>
        <v>123</v>
      </c>
      <c r="N114">
        <f>J116</f>
        <v>128</v>
      </c>
      <c r="Q114" t="str">
        <f>Z4</f>
        <v>No</v>
      </c>
      <c r="R114">
        <f>AA4</f>
        <v>1</v>
      </c>
    </row>
    <row r="115" spans="3:21" x14ac:dyDescent="0.25">
      <c r="C115" s="62" t="s">
        <v>190</v>
      </c>
      <c r="D115" s="52" t="s">
        <v>136</v>
      </c>
      <c r="E115" s="52" t="s">
        <v>136</v>
      </c>
      <c r="F115" s="53">
        <v>1</v>
      </c>
      <c r="G115" s="54" t="str">
        <f>F116</f>
        <v>rho</v>
      </c>
      <c r="I115" t="s">
        <v>6</v>
      </c>
      <c r="J115">
        <f t="shared" si="22"/>
        <v>123</v>
      </c>
      <c r="L115" t="s">
        <v>10</v>
      </c>
      <c r="M115">
        <f>J117</f>
        <v>133</v>
      </c>
      <c r="N115">
        <f>J118</f>
        <v>138</v>
      </c>
    </row>
    <row r="116" spans="3:21" x14ac:dyDescent="0.25">
      <c r="C116" t="str">
        <f>""</f>
        <v/>
      </c>
      <c r="D116" s="52" t="s">
        <v>136</v>
      </c>
      <c r="E116" s="52" t="s">
        <v>136</v>
      </c>
      <c r="F116" s="52" t="s">
        <v>136</v>
      </c>
      <c r="G116" s="57">
        <v>1</v>
      </c>
      <c r="I116" t="s">
        <v>8</v>
      </c>
      <c r="J116">
        <f t="shared" si="22"/>
        <v>128</v>
      </c>
      <c r="L116" t="s">
        <v>18</v>
      </c>
      <c r="M116">
        <f>J119</f>
        <v>143</v>
      </c>
      <c r="N116">
        <f>J119</f>
        <v>143</v>
      </c>
    </row>
    <row r="117" spans="3:21" x14ac:dyDescent="0.25">
      <c r="D117" s="32"/>
      <c r="E117" s="32"/>
      <c r="F117" s="32"/>
      <c r="I117" t="s">
        <v>10</v>
      </c>
      <c r="J117">
        <f t="shared" si="22"/>
        <v>133</v>
      </c>
      <c r="L117" t="s">
        <v>20</v>
      </c>
      <c r="M117">
        <f>J120</f>
        <v>148</v>
      </c>
      <c r="N117">
        <f>J120</f>
        <v>148</v>
      </c>
    </row>
    <row r="118" spans="3:21" x14ac:dyDescent="0.25">
      <c r="C118" t="s">
        <v>4</v>
      </c>
      <c r="D118" s="49" t="s">
        <v>146</v>
      </c>
      <c r="E118" s="50" t="str">
        <f>D119</f>
        <v>s1*s2*r</v>
      </c>
      <c r="F118" s="50" t="str">
        <f>D120</f>
        <v>s1*s3*r</v>
      </c>
      <c r="G118" s="51" t="str">
        <f>D121</f>
        <v>s1*s4*r</v>
      </c>
      <c r="I118" t="s">
        <v>17</v>
      </c>
      <c r="J118">
        <f t="shared" si="22"/>
        <v>138</v>
      </c>
      <c r="Q118">
        <v>0</v>
      </c>
      <c r="R118">
        <v>1</v>
      </c>
      <c r="S118">
        <v>2</v>
      </c>
      <c r="T118">
        <v>3</v>
      </c>
      <c r="U118">
        <v>4</v>
      </c>
    </row>
    <row r="119" spans="3:21" x14ac:dyDescent="0.25">
      <c r="C119" t="str">
        <f>""</f>
        <v/>
      </c>
      <c r="D119" s="52" t="s">
        <v>149</v>
      </c>
      <c r="E119" s="53" t="s">
        <v>147</v>
      </c>
      <c r="F119" s="53" t="str">
        <f>E120</f>
        <v>s2*s3*r</v>
      </c>
      <c r="G119" s="54" t="str">
        <f>E121</f>
        <v>s2*s4*r</v>
      </c>
      <c r="I119" t="s">
        <v>18</v>
      </c>
      <c r="J119">
        <f t="shared" si="22"/>
        <v>143</v>
      </c>
      <c r="P119">
        <v>0</v>
      </c>
      <c r="Q119" t="str">
        <f ca="1">IFERROR(INDIRECT("R"&amp;$R$113+$P119&amp;"C" &amp; 3 +Q$118,FALSE),"Manual")</f>
        <v>CS</v>
      </c>
      <c r="R119">
        <f t="shared" ref="R119:U122" ca="1" si="23">IFERROR(INDIRECT("R"&amp;$R$113+$P119&amp;"C" &amp; 3 +R$118,FALSE),"")</f>
        <v>1</v>
      </c>
      <c r="S119" t="str">
        <f t="shared" ca="1" si="23"/>
        <v>rho</v>
      </c>
      <c r="T119" t="str">
        <f t="shared" ca="1" si="23"/>
        <v>rho</v>
      </c>
      <c r="U119" t="str">
        <f t="shared" ca="1" si="23"/>
        <v>rho</v>
      </c>
    </row>
    <row r="120" spans="3:21" x14ac:dyDescent="0.25">
      <c r="C120" s="31" t="str">
        <f>""</f>
        <v/>
      </c>
      <c r="D120" s="52" t="s">
        <v>150</v>
      </c>
      <c r="E120" s="53" t="s">
        <v>152</v>
      </c>
      <c r="F120" s="53" t="s">
        <v>148</v>
      </c>
      <c r="G120" s="54" t="str">
        <f>F121</f>
        <v>s3*s4*r</v>
      </c>
      <c r="I120" t="s">
        <v>20</v>
      </c>
      <c r="J120">
        <f t="shared" si="22"/>
        <v>148</v>
      </c>
      <c r="P120">
        <v>1</v>
      </c>
      <c r="Q120" t="str">
        <f t="shared" ref="Q120:Q122" ca="1" si="24">IFERROR(INDIRECT("R"&amp;$R$113+$P120&amp;"C" &amp; 3 +Q$118,FALSE),"")</f>
        <v/>
      </c>
      <c r="R120" t="str">
        <f t="shared" ca="1" si="23"/>
        <v>rho</v>
      </c>
      <c r="S120">
        <f t="shared" ca="1" si="23"/>
        <v>1</v>
      </c>
      <c r="T120" t="str">
        <f t="shared" ca="1" si="23"/>
        <v>rho</v>
      </c>
      <c r="U120" t="str">
        <f t="shared" ca="1" si="23"/>
        <v>rho</v>
      </c>
    </row>
    <row r="121" spans="3:21" x14ac:dyDescent="0.25">
      <c r="C121" t="str">
        <f>""</f>
        <v/>
      </c>
      <c r="D121" s="55" t="s">
        <v>151</v>
      </c>
      <c r="E121" s="56" t="s">
        <v>153</v>
      </c>
      <c r="F121" s="56" t="s">
        <v>154</v>
      </c>
      <c r="G121" s="57" t="s">
        <v>155</v>
      </c>
      <c r="P121">
        <v>2</v>
      </c>
      <c r="Q121" t="str">
        <f t="shared" ca="1" si="24"/>
        <v>Sigma^2</v>
      </c>
      <c r="R121" t="str">
        <f t="shared" ca="1" si="23"/>
        <v>rho</v>
      </c>
      <c r="S121" t="str">
        <f t="shared" ca="1" si="23"/>
        <v>rho</v>
      </c>
      <c r="T121">
        <f t="shared" ca="1" si="23"/>
        <v>1</v>
      </c>
      <c r="U121" t="str">
        <f t="shared" ca="1" si="23"/>
        <v>rho</v>
      </c>
    </row>
    <row r="122" spans="3:21" x14ac:dyDescent="0.25">
      <c r="P122">
        <v>3</v>
      </c>
      <c r="Q122" t="str">
        <f t="shared" ca="1" si="24"/>
        <v/>
      </c>
      <c r="R122" t="str">
        <f t="shared" ca="1" si="23"/>
        <v>rho</v>
      </c>
      <c r="S122" t="str">
        <f t="shared" ca="1" si="23"/>
        <v>rho</v>
      </c>
      <c r="T122" t="str">
        <f t="shared" ca="1" si="23"/>
        <v>rho</v>
      </c>
      <c r="U122">
        <f t="shared" ca="1" si="23"/>
        <v>1</v>
      </c>
    </row>
    <row r="123" spans="3:21" x14ac:dyDescent="0.25">
      <c r="C123" t="s">
        <v>6</v>
      </c>
      <c r="D123" s="49">
        <v>1</v>
      </c>
      <c r="E123" s="50" t="str">
        <f>D124</f>
        <v>rho</v>
      </c>
      <c r="F123" s="50" t="str">
        <f>D125</f>
        <v>rho^2</v>
      </c>
      <c r="G123" s="51" t="str">
        <f>D126</f>
        <v>rho^3</v>
      </c>
    </row>
    <row r="124" spans="3:21" x14ac:dyDescent="0.25">
      <c r="C124" t="str">
        <f>""</f>
        <v/>
      </c>
      <c r="D124" s="52" t="s">
        <v>136</v>
      </c>
      <c r="E124" s="53">
        <v>1</v>
      </c>
      <c r="F124" s="53" t="str">
        <f>E125</f>
        <v>rho</v>
      </c>
      <c r="G124" s="54" t="str">
        <f>E126</f>
        <v>rho^2</v>
      </c>
    </row>
    <row r="125" spans="3:21" x14ac:dyDescent="0.25">
      <c r="C125" s="62" t="s">
        <v>190</v>
      </c>
      <c r="D125" s="52" t="s">
        <v>162</v>
      </c>
      <c r="E125" s="52" t="s">
        <v>136</v>
      </c>
      <c r="F125" s="53">
        <v>1</v>
      </c>
      <c r="G125" s="54" t="str">
        <f>F126</f>
        <v>rho</v>
      </c>
    </row>
    <row r="126" spans="3:21" x14ac:dyDescent="0.25">
      <c r="C126" t="str">
        <f>""</f>
        <v/>
      </c>
      <c r="D126" s="55" t="s">
        <v>163</v>
      </c>
      <c r="E126" s="52" t="s">
        <v>162</v>
      </c>
      <c r="F126" s="52" t="s">
        <v>136</v>
      </c>
      <c r="G126" s="57">
        <v>1</v>
      </c>
    </row>
    <row r="128" spans="3:21" x14ac:dyDescent="0.25">
      <c r="C128" t="s">
        <v>8</v>
      </c>
      <c r="D128" s="49" t="s">
        <v>146</v>
      </c>
      <c r="E128" s="50" t="str">
        <f>D129</f>
        <v>s1*s2*r</v>
      </c>
      <c r="F128" s="50" t="str">
        <f>D130</f>
        <v>s1*s3*r2</v>
      </c>
      <c r="G128" s="51" t="str">
        <f>D131</f>
        <v>s1*s4*r3</v>
      </c>
    </row>
    <row r="129" spans="3:7" x14ac:dyDescent="0.25">
      <c r="C129" t="str">
        <f>""</f>
        <v/>
      </c>
      <c r="D129" s="52" t="s">
        <v>149</v>
      </c>
      <c r="E129" s="53" t="s">
        <v>147</v>
      </c>
      <c r="F129" s="53" t="str">
        <f>E130</f>
        <v>s2*s3*r</v>
      </c>
      <c r="G129" s="54" t="str">
        <f>E131</f>
        <v>s2*s4*r2</v>
      </c>
    </row>
    <row r="130" spans="3:7" x14ac:dyDescent="0.25">
      <c r="C130" s="31" t="str">
        <f>""</f>
        <v/>
      </c>
      <c r="D130" s="52" t="s">
        <v>157</v>
      </c>
      <c r="E130" s="53" t="s">
        <v>152</v>
      </c>
      <c r="F130" s="53" t="s">
        <v>148</v>
      </c>
      <c r="G130" s="54" t="str">
        <f>F131</f>
        <v>s3*s4*r</v>
      </c>
    </row>
    <row r="131" spans="3:7" x14ac:dyDescent="0.25">
      <c r="C131" t="str">
        <f>""</f>
        <v/>
      </c>
      <c r="D131" s="55" t="s">
        <v>158</v>
      </c>
      <c r="E131" s="56" t="s">
        <v>159</v>
      </c>
      <c r="F131" s="56" t="s">
        <v>154</v>
      </c>
      <c r="G131" s="57" t="s">
        <v>155</v>
      </c>
    </row>
    <row r="133" spans="3:7" x14ac:dyDescent="0.25">
      <c r="C133" t="s">
        <v>10</v>
      </c>
      <c r="D133" s="49">
        <v>1</v>
      </c>
      <c r="E133" s="50" t="str">
        <f>D134</f>
        <v>rho1</v>
      </c>
      <c r="F133" s="50" t="str">
        <f>D135</f>
        <v>rho2</v>
      </c>
      <c r="G133" s="51" t="str">
        <f>D136</f>
        <v>rho3</v>
      </c>
    </row>
    <row r="134" spans="3:7" x14ac:dyDescent="0.25">
      <c r="C134" t="str">
        <f>""</f>
        <v/>
      </c>
      <c r="D134" s="52" t="s">
        <v>164</v>
      </c>
      <c r="E134" s="53">
        <v>1</v>
      </c>
      <c r="F134" s="53" t="str">
        <f>E135</f>
        <v>rho1</v>
      </c>
      <c r="G134" s="54" t="str">
        <f>E136</f>
        <v>rho2</v>
      </c>
    </row>
    <row r="135" spans="3:7" x14ac:dyDescent="0.25">
      <c r="C135" s="62" t="s">
        <v>190</v>
      </c>
      <c r="D135" s="52" t="s">
        <v>165</v>
      </c>
      <c r="E135" s="52" t="s">
        <v>164</v>
      </c>
      <c r="F135" s="53">
        <v>1</v>
      </c>
      <c r="G135" s="54" t="str">
        <f>F136</f>
        <v>rho1</v>
      </c>
    </row>
    <row r="136" spans="3:7" x14ac:dyDescent="0.25">
      <c r="C136" t="str">
        <f>""</f>
        <v/>
      </c>
      <c r="D136" s="55" t="s">
        <v>166</v>
      </c>
      <c r="E136" s="52" t="s">
        <v>165</v>
      </c>
      <c r="F136" s="52" t="s">
        <v>164</v>
      </c>
      <c r="G136" s="57">
        <v>1</v>
      </c>
    </row>
    <row r="138" spans="3:7" x14ac:dyDescent="0.25">
      <c r="C138" t="s">
        <v>17</v>
      </c>
      <c r="D138" s="49" t="s">
        <v>146</v>
      </c>
      <c r="E138" s="50" t="str">
        <f>D139</f>
        <v>s1*s2*r1</v>
      </c>
      <c r="F138" s="50" t="str">
        <f>D140</f>
        <v>s1*s3*r2</v>
      </c>
      <c r="G138" s="51" t="str">
        <f>D141</f>
        <v>s1*s4*r3</v>
      </c>
    </row>
    <row r="139" spans="3:7" x14ac:dyDescent="0.25">
      <c r="C139" t="str">
        <f>""</f>
        <v/>
      </c>
      <c r="D139" s="52" t="s">
        <v>156</v>
      </c>
      <c r="E139" s="53" t="s">
        <v>147</v>
      </c>
      <c r="F139" s="53" t="str">
        <f>E140</f>
        <v>s2*s3*r1</v>
      </c>
      <c r="G139" s="54" t="str">
        <f>E141</f>
        <v>s2*s4*r2</v>
      </c>
    </row>
    <row r="140" spans="3:7" x14ac:dyDescent="0.25">
      <c r="C140" s="31" t="str">
        <f>""</f>
        <v/>
      </c>
      <c r="D140" s="52" t="s">
        <v>157</v>
      </c>
      <c r="E140" s="53" t="s">
        <v>160</v>
      </c>
      <c r="F140" s="53" t="s">
        <v>148</v>
      </c>
      <c r="G140" s="54" t="str">
        <f>F141</f>
        <v>s3*s4*r1</v>
      </c>
    </row>
    <row r="141" spans="3:7" x14ac:dyDescent="0.25">
      <c r="C141" t="str">
        <f>""</f>
        <v/>
      </c>
      <c r="D141" s="55" t="s">
        <v>158</v>
      </c>
      <c r="E141" s="56" t="s">
        <v>159</v>
      </c>
      <c r="F141" s="56" t="s">
        <v>161</v>
      </c>
      <c r="G141" s="57" t="s">
        <v>155</v>
      </c>
    </row>
    <row r="143" spans="3:7" x14ac:dyDescent="0.25">
      <c r="C143" t="s">
        <v>18</v>
      </c>
      <c r="D143" s="49">
        <v>1</v>
      </c>
      <c r="E143" s="50" t="str">
        <f>D144</f>
        <v>Rho</v>
      </c>
      <c r="F143" s="50" t="str">
        <f>D145</f>
        <v>Rho*Phi</v>
      </c>
      <c r="G143" s="51" t="str">
        <f>D146</f>
        <v>Rho*Phi^2</v>
      </c>
    </row>
    <row r="144" spans="3:7" x14ac:dyDescent="0.25">
      <c r="C144" t="str">
        <f>""</f>
        <v/>
      </c>
      <c r="D144" s="52" t="s">
        <v>7</v>
      </c>
      <c r="E144" s="53">
        <v>1</v>
      </c>
      <c r="F144" s="53" t="str">
        <f>E145</f>
        <v>Rho</v>
      </c>
      <c r="G144" s="54" t="str">
        <f>E146</f>
        <v>Rho*Phi</v>
      </c>
    </row>
    <row r="145" spans="3:7" x14ac:dyDescent="0.25">
      <c r="C145" s="62" t="s">
        <v>190</v>
      </c>
      <c r="D145" s="52" t="s">
        <v>167</v>
      </c>
      <c r="E145" s="53" t="str">
        <f>D144</f>
        <v>Rho</v>
      </c>
      <c r="F145" s="53">
        <v>1</v>
      </c>
      <c r="G145" s="54" t="str">
        <f>F146</f>
        <v>Rho</v>
      </c>
    </row>
    <row r="146" spans="3:7" x14ac:dyDescent="0.25">
      <c r="C146" t="str">
        <f>""</f>
        <v/>
      </c>
      <c r="D146" s="55" t="s">
        <v>168</v>
      </c>
      <c r="E146" s="56" t="str">
        <f>D145</f>
        <v>Rho*Phi</v>
      </c>
      <c r="F146" s="56" t="str">
        <f>E145</f>
        <v>Rho</v>
      </c>
      <c r="G146" s="57">
        <v>1</v>
      </c>
    </row>
    <row r="148" spans="3:7" ht="18.75" x14ac:dyDescent="0.35">
      <c r="C148" t="s">
        <v>20</v>
      </c>
      <c r="D148" s="49" t="s">
        <v>169</v>
      </c>
      <c r="E148" s="58" t="s">
        <v>176</v>
      </c>
      <c r="F148" s="58" t="s">
        <v>177</v>
      </c>
      <c r="G148" s="59" t="s">
        <v>179</v>
      </c>
    </row>
    <row r="149" spans="3:7" x14ac:dyDescent="0.25">
      <c r="C149" t="str">
        <f>""</f>
        <v/>
      </c>
      <c r="D149" s="52" t="s">
        <v>170</v>
      </c>
      <c r="E149" s="53" t="s">
        <v>182</v>
      </c>
      <c r="F149" s="60" t="s">
        <v>178</v>
      </c>
      <c r="G149" s="61" t="s">
        <v>180</v>
      </c>
    </row>
    <row r="150" spans="3:7" x14ac:dyDescent="0.25">
      <c r="C150" s="31" t="str">
        <f>""</f>
        <v/>
      </c>
      <c r="D150" s="52" t="s">
        <v>171</v>
      </c>
      <c r="E150" s="53" t="s">
        <v>173</v>
      </c>
      <c r="F150" s="53" t="s">
        <v>183</v>
      </c>
      <c r="G150" s="61" t="s">
        <v>181</v>
      </c>
    </row>
    <row r="151" spans="3:7" x14ac:dyDescent="0.25">
      <c r="C151" t="str">
        <f>""</f>
        <v/>
      </c>
      <c r="D151" s="55" t="s">
        <v>172</v>
      </c>
      <c r="E151" s="56" t="s">
        <v>174</v>
      </c>
      <c r="F151" s="56" t="s">
        <v>175</v>
      </c>
      <c r="G151" s="57" t="s">
        <v>183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121"/>
  <sheetViews>
    <sheetView workbookViewId="0">
      <selection activeCell="F7" sqref="F7"/>
    </sheetView>
  </sheetViews>
  <sheetFormatPr defaultRowHeight="15" x14ac:dyDescent="0.25"/>
  <cols>
    <col min="6" max="6" width="11" bestFit="1" customWidth="1"/>
  </cols>
  <sheetData>
    <row r="1" spans="1:18" x14ac:dyDescent="0.25">
      <c r="A1" t="s">
        <v>78</v>
      </c>
      <c r="B1" t="s">
        <v>80</v>
      </c>
      <c r="C1" t="s">
        <v>79</v>
      </c>
      <c r="D1" t="s">
        <v>81</v>
      </c>
      <c r="E1" t="s">
        <v>137</v>
      </c>
    </row>
    <row r="2" spans="1:18" x14ac:dyDescent="0.25">
      <c r="A2">
        <v>1</v>
      </c>
      <c r="B2">
        <v>1</v>
      </c>
      <c r="C2">
        <v>1</v>
      </c>
      <c r="D2">
        <v>0.7</v>
      </c>
      <c r="E2">
        <f>(((((C2+((B2-1)*3))-$L$61) * ($L$62 - $L$63)) / ($L$64 - $L$65)) + $L$63)</f>
        <v>1</v>
      </c>
      <c r="I2" t="s">
        <v>78</v>
      </c>
      <c r="J2" t="s">
        <v>80</v>
      </c>
      <c r="K2" t="s">
        <v>82</v>
      </c>
      <c r="L2" t="s">
        <v>83</v>
      </c>
      <c r="M2" t="s">
        <v>84</v>
      </c>
      <c r="O2" t="s">
        <v>80</v>
      </c>
      <c r="P2" t="s">
        <v>82</v>
      </c>
      <c r="Q2" t="s">
        <v>83</v>
      </c>
      <c r="R2" t="s">
        <v>84</v>
      </c>
    </row>
    <row r="3" spans="1:18" x14ac:dyDescent="0.25">
      <c r="A3">
        <v>2</v>
      </c>
      <c r="B3">
        <v>1</v>
      </c>
      <c r="C3">
        <v>1</v>
      </c>
      <c r="D3">
        <v>0.33</v>
      </c>
      <c r="E3">
        <f t="shared" ref="E3:E66" si="0">(((((C3+((B3-1)*3))-$L$61) * ($L$62 - $L$63)) / ($L$64 - $L$65)) + $L$63)</f>
        <v>1</v>
      </c>
      <c r="I3">
        <v>1</v>
      </c>
      <c r="J3">
        <v>1</v>
      </c>
      <c r="K3">
        <f>D2</f>
        <v>0.7</v>
      </c>
      <c r="L3">
        <f>D22</f>
        <v>0.11</v>
      </c>
      <c r="M3">
        <f>D42</f>
        <v>0.13</v>
      </c>
      <c r="O3">
        <v>2</v>
      </c>
      <c r="P3">
        <f>D62</f>
        <v>0.56000000000000005</v>
      </c>
      <c r="Q3">
        <f>D82</f>
        <v>0.22</v>
      </c>
      <c r="R3">
        <f>D102</f>
        <v>0.87</v>
      </c>
    </row>
    <row r="4" spans="1:18" x14ac:dyDescent="0.25">
      <c r="A4">
        <v>3</v>
      </c>
      <c r="B4">
        <v>1</v>
      </c>
      <c r="C4">
        <v>1</v>
      </c>
      <c r="D4">
        <v>0.18</v>
      </c>
      <c r="E4">
        <f t="shared" si="0"/>
        <v>1</v>
      </c>
      <c r="I4">
        <v>2</v>
      </c>
      <c r="J4">
        <v>1</v>
      </c>
      <c r="K4">
        <f t="shared" ref="K4:K22" si="1">D3</f>
        <v>0.33</v>
      </c>
      <c r="L4">
        <f t="shared" ref="L4:L22" si="2">D23</f>
        <v>0.55000000000000004</v>
      </c>
      <c r="M4">
        <f t="shared" ref="M4:M22" si="3">D43</f>
        <v>0.48</v>
      </c>
      <c r="O4">
        <v>2</v>
      </c>
      <c r="P4">
        <f t="shared" ref="P4:P21" si="4">D63</f>
        <v>0.12</v>
      </c>
      <c r="Q4">
        <f t="shared" ref="Q4:Q21" si="5">D83</f>
        <v>0.94</v>
      </c>
      <c r="R4">
        <f t="shared" ref="R4:R21" si="6">D103</f>
        <v>0.24</v>
      </c>
    </row>
    <row r="5" spans="1:18" x14ac:dyDescent="0.25">
      <c r="A5">
        <v>4</v>
      </c>
      <c r="B5">
        <v>1</v>
      </c>
      <c r="C5">
        <v>1</v>
      </c>
      <c r="D5">
        <v>0.05</v>
      </c>
      <c r="E5">
        <f t="shared" si="0"/>
        <v>1</v>
      </c>
      <c r="I5">
        <v>3</v>
      </c>
      <c r="J5">
        <v>1</v>
      </c>
      <c r="K5">
        <f t="shared" si="1"/>
        <v>0.18</v>
      </c>
      <c r="L5">
        <f t="shared" si="2"/>
        <v>0.08</v>
      </c>
      <c r="M5">
        <f t="shared" si="3"/>
        <v>0.17</v>
      </c>
      <c r="O5">
        <v>2</v>
      </c>
      <c r="P5">
        <f t="shared" si="4"/>
        <v>0.7</v>
      </c>
      <c r="Q5">
        <f t="shared" si="5"/>
        <v>0.69</v>
      </c>
      <c r="R5">
        <f t="shared" si="6"/>
        <v>0.02</v>
      </c>
    </row>
    <row r="6" spans="1:18" x14ac:dyDescent="0.25">
      <c r="A6">
        <v>5</v>
      </c>
      <c r="B6">
        <v>1</v>
      </c>
      <c r="C6">
        <v>1</v>
      </c>
      <c r="D6">
        <v>0.13</v>
      </c>
      <c r="E6">
        <f t="shared" si="0"/>
        <v>1</v>
      </c>
      <c r="I6">
        <v>4</v>
      </c>
      <c r="J6">
        <v>1</v>
      </c>
      <c r="K6">
        <f t="shared" si="1"/>
        <v>0.05</v>
      </c>
      <c r="L6">
        <f t="shared" si="2"/>
        <v>0</v>
      </c>
      <c r="M6">
        <f t="shared" si="3"/>
        <v>0.01</v>
      </c>
      <c r="O6">
        <v>2</v>
      </c>
      <c r="P6">
        <f t="shared" si="4"/>
        <v>0.45</v>
      </c>
      <c r="Q6">
        <f t="shared" si="5"/>
        <v>0.54</v>
      </c>
      <c r="R6">
        <f t="shared" si="6"/>
        <v>0.91</v>
      </c>
    </row>
    <row r="7" spans="1:18" x14ac:dyDescent="0.25">
      <c r="A7">
        <v>6</v>
      </c>
      <c r="B7">
        <v>1</v>
      </c>
      <c r="C7">
        <v>1</v>
      </c>
      <c r="D7">
        <v>0.09</v>
      </c>
      <c r="E7">
        <f t="shared" si="0"/>
        <v>1</v>
      </c>
      <c r="I7">
        <v>5</v>
      </c>
      <c r="J7">
        <v>1</v>
      </c>
      <c r="K7">
        <f t="shared" si="1"/>
        <v>0.13</v>
      </c>
      <c r="L7">
        <f t="shared" si="2"/>
        <v>0.2</v>
      </c>
      <c r="M7">
        <f t="shared" si="3"/>
        <v>0.1</v>
      </c>
      <c r="O7">
        <v>2</v>
      </c>
      <c r="P7">
        <f t="shared" si="4"/>
        <v>0.46</v>
      </c>
      <c r="Q7">
        <f t="shared" si="5"/>
        <v>0.41</v>
      </c>
      <c r="R7">
        <f t="shared" si="6"/>
        <v>0.92</v>
      </c>
    </row>
    <row r="8" spans="1:18" x14ac:dyDescent="0.25">
      <c r="A8">
        <v>7</v>
      </c>
      <c r="B8">
        <v>1</v>
      </c>
      <c r="C8">
        <v>1</v>
      </c>
      <c r="D8">
        <v>0.94</v>
      </c>
      <c r="E8">
        <f t="shared" si="0"/>
        <v>1</v>
      </c>
      <c r="I8">
        <v>6</v>
      </c>
      <c r="J8">
        <v>1</v>
      </c>
      <c r="K8">
        <f t="shared" si="1"/>
        <v>0.09</v>
      </c>
      <c r="L8">
        <f t="shared" si="2"/>
        <v>0.57999999999999996</v>
      </c>
      <c r="M8">
        <f t="shared" si="3"/>
        <v>0.56000000000000005</v>
      </c>
      <c r="O8">
        <v>2</v>
      </c>
      <c r="P8">
        <f t="shared" si="4"/>
        <v>0.27</v>
      </c>
      <c r="Q8">
        <f t="shared" si="5"/>
        <v>0.19</v>
      </c>
      <c r="R8">
        <f t="shared" si="6"/>
        <v>0.68</v>
      </c>
    </row>
    <row r="9" spans="1:18" x14ac:dyDescent="0.25">
      <c r="A9">
        <v>8</v>
      </c>
      <c r="B9">
        <v>1</v>
      </c>
      <c r="C9">
        <v>1</v>
      </c>
      <c r="D9">
        <v>0.31</v>
      </c>
      <c r="E9">
        <f t="shared" si="0"/>
        <v>1</v>
      </c>
      <c r="I9">
        <v>7</v>
      </c>
      <c r="J9">
        <v>1</v>
      </c>
      <c r="K9">
        <f t="shared" si="1"/>
        <v>0.94</v>
      </c>
      <c r="L9">
        <f t="shared" si="2"/>
        <v>0.89</v>
      </c>
      <c r="M9">
        <f t="shared" si="3"/>
        <v>0.63</v>
      </c>
      <c r="O9">
        <v>2</v>
      </c>
      <c r="P9">
        <f t="shared" si="4"/>
        <v>0.88</v>
      </c>
      <c r="Q9">
        <f t="shared" si="5"/>
        <v>0.64</v>
      </c>
      <c r="R9">
        <f t="shared" si="6"/>
        <v>0.2</v>
      </c>
    </row>
    <row r="10" spans="1:18" x14ac:dyDescent="0.25">
      <c r="A10">
        <v>9</v>
      </c>
      <c r="B10">
        <v>1</v>
      </c>
      <c r="C10">
        <v>1</v>
      </c>
      <c r="D10">
        <v>0.34</v>
      </c>
      <c r="E10">
        <f t="shared" si="0"/>
        <v>1</v>
      </c>
      <c r="I10">
        <v>8</v>
      </c>
      <c r="J10">
        <v>1</v>
      </c>
      <c r="K10">
        <f t="shared" si="1"/>
        <v>0.31</v>
      </c>
      <c r="L10">
        <f t="shared" si="2"/>
        <v>0.15</v>
      </c>
      <c r="M10">
        <f t="shared" si="3"/>
        <v>0.88</v>
      </c>
      <c r="O10">
        <v>2</v>
      </c>
      <c r="P10">
        <f t="shared" si="4"/>
        <v>0.95</v>
      </c>
      <c r="Q10">
        <f t="shared" si="5"/>
        <v>0.69</v>
      </c>
      <c r="R10">
        <f t="shared" si="6"/>
        <v>0.56999999999999995</v>
      </c>
    </row>
    <row r="11" spans="1:18" x14ac:dyDescent="0.25">
      <c r="A11">
        <v>10</v>
      </c>
      <c r="B11">
        <v>1</v>
      </c>
      <c r="C11">
        <v>1</v>
      </c>
      <c r="D11">
        <v>0.68</v>
      </c>
      <c r="E11">
        <f t="shared" si="0"/>
        <v>1</v>
      </c>
      <c r="I11">
        <v>9</v>
      </c>
      <c r="J11">
        <v>1</v>
      </c>
      <c r="K11">
        <f t="shared" si="1"/>
        <v>0.34</v>
      </c>
      <c r="L11">
        <f t="shared" si="2"/>
        <v>0.11</v>
      </c>
      <c r="M11">
        <f t="shared" si="3"/>
        <v>0.69</v>
      </c>
      <c r="O11">
        <v>2</v>
      </c>
      <c r="P11">
        <f t="shared" si="4"/>
        <v>0.35</v>
      </c>
      <c r="Q11">
        <f t="shared" si="5"/>
        <v>0.09</v>
      </c>
      <c r="R11">
        <f t="shared" si="6"/>
        <v>0.13</v>
      </c>
    </row>
    <row r="12" spans="1:18" x14ac:dyDescent="0.25">
      <c r="A12">
        <v>11</v>
      </c>
      <c r="B12">
        <v>1</v>
      </c>
      <c r="C12">
        <v>1</v>
      </c>
      <c r="D12">
        <v>0.1</v>
      </c>
      <c r="E12">
        <f t="shared" si="0"/>
        <v>1</v>
      </c>
      <c r="I12">
        <v>10</v>
      </c>
      <c r="J12">
        <v>1</v>
      </c>
      <c r="K12">
        <f t="shared" si="1"/>
        <v>0.68</v>
      </c>
      <c r="L12">
        <f t="shared" si="2"/>
        <v>0.68</v>
      </c>
      <c r="M12">
        <f t="shared" si="3"/>
        <v>0.52</v>
      </c>
      <c r="O12">
        <v>2</v>
      </c>
      <c r="P12">
        <f t="shared" si="4"/>
        <v>0.66</v>
      </c>
      <c r="Q12">
        <f t="shared" si="5"/>
        <v>0.88</v>
      </c>
      <c r="R12">
        <f t="shared" si="6"/>
        <v>0.1</v>
      </c>
    </row>
    <row r="13" spans="1:18" x14ac:dyDescent="0.25">
      <c r="A13">
        <v>12</v>
      </c>
      <c r="B13">
        <v>1</v>
      </c>
      <c r="C13">
        <v>1</v>
      </c>
      <c r="D13">
        <v>0.6</v>
      </c>
      <c r="E13">
        <f t="shared" si="0"/>
        <v>1</v>
      </c>
      <c r="I13">
        <v>11</v>
      </c>
      <c r="J13">
        <v>1</v>
      </c>
      <c r="K13">
        <f t="shared" si="1"/>
        <v>0.1</v>
      </c>
      <c r="L13">
        <f t="shared" si="2"/>
        <v>0.71</v>
      </c>
      <c r="M13">
        <f t="shared" si="3"/>
        <v>0.08</v>
      </c>
      <c r="O13">
        <v>2</v>
      </c>
      <c r="P13">
        <f t="shared" si="4"/>
        <v>0.65</v>
      </c>
      <c r="Q13">
        <f t="shared" si="5"/>
        <v>0.41</v>
      </c>
      <c r="R13">
        <f t="shared" si="6"/>
        <v>1</v>
      </c>
    </row>
    <row r="14" spans="1:18" x14ac:dyDescent="0.25">
      <c r="A14">
        <v>13</v>
      </c>
      <c r="B14">
        <v>1</v>
      </c>
      <c r="C14">
        <v>1</v>
      </c>
      <c r="D14">
        <v>0.56999999999999995</v>
      </c>
      <c r="E14">
        <f t="shared" si="0"/>
        <v>1</v>
      </c>
      <c r="I14">
        <v>12</v>
      </c>
      <c r="J14">
        <v>1</v>
      </c>
      <c r="K14">
        <f t="shared" si="1"/>
        <v>0.6</v>
      </c>
      <c r="L14">
        <f t="shared" si="2"/>
        <v>0.66</v>
      </c>
      <c r="M14">
        <f t="shared" si="3"/>
        <v>0.69</v>
      </c>
      <c r="O14">
        <v>2</v>
      </c>
      <c r="P14">
        <f t="shared" si="4"/>
        <v>0.02</v>
      </c>
      <c r="Q14">
        <f t="shared" si="5"/>
        <v>0.56000000000000005</v>
      </c>
      <c r="R14">
        <f t="shared" si="6"/>
        <v>0.22</v>
      </c>
    </row>
    <row r="15" spans="1:18" x14ac:dyDescent="0.25">
      <c r="A15">
        <v>14</v>
      </c>
      <c r="B15">
        <v>1</v>
      </c>
      <c r="C15">
        <v>1</v>
      </c>
      <c r="D15">
        <v>0.36</v>
      </c>
      <c r="E15">
        <f t="shared" si="0"/>
        <v>1</v>
      </c>
      <c r="I15">
        <v>13</v>
      </c>
      <c r="J15">
        <v>1</v>
      </c>
      <c r="K15">
        <f t="shared" si="1"/>
        <v>0.56999999999999995</v>
      </c>
      <c r="L15">
        <f t="shared" si="2"/>
        <v>0.23</v>
      </c>
      <c r="M15">
        <f t="shared" si="3"/>
        <v>0.94</v>
      </c>
      <c r="O15">
        <v>2</v>
      </c>
      <c r="P15">
        <f t="shared" si="4"/>
        <v>0.44</v>
      </c>
      <c r="Q15">
        <f t="shared" si="5"/>
        <v>0.67</v>
      </c>
      <c r="R15">
        <f t="shared" si="6"/>
        <v>0.13</v>
      </c>
    </row>
    <row r="16" spans="1:18" x14ac:dyDescent="0.25">
      <c r="A16">
        <v>15</v>
      </c>
      <c r="B16">
        <v>1</v>
      </c>
      <c r="C16">
        <v>1</v>
      </c>
      <c r="D16">
        <v>0.56000000000000005</v>
      </c>
      <c r="E16">
        <f t="shared" si="0"/>
        <v>1</v>
      </c>
      <c r="I16">
        <v>14</v>
      </c>
      <c r="J16">
        <v>1</v>
      </c>
      <c r="K16">
        <f t="shared" si="1"/>
        <v>0.36</v>
      </c>
      <c r="L16">
        <f t="shared" si="2"/>
        <v>0.67</v>
      </c>
      <c r="M16">
        <f t="shared" si="3"/>
        <v>0.52</v>
      </c>
      <c r="O16">
        <v>2</v>
      </c>
      <c r="P16">
        <f t="shared" si="4"/>
        <v>0.65</v>
      </c>
      <c r="Q16">
        <f t="shared" si="5"/>
        <v>1</v>
      </c>
      <c r="R16">
        <f t="shared" si="6"/>
        <v>0.83</v>
      </c>
    </row>
    <row r="17" spans="1:23" x14ac:dyDescent="0.25">
      <c r="A17">
        <v>16</v>
      </c>
      <c r="B17">
        <v>1</v>
      </c>
      <c r="C17">
        <v>1</v>
      </c>
      <c r="D17">
        <v>0.9</v>
      </c>
      <c r="E17">
        <f t="shared" si="0"/>
        <v>1</v>
      </c>
      <c r="I17">
        <v>15</v>
      </c>
      <c r="J17">
        <v>1</v>
      </c>
      <c r="K17">
        <f t="shared" si="1"/>
        <v>0.56000000000000005</v>
      </c>
      <c r="L17">
        <f t="shared" si="2"/>
        <v>0.28999999999999998</v>
      </c>
      <c r="M17">
        <f t="shared" si="3"/>
        <v>0.41</v>
      </c>
      <c r="O17">
        <v>2</v>
      </c>
      <c r="P17">
        <f t="shared" si="4"/>
        <v>0.64</v>
      </c>
      <c r="Q17">
        <f t="shared" si="5"/>
        <v>0.56999999999999995</v>
      </c>
      <c r="R17">
        <f t="shared" si="6"/>
        <v>0.94</v>
      </c>
    </row>
    <row r="18" spans="1:23" x14ac:dyDescent="0.25">
      <c r="A18">
        <v>17</v>
      </c>
      <c r="B18">
        <v>1</v>
      </c>
      <c r="C18">
        <v>1</v>
      </c>
      <c r="D18">
        <v>0.78</v>
      </c>
      <c r="E18">
        <f t="shared" si="0"/>
        <v>1</v>
      </c>
      <c r="I18">
        <v>16</v>
      </c>
      <c r="J18">
        <v>1</v>
      </c>
      <c r="K18">
        <f t="shared" si="1"/>
        <v>0.9</v>
      </c>
      <c r="L18">
        <f t="shared" si="2"/>
        <v>0.65</v>
      </c>
      <c r="M18">
        <f t="shared" si="3"/>
        <v>0.06</v>
      </c>
      <c r="O18">
        <v>2</v>
      </c>
      <c r="P18">
        <f t="shared" si="4"/>
        <v>0.08</v>
      </c>
      <c r="Q18">
        <f t="shared" si="5"/>
        <v>0.66</v>
      </c>
      <c r="R18">
        <f t="shared" si="6"/>
        <v>0.41</v>
      </c>
    </row>
    <row r="19" spans="1:23" x14ac:dyDescent="0.25">
      <c r="A19">
        <v>18</v>
      </c>
      <c r="B19">
        <v>1</v>
      </c>
      <c r="C19">
        <v>1</v>
      </c>
      <c r="D19">
        <v>0.12</v>
      </c>
      <c r="E19">
        <f t="shared" si="0"/>
        <v>1</v>
      </c>
      <c r="I19">
        <v>17</v>
      </c>
      <c r="J19">
        <v>1</v>
      </c>
      <c r="K19">
        <f t="shared" si="1"/>
        <v>0.78</v>
      </c>
      <c r="L19">
        <f t="shared" si="2"/>
        <v>1</v>
      </c>
      <c r="M19">
        <f t="shared" si="3"/>
        <v>0.45</v>
      </c>
      <c r="O19">
        <v>2</v>
      </c>
      <c r="P19">
        <f t="shared" si="4"/>
        <v>0.77</v>
      </c>
      <c r="Q19">
        <f t="shared" si="5"/>
        <v>0.9</v>
      </c>
      <c r="R19">
        <f t="shared" si="6"/>
        <v>0.98</v>
      </c>
    </row>
    <row r="20" spans="1:23" x14ac:dyDescent="0.25">
      <c r="A20">
        <v>19</v>
      </c>
      <c r="B20">
        <v>1</v>
      </c>
      <c r="C20">
        <v>1</v>
      </c>
      <c r="D20">
        <v>0.32</v>
      </c>
      <c r="E20">
        <f t="shared" si="0"/>
        <v>1</v>
      </c>
      <c r="I20">
        <v>18</v>
      </c>
      <c r="J20">
        <v>1</v>
      </c>
      <c r="K20">
        <f t="shared" si="1"/>
        <v>0.12</v>
      </c>
      <c r="L20">
        <f t="shared" si="2"/>
        <v>7.0000000000000007E-2</v>
      </c>
      <c r="M20">
        <f t="shared" si="3"/>
        <v>0.87</v>
      </c>
      <c r="O20">
        <v>2</v>
      </c>
      <c r="P20">
        <f t="shared" si="4"/>
        <v>0.94</v>
      </c>
      <c r="Q20">
        <f t="shared" si="5"/>
        <v>0.62</v>
      </c>
      <c r="R20">
        <f t="shared" si="6"/>
        <v>0.41</v>
      </c>
    </row>
    <row r="21" spans="1:23" x14ac:dyDescent="0.25">
      <c r="A21">
        <v>20</v>
      </c>
      <c r="B21">
        <v>1</v>
      </c>
      <c r="C21">
        <v>1</v>
      </c>
      <c r="D21">
        <v>0.2</v>
      </c>
      <c r="E21">
        <f t="shared" si="0"/>
        <v>1</v>
      </c>
      <c r="I21">
        <v>19</v>
      </c>
      <c r="J21">
        <v>1</v>
      </c>
      <c r="K21">
        <f t="shared" si="1"/>
        <v>0.32</v>
      </c>
      <c r="L21">
        <f t="shared" si="2"/>
        <v>0.44</v>
      </c>
      <c r="M21">
        <f t="shared" si="3"/>
        <v>0.32</v>
      </c>
      <c r="O21">
        <v>2</v>
      </c>
      <c r="P21">
        <f t="shared" si="4"/>
        <v>0.14000000000000001</v>
      </c>
      <c r="Q21">
        <f t="shared" si="5"/>
        <v>0.73</v>
      </c>
      <c r="R21">
        <f t="shared" si="6"/>
        <v>0.36</v>
      </c>
    </row>
    <row r="22" spans="1:23" x14ac:dyDescent="0.25">
      <c r="A22">
        <v>1</v>
      </c>
      <c r="B22">
        <v>1</v>
      </c>
      <c r="C22">
        <v>2</v>
      </c>
      <c r="D22">
        <v>0.11</v>
      </c>
      <c r="E22">
        <f t="shared" si="0"/>
        <v>3.1666666666666665</v>
      </c>
      <c r="I22">
        <v>20</v>
      </c>
      <c r="J22">
        <v>1</v>
      </c>
      <c r="K22">
        <f t="shared" si="1"/>
        <v>0.2</v>
      </c>
      <c r="L22">
        <f t="shared" si="2"/>
        <v>0.57999999999999996</v>
      </c>
      <c r="M22">
        <f t="shared" si="3"/>
        <v>0.17</v>
      </c>
      <c r="O22">
        <v>2</v>
      </c>
      <c r="P22">
        <f t="shared" ref="P22" si="7">D81</f>
        <v>0.19</v>
      </c>
      <c r="Q22">
        <f t="shared" ref="Q22" si="8">D101</f>
        <v>0.5</v>
      </c>
      <c r="R22">
        <f t="shared" ref="R22" si="9">D121</f>
        <v>0.78</v>
      </c>
    </row>
    <row r="23" spans="1:23" x14ac:dyDescent="0.25">
      <c r="A23">
        <v>2</v>
      </c>
      <c r="B23">
        <v>1</v>
      </c>
      <c r="C23">
        <v>2</v>
      </c>
      <c r="D23">
        <v>0.55000000000000004</v>
      </c>
      <c r="E23">
        <f t="shared" si="0"/>
        <v>3.1666666666666665</v>
      </c>
    </row>
    <row r="24" spans="1:23" x14ac:dyDescent="0.25">
      <c r="A24">
        <v>3</v>
      </c>
      <c r="B24">
        <v>1</v>
      </c>
      <c r="C24">
        <v>2</v>
      </c>
      <c r="D24">
        <v>0.08</v>
      </c>
      <c r="E24">
        <f t="shared" si="0"/>
        <v>3.1666666666666665</v>
      </c>
    </row>
    <row r="25" spans="1:23" x14ac:dyDescent="0.25">
      <c r="A25">
        <v>4</v>
      </c>
      <c r="B25">
        <v>1</v>
      </c>
      <c r="C25">
        <v>2</v>
      </c>
      <c r="D25">
        <v>0</v>
      </c>
      <c r="E25">
        <f t="shared" si="0"/>
        <v>3.1666666666666665</v>
      </c>
    </row>
    <row r="26" spans="1:23" x14ac:dyDescent="0.25">
      <c r="A26">
        <v>5</v>
      </c>
      <c r="B26">
        <v>1</v>
      </c>
      <c r="C26">
        <v>2</v>
      </c>
      <c r="D26">
        <v>0.2</v>
      </c>
      <c r="E26">
        <f t="shared" si="0"/>
        <v>3.1666666666666665</v>
      </c>
      <c r="J26" t="s">
        <v>42</v>
      </c>
      <c r="K26" t="s">
        <v>43</v>
      </c>
      <c r="L26" t="s">
        <v>44</v>
      </c>
      <c r="M26" t="s">
        <v>45</v>
      </c>
      <c r="N26" t="s">
        <v>46</v>
      </c>
      <c r="O26" t="s">
        <v>47</v>
      </c>
      <c r="R26" t="s">
        <v>42</v>
      </c>
      <c r="S26" t="s">
        <v>43</v>
      </c>
      <c r="T26" t="s">
        <v>44</v>
      </c>
      <c r="U26" t="s">
        <v>45</v>
      </c>
      <c r="V26" t="s">
        <v>46</v>
      </c>
      <c r="W26" t="s">
        <v>47</v>
      </c>
    </row>
    <row r="27" spans="1:23" x14ac:dyDescent="0.25">
      <c r="A27">
        <v>6</v>
      </c>
      <c r="B27">
        <v>1</v>
      </c>
      <c r="C27">
        <v>2</v>
      </c>
      <c r="D27">
        <v>0.57999999999999996</v>
      </c>
      <c r="E27">
        <f t="shared" si="0"/>
        <v>3.1666666666666665</v>
      </c>
      <c r="I27" t="s">
        <v>42</v>
      </c>
      <c r="J27" t="s">
        <v>85</v>
      </c>
      <c r="K27" t="s">
        <v>86</v>
      </c>
      <c r="L27" t="s">
        <v>87</v>
      </c>
      <c r="M27" t="s">
        <v>88</v>
      </c>
      <c r="N27" t="s">
        <v>89</v>
      </c>
      <c r="O27" t="s">
        <v>90</v>
      </c>
      <c r="Q27" t="s">
        <v>42</v>
      </c>
      <c r="R27">
        <f>_xlfn.VAR.S(K3:K22)</f>
        <v>7.9916842105263106E-2</v>
      </c>
      <c r="S27">
        <f>R28</f>
        <v>4.1760526315789477E-2</v>
      </c>
      <c r="T27">
        <f>R29</f>
        <v>1.2245263157894733E-2</v>
      </c>
      <c r="U27">
        <f>R30</f>
        <v>2.3757894736842144E-3</v>
      </c>
      <c r="V27">
        <f>R31</f>
        <v>1.8608947368421055E-2</v>
      </c>
      <c r="W27">
        <f>R32</f>
        <v>-2.3105263157894743E-2</v>
      </c>
    </row>
    <row r="28" spans="1:23" x14ac:dyDescent="0.25">
      <c r="A28">
        <v>7</v>
      </c>
      <c r="B28">
        <v>1</v>
      </c>
      <c r="C28">
        <v>2</v>
      </c>
      <c r="D28">
        <v>0.89</v>
      </c>
      <c r="E28">
        <f t="shared" si="0"/>
        <v>3.1666666666666665</v>
      </c>
      <c r="I28" t="s">
        <v>43</v>
      </c>
      <c r="J28" t="s">
        <v>86</v>
      </c>
      <c r="K28" t="s">
        <v>91</v>
      </c>
      <c r="L28" t="s">
        <v>92</v>
      </c>
      <c r="M28" t="s">
        <v>93</v>
      </c>
      <c r="N28" t="s">
        <v>94</v>
      </c>
      <c r="O28" t="s">
        <v>95</v>
      </c>
      <c r="Q28" t="s">
        <v>43</v>
      </c>
      <c r="R28">
        <f>_xlfn.COVARIANCE.S($K$3:$K$22,$L$3:$L$22)</f>
        <v>4.1760526315789477E-2</v>
      </c>
      <c r="S28">
        <f>_xlfn.VAR.S(L3:L22)</f>
        <v>9.0967105263157808E-2</v>
      </c>
      <c r="T28">
        <f>S29</f>
        <v>-5.3684210526315393E-4</v>
      </c>
      <c r="U28">
        <f>S30</f>
        <v>-9.9263157894736789E-3</v>
      </c>
      <c r="V28">
        <f>S31</f>
        <v>2.9085526315789482E-2</v>
      </c>
      <c r="W28">
        <f>S32</f>
        <v>6.6078947368420973E-3</v>
      </c>
    </row>
    <row r="29" spans="1:23" x14ac:dyDescent="0.25">
      <c r="A29">
        <v>8</v>
      </c>
      <c r="B29">
        <v>1</v>
      </c>
      <c r="C29">
        <v>2</v>
      </c>
      <c r="D29">
        <v>0.15</v>
      </c>
      <c r="E29">
        <f t="shared" si="0"/>
        <v>3.1666666666666665</v>
      </c>
      <c r="I29" t="s">
        <v>44</v>
      </c>
      <c r="J29" t="s">
        <v>87</v>
      </c>
      <c r="K29" t="s">
        <v>92</v>
      </c>
      <c r="L29" t="s">
        <v>96</v>
      </c>
      <c r="M29" t="s">
        <v>97</v>
      </c>
      <c r="N29" t="s">
        <v>98</v>
      </c>
      <c r="O29" t="s">
        <v>99</v>
      </c>
      <c r="Q29" t="s">
        <v>44</v>
      </c>
      <c r="R29">
        <f>_xlfn.COVARIANCE.S(K$3:K$22,$M$3:$M$22)</f>
        <v>1.2245263157894733E-2</v>
      </c>
      <c r="S29">
        <f>_xlfn.COVARIANCE.S(L$3:L$22,$M$3:$M$22)</f>
        <v>-5.3684210526315393E-4</v>
      </c>
      <c r="T29">
        <f>_xlfn.VAR.S(M3:M22)</f>
        <v>8.6814736842105333E-2</v>
      </c>
      <c r="U29">
        <f>T30</f>
        <v>2.3522105263157893E-2</v>
      </c>
      <c r="V29">
        <f>T31</f>
        <v>1.1387368421052632E-2</v>
      </c>
      <c r="W29">
        <f>T32</f>
        <v>-4.8410526315789473E-2</v>
      </c>
    </row>
    <row r="30" spans="1:23" x14ac:dyDescent="0.25">
      <c r="A30">
        <v>9</v>
      </c>
      <c r="B30">
        <v>1</v>
      </c>
      <c r="C30">
        <v>2</v>
      </c>
      <c r="D30">
        <v>0.11</v>
      </c>
      <c r="E30">
        <f t="shared" si="0"/>
        <v>3.1666666666666665</v>
      </c>
      <c r="I30" t="s">
        <v>45</v>
      </c>
      <c r="J30" t="s">
        <v>88</v>
      </c>
      <c r="K30" t="s">
        <v>93</v>
      </c>
      <c r="L30" t="s">
        <v>97</v>
      </c>
      <c r="M30" t="s">
        <v>100</v>
      </c>
      <c r="N30" t="s">
        <v>101</v>
      </c>
      <c r="O30" t="s">
        <v>102</v>
      </c>
      <c r="Q30" t="s">
        <v>45</v>
      </c>
      <c r="R30">
        <f>_xlfn.COVARIANCE.S(K$3:K$22,$P$3:$P$22)</f>
        <v>2.3757894736842144E-3</v>
      </c>
      <c r="S30">
        <f>_xlfn.COVARIANCE.S(L$3:L$22,$P$3:$P$22)</f>
        <v>-9.9263157894736789E-3</v>
      </c>
      <c r="T30">
        <f>_xlfn.COVARIANCE.S(M$3:M$22,$P$3:$P$22)</f>
        <v>2.3522105263157893E-2</v>
      </c>
      <c r="U30">
        <f>_xlfn.VAR.S(P3:P22)</f>
        <v>8.4572631578947385E-2</v>
      </c>
      <c r="V30">
        <f>U31</f>
        <v>1.2559999999999998E-2</v>
      </c>
      <c r="W30">
        <f>U32</f>
        <v>1.5378947368421053E-2</v>
      </c>
    </row>
    <row r="31" spans="1:23" x14ac:dyDescent="0.25">
      <c r="A31">
        <v>10</v>
      </c>
      <c r="B31">
        <v>1</v>
      </c>
      <c r="C31">
        <v>2</v>
      </c>
      <c r="D31">
        <v>0.68</v>
      </c>
      <c r="E31">
        <f t="shared" si="0"/>
        <v>3.1666666666666665</v>
      </c>
      <c r="I31" t="s">
        <v>46</v>
      </c>
      <c r="J31" t="s">
        <v>89</v>
      </c>
      <c r="K31" t="s">
        <v>94</v>
      </c>
      <c r="L31" t="s">
        <v>98</v>
      </c>
      <c r="M31" t="s">
        <v>101</v>
      </c>
      <c r="N31" t="s">
        <v>103</v>
      </c>
      <c r="O31" t="s">
        <v>104</v>
      </c>
      <c r="Q31" t="s">
        <v>46</v>
      </c>
      <c r="R31">
        <f>_xlfn.COVARIANCE.S(K$3:K$22,$Q$3:$Q$22)</f>
        <v>1.8608947368421055E-2</v>
      </c>
      <c r="S31">
        <f>_xlfn.COVARIANCE.S(L$3:L$22,$Q$3:$Q$22)</f>
        <v>2.9085526315789482E-2</v>
      </c>
      <c r="T31">
        <f>_xlfn.COVARIANCE.S(M$3:M$22,$Q$3:$Q$22)</f>
        <v>1.1387368421052632E-2</v>
      </c>
      <c r="U31">
        <f>_xlfn.COVARIANCE.S(P$3:P$22,$Q$3:$Q$22)</f>
        <v>1.2559999999999998E-2</v>
      </c>
      <c r="V31">
        <f>_xlfn.VAR.S(Q3:Q22)</f>
        <v>6.0426052631578929E-2</v>
      </c>
      <c r="W31">
        <f>V32</f>
        <v>-1.4555263157894734E-2</v>
      </c>
    </row>
    <row r="32" spans="1:23" x14ac:dyDescent="0.25">
      <c r="A32">
        <v>11</v>
      </c>
      <c r="B32">
        <v>1</v>
      </c>
      <c r="C32">
        <v>2</v>
      </c>
      <c r="D32">
        <v>0.71</v>
      </c>
      <c r="E32">
        <f t="shared" si="0"/>
        <v>3.1666666666666665</v>
      </c>
      <c r="I32" t="s">
        <v>47</v>
      </c>
      <c r="J32" t="s">
        <v>90</v>
      </c>
      <c r="K32" t="s">
        <v>95</v>
      </c>
      <c r="L32" t="s">
        <v>99</v>
      </c>
      <c r="M32" t="s">
        <v>102</v>
      </c>
      <c r="N32" t="s">
        <v>104</v>
      </c>
      <c r="O32" t="s">
        <v>105</v>
      </c>
      <c r="Q32" t="s">
        <v>47</v>
      </c>
      <c r="R32">
        <f>_xlfn.COVARIANCE.S(K$3:K$22,$R$3:$R$22)</f>
        <v>-2.3105263157894743E-2</v>
      </c>
      <c r="S32">
        <f>_xlfn.COVARIANCE.S(L$3:L$22,$R$3:$R$22)</f>
        <v>6.6078947368420973E-3</v>
      </c>
      <c r="T32">
        <f>_xlfn.COVARIANCE.S(M$3:M$22,$R$3:$R$22)</f>
        <v>-4.8410526315789473E-2</v>
      </c>
      <c r="U32">
        <f>_xlfn.COVARIANCE.S(P$3:P$22,$R$3:$R$22)</f>
        <v>1.5378947368421053E-2</v>
      </c>
      <c r="V32">
        <f>_xlfn.COVARIANCE.S(Q$3:Q$22,$R$3:$R$22)</f>
        <v>-1.4555263157894734E-2</v>
      </c>
      <c r="W32">
        <f>_xlfn.VAR.S(R3:R22)</f>
        <v>0.12060526315789478</v>
      </c>
    </row>
    <row r="33" spans="1:5" x14ac:dyDescent="0.25">
      <c r="A33">
        <v>12</v>
      </c>
      <c r="B33">
        <v>1</v>
      </c>
      <c r="C33">
        <v>2</v>
      </c>
      <c r="D33">
        <v>0.66</v>
      </c>
      <c r="E33">
        <f t="shared" si="0"/>
        <v>3.1666666666666665</v>
      </c>
    </row>
    <row r="34" spans="1:5" x14ac:dyDescent="0.25">
      <c r="A34">
        <v>13</v>
      </c>
      <c r="B34">
        <v>1</v>
      </c>
      <c r="C34">
        <v>2</v>
      </c>
      <c r="D34">
        <v>0.23</v>
      </c>
      <c r="E34">
        <f t="shared" si="0"/>
        <v>3.1666666666666665</v>
      </c>
    </row>
    <row r="35" spans="1:5" x14ac:dyDescent="0.25">
      <c r="A35">
        <v>14</v>
      </c>
      <c r="B35">
        <v>1</v>
      </c>
      <c r="C35">
        <v>2</v>
      </c>
      <c r="D35">
        <v>0.67</v>
      </c>
      <c r="E35">
        <f t="shared" si="0"/>
        <v>3.1666666666666665</v>
      </c>
    </row>
    <row r="36" spans="1:5" x14ac:dyDescent="0.25">
      <c r="A36">
        <v>15</v>
      </c>
      <c r="B36">
        <v>1</v>
      </c>
      <c r="C36">
        <v>2</v>
      </c>
      <c r="D36">
        <v>0.28999999999999998</v>
      </c>
      <c r="E36">
        <f t="shared" si="0"/>
        <v>3.1666666666666665</v>
      </c>
    </row>
    <row r="37" spans="1:5" x14ac:dyDescent="0.25">
      <c r="A37">
        <v>16</v>
      </c>
      <c r="B37">
        <v>1</v>
      </c>
      <c r="C37">
        <v>2</v>
      </c>
      <c r="D37">
        <v>0.65</v>
      </c>
      <c r="E37">
        <f t="shared" si="0"/>
        <v>3.1666666666666665</v>
      </c>
    </row>
    <row r="38" spans="1:5" x14ac:dyDescent="0.25">
      <c r="A38">
        <v>17</v>
      </c>
      <c r="B38">
        <v>1</v>
      </c>
      <c r="C38">
        <v>2</v>
      </c>
      <c r="D38">
        <v>1</v>
      </c>
      <c r="E38">
        <f t="shared" si="0"/>
        <v>3.1666666666666665</v>
      </c>
    </row>
    <row r="39" spans="1:5" x14ac:dyDescent="0.25">
      <c r="A39">
        <v>18</v>
      </c>
      <c r="B39">
        <v>1</v>
      </c>
      <c r="C39">
        <v>2</v>
      </c>
      <c r="D39">
        <v>7.0000000000000007E-2</v>
      </c>
      <c r="E39">
        <f t="shared" si="0"/>
        <v>3.1666666666666665</v>
      </c>
    </row>
    <row r="40" spans="1:5" x14ac:dyDescent="0.25">
      <c r="A40">
        <v>19</v>
      </c>
      <c r="B40">
        <v>1</v>
      </c>
      <c r="C40">
        <v>2</v>
      </c>
      <c r="D40">
        <v>0.44</v>
      </c>
      <c r="E40">
        <f t="shared" si="0"/>
        <v>3.1666666666666665</v>
      </c>
    </row>
    <row r="41" spans="1:5" x14ac:dyDescent="0.25">
      <c r="A41">
        <v>20</v>
      </c>
      <c r="B41">
        <v>1</v>
      </c>
      <c r="C41">
        <v>2</v>
      </c>
      <c r="D41">
        <v>0.57999999999999996</v>
      </c>
      <c r="E41">
        <f t="shared" si="0"/>
        <v>3.1666666666666665</v>
      </c>
    </row>
    <row r="42" spans="1:5" x14ac:dyDescent="0.25">
      <c r="A42">
        <v>1</v>
      </c>
      <c r="B42">
        <v>1</v>
      </c>
      <c r="C42">
        <v>3</v>
      </c>
      <c r="D42">
        <v>0.13</v>
      </c>
      <c r="E42">
        <f t="shared" si="0"/>
        <v>5.333333333333333</v>
      </c>
    </row>
    <row r="43" spans="1:5" x14ac:dyDescent="0.25">
      <c r="A43">
        <v>2</v>
      </c>
      <c r="B43">
        <v>1</v>
      </c>
      <c r="C43">
        <v>3</v>
      </c>
      <c r="D43">
        <v>0.48</v>
      </c>
      <c r="E43">
        <f t="shared" si="0"/>
        <v>5.333333333333333</v>
      </c>
    </row>
    <row r="44" spans="1:5" x14ac:dyDescent="0.25">
      <c r="A44">
        <v>3</v>
      </c>
      <c r="B44">
        <v>1</v>
      </c>
      <c r="C44">
        <v>3</v>
      </c>
      <c r="D44">
        <v>0.17</v>
      </c>
      <c r="E44">
        <f t="shared" si="0"/>
        <v>5.333333333333333</v>
      </c>
    </row>
    <row r="45" spans="1:5" x14ac:dyDescent="0.25">
      <c r="A45">
        <v>4</v>
      </c>
      <c r="B45">
        <v>1</v>
      </c>
      <c r="C45">
        <v>3</v>
      </c>
      <c r="D45">
        <v>0.01</v>
      </c>
      <c r="E45">
        <f t="shared" si="0"/>
        <v>5.333333333333333</v>
      </c>
    </row>
    <row r="46" spans="1:5" x14ac:dyDescent="0.25">
      <c r="A46">
        <v>5</v>
      </c>
      <c r="B46">
        <v>1</v>
      </c>
      <c r="C46">
        <v>3</v>
      </c>
      <c r="D46">
        <v>0.1</v>
      </c>
      <c r="E46">
        <f t="shared" si="0"/>
        <v>5.333333333333333</v>
      </c>
    </row>
    <row r="47" spans="1:5" x14ac:dyDescent="0.25">
      <c r="A47">
        <v>6</v>
      </c>
      <c r="B47">
        <v>1</v>
      </c>
      <c r="C47">
        <v>3</v>
      </c>
      <c r="D47">
        <v>0.56000000000000005</v>
      </c>
      <c r="E47">
        <f t="shared" si="0"/>
        <v>5.333333333333333</v>
      </c>
    </row>
    <row r="48" spans="1:5" x14ac:dyDescent="0.25">
      <c r="A48">
        <v>7</v>
      </c>
      <c r="B48">
        <v>1</v>
      </c>
      <c r="C48">
        <v>3</v>
      </c>
      <c r="D48">
        <v>0.63</v>
      </c>
      <c r="E48">
        <f t="shared" si="0"/>
        <v>5.333333333333333</v>
      </c>
    </row>
    <row r="49" spans="1:13" x14ac:dyDescent="0.25">
      <c r="A49">
        <v>8</v>
      </c>
      <c r="B49">
        <v>1</v>
      </c>
      <c r="C49">
        <v>3</v>
      </c>
      <c r="D49">
        <v>0.88</v>
      </c>
      <c r="E49">
        <f t="shared" si="0"/>
        <v>5.333333333333333</v>
      </c>
    </row>
    <row r="50" spans="1:13" x14ac:dyDescent="0.25">
      <c r="A50">
        <v>9</v>
      </c>
      <c r="B50">
        <v>1</v>
      </c>
      <c r="C50">
        <v>3</v>
      </c>
      <c r="D50">
        <v>0.69</v>
      </c>
      <c r="E50">
        <f t="shared" si="0"/>
        <v>5.333333333333333</v>
      </c>
    </row>
    <row r="51" spans="1:13" x14ac:dyDescent="0.25">
      <c r="A51">
        <v>10</v>
      </c>
      <c r="B51">
        <v>1</v>
      </c>
      <c r="C51">
        <v>3</v>
      </c>
      <c r="D51">
        <v>0.52</v>
      </c>
      <c r="E51">
        <f t="shared" si="0"/>
        <v>5.333333333333333</v>
      </c>
    </row>
    <row r="52" spans="1:13" x14ac:dyDescent="0.25">
      <c r="A52">
        <v>11</v>
      </c>
      <c r="B52">
        <v>1</v>
      </c>
      <c r="C52">
        <v>3</v>
      </c>
      <c r="D52">
        <v>0.08</v>
      </c>
      <c r="E52">
        <f t="shared" si="0"/>
        <v>5.333333333333333</v>
      </c>
      <c r="M52" t="s">
        <v>184</v>
      </c>
    </row>
    <row r="53" spans="1:13" x14ac:dyDescent="0.25">
      <c r="A53">
        <v>12</v>
      </c>
      <c r="B53">
        <v>1</v>
      </c>
      <c r="C53">
        <v>3</v>
      </c>
      <c r="D53">
        <v>0.69</v>
      </c>
      <c r="E53">
        <f t="shared" si="0"/>
        <v>5.333333333333333</v>
      </c>
    </row>
    <row r="54" spans="1:13" x14ac:dyDescent="0.25">
      <c r="A54">
        <v>13</v>
      </c>
      <c r="B54">
        <v>1</v>
      </c>
      <c r="C54">
        <v>3</v>
      </c>
      <c r="D54">
        <v>0.94</v>
      </c>
      <c r="E54">
        <f t="shared" si="0"/>
        <v>5.333333333333333</v>
      </c>
      <c r="H54">
        <v>1</v>
      </c>
      <c r="I54">
        <v>1</v>
      </c>
      <c r="K54">
        <f>(I54+((H54-1)*3))</f>
        <v>1</v>
      </c>
      <c r="M54">
        <f xml:space="preserve"> ((((I54+((H54-1)*4))-$L$61) * ($L$62 - $L$63)) / ($L$64 - $L$65)) + $L$63</f>
        <v>1</v>
      </c>
    </row>
    <row r="55" spans="1:13" x14ac:dyDescent="0.25">
      <c r="A55">
        <v>14</v>
      </c>
      <c r="B55">
        <v>1</v>
      </c>
      <c r="C55">
        <v>3</v>
      </c>
      <c r="D55">
        <v>0.52</v>
      </c>
      <c r="E55">
        <f t="shared" si="0"/>
        <v>5.333333333333333</v>
      </c>
      <c r="H55">
        <v>1</v>
      </c>
      <c r="I55">
        <v>2</v>
      </c>
      <c r="K55">
        <f t="shared" ref="K55:K59" si="10">(I55+((H55-1)*3))</f>
        <v>2</v>
      </c>
      <c r="M55">
        <f t="shared" ref="M55:M59" si="11" xml:space="preserve"> ((((I55+((H55-1)*4))-$L$61) * ($L$62 - $L$63)) / ($L$64 - $L$65)) + $L$63</f>
        <v>3.1666666666666665</v>
      </c>
    </row>
    <row r="56" spans="1:13" x14ac:dyDescent="0.25">
      <c r="A56">
        <v>15</v>
      </c>
      <c r="B56">
        <v>1</v>
      </c>
      <c r="C56">
        <v>3</v>
      </c>
      <c r="D56">
        <v>0.41</v>
      </c>
      <c r="E56">
        <f t="shared" si="0"/>
        <v>5.333333333333333</v>
      </c>
      <c r="H56">
        <v>1</v>
      </c>
      <c r="I56">
        <v>3</v>
      </c>
      <c r="K56">
        <f t="shared" si="10"/>
        <v>3</v>
      </c>
      <c r="M56">
        <f t="shared" si="11"/>
        <v>5.333333333333333</v>
      </c>
    </row>
    <row r="57" spans="1:13" x14ac:dyDescent="0.25">
      <c r="A57">
        <v>16</v>
      </c>
      <c r="B57">
        <v>1</v>
      </c>
      <c r="C57">
        <v>3</v>
      </c>
      <c r="D57">
        <v>0.06</v>
      </c>
      <c r="E57">
        <f t="shared" si="0"/>
        <v>5.333333333333333</v>
      </c>
      <c r="H57">
        <v>2</v>
      </c>
      <c r="I57">
        <v>1</v>
      </c>
      <c r="K57">
        <f t="shared" si="10"/>
        <v>4</v>
      </c>
      <c r="M57">
        <f t="shared" si="11"/>
        <v>9.6666666666666661</v>
      </c>
    </row>
    <row r="58" spans="1:13" x14ac:dyDescent="0.25">
      <c r="A58">
        <v>17</v>
      </c>
      <c r="B58">
        <v>1</v>
      </c>
      <c r="C58">
        <v>3</v>
      </c>
      <c r="D58">
        <v>0.45</v>
      </c>
      <c r="E58">
        <f t="shared" si="0"/>
        <v>5.333333333333333</v>
      </c>
      <c r="H58">
        <v>2</v>
      </c>
      <c r="I58">
        <v>2</v>
      </c>
      <c r="K58">
        <f t="shared" si="10"/>
        <v>5</v>
      </c>
      <c r="M58">
        <f t="shared" si="11"/>
        <v>11.833333333333334</v>
      </c>
    </row>
    <row r="59" spans="1:13" x14ac:dyDescent="0.25">
      <c r="A59">
        <v>18</v>
      </c>
      <c r="B59">
        <v>1</v>
      </c>
      <c r="C59">
        <v>3</v>
      </c>
      <c r="D59">
        <v>0.87</v>
      </c>
      <c r="E59">
        <f t="shared" si="0"/>
        <v>5.333333333333333</v>
      </c>
      <c r="H59">
        <v>2</v>
      </c>
      <c r="I59">
        <v>3</v>
      </c>
      <c r="K59">
        <f t="shared" si="10"/>
        <v>6</v>
      </c>
      <c r="M59">
        <f t="shared" si="11"/>
        <v>14</v>
      </c>
    </row>
    <row r="60" spans="1:13" x14ac:dyDescent="0.25">
      <c r="A60">
        <v>19</v>
      </c>
      <c r="B60">
        <v>1</v>
      </c>
      <c r="C60">
        <v>3</v>
      </c>
      <c r="D60">
        <v>0.32</v>
      </c>
      <c r="E60">
        <f t="shared" si="0"/>
        <v>5.333333333333333</v>
      </c>
    </row>
    <row r="61" spans="1:13" x14ac:dyDescent="0.25">
      <c r="A61">
        <v>20</v>
      </c>
      <c r="B61">
        <v>1</v>
      </c>
      <c r="C61">
        <v>3</v>
      </c>
      <c r="D61">
        <v>0.17</v>
      </c>
      <c r="E61">
        <f t="shared" si="0"/>
        <v>5.333333333333333</v>
      </c>
      <c r="K61" t="s">
        <v>185</v>
      </c>
      <c r="L61">
        <v>1</v>
      </c>
    </row>
    <row r="62" spans="1:13" x14ac:dyDescent="0.25">
      <c r="A62">
        <v>1</v>
      </c>
      <c r="B62">
        <v>2</v>
      </c>
      <c r="C62">
        <v>1</v>
      </c>
      <c r="D62">
        <v>0.56000000000000005</v>
      </c>
      <c r="E62">
        <f t="shared" si="0"/>
        <v>7.5</v>
      </c>
      <c r="K62" t="s">
        <v>186</v>
      </c>
      <c r="L62">
        <v>14</v>
      </c>
    </row>
    <row r="63" spans="1:13" x14ac:dyDescent="0.25">
      <c r="A63">
        <v>2</v>
      </c>
      <c r="B63">
        <v>2</v>
      </c>
      <c r="C63">
        <v>1</v>
      </c>
      <c r="D63">
        <v>0.12</v>
      </c>
      <c r="E63">
        <f t="shared" si="0"/>
        <v>7.5</v>
      </c>
      <c r="K63" t="s">
        <v>187</v>
      </c>
      <c r="L63">
        <v>1</v>
      </c>
    </row>
    <row r="64" spans="1:13" x14ac:dyDescent="0.25">
      <c r="A64">
        <v>3</v>
      </c>
      <c r="B64">
        <v>2</v>
      </c>
      <c r="C64">
        <v>1</v>
      </c>
      <c r="D64">
        <v>0.7</v>
      </c>
      <c r="E64">
        <f t="shared" si="0"/>
        <v>7.5</v>
      </c>
      <c r="K64" t="s">
        <v>188</v>
      </c>
      <c r="L64">
        <v>7</v>
      </c>
    </row>
    <row r="65" spans="1:12" x14ac:dyDescent="0.25">
      <c r="A65">
        <v>4</v>
      </c>
      <c r="B65">
        <v>2</v>
      </c>
      <c r="C65">
        <v>1</v>
      </c>
      <c r="D65">
        <v>0.45</v>
      </c>
      <c r="E65">
        <f t="shared" si="0"/>
        <v>7.5</v>
      </c>
      <c r="K65" t="s">
        <v>189</v>
      </c>
      <c r="L65">
        <v>1</v>
      </c>
    </row>
    <row r="66" spans="1:12" x14ac:dyDescent="0.25">
      <c r="A66">
        <v>5</v>
      </c>
      <c r="B66">
        <v>2</v>
      </c>
      <c r="C66">
        <v>1</v>
      </c>
      <c r="D66">
        <v>0.46</v>
      </c>
      <c r="E66">
        <f t="shared" si="0"/>
        <v>7.5</v>
      </c>
    </row>
    <row r="67" spans="1:12" x14ac:dyDescent="0.25">
      <c r="A67">
        <v>6</v>
      </c>
      <c r="B67">
        <v>2</v>
      </c>
      <c r="C67">
        <v>1</v>
      </c>
      <c r="D67">
        <v>0.27</v>
      </c>
      <c r="E67">
        <f t="shared" ref="E67:E121" si="12">(((((C67+((B67-1)*3))-$L$61) * ($L$62 - $L$63)) / ($L$64 - $L$65)) + $L$63)</f>
        <v>7.5</v>
      </c>
    </row>
    <row r="68" spans="1:12" x14ac:dyDescent="0.25">
      <c r="A68">
        <v>7</v>
      </c>
      <c r="B68">
        <v>2</v>
      </c>
      <c r="C68">
        <v>1</v>
      </c>
      <c r="D68">
        <v>0.88</v>
      </c>
      <c r="E68">
        <f t="shared" si="12"/>
        <v>7.5</v>
      </c>
    </row>
    <row r="69" spans="1:12" x14ac:dyDescent="0.25">
      <c r="A69">
        <v>8</v>
      </c>
      <c r="B69">
        <v>2</v>
      </c>
      <c r="C69">
        <v>1</v>
      </c>
      <c r="D69">
        <v>0.95</v>
      </c>
      <c r="E69">
        <f t="shared" si="12"/>
        <v>7.5</v>
      </c>
    </row>
    <row r="70" spans="1:12" x14ac:dyDescent="0.25">
      <c r="A70">
        <v>9</v>
      </c>
      <c r="B70">
        <v>2</v>
      </c>
      <c r="C70">
        <v>1</v>
      </c>
      <c r="D70">
        <v>0.35</v>
      </c>
      <c r="E70">
        <f t="shared" si="12"/>
        <v>7.5</v>
      </c>
    </row>
    <row r="71" spans="1:12" x14ac:dyDescent="0.25">
      <c r="A71">
        <v>10</v>
      </c>
      <c r="B71">
        <v>2</v>
      </c>
      <c r="C71">
        <v>1</v>
      </c>
      <c r="D71">
        <v>0.66</v>
      </c>
      <c r="E71">
        <f t="shared" si="12"/>
        <v>7.5</v>
      </c>
    </row>
    <row r="72" spans="1:12" x14ac:dyDescent="0.25">
      <c r="A72">
        <v>11</v>
      </c>
      <c r="B72">
        <v>2</v>
      </c>
      <c r="C72">
        <v>1</v>
      </c>
      <c r="D72">
        <v>0.65</v>
      </c>
      <c r="E72">
        <f t="shared" si="12"/>
        <v>7.5</v>
      </c>
    </row>
    <row r="73" spans="1:12" x14ac:dyDescent="0.25">
      <c r="A73">
        <v>12</v>
      </c>
      <c r="B73">
        <v>2</v>
      </c>
      <c r="C73">
        <v>1</v>
      </c>
      <c r="D73">
        <v>0.02</v>
      </c>
      <c r="E73">
        <f t="shared" si="12"/>
        <v>7.5</v>
      </c>
    </row>
    <row r="74" spans="1:12" x14ac:dyDescent="0.25">
      <c r="A74">
        <v>13</v>
      </c>
      <c r="B74">
        <v>2</v>
      </c>
      <c r="C74">
        <v>1</v>
      </c>
      <c r="D74">
        <v>0.44</v>
      </c>
      <c r="E74">
        <f t="shared" si="12"/>
        <v>7.5</v>
      </c>
    </row>
    <row r="75" spans="1:12" x14ac:dyDescent="0.25">
      <c r="A75">
        <v>14</v>
      </c>
      <c r="B75">
        <v>2</v>
      </c>
      <c r="C75">
        <v>1</v>
      </c>
      <c r="D75">
        <v>0.65</v>
      </c>
      <c r="E75">
        <f t="shared" si="12"/>
        <v>7.5</v>
      </c>
    </row>
    <row r="76" spans="1:12" x14ac:dyDescent="0.25">
      <c r="A76">
        <v>15</v>
      </c>
      <c r="B76">
        <v>2</v>
      </c>
      <c r="C76">
        <v>1</v>
      </c>
      <c r="D76">
        <v>0.64</v>
      </c>
      <c r="E76">
        <f t="shared" si="12"/>
        <v>7.5</v>
      </c>
    </row>
    <row r="77" spans="1:12" x14ac:dyDescent="0.25">
      <c r="A77">
        <v>16</v>
      </c>
      <c r="B77">
        <v>2</v>
      </c>
      <c r="C77">
        <v>1</v>
      </c>
      <c r="D77">
        <v>0.08</v>
      </c>
      <c r="E77">
        <f t="shared" si="12"/>
        <v>7.5</v>
      </c>
    </row>
    <row r="78" spans="1:12" x14ac:dyDescent="0.25">
      <c r="A78">
        <v>17</v>
      </c>
      <c r="B78">
        <v>2</v>
      </c>
      <c r="C78">
        <v>1</v>
      </c>
      <c r="D78">
        <v>0.77</v>
      </c>
      <c r="E78">
        <f t="shared" si="12"/>
        <v>7.5</v>
      </c>
    </row>
    <row r="79" spans="1:12" x14ac:dyDescent="0.25">
      <c r="A79">
        <v>18</v>
      </c>
      <c r="B79">
        <v>2</v>
      </c>
      <c r="C79">
        <v>1</v>
      </c>
      <c r="D79">
        <v>0.94</v>
      </c>
      <c r="E79">
        <f t="shared" si="12"/>
        <v>7.5</v>
      </c>
    </row>
    <row r="80" spans="1:12" x14ac:dyDescent="0.25">
      <c r="A80">
        <v>19</v>
      </c>
      <c r="B80">
        <v>2</v>
      </c>
      <c r="C80">
        <v>1</v>
      </c>
      <c r="D80">
        <v>0.14000000000000001</v>
      </c>
      <c r="E80">
        <f t="shared" si="12"/>
        <v>7.5</v>
      </c>
    </row>
    <row r="81" spans="1:5" x14ac:dyDescent="0.25">
      <c r="A81">
        <v>20</v>
      </c>
      <c r="B81">
        <v>2</v>
      </c>
      <c r="C81">
        <v>1</v>
      </c>
      <c r="D81">
        <v>0.19</v>
      </c>
      <c r="E81">
        <f t="shared" si="12"/>
        <v>7.5</v>
      </c>
    </row>
    <row r="82" spans="1:5" x14ac:dyDescent="0.25">
      <c r="A82">
        <v>1</v>
      </c>
      <c r="B82">
        <v>2</v>
      </c>
      <c r="C82">
        <v>2</v>
      </c>
      <c r="D82">
        <v>0.22</v>
      </c>
      <c r="E82">
        <f t="shared" si="12"/>
        <v>9.6666666666666661</v>
      </c>
    </row>
    <row r="83" spans="1:5" x14ac:dyDescent="0.25">
      <c r="A83">
        <v>2</v>
      </c>
      <c r="B83">
        <v>2</v>
      </c>
      <c r="C83">
        <v>2</v>
      </c>
      <c r="D83">
        <v>0.94</v>
      </c>
      <c r="E83">
        <f t="shared" si="12"/>
        <v>9.6666666666666661</v>
      </c>
    </row>
    <row r="84" spans="1:5" x14ac:dyDescent="0.25">
      <c r="A84">
        <v>3</v>
      </c>
      <c r="B84">
        <v>2</v>
      </c>
      <c r="C84">
        <v>2</v>
      </c>
      <c r="D84">
        <v>0.69</v>
      </c>
      <c r="E84">
        <f t="shared" si="12"/>
        <v>9.6666666666666661</v>
      </c>
    </row>
    <row r="85" spans="1:5" x14ac:dyDescent="0.25">
      <c r="A85">
        <v>4</v>
      </c>
      <c r="B85">
        <v>2</v>
      </c>
      <c r="C85">
        <v>2</v>
      </c>
      <c r="D85">
        <v>0.54</v>
      </c>
      <c r="E85">
        <f t="shared" si="12"/>
        <v>9.6666666666666661</v>
      </c>
    </row>
    <row r="86" spans="1:5" x14ac:dyDescent="0.25">
      <c r="A86">
        <v>5</v>
      </c>
      <c r="B86">
        <v>2</v>
      </c>
      <c r="C86">
        <v>2</v>
      </c>
      <c r="D86">
        <v>0.41</v>
      </c>
      <c r="E86">
        <f t="shared" si="12"/>
        <v>9.6666666666666661</v>
      </c>
    </row>
    <row r="87" spans="1:5" x14ac:dyDescent="0.25">
      <c r="A87">
        <v>6</v>
      </c>
      <c r="B87">
        <v>2</v>
      </c>
      <c r="C87">
        <v>2</v>
      </c>
      <c r="D87">
        <v>0.19</v>
      </c>
      <c r="E87">
        <f t="shared" si="12"/>
        <v>9.6666666666666661</v>
      </c>
    </row>
    <row r="88" spans="1:5" x14ac:dyDescent="0.25">
      <c r="A88">
        <v>7</v>
      </c>
      <c r="B88">
        <v>2</v>
      </c>
      <c r="C88">
        <v>2</v>
      </c>
      <c r="D88">
        <v>0.64</v>
      </c>
      <c r="E88">
        <f t="shared" si="12"/>
        <v>9.6666666666666661</v>
      </c>
    </row>
    <row r="89" spans="1:5" x14ac:dyDescent="0.25">
      <c r="A89">
        <v>8</v>
      </c>
      <c r="B89">
        <v>2</v>
      </c>
      <c r="C89">
        <v>2</v>
      </c>
      <c r="D89">
        <v>0.69</v>
      </c>
      <c r="E89">
        <f t="shared" si="12"/>
        <v>9.6666666666666661</v>
      </c>
    </row>
    <row r="90" spans="1:5" x14ac:dyDescent="0.25">
      <c r="A90">
        <v>9</v>
      </c>
      <c r="B90">
        <v>2</v>
      </c>
      <c r="C90">
        <v>2</v>
      </c>
      <c r="D90">
        <v>0.09</v>
      </c>
      <c r="E90">
        <f t="shared" si="12"/>
        <v>9.6666666666666661</v>
      </c>
    </row>
    <row r="91" spans="1:5" x14ac:dyDescent="0.25">
      <c r="A91">
        <v>10</v>
      </c>
      <c r="B91">
        <v>2</v>
      </c>
      <c r="C91">
        <v>2</v>
      </c>
      <c r="D91">
        <v>0.88</v>
      </c>
      <c r="E91">
        <f t="shared" si="12"/>
        <v>9.6666666666666661</v>
      </c>
    </row>
    <row r="92" spans="1:5" x14ac:dyDescent="0.25">
      <c r="A92">
        <v>11</v>
      </c>
      <c r="B92">
        <v>2</v>
      </c>
      <c r="C92">
        <v>2</v>
      </c>
      <c r="D92">
        <v>0.41</v>
      </c>
      <c r="E92">
        <f t="shared" si="12"/>
        <v>9.6666666666666661</v>
      </c>
    </row>
    <row r="93" spans="1:5" x14ac:dyDescent="0.25">
      <c r="A93">
        <v>12</v>
      </c>
      <c r="B93">
        <v>2</v>
      </c>
      <c r="C93">
        <v>2</v>
      </c>
      <c r="D93">
        <v>0.56000000000000005</v>
      </c>
      <c r="E93">
        <f t="shared" si="12"/>
        <v>9.6666666666666661</v>
      </c>
    </row>
    <row r="94" spans="1:5" x14ac:dyDescent="0.25">
      <c r="A94">
        <v>13</v>
      </c>
      <c r="B94">
        <v>2</v>
      </c>
      <c r="C94">
        <v>2</v>
      </c>
      <c r="D94">
        <v>0.67</v>
      </c>
      <c r="E94">
        <f t="shared" si="12"/>
        <v>9.6666666666666661</v>
      </c>
    </row>
    <row r="95" spans="1:5" x14ac:dyDescent="0.25">
      <c r="A95">
        <v>14</v>
      </c>
      <c r="B95">
        <v>2</v>
      </c>
      <c r="C95">
        <v>2</v>
      </c>
      <c r="D95">
        <v>1</v>
      </c>
      <c r="E95">
        <f t="shared" si="12"/>
        <v>9.6666666666666661</v>
      </c>
    </row>
    <row r="96" spans="1:5" x14ac:dyDescent="0.25">
      <c r="A96">
        <v>15</v>
      </c>
      <c r="B96">
        <v>2</v>
      </c>
      <c r="C96">
        <v>2</v>
      </c>
      <c r="D96">
        <v>0.56999999999999995</v>
      </c>
      <c r="E96">
        <f t="shared" si="12"/>
        <v>9.6666666666666661</v>
      </c>
    </row>
    <row r="97" spans="1:5" x14ac:dyDescent="0.25">
      <c r="A97">
        <v>16</v>
      </c>
      <c r="B97">
        <v>2</v>
      </c>
      <c r="C97">
        <v>2</v>
      </c>
      <c r="D97">
        <v>0.66</v>
      </c>
      <c r="E97">
        <f t="shared" si="12"/>
        <v>9.6666666666666661</v>
      </c>
    </row>
    <row r="98" spans="1:5" x14ac:dyDescent="0.25">
      <c r="A98">
        <v>17</v>
      </c>
      <c r="B98">
        <v>2</v>
      </c>
      <c r="C98">
        <v>2</v>
      </c>
      <c r="D98">
        <v>0.9</v>
      </c>
      <c r="E98">
        <f t="shared" si="12"/>
        <v>9.6666666666666661</v>
      </c>
    </row>
    <row r="99" spans="1:5" x14ac:dyDescent="0.25">
      <c r="A99">
        <v>18</v>
      </c>
      <c r="B99">
        <v>2</v>
      </c>
      <c r="C99">
        <v>2</v>
      </c>
      <c r="D99">
        <v>0.62</v>
      </c>
      <c r="E99">
        <f t="shared" si="12"/>
        <v>9.6666666666666661</v>
      </c>
    </row>
    <row r="100" spans="1:5" x14ac:dyDescent="0.25">
      <c r="A100">
        <v>19</v>
      </c>
      <c r="B100">
        <v>2</v>
      </c>
      <c r="C100">
        <v>2</v>
      </c>
      <c r="D100">
        <v>0.73</v>
      </c>
      <c r="E100">
        <f t="shared" si="12"/>
        <v>9.6666666666666661</v>
      </c>
    </row>
    <row r="101" spans="1:5" x14ac:dyDescent="0.25">
      <c r="A101">
        <v>20</v>
      </c>
      <c r="B101">
        <v>2</v>
      </c>
      <c r="C101">
        <v>2</v>
      </c>
      <c r="D101">
        <v>0.5</v>
      </c>
      <c r="E101">
        <f t="shared" si="12"/>
        <v>9.6666666666666661</v>
      </c>
    </row>
    <row r="102" spans="1:5" x14ac:dyDescent="0.25">
      <c r="A102">
        <v>1</v>
      </c>
      <c r="B102">
        <v>2</v>
      </c>
      <c r="C102">
        <v>3</v>
      </c>
      <c r="D102">
        <v>0.87</v>
      </c>
      <c r="E102">
        <f t="shared" si="12"/>
        <v>11.833333333333334</v>
      </c>
    </row>
    <row r="103" spans="1:5" x14ac:dyDescent="0.25">
      <c r="A103">
        <v>2</v>
      </c>
      <c r="B103">
        <v>2</v>
      </c>
      <c r="C103">
        <v>3</v>
      </c>
      <c r="D103">
        <v>0.24</v>
      </c>
      <c r="E103">
        <f t="shared" si="12"/>
        <v>11.833333333333334</v>
      </c>
    </row>
    <row r="104" spans="1:5" x14ac:dyDescent="0.25">
      <c r="A104">
        <v>3</v>
      </c>
      <c r="B104">
        <v>2</v>
      </c>
      <c r="C104">
        <v>3</v>
      </c>
      <c r="D104">
        <v>0.02</v>
      </c>
      <c r="E104">
        <f t="shared" si="12"/>
        <v>11.833333333333334</v>
      </c>
    </row>
    <row r="105" spans="1:5" x14ac:dyDescent="0.25">
      <c r="A105">
        <v>4</v>
      </c>
      <c r="B105">
        <v>2</v>
      </c>
      <c r="C105">
        <v>3</v>
      </c>
      <c r="D105">
        <v>0.91</v>
      </c>
      <c r="E105">
        <f t="shared" si="12"/>
        <v>11.833333333333334</v>
      </c>
    </row>
    <row r="106" spans="1:5" x14ac:dyDescent="0.25">
      <c r="A106">
        <v>5</v>
      </c>
      <c r="B106">
        <v>2</v>
      </c>
      <c r="C106">
        <v>3</v>
      </c>
      <c r="D106">
        <v>0.92</v>
      </c>
      <c r="E106">
        <f t="shared" si="12"/>
        <v>11.833333333333334</v>
      </c>
    </row>
    <row r="107" spans="1:5" x14ac:dyDescent="0.25">
      <c r="A107">
        <v>6</v>
      </c>
      <c r="B107">
        <v>2</v>
      </c>
      <c r="C107">
        <v>3</v>
      </c>
      <c r="D107">
        <v>0.68</v>
      </c>
      <c r="E107">
        <f t="shared" si="12"/>
        <v>11.833333333333334</v>
      </c>
    </row>
    <row r="108" spans="1:5" x14ac:dyDescent="0.25">
      <c r="A108">
        <v>7</v>
      </c>
      <c r="B108">
        <v>2</v>
      </c>
      <c r="C108">
        <v>3</v>
      </c>
      <c r="D108">
        <v>0.2</v>
      </c>
      <c r="E108">
        <f t="shared" si="12"/>
        <v>11.833333333333334</v>
      </c>
    </row>
    <row r="109" spans="1:5" x14ac:dyDescent="0.25">
      <c r="A109">
        <v>8</v>
      </c>
      <c r="B109">
        <v>2</v>
      </c>
      <c r="C109">
        <v>3</v>
      </c>
      <c r="D109">
        <v>0.56999999999999995</v>
      </c>
      <c r="E109">
        <f t="shared" si="12"/>
        <v>11.833333333333334</v>
      </c>
    </row>
    <row r="110" spans="1:5" x14ac:dyDescent="0.25">
      <c r="A110">
        <v>9</v>
      </c>
      <c r="B110">
        <v>2</v>
      </c>
      <c r="C110">
        <v>3</v>
      </c>
      <c r="D110">
        <v>0.13</v>
      </c>
      <c r="E110">
        <f t="shared" si="12"/>
        <v>11.833333333333334</v>
      </c>
    </row>
    <row r="111" spans="1:5" x14ac:dyDescent="0.25">
      <c r="A111">
        <v>10</v>
      </c>
      <c r="B111">
        <v>2</v>
      </c>
      <c r="C111">
        <v>3</v>
      </c>
      <c r="D111">
        <v>0.1</v>
      </c>
      <c r="E111">
        <f t="shared" si="12"/>
        <v>11.833333333333334</v>
      </c>
    </row>
    <row r="112" spans="1:5" x14ac:dyDescent="0.25">
      <c r="A112">
        <v>11</v>
      </c>
      <c r="B112">
        <v>2</v>
      </c>
      <c r="C112">
        <v>3</v>
      </c>
      <c r="D112">
        <v>1</v>
      </c>
      <c r="E112">
        <f t="shared" si="12"/>
        <v>11.833333333333334</v>
      </c>
    </row>
    <row r="113" spans="1:5" x14ac:dyDescent="0.25">
      <c r="A113">
        <v>12</v>
      </c>
      <c r="B113">
        <v>2</v>
      </c>
      <c r="C113">
        <v>3</v>
      </c>
      <c r="D113">
        <v>0.22</v>
      </c>
      <c r="E113">
        <f t="shared" si="12"/>
        <v>11.833333333333334</v>
      </c>
    </row>
    <row r="114" spans="1:5" x14ac:dyDescent="0.25">
      <c r="A114">
        <v>13</v>
      </c>
      <c r="B114">
        <v>2</v>
      </c>
      <c r="C114">
        <v>3</v>
      </c>
      <c r="D114">
        <v>0.13</v>
      </c>
      <c r="E114">
        <f t="shared" si="12"/>
        <v>11.833333333333334</v>
      </c>
    </row>
    <row r="115" spans="1:5" x14ac:dyDescent="0.25">
      <c r="A115">
        <v>14</v>
      </c>
      <c r="B115">
        <v>2</v>
      </c>
      <c r="C115">
        <v>3</v>
      </c>
      <c r="D115">
        <v>0.83</v>
      </c>
      <c r="E115">
        <f t="shared" si="12"/>
        <v>11.833333333333334</v>
      </c>
    </row>
    <row r="116" spans="1:5" x14ac:dyDescent="0.25">
      <c r="A116">
        <v>15</v>
      </c>
      <c r="B116">
        <v>2</v>
      </c>
      <c r="C116">
        <v>3</v>
      </c>
      <c r="D116">
        <v>0.94</v>
      </c>
      <c r="E116">
        <f t="shared" si="12"/>
        <v>11.833333333333334</v>
      </c>
    </row>
    <row r="117" spans="1:5" x14ac:dyDescent="0.25">
      <c r="A117">
        <v>16</v>
      </c>
      <c r="B117">
        <v>2</v>
      </c>
      <c r="C117">
        <v>3</v>
      </c>
      <c r="D117">
        <v>0.41</v>
      </c>
      <c r="E117">
        <f t="shared" si="12"/>
        <v>11.833333333333334</v>
      </c>
    </row>
    <row r="118" spans="1:5" x14ac:dyDescent="0.25">
      <c r="A118">
        <v>17</v>
      </c>
      <c r="B118">
        <v>2</v>
      </c>
      <c r="C118">
        <v>3</v>
      </c>
      <c r="D118">
        <v>0.98</v>
      </c>
      <c r="E118">
        <f t="shared" si="12"/>
        <v>11.833333333333334</v>
      </c>
    </row>
    <row r="119" spans="1:5" x14ac:dyDescent="0.25">
      <c r="A119">
        <v>18</v>
      </c>
      <c r="B119">
        <v>2</v>
      </c>
      <c r="C119">
        <v>3</v>
      </c>
      <c r="D119">
        <v>0.41</v>
      </c>
      <c r="E119">
        <f t="shared" si="12"/>
        <v>11.833333333333334</v>
      </c>
    </row>
    <row r="120" spans="1:5" x14ac:dyDescent="0.25">
      <c r="A120">
        <v>19</v>
      </c>
      <c r="B120">
        <v>2</v>
      </c>
      <c r="C120">
        <v>3</v>
      </c>
      <c r="D120">
        <v>0.36</v>
      </c>
      <c r="E120">
        <f t="shared" si="12"/>
        <v>11.833333333333334</v>
      </c>
    </row>
    <row r="121" spans="1:5" x14ac:dyDescent="0.25">
      <c r="A121">
        <v>20</v>
      </c>
      <c r="B121">
        <v>2</v>
      </c>
      <c r="C121">
        <v>3</v>
      </c>
      <c r="D121">
        <v>0.78</v>
      </c>
      <c r="E121">
        <f t="shared" si="12"/>
        <v>11.833333333333334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W47"/>
  <sheetViews>
    <sheetView topLeftCell="E1" workbookViewId="0">
      <selection activeCell="H46" sqref="H46"/>
    </sheetView>
  </sheetViews>
  <sheetFormatPr defaultRowHeight="15" x14ac:dyDescent="0.25"/>
  <sheetData>
    <row r="2" spans="1:23" x14ac:dyDescent="0.25">
      <c r="F2" t="s">
        <v>78</v>
      </c>
      <c r="G2" t="s">
        <v>132</v>
      </c>
      <c r="H2" t="s">
        <v>133</v>
      </c>
      <c r="I2" t="s">
        <v>139</v>
      </c>
      <c r="J2" t="s">
        <v>140</v>
      </c>
      <c r="L2" t="s">
        <v>141</v>
      </c>
      <c r="M2" t="s">
        <v>142</v>
      </c>
      <c r="N2" t="s">
        <v>143</v>
      </c>
      <c r="O2" t="s">
        <v>144</v>
      </c>
    </row>
    <row r="3" spans="1:23" x14ac:dyDescent="0.25">
      <c r="A3">
        <v>0.65034872341264982</v>
      </c>
      <c r="B3">
        <v>0.86391432571525473</v>
      </c>
      <c r="C3">
        <v>0.99681340330447799</v>
      </c>
      <c r="D3">
        <v>0.2858014174894693</v>
      </c>
      <c r="F3">
        <v>1</v>
      </c>
      <c r="G3">
        <f>_xlfn.NORM.INV(A3,$L$31,$L$32)</f>
        <v>0.38626211778580516</v>
      </c>
      <c r="H3">
        <f>_xlfn.NORM.INV(B3,$M$31,$M$32)</f>
        <v>1.0980758985233172</v>
      </c>
      <c r="I3">
        <f>_xlfn.NORM.INV(C3,$N$31,$N$32)</f>
        <v>2.727936196198534</v>
      </c>
      <c r="J3">
        <f>_xlfn.NORM.INV(D3,$O$31,$O$32)</f>
        <v>-0.56569249936678045</v>
      </c>
      <c r="L3">
        <f t="array" ref="L3:O27">MMULT(G3:J27,H44:K47)</f>
        <v>0.38626211778580516</v>
      </c>
      <c r="M3">
        <v>1.0980758985233172</v>
      </c>
      <c r="N3">
        <v>2.727936196198534</v>
      </c>
      <c r="O3">
        <v>-0.56569249936678045</v>
      </c>
      <c r="T3" t="s">
        <v>141</v>
      </c>
      <c r="U3" t="s">
        <v>142</v>
      </c>
      <c r="V3" t="s">
        <v>143</v>
      </c>
      <c r="W3" t="s">
        <v>144</v>
      </c>
    </row>
    <row r="4" spans="1:23" x14ac:dyDescent="0.25">
      <c r="A4">
        <v>0.95122011061849898</v>
      </c>
      <c r="B4">
        <v>0.46302220383634407</v>
      </c>
      <c r="C4">
        <v>6.2578245601992988E-3</v>
      </c>
      <c r="D4">
        <v>0.68821628269477109</v>
      </c>
      <c r="F4">
        <v>2</v>
      </c>
      <c r="G4">
        <f t="shared" ref="G4:G27" si="0">_xlfn.NORM.INV(A4,$L$31,$L$32)</f>
        <v>1.6568006836534892</v>
      </c>
      <c r="H4">
        <f t="shared" ref="H4:H27" si="1">_xlfn.NORM.INV(B4,$M$31,$M$32)</f>
        <v>-9.2822711580126185E-2</v>
      </c>
      <c r="I4">
        <f t="shared" ref="I4:I27" si="2">_xlfn.NORM.INV(C4,$N$31,$N$32)</f>
        <v>-2.4972618765772454</v>
      </c>
      <c r="J4">
        <f t="shared" ref="J4:J27" si="3">_xlfn.NORM.INV(D4,$O$31,$O$32)</f>
        <v>0.4908006721353354</v>
      </c>
      <c r="L4">
        <v>1.6568006836534892</v>
      </c>
      <c r="M4">
        <v>-9.2822711580126185E-2</v>
      </c>
      <c r="N4">
        <v>-2.4972618765772454</v>
      </c>
      <c r="O4">
        <v>0.4908006721353354</v>
      </c>
      <c r="S4" t="s">
        <v>141</v>
      </c>
      <c r="T4">
        <f>_xlfn.VAR.S(L3:L27)</f>
        <v>1.3479802834946506</v>
      </c>
      <c r="U4">
        <f>T5</f>
        <v>-8.5298518060577019E-2</v>
      </c>
      <c r="V4">
        <f>T6</f>
        <v>8.9564079014836762E-2</v>
      </c>
      <c r="W4">
        <f>T7</f>
        <v>0.18585753655756368</v>
      </c>
    </row>
    <row r="5" spans="1:23" x14ac:dyDescent="0.25">
      <c r="A5">
        <v>0.4153731724357137</v>
      </c>
      <c r="B5">
        <v>0.60941056670701443</v>
      </c>
      <c r="C5">
        <v>0.58995547890946853</v>
      </c>
      <c r="D5">
        <v>0.69972509494480051</v>
      </c>
      <c r="F5">
        <v>3</v>
      </c>
      <c r="G5">
        <f t="shared" si="0"/>
        <v>-0.21374445168654241</v>
      </c>
      <c r="H5">
        <f t="shared" si="1"/>
        <v>0.27778309801602313</v>
      </c>
      <c r="I5">
        <f t="shared" si="2"/>
        <v>0.2274304535026663</v>
      </c>
      <c r="J5">
        <f t="shared" si="3"/>
        <v>0.52361002105604415</v>
      </c>
      <c r="L5">
        <v>-0.21374445168654241</v>
      </c>
      <c r="M5">
        <v>0.27778309801602313</v>
      </c>
      <c r="N5">
        <v>0.2274304535026663</v>
      </c>
      <c r="O5">
        <v>0.52361002105604415</v>
      </c>
      <c r="S5" t="s">
        <v>142</v>
      </c>
      <c r="T5">
        <f>_xlfn.COVARIANCE.S(L$3:L$27,M$3:M$27)</f>
        <v>-8.5298518060577019E-2</v>
      </c>
      <c r="U5">
        <f>_xlfn.VAR.S(M3:M27)</f>
        <v>0.8961636624544278</v>
      </c>
      <c r="V5">
        <f>U6</f>
        <v>0.22963241738648246</v>
      </c>
      <c r="W5">
        <f>U7</f>
        <v>-5.3439061801141247E-2</v>
      </c>
    </row>
    <row r="6" spans="1:23" x14ac:dyDescent="0.25">
      <c r="A6">
        <v>0.72927893187921622</v>
      </c>
      <c r="B6">
        <v>0.45888579479893798</v>
      </c>
      <c r="C6">
        <v>9.6294067296109898E-4</v>
      </c>
      <c r="D6">
        <v>0.6000038974581009</v>
      </c>
      <c r="F6">
        <v>4</v>
      </c>
      <c r="G6">
        <f t="shared" si="0"/>
        <v>0.61063365619143217</v>
      </c>
      <c r="H6">
        <f t="shared" si="1"/>
        <v>-0.10324113967972579</v>
      </c>
      <c r="I6">
        <f t="shared" si="2"/>
        <v>-3.1014304088729263</v>
      </c>
      <c r="J6">
        <f t="shared" si="3"/>
        <v>0.25335719123830885</v>
      </c>
      <c r="L6">
        <v>0.61063365619143217</v>
      </c>
      <c r="M6">
        <v>-0.10324113967972579</v>
      </c>
      <c r="N6">
        <v>-3.1014304088729263</v>
      </c>
      <c r="O6">
        <v>0.25335719123830885</v>
      </c>
      <c r="S6" t="s">
        <v>143</v>
      </c>
      <c r="T6">
        <f>_xlfn.COVARIANCE.S(L$3:L$27,N$3:N$27)</f>
        <v>8.9564079014836762E-2</v>
      </c>
      <c r="U6">
        <f>_xlfn.COVARIANCE.S(M$3:M$27,N$3:N$27)</f>
        <v>0.22963241738648246</v>
      </c>
      <c r="V6">
        <f>_xlfn.VAR.S(N3:N27)</f>
        <v>2.0739904671338953</v>
      </c>
      <c r="W6">
        <f>V7</f>
        <v>0.37938295644333625</v>
      </c>
    </row>
    <row r="7" spans="1:23" x14ac:dyDescent="0.25">
      <c r="A7">
        <v>0.86198642163661199</v>
      </c>
      <c r="B7">
        <v>2.1325906967472164E-2</v>
      </c>
      <c r="C7">
        <v>0.3764086823429541</v>
      </c>
      <c r="D7">
        <v>0.31428702077628934</v>
      </c>
      <c r="F7">
        <v>5</v>
      </c>
      <c r="G7">
        <f t="shared" si="0"/>
        <v>1.0892874241443891</v>
      </c>
      <c r="H7">
        <f t="shared" si="1"/>
        <v>-2.0271036475353821</v>
      </c>
      <c r="I7">
        <f t="shared" si="2"/>
        <v>-0.31492662621679962</v>
      </c>
      <c r="J7">
        <f t="shared" si="3"/>
        <v>-0.48373487168065626</v>
      </c>
      <c r="L7">
        <v>1.0892874241443891</v>
      </c>
      <c r="M7">
        <v>-2.0271036475353821</v>
      </c>
      <c r="N7">
        <v>-0.31492662621679962</v>
      </c>
      <c r="O7">
        <v>-0.48373487168065626</v>
      </c>
      <c r="S7" t="s">
        <v>144</v>
      </c>
      <c r="T7">
        <f>_xlfn.COVARIANCE.S(L$3:L$27,O$3:O$27)</f>
        <v>0.18585753655756368</v>
      </c>
      <c r="U7">
        <f>_xlfn.COVARIANCE.S(M$3:M$27,O$3:O$27)</f>
        <v>-5.3439061801141247E-2</v>
      </c>
      <c r="V7">
        <f>_xlfn.COVARIANCE.S(N$3:N$27,O$3:O$27)</f>
        <v>0.37938295644333625</v>
      </c>
      <c r="W7">
        <f>_xlfn.VAR.S(O3:O27)</f>
        <v>0.87064150750820934</v>
      </c>
    </row>
    <row r="8" spans="1:23" x14ac:dyDescent="0.25">
      <c r="A8">
        <v>0.14268360806923919</v>
      </c>
      <c r="B8">
        <v>0.84198411818612517</v>
      </c>
      <c r="C8">
        <v>0.50203007514072662</v>
      </c>
      <c r="D8">
        <v>0.80959735797300469</v>
      </c>
      <c r="F8">
        <v>6</v>
      </c>
      <c r="G8">
        <f t="shared" si="0"/>
        <v>-1.0683399006372671</v>
      </c>
      <c r="H8">
        <f t="shared" si="1"/>
        <v>1.0026458534634766</v>
      </c>
      <c r="I8">
        <f t="shared" si="2"/>
        <v>5.0886657087104315E-3</v>
      </c>
      <c r="J8">
        <f t="shared" si="3"/>
        <v>0.87641349603705343</v>
      </c>
      <c r="L8">
        <v>-1.0683399006372671</v>
      </c>
      <c r="M8">
        <v>1.0026458534634766</v>
      </c>
      <c r="N8">
        <v>5.0886657087104315E-3</v>
      </c>
      <c r="O8">
        <v>0.87641349603705343</v>
      </c>
    </row>
    <row r="9" spans="1:23" x14ac:dyDescent="0.25">
      <c r="A9">
        <v>0.18907960540673008</v>
      </c>
      <c r="B9">
        <v>2.6396097739303404E-2</v>
      </c>
      <c r="C9">
        <v>3.3534467657530653E-2</v>
      </c>
      <c r="D9">
        <v>0.50185601778827826</v>
      </c>
      <c r="F9">
        <v>7</v>
      </c>
      <c r="G9">
        <f t="shared" si="0"/>
        <v>-0.8812930795681283</v>
      </c>
      <c r="H9">
        <f t="shared" si="1"/>
        <v>-1.9366168598406015</v>
      </c>
      <c r="I9">
        <f t="shared" si="2"/>
        <v>-1.8312118055254099</v>
      </c>
      <c r="J9">
        <f t="shared" si="3"/>
        <v>4.6523634492642314E-3</v>
      </c>
      <c r="L9">
        <v>-0.8812930795681283</v>
      </c>
      <c r="M9">
        <v>-1.9366168598406015</v>
      </c>
      <c r="N9">
        <v>-1.8312118055254099</v>
      </c>
      <c r="O9">
        <v>4.6523634492642314E-3</v>
      </c>
      <c r="T9" t="s">
        <v>141</v>
      </c>
      <c r="U9" t="s">
        <v>142</v>
      </c>
      <c r="V9" t="s">
        <v>143</v>
      </c>
      <c r="W9" t="s">
        <v>144</v>
      </c>
    </row>
    <row r="10" spans="1:23" x14ac:dyDescent="0.25">
      <c r="A10">
        <v>0.99205248476278929</v>
      </c>
      <c r="B10">
        <v>0.23571583357421133</v>
      </c>
      <c r="C10">
        <v>0.6898722045775324</v>
      </c>
      <c r="D10">
        <v>0.83146823990129104</v>
      </c>
      <c r="F10">
        <v>8</v>
      </c>
      <c r="G10">
        <f t="shared" si="0"/>
        <v>2.4113169054811072</v>
      </c>
      <c r="H10">
        <f t="shared" si="1"/>
        <v>-0.7201515886332519</v>
      </c>
      <c r="I10">
        <f t="shared" si="2"/>
        <v>0.49548814129318436</v>
      </c>
      <c r="J10">
        <f t="shared" si="3"/>
        <v>0.95998349814281214</v>
      </c>
      <c r="L10">
        <v>2.4113169054811072</v>
      </c>
      <c r="M10">
        <v>-0.7201515886332519</v>
      </c>
      <c r="N10">
        <v>0.49548814129318436</v>
      </c>
      <c r="O10">
        <v>0.95998349814281214</v>
      </c>
      <c r="S10" t="s">
        <v>141</v>
      </c>
      <c r="T10">
        <v>1</v>
      </c>
    </row>
    <row r="11" spans="1:23" x14ac:dyDescent="0.25">
      <c r="A11">
        <v>0.55500803538272003</v>
      </c>
      <c r="B11">
        <v>0.68795809362017502</v>
      </c>
      <c r="C11">
        <v>0.76722712647938029</v>
      </c>
      <c r="D11">
        <v>0.88459340151325561</v>
      </c>
      <c r="F11">
        <v>9</v>
      </c>
      <c r="G11">
        <f t="shared" si="0"/>
        <v>0.13832454326758656</v>
      </c>
      <c r="H11">
        <f t="shared" si="1"/>
        <v>0.49007078178707691</v>
      </c>
      <c r="I11">
        <f t="shared" si="2"/>
        <v>0.72974552676330429</v>
      </c>
      <c r="J11">
        <f t="shared" si="3"/>
        <v>1.1982667233174764</v>
      </c>
      <c r="L11">
        <v>0.13832454326758656</v>
      </c>
      <c r="M11">
        <v>0.49007078178707691</v>
      </c>
      <c r="N11">
        <v>0.72974552676330429</v>
      </c>
      <c r="O11">
        <v>1.1982667233174764</v>
      </c>
      <c r="S11" t="s">
        <v>142</v>
      </c>
      <c r="T11">
        <f>PEARSON(L$3:L$27,$M$3:$M$27)</f>
        <v>-7.760792125313834E-2</v>
      </c>
      <c r="U11">
        <v>1</v>
      </c>
    </row>
    <row r="12" spans="1:23" x14ac:dyDescent="0.25">
      <c r="A12">
        <v>0.65022385302486241</v>
      </c>
      <c r="B12">
        <v>0.1538149533808808</v>
      </c>
      <c r="C12">
        <v>0.98293085888582321</v>
      </c>
      <c r="D12">
        <v>0.85085360710295821</v>
      </c>
      <c r="F12">
        <v>10</v>
      </c>
      <c r="G12">
        <f t="shared" si="0"/>
        <v>0.38592489326701251</v>
      </c>
      <c r="H12">
        <f t="shared" si="1"/>
        <v>-1.0202078261276371</v>
      </c>
      <c r="I12">
        <f t="shared" si="2"/>
        <v>2.1184345522112045</v>
      </c>
      <c r="J12">
        <f t="shared" si="3"/>
        <v>1.0401014161864126</v>
      </c>
      <c r="L12">
        <v>0.38592489326701251</v>
      </c>
      <c r="M12">
        <v>-1.0202078261276371</v>
      </c>
      <c r="N12">
        <v>2.1184345522112045</v>
      </c>
      <c r="O12">
        <v>1.0401014161864126</v>
      </c>
      <c r="S12" t="s">
        <v>143</v>
      </c>
      <c r="T12">
        <f>PEARSON(L$3:L$27,$N$3:$N$27)</f>
        <v>5.3565938272483009E-2</v>
      </c>
      <c r="U12">
        <f>PEARSON(M$3:M$27,$N$3:$N$27)</f>
        <v>0.16843647914006646</v>
      </c>
      <c r="V12">
        <v>1</v>
      </c>
    </row>
    <row r="13" spans="1:23" x14ac:dyDescent="0.25">
      <c r="A13">
        <v>0.77374386564020337</v>
      </c>
      <c r="B13">
        <v>0.80055821103855263</v>
      </c>
      <c r="C13">
        <v>0.9067435584670096</v>
      </c>
      <c r="D13">
        <v>0.49756922490442157</v>
      </c>
      <c r="F13">
        <v>11</v>
      </c>
      <c r="G13">
        <f t="shared" si="0"/>
        <v>0.75123329012047435</v>
      </c>
      <c r="H13">
        <f t="shared" si="1"/>
        <v>0.84361679174908066</v>
      </c>
      <c r="I13">
        <f t="shared" si="2"/>
        <v>1.3209654546278256</v>
      </c>
      <c r="J13">
        <f t="shared" si="3"/>
        <v>-6.0930872853371138E-3</v>
      </c>
      <c r="L13">
        <v>0.75123329012047435</v>
      </c>
      <c r="M13">
        <v>0.84361679174908066</v>
      </c>
      <c r="N13">
        <v>1.3209654546278256</v>
      </c>
      <c r="O13">
        <v>-6.0930872853371138E-3</v>
      </c>
      <c r="S13" t="s">
        <v>144</v>
      </c>
      <c r="T13">
        <f>PEARSON(L$3:L$27,$O$3:$O$27)</f>
        <v>0.1715610606223959</v>
      </c>
      <c r="U13">
        <f>PEARSON(M$3:M$27,$O$3:$O$27)</f>
        <v>-6.0498621028378802E-2</v>
      </c>
      <c r="V13">
        <f>PEARSON(N$3:N$27,$O$3:$O$27)</f>
        <v>0.28232852197643821</v>
      </c>
      <c r="W13">
        <v>1</v>
      </c>
    </row>
    <row r="14" spans="1:23" x14ac:dyDescent="0.25">
      <c r="A14">
        <v>0.32027933688263055</v>
      </c>
      <c r="B14">
        <v>0.17714530542230389</v>
      </c>
      <c r="C14">
        <v>3.0970725670967481E-2</v>
      </c>
      <c r="D14">
        <v>0.33095110576605458</v>
      </c>
      <c r="F14">
        <v>12</v>
      </c>
      <c r="G14">
        <f t="shared" si="0"/>
        <v>-0.46691782219281125</v>
      </c>
      <c r="H14">
        <f t="shared" si="1"/>
        <v>-0.92629900890221506</v>
      </c>
      <c r="I14">
        <f t="shared" si="2"/>
        <v>-1.8667146175169513</v>
      </c>
      <c r="J14">
        <f t="shared" si="3"/>
        <v>-0.43728839355550686</v>
      </c>
      <c r="L14">
        <v>-0.46691782219281125</v>
      </c>
      <c r="M14">
        <v>-0.92629900890221506</v>
      </c>
      <c r="N14">
        <v>-1.8667146175169513</v>
      </c>
      <c r="O14">
        <v>-0.43728839355550686</v>
      </c>
    </row>
    <row r="15" spans="1:23" x14ac:dyDescent="0.25">
      <c r="A15">
        <v>0.71481565538333591</v>
      </c>
      <c r="B15">
        <v>5.0789386960930605E-2</v>
      </c>
      <c r="C15">
        <v>0.16235465150391815</v>
      </c>
      <c r="D15">
        <v>0.22015880224733009</v>
      </c>
      <c r="F15">
        <v>13</v>
      </c>
      <c r="G15">
        <f t="shared" si="0"/>
        <v>0.56750859431409273</v>
      </c>
      <c r="H15">
        <f t="shared" si="1"/>
        <v>-1.6372474607384453</v>
      </c>
      <c r="I15">
        <f t="shared" si="2"/>
        <v>-0.98482649682950052</v>
      </c>
      <c r="J15">
        <f t="shared" si="3"/>
        <v>-0.77165700067699661</v>
      </c>
      <c r="L15">
        <v>0.56750859431409273</v>
      </c>
      <c r="M15">
        <v>-1.6372474607384453</v>
      </c>
      <c r="N15">
        <v>-0.98482649682950052</v>
      </c>
      <c r="O15">
        <v>-0.77165700067699661</v>
      </c>
    </row>
    <row r="16" spans="1:23" x14ac:dyDescent="0.25">
      <c r="A16">
        <v>0.91439167009348032</v>
      </c>
      <c r="B16">
        <v>0.23331812929071993</v>
      </c>
      <c r="C16">
        <v>0.25934101932995801</v>
      </c>
      <c r="D16">
        <v>2.0298000898964608E-2</v>
      </c>
      <c r="F16">
        <v>14</v>
      </c>
      <c r="G16">
        <f t="shared" si="0"/>
        <v>1.3683048931153723</v>
      </c>
      <c r="H16">
        <f t="shared" si="1"/>
        <v>-0.72796296315243092</v>
      </c>
      <c r="I16">
        <f t="shared" si="2"/>
        <v>-0.6453783365413972</v>
      </c>
      <c r="J16">
        <f t="shared" si="3"/>
        <v>-2.0476327095795495</v>
      </c>
      <c r="L16">
        <v>1.3683048931153723</v>
      </c>
      <c r="M16">
        <v>-0.72796296315243092</v>
      </c>
      <c r="N16">
        <v>-0.6453783365413972</v>
      </c>
      <c r="O16">
        <v>-2.0476327095795495</v>
      </c>
    </row>
    <row r="17" spans="1:15" x14ac:dyDescent="0.25">
      <c r="A17">
        <v>4.8928131906437189E-3</v>
      </c>
      <c r="B17">
        <v>0.70435671824059953</v>
      </c>
      <c r="C17">
        <v>0.1194846631316252</v>
      </c>
      <c r="D17">
        <v>5.5940066375645858E-2</v>
      </c>
      <c r="F17">
        <v>15</v>
      </c>
      <c r="G17">
        <f t="shared" si="0"/>
        <v>-2.583313831779769</v>
      </c>
      <c r="H17">
        <f t="shared" si="1"/>
        <v>0.53697256706794427</v>
      </c>
      <c r="I17">
        <f t="shared" si="2"/>
        <v>-1.1775668646619413</v>
      </c>
      <c r="J17">
        <f t="shared" si="3"/>
        <v>-1.589798940655629</v>
      </c>
      <c r="L17">
        <v>-2.583313831779769</v>
      </c>
      <c r="M17">
        <v>0.53697256706794427</v>
      </c>
      <c r="N17">
        <v>-1.1775668646619413</v>
      </c>
      <c r="O17">
        <v>-1.589798940655629</v>
      </c>
    </row>
    <row r="18" spans="1:15" x14ac:dyDescent="0.25">
      <c r="A18">
        <v>0.73718481289253679</v>
      </c>
      <c r="B18">
        <v>0.74797329140736379</v>
      </c>
      <c r="C18">
        <v>0.49348460224416213</v>
      </c>
      <c r="D18">
        <v>0.10737316550928178</v>
      </c>
      <c r="F18">
        <v>16</v>
      </c>
      <c r="G18">
        <f t="shared" si="0"/>
        <v>0.63469037207342593</v>
      </c>
      <c r="H18">
        <f t="shared" si="1"/>
        <v>0.66812560736182225</v>
      </c>
      <c r="I18">
        <f t="shared" si="2"/>
        <v>-1.6332406310946099E-2</v>
      </c>
      <c r="J18">
        <f t="shared" si="3"/>
        <v>-1.2406195374494386</v>
      </c>
      <c r="L18">
        <v>0.63469037207342593</v>
      </c>
      <c r="M18">
        <v>0.66812560736182225</v>
      </c>
      <c r="N18">
        <v>-1.6332406310946099E-2</v>
      </c>
      <c r="O18">
        <v>-1.2406195374494386</v>
      </c>
    </row>
    <row r="19" spans="1:15" x14ac:dyDescent="0.25">
      <c r="A19">
        <v>0.66275841186713069</v>
      </c>
      <c r="B19">
        <v>0.74842931126701595</v>
      </c>
      <c r="C19">
        <v>2.0935548277031368E-2</v>
      </c>
      <c r="D19">
        <v>0.22777124840553153</v>
      </c>
      <c r="F19">
        <v>17</v>
      </c>
      <c r="G19">
        <f t="shared" si="0"/>
        <v>0.4200031175266763</v>
      </c>
      <c r="H19">
        <f t="shared" si="1"/>
        <v>0.6695552055340861</v>
      </c>
      <c r="I19">
        <f t="shared" si="2"/>
        <v>-2.0347990515670165</v>
      </c>
      <c r="J19">
        <f t="shared" si="3"/>
        <v>-0.74620680696767927</v>
      </c>
      <c r="L19">
        <v>0.4200031175266763</v>
      </c>
      <c r="M19">
        <v>0.6695552055340861</v>
      </c>
      <c r="N19">
        <v>-2.0347990515670165</v>
      </c>
      <c r="O19">
        <v>-0.74620680696767927</v>
      </c>
    </row>
    <row r="20" spans="1:15" x14ac:dyDescent="0.25">
      <c r="A20">
        <v>0.5339999354376066</v>
      </c>
      <c r="B20">
        <v>0.39113333922290261</v>
      </c>
      <c r="C20">
        <v>0.57833056735576138</v>
      </c>
      <c r="D20">
        <v>0.41585445708723989</v>
      </c>
      <c r="F20">
        <v>18</v>
      </c>
      <c r="G20">
        <f t="shared" si="0"/>
        <v>8.5328632461479079E-2</v>
      </c>
      <c r="H20">
        <f t="shared" si="1"/>
        <v>-0.27636637730073005</v>
      </c>
      <c r="I20">
        <f t="shared" si="2"/>
        <v>0.19762449913755412</v>
      </c>
      <c r="J20">
        <f t="shared" si="3"/>
        <v>-0.21251033701965066</v>
      </c>
      <c r="L20">
        <v>8.5328632461479079E-2</v>
      </c>
      <c r="M20">
        <v>-0.27636637730073005</v>
      </c>
      <c r="N20">
        <v>0.19762449913755412</v>
      </c>
      <c r="O20">
        <v>-0.21251033701965066</v>
      </c>
    </row>
    <row r="21" spans="1:15" x14ac:dyDescent="0.25">
      <c r="A21">
        <v>0.70627656113777404</v>
      </c>
      <c r="B21">
        <v>0.54509100380216702</v>
      </c>
      <c r="C21">
        <v>0.16372579373264096</v>
      </c>
      <c r="D21">
        <v>7.8999952417996844E-2</v>
      </c>
      <c r="F21">
        <v>19</v>
      </c>
      <c r="G21">
        <f t="shared" si="0"/>
        <v>0.54253953809485667</v>
      </c>
      <c r="H21">
        <f t="shared" si="1"/>
        <v>0.11326811837366835</v>
      </c>
      <c r="I21">
        <f t="shared" si="2"/>
        <v>-0.97925988194718805</v>
      </c>
      <c r="J21">
        <f t="shared" si="3"/>
        <v>-1.4118304006213505</v>
      </c>
      <c r="L21">
        <v>0.54253953809485667</v>
      </c>
      <c r="M21">
        <v>0.11326811837366835</v>
      </c>
      <c r="N21">
        <v>-0.97925988194718805</v>
      </c>
      <c r="O21">
        <v>-1.4118304006213505</v>
      </c>
    </row>
    <row r="22" spans="1:15" x14ac:dyDescent="0.25">
      <c r="A22">
        <v>0.15633026566335328</v>
      </c>
      <c r="B22">
        <v>0.89273588253201652</v>
      </c>
      <c r="C22">
        <v>0.44299392340913502</v>
      </c>
      <c r="D22">
        <v>6.4167541481301216E-2</v>
      </c>
      <c r="F22">
        <v>20</v>
      </c>
      <c r="G22">
        <f t="shared" si="0"/>
        <v>-1.0096551622699956</v>
      </c>
      <c r="H22">
        <f t="shared" si="1"/>
        <v>1.2412098556404965</v>
      </c>
      <c r="I22">
        <f t="shared" si="2"/>
        <v>-0.14338282457479143</v>
      </c>
      <c r="J22">
        <f t="shared" si="3"/>
        <v>-1.520700222096449</v>
      </c>
      <c r="L22">
        <v>-1.0096551622699956</v>
      </c>
      <c r="M22">
        <v>1.2412098556404965</v>
      </c>
      <c r="N22">
        <v>-0.14338282457479143</v>
      </c>
      <c r="O22">
        <v>-1.520700222096449</v>
      </c>
    </row>
    <row r="23" spans="1:15" x14ac:dyDescent="0.25">
      <c r="A23">
        <v>0.14213480646525989</v>
      </c>
      <c r="B23">
        <v>7.761629704662254E-2</v>
      </c>
      <c r="C23">
        <v>0.83799898182598076</v>
      </c>
      <c r="D23">
        <v>0.20719589360614254</v>
      </c>
      <c r="F23">
        <v>21</v>
      </c>
      <c r="G23">
        <f t="shared" si="0"/>
        <v>-1.0707772179527364</v>
      </c>
      <c r="H23">
        <f t="shared" si="1"/>
        <v>-1.4212895711206639</v>
      </c>
      <c r="I23">
        <f t="shared" si="2"/>
        <v>0.98626714785332903</v>
      </c>
      <c r="J23">
        <f t="shared" si="3"/>
        <v>-0.81618945462398207</v>
      </c>
      <c r="L23">
        <v>-1.0707772179527364</v>
      </c>
      <c r="M23">
        <v>-1.4212895711206639</v>
      </c>
      <c r="N23">
        <v>0.98626714785332903</v>
      </c>
      <c r="O23">
        <v>-0.81618945462398207</v>
      </c>
    </row>
    <row r="24" spans="1:15" x14ac:dyDescent="0.25">
      <c r="A24">
        <v>0.9976834506126897</v>
      </c>
      <c r="B24">
        <v>0.71436792816479189</v>
      </c>
      <c r="C24">
        <v>0.44105466779431546</v>
      </c>
      <c r="D24">
        <v>0.23042442371073912</v>
      </c>
      <c r="F24">
        <v>22</v>
      </c>
      <c r="G24">
        <f t="shared" si="0"/>
        <v>2.8314947943134245</v>
      </c>
      <c r="H24">
        <f t="shared" si="1"/>
        <v>0.56619071122675102</v>
      </c>
      <c r="I24">
        <f t="shared" si="2"/>
        <v>-0.14829579269963966</v>
      </c>
      <c r="J24">
        <f t="shared" si="3"/>
        <v>-0.73744982129048564</v>
      </c>
      <c r="L24">
        <v>2.8314947943134245</v>
      </c>
      <c r="M24">
        <v>0.56619071122675102</v>
      </c>
      <c r="N24">
        <v>-0.14829579269963966</v>
      </c>
      <c r="O24">
        <v>-0.73744982129048564</v>
      </c>
    </row>
    <row r="25" spans="1:15" x14ac:dyDescent="0.25">
      <c r="A25">
        <v>0.76284929028726634</v>
      </c>
      <c r="B25">
        <v>0.54788551925909024</v>
      </c>
      <c r="C25">
        <v>0.82720428001475876</v>
      </c>
      <c r="D25">
        <v>0.76498803761738998</v>
      </c>
      <c r="F25">
        <v>23</v>
      </c>
      <c r="G25">
        <f t="shared" si="0"/>
        <v>0.71549793008859297</v>
      </c>
      <c r="H25">
        <f t="shared" si="1"/>
        <v>0.12032088370953097</v>
      </c>
      <c r="I25">
        <f t="shared" si="2"/>
        <v>0.94317491898660766</v>
      </c>
      <c r="J25">
        <f t="shared" si="3"/>
        <v>0.72244012526640999</v>
      </c>
      <c r="L25">
        <v>0.71549793008859297</v>
      </c>
      <c r="M25">
        <v>0.12032088370953097</v>
      </c>
      <c r="N25">
        <v>0.94317491898660766</v>
      </c>
      <c r="O25">
        <v>0.72244012526640999</v>
      </c>
    </row>
    <row r="26" spans="1:15" x14ac:dyDescent="0.25">
      <c r="A26">
        <v>0.87645335993888063</v>
      </c>
      <c r="B26">
        <v>0.37376495140825072</v>
      </c>
      <c r="C26">
        <v>0.90819629950349312</v>
      </c>
      <c r="D26">
        <v>0.77170631310347726</v>
      </c>
      <c r="F26">
        <v>24</v>
      </c>
      <c r="G26">
        <f t="shared" si="0"/>
        <v>1.157438431419707</v>
      </c>
      <c r="H26">
        <f t="shared" si="1"/>
        <v>-0.3218980865488365</v>
      </c>
      <c r="I26">
        <f t="shared" si="2"/>
        <v>1.3297295319367313</v>
      </c>
      <c r="J26">
        <f t="shared" si="3"/>
        <v>0.74447795394157168</v>
      </c>
      <c r="L26">
        <v>1.157438431419707</v>
      </c>
      <c r="M26">
        <v>-0.3218980865488365</v>
      </c>
      <c r="N26">
        <v>1.3297295319367313</v>
      </c>
      <c r="O26">
        <v>0.74447795394157168</v>
      </c>
    </row>
    <row r="27" spans="1:15" x14ac:dyDescent="0.25">
      <c r="A27">
        <v>0.83412186491809581</v>
      </c>
      <c r="B27">
        <v>0.50402660887428119</v>
      </c>
      <c r="C27">
        <v>5.901078310418173E-2</v>
      </c>
      <c r="D27">
        <v>0.13640320078520474</v>
      </c>
      <c r="F27">
        <v>25</v>
      </c>
      <c r="G27">
        <f t="shared" si="0"/>
        <v>0.97058240721436473</v>
      </c>
      <c r="H27">
        <f t="shared" si="1"/>
        <v>1.0093383032090385E-2</v>
      </c>
      <c r="I27">
        <f t="shared" si="2"/>
        <v>-1.5631319322815278</v>
      </c>
      <c r="J27">
        <f t="shared" si="3"/>
        <v>-1.0966226052451433</v>
      </c>
      <c r="L27">
        <v>0.97058240721436473</v>
      </c>
      <c r="M27">
        <v>1.0093383032090385E-2</v>
      </c>
      <c r="N27">
        <v>-1.5631319322815278</v>
      </c>
      <c r="O27">
        <v>-1.0966226052451433</v>
      </c>
    </row>
    <row r="31" spans="1:15" x14ac:dyDescent="0.25">
      <c r="C31" t="s">
        <v>134</v>
      </c>
      <c r="D31">
        <v>0</v>
      </c>
      <c r="F31" t="s">
        <v>134</v>
      </c>
      <c r="G31">
        <v>0</v>
      </c>
      <c r="H31">
        <v>0</v>
      </c>
      <c r="I31">
        <v>0</v>
      </c>
      <c r="J31">
        <v>0</v>
      </c>
      <c r="K31" t="s">
        <v>134</v>
      </c>
      <c r="L31">
        <v>0</v>
      </c>
      <c r="M31">
        <v>0</v>
      </c>
      <c r="N31">
        <v>0</v>
      </c>
      <c r="O31">
        <v>0</v>
      </c>
    </row>
    <row r="32" spans="1:15" x14ac:dyDescent="0.25">
      <c r="C32" t="s">
        <v>135</v>
      </c>
      <c r="D32">
        <v>1</v>
      </c>
      <c r="F32" t="s">
        <v>135</v>
      </c>
      <c r="G32">
        <v>1</v>
      </c>
      <c r="H32">
        <v>1</v>
      </c>
      <c r="I32">
        <v>1</v>
      </c>
      <c r="J32">
        <v>1</v>
      </c>
      <c r="K32" t="s">
        <v>135</v>
      </c>
      <c r="L32">
        <v>1</v>
      </c>
      <c r="M32">
        <v>1</v>
      </c>
      <c r="N32">
        <v>1</v>
      </c>
      <c r="O32">
        <v>1</v>
      </c>
    </row>
    <row r="33" spans="3:14" x14ac:dyDescent="0.25">
      <c r="C33" t="s">
        <v>136</v>
      </c>
      <c r="D33">
        <f>CORREL(G3:G27,H3:H27)</f>
        <v>-7.760792125313834E-2</v>
      </c>
      <c r="F33" t="s">
        <v>7</v>
      </c>
      <c r="G33">
        <v>1</v>
      </c>
      <c r="H33">
        <v>1</v>
      </c>
      <c r="I33">
        <v>1</v>
      </c>
    </row>
    <row r="34" spans="3:14" x14ac:dyDescent="0.25">
      <c r="K34" t="s">
        <v>138</v>
      </c>
      <c r="L34">
        <v>1</v>
      </c>
      <c r="M34">
        <v>0.3</v>
      </c>
      <c r="N34">
        <v>1</v>
      </c>
    </row>
    <row r="35" spans="3:14" x14ac:dyDescent="0.25">
      <c r="L35">
        <f>CORREL(L3:L27,M3:M27)</f>
        <v>-7.760792125313834E-2</v>
      </c>
      <c r="M35">
        <f>CORREL(M3:M27,N3:N27)</f>
        <v>0.16843647914006646</v>
      </c>
      <c r="N35">
        <f>CORREL(L3:L27,N3:N27)</f>
        <v>5.3565938272483009E-2</v>
      </c>
    </row>
    <row r="38" spans="3:14" x14ac:dyDescent="0.25">
      <c r="H38" t="s">
        <v>141</v>
      </c>
      <c r="I38" t="s">
        <v>142</v>
      </c>
      <c r="J38" t="s">
        <v>143</v>
      </c>
      <c r="K38" t="s">
        <v>144</v>
      </c>
    </row>
    <row r="39" spans="3:14" x14ac:dyDescent="0.25">
      <c r="E39" t="s">
        <v>145</v>
      </c>
      <c r="G39" t="s">
        <v>141</v>
      </c>
      <c r="H39">
        <v>1</v>
      </c>
      <c r="I39">
        <f>H40</f>
        <v>0</v>
      </c>
      <c r="J39">
        <f>H41</f>
        <v>0.99999998999999995</v>
      </c>
      <c r="K39">
        <f>H42</f>
        <v>0</v>
      </c>
    </row>
    <row r="40" spans="3:14" x14ac:dyDescent="0.25">
      <c r="G40" t="s">
        <v>142</v>
      </c>
      <c r="H40">
        <v>0</v>
      </c>
      <c r="I40">
        <v>1</v>
      </c>
      <c r="J40">
        <f>I41</f>
        <v>0</v>
      </c>
      <c r="K40">
        <f>I42</f>
        <v>0</v>
      </c>
    </row>
    <row r="41" spans="3:14" x14ac:dyDescent="0.25">
      <c r="G41" t="s">
        <v>143</v>
      </c>
      <c r="H41">
        <v>0.99999998999999995</v>
      </c>
      <c r="I41">
        <v>0</v>
      </c>
      <c r="J41">
        <v>1</v>
      </c>
      <c r="K41">
        <f>J42</f>
        <v>0</v>
      </c>
    </row>
    <row r="42" spans="3:14" x14ac:dyDescent="0.25">
      <c r="G42" t="s">
        <v>144</v>
      </c>
      <c r="H42">
        <v>0</v>
      </c>
      <c r="I42">
        <v>0</v>
      </c>
      <c r="J42">
        <v>0</v>
      </c>
      <c r="K42">
        <v>1</v>
      </c>
    </row>
    <row r="44" spans="3:14" x14ac:dyDescent="0.25">
      <c r="H44">
        <v>1</v>
      </c>
      <c r="I44">
        <v>0</v>
      </c>
      <c r="J44">
        <v>0</v>
      </c>
      <c r="K44">
        <v>0</v>
      </c>
    </row>
    <row r="45" spans="3:14" x14ac:dyDescent="0.25">
      <c r="H45">
        <v>0</v>
      </c>
      <c r="I45">
        <v>1</v>
      </c>
      <c r="J45">
        <v>0</v>
      </c>
      <c r="K45">
        <v>0</v>
      </c>
    </row>
    <row r="46" spans="3:14" x14ac:dyDescent="0.25">
      <c r="H46">
        <v>0</v>
      </c>
      <c r="I46">
        <v>0</v>
      </c>
      <c r="J46">
        <v>1</v>
      </c>
      <c r="K46">
        <v>0</v>
      </c>
    </row>
    <row r="47" spans="3:14" x14ac:dyDescent="0.25">
      <c r="H47">
        <v>0</v>
      </c>
      <c r="I47">
        <v>0</v>
      </c>
      <c r="J47">
        <v>0</v>
      </c>
      <c r="K4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Covariance Selection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 Fabian van den (PSYCHOLOGY)</dc:creator>
  <cp:lastModifiedBy>Berg Fabian van den (PSYCHOLOGY)</cp:lastModifiedBy>
  <dcterms:created xsi:type="dcterms:W3CDTF">2019-04-04T13:38:53Z</dcterms:created>
  <dcterms:modified xsi:type="dcterms:W3CDTF">2019-04-25T09:18:41Z</dcterms:modified>
</cp:coreProperties>
</file>