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OneDrive\Documents\HACKATHON\CARVAJAL-UNIANDES 2019\"/>
    </mc:Choice>
  </mc:AlternateContent>
  <xr:revisionPtr revIDLastSave="0" documentId="13_ncr:1_{E7ADCD5C-6145-4141-BE6C-47ED0548540D}" xr6:coauthVersionLast="45" xr6:coauthVersionMax="45" xr10:uidLastSave="{00000000-0000-0000-0000-000000000000}"/>
  <bookViews>
    <workbookView xWindow="-120" yWindow="-120" windowWidth="20730" windowHeight="11160" xr2:uid="{B72073D9-AD70-4882-A2A0-F97E24B609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3" i="1"/>
  <c r="D5" i="1"/>
  <c r="D3" i="1"/>
  <c r="C38" i="1"/>
  <c r="B17" i="1"/>
  <c r="B56" i="1" l="1"/>
  <c r="B55" i="1"/>
  <c r="A55" i="1"/>
  <c r="A54" i="1"/>
  <c r="B52" i="1"/>
  <c r="B51" i="1" s="1"/>
  <c r="B49" i="1" s="1"/>
  <c r="B38" i="1"/>
  <c r="E37" i="1"/>
  <c r="D37" i="1"/>
  <c r="C37" i="1"/>
  <c r="B37" i="1"/>
  <c r="B39" i="1" s="1"/>
  <c r="B40" i="1" s="1"/>
  <c r="B43" i="1" s="1"/>
  <c r="C33" i="1"/>
  <c r="C34" i="1" s="1"/>
  <c r="C31" i="1"/>
  <c r="C32" i="1" s="1"/>
  <c r="E17" i="1"/>
  <c r="D17" i="1"/>
  <c r="C17" i="1"/>
  <c r="I12" i="1"/>
  <c r="I13" i="1" s="1"/>
  <c r="I15" i="1" s="1"/>
  <c r="C5" i="1" s="1"/>
  <c r="I11" i="1"/>
  <c r="D11" i="1"/>
  <c r="D33" i="1" s="1"/>
  <c r="D34" i="1" s="1"/>
  <c r="C11" i="1"/>
  <c r="C9" i="1"/>
  <c r="D9" i="1" s="1"/>
  <c r="I7" i="1"/>
  <c r="C3" i="1" s="1"/>
  <c r="C7" i="1"/>
  <c r="C29" i="1" s="1"/>
  <c r="C30" i="1" s="1"/>
  <c r="C35" i="1" s="1"/>
  <c r="D6" i="1"/>
  <c r="E6" i="1" s="1"/>
  <c r="I5" i="1"/>
  <c r="D4" i="1"/>
  <c r="E4" i="1" s="1"/>
  <c r="C23" i="1" l="1"/>
  <c r="E9" i="1"/>
  <c r="E31" i="1" s="1"/>
  <c r="E32" i="1" s="1"/>
  <c r="D31" i="1"/>
  <c r="D32" i="1" s="1"/>
  <c r="B44" i="1"/>
  <c r="B45" i="1"/>
  <c r="B54" i="1" s="1"/>
  <c r="B57" i="1" s="1"/>
  <c r="C24" i="1"/>
  <c r="D7" i="1"/>
  <c r="E11" i="1"/>
  <c r="E33" i="1" s="1"/>
  <c r="E34" i="1" s="1"/>
  <c r="C52" i="1"/>
  <c r="C51" i="1" s="1"/>
  <c r="C49" i="1" s="1"/>
  <c r="C48" i="1" s="1"/>
  <c r="C55" i="1" s="1"/>
  <c r="D29" i="1" l="1"/>
  <c r="D30" i="1" s="1"/>
  <c r="D35" i="1" s="1"/>
  <c r="D52" i="1"/>
  <c r="D51" i="1" s="1"/>
  <c r="D49" i="1" s="1"/>
  <c r="D48" i="1" s="1"/>
  <c r="D55" i="1" s="1"/>
  <c r="E7" i="1"/>
  <c r="D24" i="1"/>
  <c r="E24" i="1"/>
  <c r="C25" i="1"/>
  <c r="H56" i="1"/>
  <c r="I56" i="1" s="1"/>
  <c r="J56" i="1" s="1"/>
  <c r="E23" i="1"/>
  <c r="D23" i="1"/>
  <c r="D25" i="1" l="1"/>
  <c r="E25" i="1"/>
  <c r="E29" i="1"/>
  <c r="E30" i="1" s="1"/>
  <c r="E35" i="1" s="1"/>
  <c r="E52" i="1"/>
  <c r="E51" i="1" s="1"/>
  <c r="E49" i="1" s="1"/>
  <c r="E48" i="1" s="1"/>
  <c r="E55" i="1" s="1"/>
  <c r="D38" i="1"/>
  <c r="D39" i="1" s="1"/>
  <c r="D40" i="1" s="1"/>
  <c r="D43" i="1" s="1"/>
  <c r="D44" i="1" l="1"/>
  <c r="D45" i="1" s="1"/>
  <c r="D54" i="1" s="1"/>
  <c r="D57" i="1" s="1"/>
  <c r="H58" i="1" s="1"/>
  <c r="I58" i="1" s="1"/>
  <c r="G21" i="1"/>
  <c r="C39" i="1"/>
  <c r="C40" i="1" s="1"/>
  <c r="C43" i="1" s="1"/>
  <c r="E38" i="1"/>
  <c r="E39" i="1" s="1"/>
  <c r="E40" i="1" s="1"/>
  <c r="E43" i="1" s="1"/>
  <c r="E44" i="1" l="1"/>
  <c r="E45" i="1" s="1"/>
  <c r="E54" i="1" s="1"/>
  <c r="E57" i="1" s="1"/>
  <c r="H59" i="1" s="1"/>
  <c r="I59" i="1" s="1"/>
  <c r="C44" i="1"/>
  <c r="C45" i="1"/>
  <c r="C54" i="1" s="1"/>
  <c r="C57" i="1" s="1"/>
  <c r="H57" i="1" l="1"/>
  <c r="I57" i="1" s="1"/>
  <c r="B61" i="1"/>
  <c r="B62" i="1"/>
  <c r="B63" i="1"/>
  <c r="J61" i="1" l="1"/>
  <c r="B64" i="1" s="1"/>
  <c r="J57" i="1"/>
  <c r="J58" i="1" s="1"/>
  <c r="J59" i="1" s="1"/>
</calcChain>
</file>

<file path=xl/sharedStrings.xml><?xml version="1.0" encoding="utf-8"?>
<sst xmlns="http://schemas.openxmlformats.org/spreadsheetml/2006/main" count="73" uniqueCount="68">
  <si>
    <t>Año 0</t>
  </si>
  <si>
    <t>Año 1</t>
  </si>
  <si>
    <t>Año 2</t>
  </si>
  <si>
    <t>Año 3</t>
  </si>
  <si>
    <t>Datos de entrada</t>
  </si>
  <si>
    <t>Volumen suscripciones (induvidual)</t>
  </si>
  <si>
    <t>Niños entre 6 a 12 años en colombia (aproximación tomada de DANE)</t>
  </si>
  <si>
    <t>Precio suscripciones (individual) (anual)</t>
  </si>
  <si>
    <t>Porcentaje estratos 3, 4, 5, y 6</t>
  </si>
  <si>
    <t>Volumen  suscr. Colegios</t>
  </si>
  <si>
    <t>Total mercado disponible</t>
  </si>
  <si>
    <t>Precio suscr. Colegios</t>
  </si>
  <si>
    <t>Mercado meta (%)</t>
  </si>
  <si>
    <t>Desarrolladores de videojuegos</t>
  </si>
  <si>
    <t>Mercado meta</t>
  </si>
  <si>
    <t>N° desarrolladores</t>
  </si>
  <si>
    <t>Expertos en STEAM</t>
  </si>
  <si>
    <t>N° Expertos</t>
  </si>
  <si>
    <t>Niños matriculados (%)</t>
  </si>
  <si>
    <t>Ingenieros (página web)</t>
  </si>
  <si>
    <t>Total niños matriculados</t>
  </si>
  <si>
    <t>N° ingenieros</t>
  </si>
  <si>
    <t>Estratos 3 a 6</t>
  </si>
  <si>
    <t>Factor prestacional</t>
  </si>
  <si>
    <t>Mercado disponible</t>
  </si>
  <si>
    <t>Aumento sueldos</t>
  </si>
  <si>
    <t>Servicios web</t>
  </si>
  <si>
    <t>Publicidad variable (depende de ingresos)</t>
  </si>
  <si>
    <t>Publicidad</t>
  </si>
  <si>
    <t>Inflación</t>
  </si>
  <si>
    <t>SMMLV</t>
  </si>
  <si>
    <t>Tasa fiscal</t>
  </si>
  <si>
    <t>CT inicial</t>
  </si>
  <si>
    <t>INGRESOS</t>
  </si>
  <si>
    <t>Ingresos suscripciones (indv.)</t>
  </si>
  <si>
    <t>Ingresos suscr. Colegios</t>
  </si>
  <si>
    <t>Ingresos totales</t>
  </si>
  <si>
    <t>GASTOS</t>
  </si>
  <si>
    <t>MOD</t>
  </si>
  <si>
    <t>Desarrolladores</t>
  </si>
  <si>
    <t>Desarrolladores + FP</t>
  </si>
  <si>
    <t>Expertos</t>
  </si>
  <si>
    <t>Expertos + FP</t>
  </si>
  <si>
    <t>Ingenieros</t>
  </si>
  <si>
    <t>Ingenieros + FP</t>
  </si>
  <si>
    <t>Total nómina</t>
  </si>
  <si>
    <t>CIF</t>
  </si>
  <si>
    <t>Gastos de publicidad</t>
  </si>
  <si>
    <t>Total CIF</t>
  </si>
  <si>
    <t>TOTAL GASTOS</t>
  </si>
  <si>
    <t>Utilidad operacional</t>
  </si>
  <si>
    <t>Impuesto operacional</t>
  </si>
  <si>
    <t>Utilidad después de impuestos</t>
  </si>
  <si>
    <t>Variación en CT neto</t>
  </si>
  <si>
    <t>CT neto</t>
  </si>
  <si>
    <t>CXC</t>
  </si>
  <si>
    <t>CXP</t>
  </si>
  <si>
    <t>Obligaciones laborales</t>
  </si>
  <si>
    <t>Año</t>
  </si>
  <si>
    <t>FCL</t>
  </si>
  <si>
    <t>FCL Ajustado</t>
  </si>
  <si>
    <t>Faltante</t>
  </si>
  <si>
    <t>Inversión</t>
  </si>
  <si>
    <t>Costo de oportunidad</t>
  </si>
  <si>
    <t>VPN</t>
  </si>
  <si>
    <t>PR</t>
  </si>
  <si>
    <t>RENTABILIDAD</t>
  </si>
  <si>
    <t>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</si>
</sst>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0000"/>
    <numFmt numFmtId="166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1" xfId="0" applyNumberFormat="1" applyBorder="1"/>
    <xf numFmtId="3" fontId="0" fillId="0" borderId="0" xfId="0" applyNumberFormat="1"/>
    <xf numFmtId="10" fontId="0" fillId="0" borderId="1" xfId="1" applyNumberFormat="1" applyFont="1" applyBorder="1"/>
    <xf numFmtId="3" fontId="0" fillId="2" borderId="1" xfId="0" applyNumberFormat="1" applyFill="1" applyBorder="1"/>
    <xf numFmtId="10" fontId="0" fillId="0" borderId="0" xfId="1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/>
    <xf numFmtId="3" fontId="0" fillId="3" borderId="1" xfId="0" applyNumberFormat="1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0BCC-B386-4418-809F-C19A8661B0D0}">
  <dimension ref="A1:J67"/>
  <sheetViews>
    <sheetView tabSelected="1" topLeftCell="A49" workbookViewId="0">
      <selection activeCell="F58" sqref="F58"/>
    </sheetView>
  </sheetViews>
  <sheetFormatPr baseColWidth="10" defaultRowHeight="15" x14ac:dyDescent="0.25"/>
  <cols>
    <col min="1" max="1" width="38.140625" customWidth="1"/>
    <col min="2" max="6" width="15.7109375" customWidth="1"/>
    <col min="7" max="7" width="5" customWidth="1"/>
    <col min="8" max="8" width="31.140625" customWidth="1"/>
    <col min="9" max="10" width="15.7109375" customWidth="1"/>
  </cols>
  <sheetData>
    <row r="1" spans="1:1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G1" s="2"/>
      <c r="H1" s="2"/>
      <c r="I1" s="2"/>
      <c r="J1" s="2"/>
    </row>
    <row r="2" spans="1:10" x14ac:dyDescent="0.25">
      <c r="A2" s="1" t="s">
        <v>4</v>
      </c>
      <c r="B2" s="7"/>
      <c r="C2" s="7"/>
      <c r="D2" s="7"/>
      <c r="E2" s="7"/>
      <c r="F2" s="2"/>
      <c r="G2" s="2"/>
      <c r="H2" s="2"/>
      <c r="I2" s="2"/>
      <c r="J2" s="2"/>
    </row>
    <row r="3" spans="1:10" x14ac:dyDescent="0.25">
      <c r="A3" s="1" t="s">
        <v>5</v>
      </c>
      <c r="B3" s="7"/>
      <c r="C3" s="7">
        <f>I7</f>
        <v>84736</v>
      </c>
      <c r="D3" s="7">
        <f>C3+C3*30%</f>
        <v>110156.8</v>
      </c>
      <c r="E3" s="7">
        <f>D3+D3*30%</f>
        <v>143203.84</v>
      </c>
      <c r="F3" s="2"/>
      <c r="G3" s="2"/>
      <c r="H3" s="1" t="s">
        <v>6</v>
      </c>
      <c r="I3" s="1">
        <v>8000000</v>
      </c>
      <c r="J3" s="2"/>
    </row>
    <row r="4" spans="1:10" x14ac:dyDescent="0.25">
      <c r="A4" s="1" t="s">
        <v>7</v>
      </c>
      <c r="B4" s="7"/>
      <c r="C4" s="7">
        <v>70000</v>
      </c>
      <c r="D4" s="7">
        <f>C4*(1+$B$18)</f>
        <v>72100</v>
      </c>
      <c r="E4" s="7">
        <f>D4*(1+$B$18)</f>
        <v>74263</v>
      </c>
      <c r="F4" s="2"/>
      <c r="G4" s="2"/>
      <c r="H4" s="1" t="s">
        <v>8</v>
      </c>
      <c r="I4" s="3">
        <v>0.52959999999999996</v>
      </c>
      <c r="J4" s="2"/>
    </row>
    <row r="5" spans="1:10" x14ac:dyDescent="0.25">
      <c r="A5" s="1" t="s">
        <v>9</v>
      </c>
      <c r="B5" s="7"/>
      <c r="C5" s="7">
        <f>I15</f>
        <v>18853.759999999998</v>
      </c>
      <c r="D5" s="7">
        <f>C5+C5*30%</f>
        <v>24509.887999999999</v>
      </c>
      <c r="E5" s="7">
        <f>D5+D5*30%</f>
        <v>31862.854399999997</v>
      </c>
      <c r="F5" s="2"/>
      <c r="G5" s="2"/>
      <c r="H5" s="1" t="s">
        <v>10</v>
      </c>
      <c r="I5" s="1">
        <f>I3*I4</f>
        <v>4236800</v>
      </c>
      <c r="J5" s="2"/>
    </row>
    <row r="6" spans="1:10" x14ac:dyDescent="0.25">
      <c r="A6" s="1" t="s">
        <v>11</v>
      </c>
      <c r="B6" s="7"/>
      <c r="C6" s="7">
        <v>50000</v>
      </c>
      <c r="D6" s="7">
        <f>C6*(1+$B$18)</f>
        <v>51500</v>
      </c>
      <c r="E6" s="7">
        <f>D6*(1+$B$18)</f>
        <v>53045</v>
      </c>
      <c r="F6" s="2"/>
      <c r="G6" s="2"/>
      <c r="H6" s="1" t="s">
        <v>12</v>
      </c>
      <c r="I6" s="3">
        <v>0.02</v>
      </c>
      <c r="J6" s="2"/>
    </row>
    <row r="7" spans="1:10" x14ac:dyDescent="0.25">
      <c r="A7" s="1" t="s">
        <v>13</v>
      </c>
      <c r="B7" s="7"/>
      <c r="C7" s="7">
        <f>I18*6</f>
        <v>4968696</v>
      </c>
      <c r="D7" s="7">
        <f>C7*(1+$B$14)</f>
        <v>5167443.84</v>
      </c>
      <c r="E7" s="7">
        <f>D7*(1+$B$14)</f>
        <v>5374141.5936000003</v>
      </c>
      <c r="F7" s="2"/>
      <c r="G7" s="2"/>
      <c r="H7" s="4" t="s">
        <v>14</v>
      </c>
      <c r="I7" s="4">
        <f>I5*I6</f>
        <v>84736</v>
      </c>
      <c r="J7" s="2"/>
    </row>
    <row r="8" spans="1:10" x14ac:dyDescent="0.25">
      <c r="A8" s="1" t="s">
        <v>15</v>
      </c>
      <c r="B8" s="7"/>
      <c r="C8" s="7">
        <v>9</v>
      </c>
      <c r="D8" s="7">
        <v>11</v>
      </c>
      <c r="E8" s="7">
        <v>11</v>
      </c>
      <c r="F8" s="2"/>
      <c r="G8" s="2"/>
      <c r="H8" s="2"/>
      <c r="I8" s="2"/>
      <c r="J8" s="2"/>
    </row>
    <row r="9" spans="1:10" x14ac:dyDescent="0.25">
      <c r="A9" s="1" t="s">
        <v>16</v>
      </c>
      <c r="B9" s="7"/>
      <c r="C9" s="7">
        <f>I18*5</f>
        <v>4140580</v>
      </c>
      <c r="D9" s="7">
        <f>C9*(1+$B$14)</f>
        <v>4306203.2</v>
      </c>
      <c r="E9" s="7">
        <f>D9*(1+$B$14)</f>
        <v>4478451.3280000007</v>
      </c>
      <c r="F9" s="2"/>
      <c r="G9" s="2"/>
      <c r="H9" s="2"/>
      <c r="I9" s="2"/>
      <c r="J9" s="2"/>
    </row>
    <row r="10" spans="1:10" x14ac:dyDescent="0.25">
      <c r="A10" s="1" t="s">
        <v>17</v>
      </c>
      <c r="B10" s="7"/>
      <c r="C10" s="7">
        <v>3</v>
      </c>
      <c r="D10" s="7">
        <v>4</v>
      </c>
      <c r="E10" s="7">
        <v>5</v>
      </c>
      <c r="F10" s="2"/>
      <c r="G10" s="2"/>
      <c r="H10" s="1" t="s">
        <v>18</v>
      </c>
      <c r="I10" s="3">
        <v>0.89</v>
      </c>
      <c r="J10" s="2"/>
    </row>
    <row r="11" spans="1:10" x14ac:dyDescent="0.25">
      <c r="A11" s="1" t="s">
        <v>19</v>
      </c>
      <c r="B11" s="7"/>
      <c r="C11" s="7">
        <f>I18*4</f>
        <v>3312464</v>
      </c>
      <c r="D11" s="7">
        <f>C11*(1+$B$14)</f>
        <v>3444962.56</v>
      </c>
      <c r="E11" s="7">
        <f>D11*(1+$B$14)</f>
        <v>3582761.0624000002</v>
      </c>
      <c r="F11" s="2"/>
      <c r="G11" s="2"/>
      <c r="H11" s="1" t="s">
        <v>20</v>
      </c>
      <c r="I11" s="1">
        <f>I10*I3</f>
        <v>7120000</v>
      </c>
      <c r="J11" s="2"/>
    </row>
    <row r="12" spans="1:10" x14ac:dyDescent="0.25">
      <c r="A12" s="1" t="s">
        <v>21</v>
      </c>
      <c r="B12" s="7"/>
      <c r="C12" s="7">
        <v>5</v>
      </c>
      <c r="D12" s="7">
        <v>7</v>
      </c>
      <c r="E12" s="7">
        <v>7</v>
      </c>
      <c r="F12" s="2"/>
      <c r="G12" s="2"/>
      <c r="H12" s="1" t="s">
        <v>22</v>
      </c>
      <c r="I12" s="3">
        <f>I4</f>
        <v>0.52959999999999996</v>
      </c>
      <c r="J12" s="2"/>
    </row>
    <row r="13" spans="1:10" x14ac:dyDescent="0.25">
      <c r="A13" s="1" t="s">
        <v>23</v>
      </c>
      <c r="B13" s="8">
        <v>0.5</v>
      </c>
      <c r="C13" s="7"/>
      <c r="D13" s="7"/>
      <c r="E13" s="7"/>
      <c r="F13" s="2"/>
      <c r="G13" s="2"/>
      <c r="H13" s="1" t="s">
        <v>24</v>
      </c>
      <c r="I13" s="1">
        <f>I12*I11</f>
        <v>3770751.9999999995</v>
      </c>
      <c r="J13" s="2"/>
    </row>
    <row r="14" spans="1:10" x14ac:dyDescent="0.25">
      <c r="A14" s="1" t="s">
        <v>25</v>
      </c>
      <c r="B14" s="8">
        <v>0.04</v>
      </c>
      <c r="C14" s="7"/>
      <c r="D14" s="7"/>
      <c r="E14" s="7"/>
      <c r="F14" s="2"/>
      <c r="G14" s="2"/>
      <c r="H14" s="1" t="s">
        <v>14</v>
      </c>
      <c r="I14" s="3">
        <v>5.0000000000000001E-3</v>
      </c>
      <c r="J14" s="2"/>
    </row>
    <row r="15" spans="1:10" x14ac:dyDescent="0.25">
      <c r="A15" s="1" t="s">
        <v>26</v>
      </c>
      <c r="B15" s="7">
        <v>70000000</v>
      </c>
      <c r="C15" s="7">
        <v>72000000</v>
      </c>
      <c r="D15" s="7">
        <v>72000000</v>
      </c>
      <c r="E15" s="7">
        <v>72000000</v>
      </c>
      <c r="F15" s="2"/>
      <c r="G15" s="2"/>
      <c r="H15" s="4" t="s">
        <v>14</v>
      </c>
      <c r="I15" s="4">
        <f>I14*I13</f>
        <v>18853.759999999998</v>
      </c>
      <c r="J15" s="2"/>
    </row>
    <row r="16" spans="1:10" x14ac:dyDescent="0.25">
      <c r="A16" s="1" t="s">
        <v>27</v>
      </c>
      <c r="B16" s="8">
        <v>0.1</v>
      </c>
      <c r="C16" s="8">
        <v>0.1</v>
      </c>
      <c r="D16" s="8">
        <v>0.1</v>
      </c>
      <c r="E16" s="8">
        <v>7.0000000000000007E-2</v>
      </c>
      <c r="F16" s="2"/>
      <c r="G16" s="2"/>
      <c r="H16" s="2"/>
      <c r="I16" s="2"/>
      <c r="J16" s="2"/>
    </row>
    <row r="17" spans="1:10" x14ac:dyDescent="0.25">
      <c r="A17" s="1" t="s">
        <v>28</v>
      </c>
      <c r="B17" s="7">
        <f>$I$18*9</f>
        <v>7453044</v>
      </c>
      <c r="C17" s="7">
        <f t="shared" ref="C17:E17" si="0">$I$18*9</f>
        <v>7453044</v>
      </c>
      <c r="D17" s="7">
        <f t="shared" si="0"/>
        <v>7453044</v>
      </c>
      <c r="E17" s="7">
        <f t="shared" si="0"/>
        <v>7453044</v>
      </c>
      <c r="F17" s="2"/>
      <c r="G17" s="2"/>
      <c r="H17" s="2"/>
      <c r="I17" s="2"/>
      <c r="J17" s="2"/>
    </row>
    <row r="18" spans="1:10" x14ac:dyDescent="0.25">
      <c r="A18" s="1" t="s">
        <v>29</v>
      </c>
      <c r="B18" s="8">
        <v>0.03</v>
      </c>
      <c r="C18" s="7"/>
      <c r="D18" s="7"/>
      <c r="E18" s="7"/>
      <c r="F18" s="2"/>
      <c r="G18" s="2"/>
      <c r="H18" s="2" t="s">
        <v>30</v>
      </c>
      <c r="I18" s="2">
        <v>828116</v>
      </c>
      <c r="J18" s="2"/>
    </row>
    <row r="19" spans="1:10" x14ac:dyDescent="0.25">
      <c r="A19" s="1" t="s">
        <v>31</v>
      </c>
      <c r="B19" s="8">
        <v>0.33</v>
      </c>
      <c r="C19" s="7"/>
      <c r="D19" s="7"/>
      <c r="E19" s="7"/>
      <c r="F19" s="2"/>
      <c r="G19" s="2"/>
      <c r="H19" s="2"/>
      <c r="I19" s="2"/>
      <c r="J19" s="2"/>
    </row>
    <row r="20" spans="1:10" x14ac:dyDescent="0.25">
      <c r="A20" s="1" t="s">
        <v>32</v>
      </c>
      <c r="B20" s="7">
        <v>365000000</v>
      </c>
      <c r="C20" s="7"/>
      <c r="D20" s="7"/>
      <c r="E20" s="7"/>
      <c r="F20" s="2"/>
      <c r="G20" s="2"/>
      <c r="H20" s="2"/>
      <c r="I20" s="2"/>
      <c r="J20" s="2"/>
    </row>
    <row r="21" spans="1:10" x14ac:dyDescent="0.25">
      <c r="A21" s="2"/>
      <c r="B21" s="5"/>
      <c r="C21" s="2"/>
      <c r="D21" s="2"/>
      <c r="E21" s="2"/>
      <c r="F21" s="2"/>
      <c r="G21" s="2">
        <f>C38/12</f>
        <v>57906153.666666664</v>
      </c>
      <c r="H21" s="2"/>
      <c r="I21" s="2"/>
      <c r="J21" s="2"/>
    </row>
    <row r="22" spans="1:10" x14ac:dyDescent="0.25">
      <c r="A22" s="17" t="s">
        <v>33</v>
      </c>
      <c r="B22" s="17"/>
      <c r="C22" s="17"/>
      <c r="D22" s="17"/>
      <c r="E22" s="17"/>
      <c r="F22" s="2"/>
      <c r="G22" s="2"/>
      <c r="H22" s="2"/>
      <c r="I22" s="2"/>
      <c r="J22" s="2"/>
    </row>
    <row r="23" spans="1:10" x14ac:dyDescent="0.25">
      <c r="A23" s="1" t="s">
        <v>34</v>
      </c>
      <c r="B23" s="7"/>
      <c r="C23" s="7">
        <f>C3*C4</f>
        <v>5931520000</v>
      </c>
      <c r="D23" s="7">
        <f t="shared" ref="D23:E23" si="1">D3*D4</f>
        <v>7942305280</v>
      </c>
      <c r="E23" s="7">
        <f t="shared" si="1"/>
        <v>10634746769.92</v>
      </c>
      <c r="F23" s="2"/>
      <c r="G23" s="2"/>
      <c r="H23" s="2"/>
      <c r="I23" s="2"/>
      <c r="J23" s="2"/>
    </row>
    <row r="24" spans="1:10" x14ac:dyDescent="0.25">
      <c r="A24" s="1" t="s">
        <v>35</v>
      </c>
      <c r="B24" s="7"/>
      <c r="C24" s="7">
        <f>C5*C6</f>
        <v>942687999.99999988</v>
      </c>
      <c r="D24" s="7">
        <f t="shared" ref="D24:E24" si="2">D5*D6</f>
        <v>1262259232</v>
      </c>
      <c r="E24" s="7">
        <f t="shared" si="2"/>
        <v>1690165111.6479998</v>
      </c>
      <c r="F24" s="2"/>
      <c r="G24" s="2"/>
      <c r="H24" s="2"/>
      <c r="I24" s="2"/>
      <c r="J24" s="2"/>
    </row>
    <row r="25" spans="1:10" x14ac:dyDescent="0.25">
      <c r="A25" s="4" t="s">
        <v>36</v>
      </c>
      <c r="B25" s="9"/>
      <c r="C25" s="9">
        <f>C23+C24</f>
        <v>6874208000</v>
      </c>
      <c r="D25" s="9">
        <f t="shared" ref="D25:E25" si="3">D23+D24</f>
        <v>9204564512</v>
      </c>
      <c r="E25" s="9">
        <f t="shared" si="3"/>
        <v>12324911881.568001</v>
      </c>
      <c r="F25" s="2"/>
      <c r="G25" s="2"/>
      <c r="H25" s="2"/>
      <c r="I25" s="2"/>
      <c r="J25" s="2"/>
    </row>
    <row r="26" spans="1:1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17" t="s">
        <v>37</v>
      </c>
      <c r="B27" s="17"/>
      <c r="C27" s="17"/>
      <c r="D27" s="17"/>
      <c r="E27" s="17"/>
      <c r="F27" s="2"/>
      <c r="G27" s="2"/>
      <c r="H27" s="2"/>
      <c r="I27" s="2"/>
      <c r="J27" s="2"/>
    </row>
    <row r="28" spans="1:10" x14ac:dyDescent="0.25">
      <c r="A28" s="17" t="s">
        <v>38</v>
      </c>
      <c r="B28" s="17"/>
      <c r="C28" s="17"/>
      <c r="D28" s="17"/>
      <c r="E28" s="17"/>
      <c r="F28" s="2"/>
      <c r="G28" s="2"/>
      <c r="H28" s="2"/>
      <c r="I28" s="2"/>
      <c r="J28" s="2"/>
    </row>
    <row r="29" spans="1:10" x14ac:dyDescent="0.25">
      <c r="A29" s="1" t="s">
        <v>39</v>
      </c>
      <c r="B29" s="7"/>
      <c r="C29" s="7">
        <f>C7*C8*12</f>
        <v>536619168</v>
      </c>
      <c r="D29" s="7">
        <f t="shared" ref="D29:E29" si="4">D7*D8*12</f>
        <v>682102586.87999988</v>
      </c>
      <c r="E29" s="7">
        <f t="shared" si="4"/>
        <v>709386690.35520005</v>
      </c>
      <c r="F29" s="2"/>
      <c r="G29" s="2"/>
      <c r="H29" s="2"/>
      <c r="I29" s="2"/>
      <c r="J29" s="2"/>
    </row>
    <row r="30" spans="1:10" x14ac:dyDescent="0.25">
      <c r="A30" s="1" t="s">
        <v>40</v>
      </c>
      <c r="B30" s="7"/>
      <c r="C30" s="7">
        <f>C29*(1+$B$13)</f>
        <v>804928752</v>
      </c>
      <c r="D30" s="7">
        <f t="shared" ref="D30:E30" si="5">D29*(1+$B$13)</f>
        <v>1023153880.3199998</v>
      </c>
      <c r="E30" s="7">
        <f t="shared" si="5"/>
        <v>1064080035.5328001</v>
      </c>
      <c r="F30" s="2"/>
      <c r="G30" s="2"/>
      <c r="H30" s="2"/>
      <c r="I30" s="2"/>
      <c r="J30" s="2"/>
    </row>
    <row r="31" spans="1:10" x14ac:dyDescent="0.25">
      <c r="A31" s="1" t="s">
        <v>41</v>
      </c>
      <c r="B31" s="7"/>
      <c r="C31" s="7">
        <f>C10*C9*12</f>
        <v>149060880</v>
      </c>
      <c r="D31" s="7">
        <f t="shared" ref="D31:E31" si="6">D10*D9*12</f>
        <v>206697753.60000002</v>
      </c>
      <c r="E31" s="7">
        <f t="shared" si="6"/>
        <v>268707079.68000007</v>
      </c>
      <c r="F31" s="2"/>
      <c r="G31" s="2"/>
      <c r="H31" s="2"/>
      <c r="I31" s="2"/>
      <c r="J31" s="2"/>
    </row>
    <row r="32" spans="1:10" x14ac:dyDescent="0.25">
      <c r="A32" s="1" t="s">
        <v>42</v>
      </c>
      <c r="B32" s="7"/>
      <c r="C32" s="7">
        <f>C31*(1+$B$13)</f>
        <v>223591320</v>
      </c>
      <c r="D32" s="7">
        <f t="shared" ref="D32:E32" si="7">D31*(1+$B$13)</f>
        <v>310046630.40000004</v>
      </c>
      <c r="E32" s="7">
        <f t="shared" si="7"/>
        <v>403060619.5200001</v>
      </c>
      <c r="F32" s="2"/>
      <c r="G32" s="2"/>
      <c r="H32" s="2"/>
      <c r="I32" s="2"/>
      <c r="J32" s="2"/>
    </row>
    <row r="33" spans="1:10" x14ac:dyDescent="0.25">
      <c r="A33" s="1" t="s">
        <v>43</v>
      </c>
      <c r="B33" s="7"/>
      <c r="C33" s="7">
        <f>C11*C12*12</f>
        <v>198747840</v>
      </c>
      <c r="D33" s="7">
        <f>D11*D12*12</f>
        <v>289376855.04000002</v>
      </c>
      <c r="E33" s="7">
        <f t="shared" ref="E33" si="8">E11*E12*12</f>
        <v>300951929.24160004</v>
      </c>
      <c r="F33" s="2"/>
      <c r="G33" s="2"/>
      <c r="H33" s="2"/>
      <c r="I33" s="2"/>
      <c r="J33" s="2"/>
    </row>
    <row r="34" spans="1:10" x14ac:dyDescent="0.25">
      <c r="A34" s="1" t="s">
        <v>44</v>
      </c>
      <c r="B34" s="7"/>
      <c r="C34" s="7">
        <f>C33*(1+$B$13)</f>
        <v>298121760</v>
      </c>
      <c r="D34" s="7">
        <f t="shared" ref="D34:E34" si="9">D33*(1+$B$13)</f>
        <v>434065282.56000006</v>
      </c>
      <c r="E34" s="7">
        <f t="shared" si="9"/>
        <v>451427893.86240005</v>
      </c>
      <c r="F34" s="2"/>
      <c r="G34" s="2"/>
      <c r="H34" s="2"/>
      <c r="I34" s="2"/>
      <c r="J34" s="2"/>
    </row>
    <row r="35" spans="1:10" x14ac:dyDescent="0.25">
      <c r="A35" s="1" t="s">
        <v>45</v>
      </c>
      <c r="B35" s="7"/>
      <c r="C35" s="7">
        <f>C30+C32+C34</f>
        <v>1326641832</v>
      </c>
      <c r="D35" s="7">
        <f t="shared" ref="D35:E35" si="10">D30+D32+D34</f>
        <v>1767265793.2799997</v>
      </c>
      <c r="E35" s="7">
        <f t="shared" si="10"/>
        <v>1918568548.9152002</v>
      </c>
      <c r="F35" s="2"/>
      <c r="G35" s="2"/>
      <c r="H35" s="2"/>
      <c r="I35" s="2"/>
      <c r="J35" s="2"/>
    </row>
    <row r="36" spans="1:10" x14ac:dyDescent="0.25">
      <c r="A36" s="17" t="s">
        <v>46</v>
      </c>
      <c r="B36" s="17"/>
      <c r="C36" s="17"/>
      <c r="D36" s="17"/>
      <c r="E36" s="17"/>
      <c r="F36" s="2"/>
      <c r="G36" s="2"/>
      <c r="H36" s="2"/>
      <c r="I36" s="2"/>
      <c r="J36" s="2"/>
    </row>
    <row r="37" spans="1:10" x14ac:dyDescent="0.25">
      <c r="A37" s="1" t="s">
        <v>26</v>
      </c>
      <c r="B37" s="7">
        <f>B15</f>
        <v>70000000</v>
      </c>
      <c r="C37" s="7">
        <f>C15</f>
        <v>72000000</v>
      </c>
      <c r="D37" s="7">
        <f>D15</f>
        <v>72000000</v>
      </c>
      <c r="E37" s="7">
        <f>E15</f>
        <v>72000000</v>
      </c>
      <c r="F37" s="2"/>
      <c r="G37" s="2"/>
      <c r="H37" s="2"/>
      <c r="I37" s="2"/>
      <c r="J37" s="2"/>
    </row>
    <row r="38" spans="1:10" x14ac:dyDescent="0.25">
      <c r="A38" s="1" t="s">
        <v>47</v>
      </c>
      <c r="B38" s="7">
        <f>B17+(B25*B16)</f>
        <v>7453044</v>
      </c>
      <c r="C38" s="7">
        <f>C17+(C25*C16)</f>
        <v>694873844</v>
      </c>
      <c r="D38" s="7">
        <f t="shared" ref="C38:E38" si="11">D17+(D25*D16)</f>
        <v>927909495.20000005</v>
      </c>
      <c r="E38" s="7">
        <f t="shared" si="11"/>
        <v>870196875.70976019</v>
      </c>
      <c r="F38" s="2"/>
      <c r="G38" s="2"/>
      <c r="H38" s="2"/>
      <c r="I38" s="2"/>
      <c r="J38" s="2"/>
    </row>
    <row r="39" spans="1:10" x14ac:dyDescent="0.25">
      <c r="A39" s="1" t="s">
        <v>48</v>
      </c>
      <c r="B39" s="7">
        <f>B37+B38</f>
        <v>77453044</v>
      </c>
      <c r="C39" s="7">
        <f t="shared" ref="C39:E39" si="12">C37+C38</f>
        <v>766873844</v>
      </c>
      <c r="D39" s="7">
        <f t="shared" si="12"/>
        <v>999909495.20000005</v>
      </c>
      <c r="E39" s="7">
        <f t="shared" si="12"/>
        <v>942196875.70976019</v>
      </c>
      <c r="F39" s="2"/>
      <c r="G39" s="2"/>
      <c r="H39" s="2"/>
      <c r="I39" s="2"/>
      <c r="J39" s="2"/>
    </row>
    <row r="40" spans="1:10" x14ac:dyDescent="0.25">
      <c r="A40" s="4" t="s">
        <v>49</v>
      </c>
      <c r="B40" s="9">
        <f>B35+B39</f>
        <v>77453044</v>
      </c>
      <c r="C40" s="9">
        <f t="shared" ref="C40:E40" si="13">C35+C39</f>
        <v>2093515676</v>
      </c>
      <c r="D40" s="9">
        <f t="shared" si="13"/>
        <v>2767175288.4799995</v>
      </c>
      <c r="E40" s="9">
        <f t="shared" si="13"/>
        <v>2860765424.6249604</v>
      </c>
      <c r="F40" s="2"/>
      <c r="G40" s="2"/>
      <c r="H40" s="2"/>
      <c r="I40" s="2"/>
      <c r="J40" s="2"/>
    </row>
    <row r="41" spans="1:1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1" t="s">
        <v>50</v>
      </c>
      <c r="B43" s="7">
        <f>B25-B40</f>
        <v>-77453044</v>
      </c>
      <c r="C43" s="7">
        <f t="shared" ref="C43" si="14">C25-C40</f>
        <v>4780692324</v>
      </c>
      <c r="D43" s="7">
        <f>D25-D40</f>
        <v>6437389223.5200005</v>
      </c>
      <c r="E43" s="7">
        <f>E25-E40</f>
        <v>9464146456.9430408</v>
      </c>
      <c r="F43" s="2"/>
      <c r="G43" s="2"/>
      <c r="H43" s="2"/>
      <c r="I43" s="2"/>
      <c r="J43" s="2"/>
    </row>
    <row r="44" spans="1:10" x14ac:dyDescent="0.25">
      <c r="A44" s="1" t="s">
        <v>51</v>
      </c>
      <c r="B44" s="7">
        <f>IF(B43&lt;0,0,B43*$B$19)</f>
        <v>0</v>
      </c>
      <c r="C44" s="7">
        <f t="shared" ref="C44:E44" si="15">IF(C43&lt;0,0,C43*$B$19)</f>
        <v>1577628466.9200001</v>
      </c>
      <c r="D44" s="7">
        <f>IF(D43&lt;0,0,D43*$B$19)</f>
        <v>2124338443.7616003</v>
      </c>
      <c r="E44" s="7">
        <f t="shared" si="15"/>
        <v>3123168330.7912035</v>
      </c>
      <c r="F44" s="2"/>
      <c r="G44" s="2"/>
      <c r="H44" s="2"/>
      <c r="I44" s="2"/>
      <c r="J44" s="2"/>
    </row>
    <row r="45" spans="1:10" x14ac:dyDescent="0.25">
      <c r="A45" s="6" t="s">
        <v>52</v>
      </c>
      <c r="B45" s="10">
        <f>B43-B44</f>
        <v>-77453044</v>
      </c>
      <c r="C45" s="10">
        <f>C43-C44</f>
        <v>3203063857.0799999</v>
      </c>
      <c r="D45" s="10">
        <f t="shared" ref="D45:E45" si="16">D43-D44</f>
        <v>4313050779.7584</v>
      </c>
      <c r="E45" s="10">
        <f t="shared" si="16"/>
        <v>6340978126.1518373</v>
      </c>
      <c r="F45" s="2"/>
      <c r="G45" s="2"/>
      <c r="H45" s="2"/>
      <c r="I45" s="2"/>
      <c r="J45" s="2"/>
    </row>
    <row r="46" spans="1:10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1" t="s">
        <v>53</v>
      </c>
      <c r="B48" s="7"/>
      <c r="C48" s="7">
        <f>C49-B49</f>
        <v>-82546602.88000001</v>
      </c>
      <c r="D48" s="7">
        <f t="shared" ref="D48:E48" si="17">D49-C49</f>
        <v>-27416602.0352</v>
      </c>
      <c r="E48" s="7">
        <f t="shared" si="17"/>
        <v>-9414393.6839680225</v>
      </c>
      <c r="F48" s="2"/>
      <c r="G48" s="2"/>
      <c r="H48" s="2"/>
      <c r="I48" s="2"/>
      <c r="J48" s="2"/>
    </row>
    <row r="49" spans="1:10" x14ac:dyDescent="0.25">
      <c r="A49" s="1" t="s">
        <v>54</v>
      </c>
      <c r="B49" s="7">
        <f>B50-B51</f>
        <v>0</v>
      </c>
      <c r="C49" s="7">
        <f t="shared" ref="C49:E49" si="18">C50-C51</f>
        <v>-82546602.88000001</v>
      </c>
      <c r="D49" s="7">
        <f t="shared" si="18"/>
        <v>-109963204.91520001</v>
      </c>
      <c r="E49" s="7">
        <f t="shared" si="18"/>
        <v>-119377598.59916803</v>
      </c>
      <c r="F49" s="2"/>
      <c r="G49" s="2"/>
      <c r="H49" s="2"/>
      <c r="I49" s="2"/>
      <c r="J49" s="2"/>
    </row>
    <row r="50" spans="1:10" x14ac:dyDescent="0.25">
      <c r="A50" s="1" t="s">
        <v>55</v>
      </c>
      <c r="B50" s="7">
        <v>0</v>
      </c>
      <c r="C50" s="7">
        <v>0</v>
      </c>
      <c r="D50" s="7">
        <v>0</v>
      </c>
      <c r="E50" s="7">
        <v>0</v>
      </c>
      <c r="F50" s="2"/>
      <c r="G50" s="2"/>
      <c r="H50" s="2"/>
      <c r="I50" s="2"/>
      <c r="J50" s="2"/>
    </row>
    <row r="51" spans="1:10" x14ac:dyDescent="0.25">
      <c r="A51" s="1" t="s">
        <v>56</v>
      </c>
      <c r="B51" s="7">
        <f>B52</f>
        <v>0</v>
      </c>
      <c r="C51" s="7">
        <f t="shared" ref="C51:E51" si="19">C52</f>
        <v>82546602.88000001</v>
      </c>
      <c r="D51" s="7">
        <f t="shared" si="19"/>
        <v>109963204.91520001</v>
      </c>
      <c r="E51" s="7">
        <f t="shared" si="19"/>
        <v>119377598.59916803</v>
      </c>
      <c r="F51" s="2"/>
      <c r="G51" s="2"/>
      <c r="H51" s="2"/>
      <c r="I51" s="2"/>
      <c r="J51" s="2"/>
    </row>
    <row r="52" spans="1:10" x14ac:dyDescent="0.25">
      <c r="A52" s="1" t="s">
        <v>57</v>
      </c>
      <c r="B52" s="7">
        <f>((B7*B8)+(B9*B10)+(B11*B12))*1.12</f>
        <v>0</v>
      </c>
      <c r="C52" s="7">
        <f>((C7*C8)+(C9*C10)+(C11*C12))*1.12</f>
        <v>82546602.88000001</v>
      </c>
      <c r="D52" s="7">
        <f t="shared" ref="D52:E52" si="20">((D7*D8)+(D9*D10)+(D11*D12))*1.12</f>
        <v>109963204.91520001</v>
      </c>
      <c r="E52" s="7">
        <f t="shared" si="20"/>
        <v>119377598.59916803</v>
      </c>
      <c r="F52" s="2"/>
      <c r="G52" s="2"/>
      <c r="H52" s="2"/>
      <c r="I52" s="2"/>
      <c r="J52" s="2"/>
    </row>
    <row r="53" spans="1:10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1" t="str">
        <f>A45</f>
        <v>Utilidad después de impuestos</v>
      </c>
      <c r="B54" s="7">
        <f t="shared" ref="B54:E54" si="21">B45</f>
        <v>-77453044</v>
      </c>
      <c r="C54" s="7">
        <f t="shared" si="21"/>
        <v>3203063857.0799999</v>
      </c>
      <c r="D54" s="7">
        <f t="shared" si="21"/>
        <v>4313050779.7584</v>
      </c>
      <c r="E54" s="7">
        <f t="shared" si="21"/>
        <v>6340978126.1518373</v>
      </c>
      <c r="F54" s="2"/>
      <c r="G54" s="2"/>
      <c r="H54" s="2"/>
      <c r="I54" s="2"/>
      <c r="J54" s="2"/>
    </row>
    <row r="55" spans="1:10" x14ac:dyDescent="0.25">
      <c r="A55" s="1" t="str">
        <f>A48</f>
        <v>Variación en CT neto</v>
      </c>
      <c r="B55" s="7">
        <f t="shared" ref="B55:E55" si="22">B48</f>
        <v>0</v>
      </c>
      <c r="C55" s="7">
        <f t="shared" si="22"/>
        <v>-82546602.88000001</v>
      </c>
      <c r="D55" s="7">
        <f t="shared" si="22"/>
        <v>-27416602.0352</v>
      </c>
      <c r="E55" s="7">
        <f t="shared" si="22"/>
        <v>-9414393.6839680225</v>
      </c>
      <c r="F55" s="2"/>
      <c r="G55" s="7" t="s">
        <v>58</v>
      </c>
      <c r="H55" s="9" t="s">
        <v>59</v>
      </c>
      <c r="I55" s="7" t="s">
        <v>60</v>
      </c>
      <c r="J55" s="7" t="s">
        <v>61</v>
      </c>
    </row>
    <row r="56" spans="1:10" x14ac:dyDescent="0.25">
      <c r="A56" s="1" t="s">
        <v>62</v>
      </c>
      <c r="B56" s="7">
        <f>B20</f>
        <v>365000000</v>
      </c>
      <c r="C56" s="7"/>
      <c r="D56" s="7"/>
      <c r="E56" s="7"/>
      <c r="F56" s="2"/>
      <c r="G56" s="7">
        <v>0</v>
      </c>
      <c r="H56" s="9">
        <f>+B57</f>
        <v>-442453044</v>
      </c>
      <c r="I56" s="7">
        <f>H56/(1+$B$59)^G56</f>
        <v>-442453044</v>
      </c>
      <c r="J56" s="7">
        <f>-I56</f>
        <v>442453044</v>
      </c>
    </row>
    <row r="57" spans="1:10" x14ac:dyDescent="0.25">
      <c r="A57" s="4" t="s">
        <v>59</v>
      </c>
      <c r="B57" s="9">
        <f>B54-B55-B56</f>
        <v>-442453044</v>
      </c>
      <c r="C57" s="9">
        <f t="shared" ref="C57:E57" si="23">C54-C55-C56</f>
        <v>3285610459.96</v>
      </c>
      <c r="D57" s="9">
        <f t="shared" si="23"/>
        <v>4340467381.7936001</v>
      </c>
      <c r="E57" s="9">
        <f t="shared" si="23"/>
        <v>6350392519.8358049</v>
      </c>
      <c r="F57" s="2"/>
      <c r="G57" s="7">
        <v>1</v>
      </c>
      <c r="H57" s="9">
        <f>+C57</f>
        <v>3285610459.96</v>
      </c>
      <c r="I57" s="7">
        <f>H57/(1+$B$59)^G57</f>
        <v>2857052573.8782611</v>
      </c>
      <c r="J57" s="7">
        <f>+J56-I57</f>
        <v>-2414599529.8782611</v>
      </c>
    </row>
    <row r="58" spans="1:10" x14ac:dyDescent="0.25">
      <c r="A58" s="2"/>
      <c r="B58" s="2"/>
      <c r="C58" s="2"/>
      <c r="D58" s="2"/>
      <c r="E58" s="2"/>
      <c r="F58" s="2"/>
      <c r="G58" s="7">
        <v>2</v>
      </c>
      <c r="H58" s="9">
        <f>+D57</f>
        <v>4340467381.7936001</v>
      </c>
      <c r="I58" s="7">
        <f>H58/(1+$B$59)^G58</f>
        <v>3282016923.8514938</v>
      </c>
      <c r="J58" s="7">
        <f>+J57-I58</f>
        <v>-5696616453.7297554</v>
      </c>
    </row>
    <row r="59" spans="1:10" x14ac:dyDescent="0.25">
      <c r="A59" s="2" t="s">
        <v>63</v>
      </c>
      <c r="B59" s="11">
        <v>0.15</v>
      </c>
      <c r="C59" s="2"/>
      <c r="D59" s="2"/>
      <c r="E59" s="2"/>
      <c r="F59" s="2"/>
      <c r="G59" s="7">
        <v>3</v>
      </c>
      <c r="H59" s="9">
        <f>+E57</f>
        <v>6350392519.8358049</v>
      </c>
      <c r="I59" s="7">
        <f>H59/(1+$B$59)^G59</f>
        <v>4175486164.1067195</v>
      </c>
      <c r="J59" s="7">
        <f>+J58-I59</f>
        <v>-9872102617.8364754</v>
      </c>
    </row>
    <row r="60" spans="1:1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13" t="s">
        <v>64</v>
      </c>
      <c r="B61" s="14">
        <f>NPV(B59,C57:E57)+B57</f>
        <v>9872102617.8364735</v>
      </c>
      <c r="C61" s="2"/>
      <c r="D61" s="2"/>
      <c r="E61" s="2"/>
      <c r="F61" s="2"/>
      <c r="G61" s="2"/>
      <c r="H61" s="2"/>
      <c r="I61" s="7" t="s">
        <v>65</v>
      </c>
      <c r="J61" s="12">
        <f>G56+J56/I57</f>
        <v>0.15486345895252429</v>
      </c>
    </row>
    <row r="62" spans="1:10" x14ac:dyDescent="0.25">
      <c r="A62" s="13" t="s">
        <v>66</v>
      </c>
      <c r="B62" s="15">
        <f>MIRR(B57:E57,B59,B59)</f>
        <v>2.2851783534438979</v>
      </c>
      <c r="C62" s="2"/>
      <c r="D62" s="2"/>
      <c r="E62" s="2"/>
      <c r="F62" s="2"/>
      <c r="G62" s="2"/>
      <c r="H62" s="2"/>
      <c r="I62" s="2"/>
      <c r="J62" s="2"/>
    </row>
    <row r="63" spans="1:10" x14ac:dyDescent="0.25">
      <c r="A63" s="13" t="s">
        <v>67</v>
      </c>
      <c r="B63" s="15">
        <f>IRR(B57:E57)</f>
        <v>7.7367697241292461</v>
      </c>
      <c r="C63" s="2"/>
      <c r="D63" s="5"/>
      <c r="E63" s="2"/>
      <c r="F63" s="2"/>
      <c r="G63" s="2"/>
      <c r="H63" s="2"/>
      <c r="I63" s="2"/>
      <c r="J63" s="2"/>
    </row>
    <row r="64" spans="1:10" x14ac:dyDescent="0.25">
      <c r="A64" s="13" t="s">
        <v>65</v>
      </c>
      <c r="B64" s="16">
        <f>J61</f>
        <v>0.15486345895252429</v>
      </c>
      <c r="C64" s="2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</sheetData>
  <mergeCells count="4">
    <mergeCell ref="A22:E22"/>
    <mergeCell ref="A27:E27"/>
    <mergeCell ref="A28:E28"/>
    <mergeCell ref="A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2019-10-26T19:27:12Z</dcterms:created>
  <dcterms:modified xsi:type="dcterms:W3CDTF">2019-10-26T20:25:43Z</dcterms:modified>
</cp:coreProperties>
</file>