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ves\"/>
    </mc:Choice>
  </mc:AlternateContent>
  <bookViews>
    <workbookView xWindow="480" yWindow="360" windowWidth="19810" windowHeight="7660" firstSheet="5" activeTab="5"/>
  </bookViews>
  <sheets>
    <sheet name="Supuestos" sheetId="4" r:id="rId1"/>
    <sheet name="Proyección Ventas" sheetId="6" r:id="rId2"/>
    <sheet name="Inversión" sheetId="7" r:id="rId3"/>
    <sheet name="Cs Prod" sheetId="11" r:id="rId4"/>
    <sheet name="Cs Adm" sheetId="10" r:id="rId5"/>
    <sheet name="Caso Biosano" sheetId="15" r:id="rId6"/>
  </sheets>
  <calcPr calcId="162913"/>
</workbook>
</file>

<file path=xl/calcChain.xml><?xml version="1.0" encoding="utf-8"?>
<calcChain xmlns="http://schemas.openxmlformats.org/spreadsheetml/2006/main">
  <c r="C45" i="15" l="1"/>
  <c r="D39" i="15"/>
  <c r="D19" i="15" s="1"/>
  <c r="E38" i="15"/>
  <c r="E39" i="15" s="1"/>
  <c r="E19" i="15" s="1"/>
  <c r="F38" i="15"/>
  <c r="F39" i="15" s="1"/>
  <c r="F19" i="15" s="1"/>
  <c r="G38" i="15"/>
  <c r="H38" i="15"/>
  <c r="D38" i="15"/>
  <c r="E9" i="15"/>
  <c r="F9" i="15"/>
  <c r="G9" i="15"/>
  <c r="H9" i="15"/>
  <c r="D9" i="15"/>
  <c r="C5" i="15"/>
  <c r="C11" i="15" s="1"/>
  <c r="D10" i="15"/>
  <c r="D20" i="15" s="1"/>
  <c r="H39" i="15" l="1"/>
  <c r="H19" i="15" s="1"/>
  <c r="D11" i="15"/>
  <c r="D13" i="15" s="1"/>
  <c r="G39" i="15"/>
  <c r="G19" i="15" s="1"/>
  <c r="H10" i="15"/>
  <c r="H20" i="15" s="1"/>
  <c r="G10" i="15"/>
  <c r="G20" i="15" s="1"/>
  <c r="C14" i="15"/>
  <c r="E10" i="15"/>
  <c r="E20" i="15" s="1"/>
  <c r="F10" i="15"/>
  <c r="F20" i="15" s="1"/>
  <c r="C7" i="10"/>
  <c r="F7" i="10" s="1"/>
  <c r="C6" i="10"/>
  <c r="C5" i="10"/>
  <c r="G14" i="11"/>
  <c r="D14" i="11"/>
  <c r="D13" i="11"/>
  <c r="E13" i="11"/>
  <c r="H25" i="7"/>
  <c r="I25" i="7" s="1"/>
  <c r="E19" i="7"/>
  <c r="B11" i="6"/>
  <c r="C12" i="10"/>
  <c r="G12" i="10" s="1"/>
  <c r="K62" i="11"/>
  <c r="N62" i="11" s="1"/>
  <c r="E14" i="6"/>
  <c r="E15" i="6"/>
  <c r="E16" i="6"/>
  <c r="E17" i="6"/>
  <c r="E13" i="6"/>
  <c r="C11" i="10"/>
  <c r="H11" i="10" s="1"/>
  <c r="C10" i="10"/>
  <c r="H10" i="10" s="1"/>
  <c r="C9" i="10"/>
  <c r="H9" i="10" s="1"/>
  <c r="C8" i="10"/>
  <c r="H8" i="10" s="1"/>
  <c r="S62" i="11"/>
  <c r="T62" i="11"/>
  <c r="U62" i="11"/>
  <c r="Q63" i="11"/>
  <c r="P63" i="11"/>
  <c r="N63" i="11"/>
  <c r="V63" i="11" s="1"/>
  <c r="M63" i="11"/>
  <c r="K63" i="11"/>
  <c r="J63" i="11"/>
  <c r="H63" i="11"/>
  <c r="T63" i="11" s="1"/>
  <c r="G63" i="11"/>
  <c r="E63" i="11"/>
  <c r="D63" i="11"/>
  <c r="Q61" i="11"/>
  <c r="W61" i="11" s="1"/>
  <c r="P61" i="11"/>
  <c r="N61" i="11"/>
  <c r="M61" i="11"/>
  <c r="K61" i="11"/>
  <c r="J61" i="11"/>
  <c r="H61" i="11"/>
  <c r="G61" i="11"/>
  <c r="E61" i="11"/>
  <c r="S61" i="11" s="1"/>
  <c r="D61" i="11"/>
  <c r="Q60" i="11"/>
  <c r="W60" i="11" s="1"/>
  <c r="N60" i="11"/>
  <c r="V60" i="11" s="1"/>
  <c r="K60" i="11"/>
  <c r="U60" i="11" s="1"/>
  <c r="H60" i="11"/>
  <c r="T60" i="11" s="1"/>
  <c r="E60" i="11"/>
  <c r="S60" i="11" s="1"/>
  <c r="P59" i="11"/>
  <c r="M59" i="11"/>
  <c r="J59" i="11"/>
  <c r="G59" i="11"/>
  <c r="D59" i="11"/>
  <c r="Q58" i="11"/>
  <c r="P58" i="11"/>
  <c r="N58" i="11"/>
  <c r="M58" i="11"/>
  <c r="K58" i="11"/>
  <c r="J58" i="11"/>
  <c r="H58" i="11"/>
  <c r="G58" i="11"/>
  <c r="E58" i="11"/>
  <c r="D58" i="11"/>
  <c r="Q57" i="11"/>
  <c r="W57" i="11" s="1"/>
  <c r="N57" i="11"/>
  <c r="V57" i="11" s="1"/>
  <c r="K57" i="11"/>
  <c r="U57" i="11" s="1"/>
  <c r="H57" i="11"/>
  <c r="T57" i="11" s="1"/>
  <c r="E57" i="11"/>
  <c r="S57" i="11" s="1"/>
  <c r="P16" i="11"/>
  <c r="M16" i="11"/>
  <c r="J16" i="11"/>
  <c r="G16" i="11"/>
  <c r="Q24" i="11"/>
  <c r="Q23" i="11"/>
  <c r="Q22" i="11"/>
  <c r="N24" i="11"/>
  <c r="N23" i="11"/>
  <c r="N22" i="11"/>
  <c r="K24" i="11"/>
  <c r="K23" i="11"/>
  <c r="K22" i="11"/>
  <c r="H24" i="11"/>
  <c r="H23" i="11"/>
  <c r="H22" i="11"/>
  <c r="E24" i="11"/>
  <c r="E23" i="11"/>
  <c r="E22" i="11"/>
  <c r="Q17" i="11"/>
  <c r="P17" i="11"/>
  <c r="Q16" i="11"/>
  <c r="Q15" i="11"/>
  <c r="P14" i="11"/>
  <c r="Q13" i="11"/>
  <c r="P13" i="11"/>
  <c r="Q12" i="11"/>
  <c r="N17" i="11"/>
  <c r="M17" i="11"/>
  <c r="N16" i="11"/>
  <c r="N15" i="11"/>
  <c r="M14" i="11"/>
  <c r="N13" i="11"/>
  <c r="M13" i="11"/>
  <c r="N12" i="11"/>
  <c r="K17" i="11"/>
  <c r="J17" i="11"/>
  <c r="K16" i="11"/>
  <c r="K15" i="11"/>
  <c r="J14" i="11"/>
  <c r="K13" i="11"/>
  <c r="J13" i="11"/>
  <c r="K12" i="11"/>
  <c r="H17" i="11"/>
  <c r="G17" i="11"/>
  <c r="H16" i="11"/>
  <c r="H15" i="11"/>
  <c r="H13" i="11"/>
  <c r="G13" i="11"/>
  <c r="H12" i="11"/>
  <c r="E17" i="11"/>
  <c r="E16" i="11"/>
  <c r="E15" i="11"/>
  <c r="E12" i="11"/>
  <c r="S12" i="11" s="1"/>
  <c r="C27" i="15" l="1"/>
  <c r="C17" i="15"/>
  <c r="C21" i="15" s="1"/>
  <c r="E11" i="15"/>
  <c r="E13" i="15" s="1"/>
  <c r="F5" i="15"/>
  <c r="F11" i="15"/>
  <c r="F13" i="15" s="1"/>
  <c r="G11" i="15"/>
  <c r="G13" i="15" s="1"/>
  <c r="H11" i="15"/>
  <c r="H13" i="15" s="1"/>
  <c r="G5" i="15"/>
  <c r="H5" i="15"/>
  <c r="D5" i="15"/>
  <c r="E5" i="15"/>
  <c r="E12" i="15" s="1"/>
  <c r="C33" i="15"/>
  <c r="Q62" i="11"/>
  <c r="W62" i="11" s="1"/>
  <c r="V62" i="11"/>
  <c r="S63" i="11"/>
  <c r="K25" i="7"/>
  <c r="U63" i="11"/>
  <c r="W63" i="11"/>
  <c r="V58" i="11"/>
  <c r="V61" i="11"/>
  <c r="U58" i="11"/>
  <c r="D11" i="10"/>
  <c r="E11" i="10"/>
  <c r="H7" i="10"/>
  <c r="D7" i="10"/>
  <c r="E9" i="10"/>
  <c r="E7" i="10"/>
  <c r="D9" i="10"/>
  <c r="G9" i="10"/>
  <c r="G7" i="10"/>
  <c r="G11" i="10"/>
  <c r="G8" i="10"/>
  <c r="E10" i="10"/>
  <c r="E8" i="10"/>
  <c r="D8" i="10"/>
  <c r="F11" i="10"/>
  <c r="F10" i="10"/>
  <c r="F9" i="10"/>
  <c r="F8" i="10"/>
  <c r="G10" i="10"/>
  <c r="D10" i="10"/>
  <c r="F12" i="10"/>
  <c r="E12" i="10"/>
  <c r="H12" i="10"/>
  <c r="S58" i="11"/>
  <c r="W58" i="11"/>
  <c r="T58" i="11"/>
  <c r="U61" i="11"/>
  <c r="T61" i="11"/>
  <c r="F12" i="15" l="1"/>
  <c r="F14" i="15" s="1"/>
  <c r="F17" i="15" s="1"/>
  <c r="F21" i="15" s="1"/>
  <c r="D12" i="15"/>
  <c r="E14" i="15"/>
  <c r="E17" i="15" s="1"/>
  <c r="E21" i="15" s="1"/>
  <c r="D17" i="11"/>
  <c r="D16" i="11"/>
  <c r="U15" i="7"/>
  <c r="U16" i="7"/>
  <c r="U17" i="7"/>
  <c r="U18" i="7"/>
  <c r="U19" i="7"/>
  <c r="U20" i="7"/>
  <c r="U21" i="7"/>
  <c r="U22" i="7"/>
  <c r="U23" i="7"/>
  <c r="U24" i="7"/>
  <c r="U25" i="7"/>
  <c r="R15" i="7"/>
  <c r="R16" i="7"/>
  <c r="R17" i="7"/>
  <c r="R18" i="7"/>
  <c r="R19" i="7"/>
  <c r="R20" i="7"/>
  <c r="R21" i="7"/>
  <c r="R22" i="7"/>
  <c r="R23" i="7"/>
  <c r="R24" i="7"/>
  <c r="R25" i="7"/>
  <c r="O15" i="7"/>
  <c r="O16" i="7"/>
  <c r="O17" i="7"/>
  <c r="O18" i="7"/>
  <c r="O19" i="7"/>
  <c r="O20" i="7"/>
  <c r="O21" i="7"/>
  <c r="O22" i="7"/>
  <c r="O23" i="7"/>
  <c r="O24" i="7"/>
  <c r="O25" i="7"/>
  <c r="L22" i="7"/>
  <c r="L23" i="7"/>
  <c r="L24" i="7"/>
  <c r="I22" i="7"/>
  <c r="I23" i="7"/>
  <c r="I24" i="7"/>
  <c r="L15" i="7"/>
  <c r="L16" i="7"/>
  <c r="L17" i="7"/>
  <c r="L18" i="7"/>
  <c r="L19" i="7"/>
  <c r="L20" i="7"/>
  <c r="L21" i="7"/>
  <c r="E18" i="7"/>
  <c r="F18" i="7" s="1"/>
  <c r="E16" i="7"/>
  <c r="F16" i="7" s="1"/>
  <c r="I15" i="7"/>
  <c r="I16" i="7"/>
  <c r="I17" i="7"/>
  <c r="I18" i="7"/>
  <c r="I19" i="7"/>
  <c r="I20" i="7"/>
  <c r="I21" i="7"/>
  <c r="L25" i="7"/>
  <c r="E25" i="7"/>
  <c r="F25" i="7" s="1"/>
  <c r="I28" i="7"/>
  <c r="L28" i="7" s="1"/>
  <c r="G23" i="6"/>
  <c r="G7" i="11" s="1"/>
  <c r="C23" i="6"/>
  <c r="G22" i="6"/>
  <c r="G6" i="11" s="1"/>
  <c r="C22" i="6"/>
  <c r="G21" i="6"/>
  <c r="G5" i="11" s="1"/>
  <c r="C21" i="6"/>
  <c r="G20" i="6"/>
  <c r="C20" i="6"/>
  <c r="H4" i="6"/>
  <c r="C6" i="4"/>
  <c r="G4" i="11"/>
  <c r="G19" i="6"/>
  <c r="G3" i="11"/>
  <c r="D14" i="15" l="1"/>
  <c r="D17" i="15" s="1"/>
  <c r="D21" i="15" s="1"/>
  <c r="G12" i="15"/>
  <c r="H12" i="15"/>
  <c r="L29" i="7"/>
  <c r="L30" i="7" s="1"/>
  <c r="E21" i="7"/>
  <c r="O28" i="7"/>
  <c r="C19" i="6"/>
  <c r="D21" i="7" s="1"/>
  <c r="H11" i="6"/>
  <c r="D11" i="6"/>
  <c r="G14" i="15" l="1"/>
  <c r="G17" i="15" s="1"/>
  <c r="G21" i="15" s="1"/>
  <c r="H14" i="15"/>
  <c r="H17" i="15" s="1"/>
  <c r="H21" i="15" s="1"/>
  <c r="E14" i="11"/>
  <c r="Q14" i="11"/>
  <c r="W14" i="11" s="1"/>
  <c r="E21" i="6"/>
  <c r="E23" i="6"/>
  <c r="E20" i="6"/>
  <c r="E22" i="6"/>
  <c r="I20" i="6"/>
  <c r="I21" i="6"/>
  <c r="I22" i="6"/>
  <c r="I23" i="6"/>
  <c r="I7" i="11" s="1"/>
  <c r="D22" i="7"/>
  <c r="I29" i="7"/>
  <c r="I30" i="7" s="1"/>
  <c r="H14" i="11"/>
  <c r="K14" i="11" s="1"/>
  <c r="N14" i="11" s="1"/>
  <c r="V14" i="11" s="1"/>
  <c r="N59" i="11"/>
  <c r="V59" i="11" s="1"/>
  <c r="H59" i="11"/>
  <c r="T59" i="11" s="1"/>
  <c r="Q59" i="11"/>
  <c r="W59" i="11" s="1"/>
  <c r="K59" i="11"/>
  <c r="U59" i="11" s="1"/>
  <c r="E59" i="11"/>
  <c r="S59" i="11" s="1"/>
  <c r="R28" i="7"/>
  <c r="I19" i="6"/>
  <c r="E19" i="6"/>
  <c r="S13" i="11"/>
  <c r="H9" i="6"/>
  <c r="H1" i="11"/>
  <c r="B54" i="11" s="1"/>
  <c r="F1" i="11"/>
  <c r="D1" i="11"/>
  <c r="K4" i="11" s="1"/>
  <c r="B1" i="11"/>
  <c r="B9" i="11" s="1"/>
  <c r="W52" i="11"/>
  <c r="V52" i="11"/>
  <c r="U52" i="11"/>
  <c r="T52" i="11"/>
  <c r="S52" i="11"/>
  <c r="W51" i="11"/>
  <c r="V51" i="11"/>
  <c r="U51" i="11"/>
  <c r="T51" i="11"/>
  <c r="S51" i="11"/>
  <c r="W50" i="11"/>
  <c r="V50" i="11"/>
  <c r="U50" i="11"/>
  <c r="T50" i="11"/>
  <c r="S50" i="11"/>
  <c r="W49" i="11"/>
  <c r="V49" i="11"/>
  <c r="U49" i="11"/>
  <c r="T49" i="11"/>
  <c r="S49" i="11"/>
  <c r="W48" i="11"/>
  <c r="V48" i="11"/>
  <c r="U48" i="11"/>
  <c r="T48" i="11"/>
  <c r="S48" i="11"/>
  <c r="W47" i="11"/>
  <c r="V47" i="11"/>
  <c r="U47" i="11"/>
  <c r="T47" i="11"/>
  <c r="S47" i="11"/>
  <c r="W46" i="11"/>
  <c r="V46" i="11"/>
  <c r="U46" i="11"/>
  <c r="T46" i="11"/>
  <c r="S46" i="11"/>
  <c r="W45" i="11"/>
  <c r="V45" i="11"/>
  <c r="U45" i="11"/>
  <c r="T45" i="11"/>
  <c r="S45" i="11"/>
  <c r="W44" i="11"/>
  <c r="V44" i="11"/>
  <c r="U44" i="11"/>
  <c r="T44" i="11"/>
  <c r="S44" i="11"/>
  <c r="W43" i="11"/>
  <c r="V43" i="11"/>
  <c r="U43" i="11"/>
  <c r="T43" i="11"/>
  <c r="S43" i="11"/>
  <c r="W42" i="11"/>
  <c r="V42" i="11"/>
  <c r="U42" i="11"/>
  <c r="T42" i="11"/>
  <c r="S42" i="11"/>
  <c r="W41" i="11"/>
  <c r="V41" i="11"/>
  <c r="U41" i="11"/>
  <c r="T41" i="11"/>
  <c r="S41" i="11"/>
  <c r="W40" i="11"/>
  <c r="V40" i="11"/>
  <c r="U40" i="11"/>
  <c r="T40" i="11"/>
  <c r="S40" i="11"/>
  <c r="W39" i="11"/>
  <c r="V39" i="11"/>
  <c r="U39" i="11"/>
  <c r="T39" i="11"/>
  <c r="S39" i="11"/>
  <c r="W38" i="11"/>
  <c r="V38" i="11"/>
  <c r="U38" i="11"/>
  <c r="T38" i="11"/>
  <c r="S38" i="11"/>
  <c r="W37" i="11"/>
  <c r="V37" i="11"/>
  <c r="U37" i="11"/>
  <c r="T37" i="11"/>
  <c r="S37" i="11"/>
  <c r="W36" i="11"/>
  <c r="V36" i="11"/>
  <c r="U36" i="11"/>
  <c r="T36" i="11"/>
  <c r="S36" i="11"/>
  <c r="W35" i="11"/>
  <c r="V35" i="11"/>
  <c r="U35" i="11"/>
  <c r="T35" i="11"/>
  <c r="S35" i="11"/>
  <c r="W34" i="11"/>
  <c r="V34" i="11"/>
  <c r="U34" i="11"/>
  <c r="T34" i="11"/>
  <c r="S34" i="11"/>
  <c r="W33" i="11"/>
  <c r="V33" i="11"/>
  <c r="U33" i="11"/>
  <c r="T33" i="11"/>
  <c r="S33" i="11"/>
  <c r="W32" i="11"/>
  <c r="V32" i="11"/>
  <c r="U32" i="11"/>
  <c r="T32" i="11"/>
  <c r="S32" i="11"/>
  <c r="W31" i="11"/>
  <c r="V31" i="11"/>
  <c r="U31" i="11"/>
  <c r="T31" i="11"/>
  <c r="S31" i="11"/>
  <c r="W30" i="11"/>
  <c r="V30" i="11"/>
  <c r="U30" i="11"/>
  <c r="T30" i="11"/>
  <c r="S30" i="11"/>
  <c r="W29" i="11"/>
  <c r="V29" i="11"/>
  <c r="U29" i="11"/>
  <c r="T29" i="11"/>
  <c r="S29" i="11"/>
  <c r="W24" i="11"/>
  <c r="V24" i="11"/>
  <c r="U24" i="11"/>
  <c r="T24" i="11"/>
  <c r="S24" i="11"/>
  <c r="W23" i="11"/>
  <c r="V23" i="11"/>
  <c r="U23" i="11"/>
  <c r="T23" i="11"/>
  <c r="S23" i="11"/>
  <c r="W22" i="11"/>
  <c r="V22" i="11"/>
  <c r="U22" i="11"/>
  <c r="T22" i="11"/>
  <c r="S22" i="11"/>
  <c r="W17" i="11"/>
  <c r="V17" i="11"/>
  <c r="U17" i="11"/>
  <c r="T17" i="11"/>
  <c r="S17" i="11"/>
  <c r="W16" i="11"/>
  <c r="V16" i="11"/>
  <c r="U16" i="11"/>
  <c r="T16" i="11"/>
  <c r="S16" i="11"/>
  <c r="W15" i="11"/>
  <c r="V15" i="11"/>
  <c r="U15" i="11"/>
  <c r="T15" i="11"/>
  <c r="S15" i="11"/>
  <c r="W13" i="11"/>
  <c r="V13" i="11"/>
  <c r="U13" i="11"/>
  <c r="T13" i="11"/>
  <c r="W12" i="11"/>
  <c r="V12" i="11"/>
  <c r="U12" i="11"/>
  <c r="T12" i="11"/>
  <c r="K6" i="11"/>
  <c r="B26" i="11"/>
  <c r="B19" i="11"/>
  <c r="E20" i="7"/>
  <c r="E15" i="7"/>
  <c r="E23" i="7"/>
  <c r="E17" i="7"/>
  <c r="E24" i="7"/>
  <c r="E14" i="7"/>
  <c r="E13" i="7"/>
  <c r="E12" i="7"/>
  <c r="E11" i="7"/>
  <c r="E10" i="7"/>
  <c r="E9" i="7"/>
  <c r="E8" i="7"/>
  <c r="E7" i="7"/>
  <c r="E6" i="7"/>
  <c r="E5" i="7"/>
  <c r="E4" i="7"/>
  <c r="C4" i="10"/>
  <c r="E4" i="10" s="1"/>
  <c r="H6" i="10"/>
  <c r="G6" i="10"/>
  <c r="F6" i="10"/>
  <c r="E6" i="10"/>
  <c r="D6" i="10"/>
  <c r="D5" i="10"/>
  <c r="C29" i="15" l="1"/>
  <c r="C30" i="15"/>
  <c r="C22" i="15"/>
  <c r="O29" i="7"/>
  <c r="O30" i="7" s="1"/>
  <c r="R29" i="7"/>
  <c r="R30" i="7" s="1"/>
  <c r="U29" i="7"/>
  <c r="U14" i="11"/>
  <c r="U18" i="11" s="1"/>
  <c r="S14" i="11"/>
  <c r="T14" i="11"/>
  <c r="T18" i="11" s="1"/>
  <c r="S25" i="11"/>
  <c r="W25" i="11"/>
  <c r="S53" i="11"/>
  <c r="N5" i="11" s="1"/>
  <c r="W53" i="11"/>
  <c r="R5" i="11" s="1"/>
  <c r="S64" i="11"/>
  <c r="W64" i="11"/>
  <c r="R6" i="11" s="1"/>
  <c r="V64" i="11"/>
  <c r="V18" i="11"/>
  <c r="V25" i="11"/>
  <c r="V53" i="11"/>
  <c r="Q5" i="11" s="1"/>
  <c r="E22" i="7"/>
  <c r="F22" i="7" s="1"/>
  <c r="U25" i="11"/>
  <c r="U53" i="11"/>
  <c r="P5" i="11" s="1"/>
  <c r="U64" i="11"/>
  <c r="T25" i="11"/>
  <c r="T53" i="11"/>
  <c r="O5" i="11" s="1"/>
  <c r="T64" i="11"/>
  <c r="U28" i="7"/>
  <c r="K3" i="11"/>
  <c r="W18" i="11"/>
  <c r="I5" i="11"/>
  <c r="I6" i="11"/>
  <c r="I4" i="11"/>
  <c r="I3" i="11"/>
  <c r="K5" i="11"/>
  <c r="F4" i="10"/>
  <c r="D4" i="10"/>
  <c r="D13" i="10" s="1"/>
  <c r="H4" i="10"/>
  <c r="G4" i="10"/>
  <c r="F15" i="7"/>
  <c r="F19" i="7"/>
  <c r="C34" i="15" l="1"/>
  <c r="U30" i="7"/>
  <c r="Q6" i="11"/>
  <c r="S18" i="11"/>
  <c r="O6" i="11"/>
  <c r="N6" i="11"/>
  <c r="P6" i="11"/>
  <c r="F23" i="7" l="1"/>
  <c r="F17" i="7"/>
  <c r="F20" i="7"/>
  <c r="F24" i="7"/>
  <c r="U14" i="7"/>
  <c r="R14" i="7"/>
  <c r="O14" i="7"/>
  <c r="L14" i="7"/>
  <c r="I14" i="7"/>
  <c r="F14" i="7"/>
  <c r="U13" i="7"/>
  <c r="R13" i="7"/>
  <c r="O13" i="7"/>
  <c r="L13" i="7"/>
  <c r="I13" i="7"/>
  <c r="F13" i="7"/>
  <c r="U12" i="7"/>
  <c r="R12" i="7"/>
  <c r="O12" i="7"/>
  <c r="L12" i="7"/>
  <c r="I12" i="7"/>
  <c r="F12" i="7"/>
  <c r="U11" i="7"/>
  <c r="R11" i="7"/>
  <c r="O11" i="7"/>
  <c r="L11" i="7"/>
  <c r="I11" i="7"/>
  <c r="F11" i="7"/>
  <c r="U10" i="7"/>
  <c r="R10" i="7"/>
  <c r="O10" i="7"/>
  <c r="L10" i="7"/>
  <c r="I10" i="7"/>
  <c r="F10" i="7"/>
  <c r="U9" i="7"/>
  <c r="R9" i="7"/>
  <c r="O9" i="7"/>
  <c r="L9" i="7"/>
  <c r="I9" i="7"/>
  <c r="F9" i="7"/>
  <c r="U8" i="7"/>
  <c r="R8" i="7"/>
  <c r="O8" i="7"/>
  <c r="L8" i="7"/>
  <c r="I8" i="7"/>
  <c r="F8" i="7"/>
  <c r="U7" i="7"/>
  <c r="R7" i="7"/>
  <c r="O7" i="7"/>
  <c r="L7" i="7"/>
  <c r="I7" i="7"/>
  <c r="F7" i="7"/>
  <c r="U6" i="7"/>
  <c r="R6" i="7"/>
  <c r="O6" i="7"/>
  <c r="L6" i="7"/>
  <c r="I6" i="7"/>
  <c r="F6" i="7"/>
  <c r="U5" i="7"/>
  <c r="R5" i="7"/>
  <c r="O5" i="7"/>
  <c r="L5" i="7"/>
  <c r="I5" i="7"/>
  <c r="F5" i="7"/>
  <c r="U4" i="7"/>
  <c r="R4" i="7"/>
  <c r="O4" i="7"/>
  <c r="L4" i="7"/>
  <c r="I4" i="7"/>
  <c r="F4" i="7"/>
  <c r="C3" i="11"/>
  <c r="N3" i="11" s="1"/>
  <c r="E29" i="6"/>
  <c r="F30" i="6"/>
  <c r="G30" i="6"/>
  <c r="H29" i="6"/>
  <c r="H30" i="6"/>
  <c r="I30" i="6"/>
  <c r="B27" i="6"/>
  <c r="B28" i="6"/>
  <c r="B29" i="6"/>
  <c r="F29" i="6"/>
  <c r="G29" i="6"/>
  <c r="I29" i="6"/>
  <c r="B30" i="6"/>
  <c r="E30" i="6"/>
  <c r="G27" i="6" l="1"/>
  <c r="C5" i="11"/>
  <c r="P3" i="11" s="1"/>
  <c r="I27" i="6"/>
  <c r="C7" i="11"/>
  <c r="R3" i="11" s="1"/>
  <c r="G28" i="6"/>
  <c r="E5" i="11"/>
  <c r="P4" i="11" s="1"/>
  <c r="H27" i="6"/>
  <c r="C6" i="11"/>
  <c r="Q3" i="11" s="1"/>
  <c r="F27" i="6"/>
  <c r="C4" i="11"/>
  <c r="O3" i="11" s="1"/>
  <c r="I28" i="6"/>
  <c r="E7" i="11"/>
  <c r="R4" i="11" s="1"/>
  <c r="H28" i="6"/>
  <c r="E6" i="11"/>
  <c r="Q4" i="11" s="1"/>
  <c r="F28" i="6"/>
  <c r="E4" i="11"/>
  <c r="O4" i="11" s="1"/>
  <c r="E28" i="6"/>
  <c r="E3" i="11"/>
  <c r="N4" i="11" s="1"/>
  <c r="N7" i="11" s="1"/>
  <c r="E27" i="6"/>
  <c r="F21" i="7"/>
  <c r="F26" i="7" s="1"/>
  <c r="O26" i="7"/>
  <c r="I26" i="7"/>
  <c r="L26" i="7"/>
  <c r="R26" i="7"/>
  <c r="U26" i="7"/>
  <c r="H31" i="6" l="1"/>
  <c r="F31" i="6"/>
  <c r="O7" i="11"/>
  <c r="G31" i="6"/>
  <c r="E31" i="6"/>
  <c r="I31" i="6"/>
  <c r="Q7" i="11"/>
  <c r="P7" i="11"/>
  <c r="R7" i="11"/>
  <c r="G5" i="10" l="1"/>
  <c r="G13" i="10" s="1"/>
  <c r="H5" i="10"/>
  <c r="H13" i="10" s="1"/>
  <c r="F5" i="10"/>
  <c r="F13" i="10" s="1"/>
  <c r="E5" i="10"/>
  <c r="E13" i="10" s="1"/>
</calcChain>
</file>

<file path=xl/sharedStrings.xml><?xml version="1.0" encoding="utf-8"?>
<sst xmlns="http://schemas.openxmlformats.org/spreadsheetml/2006/main" count="415" uniqueCount="129">
  <si>
    <t>Ácido acético</t>
  </si>
  <si>
    <t>Total</t>
  </si>
  <si>
    <t>Año 5</t>
  </si>
  <si>
    <t>Año 4</t>
  </si>
  <si>
    <t>Año 3</t>
  </si>
  <si>
    <t>Año 2</t>
  </si>
  <si>
    <t>Año 1</t>
  </si>
  <si>
    <t>Proyección Ingresos</t>
  </si>
  <si>
    <t>Ventas anuales</t>
  </si>
  <si>
    <t>Participación en el mercado</t>
  </si>
  <si>
    <t>Cantidad promedio por cliente</t>
  </si>
  <si>
    <t>Precio</t>
  </si>
  <si>
    <t>Crecimiento anual del mercado</t>
  </si>
  <si>
    <t>Tamaño de Mercado</t>
  </si>
  <si>
    <t>Argentina</t>
  </si>
  <si>
    <t>LATAM</t>
  </si>
  <si>
    <t>BIOFLOC 58.175</t>
  </si>
  <si>
    <t>BIO-D</t>
  </si>
  <si>
    <r>
      <t xml:space="preserve">   </t>
    </r>
    <r>
      <rPr>
        <b/>
        <sz val="11"/>
        <rFont val="Calibri"/>
        <family val="2"/>
      </rPr>
      <t>Inversión</t>
    </r>
  </si>
  <si>
    <t>Año 0</t>
  </si>
  <si>
    <t>Cant</t>
  </si>
  <si>
    <t>Valor Unitario</t>
  </si>
  <si>
    <t>Instalaciones</t>
  </si>
  <si>
    <t>Herramientas</t>
  </si>
  <si>
    <t>Materiar Stock-Repuestos</t>
  </si>
  <si>
    <t>TOTAL</t>
  </si>
  <si>
    <t>Tipo de cambio</t>
  </si>
  <si>
    <t>FLUJO DE FONDOS</t>
  </si>
  <si>
    <t>AÑO 1</t>
  </si>
  <si>
    <t>AÑO 2</t>
  </si>
  <si>
    <t>AÑO 3</t>
  </si>
  <si>
    <t>AÑO 4</t>
  </si>
  <si>
    <t>AÑO 5</t>
  </si>
  <si>
    <t xml:space="preserve">Costos de producción </t>
  </si>
  <si>
    <t>Recursos Humanos</t>
  </si>
  <si>
    <t>Gastos de Administración</t>
  </si>
  <si>
    <t>TOTAL EGRESOS</t>
  </si>
  <si>
    <t>IMPUESTO A LAS GANANCIAS</t>
  </si>
  <si>
    <t xml:space="preserve">FLUJOS NETOS ACUMULADOS </t>
  </si>
  <si>
    <t>Indicadores</t>
  </si>
  <si>
    <t>Fujo de caja neto</t>
  </si>
  <si>
    <t>TIR</t>
  </si>
  <si>
    <t>Flujo de caja neto acumulado</t>
  </si>
  <si>
    <t>PRI</t>
  </si>
  <si>
    <t>Balanza Industrial Chacoma</t>
  </si>
  <si>
    <t>Bomba Centrifuga 1hp Motorarg Trifasica Bc100</t>
  </si>
  <si>
    <t>Zorra Hidraulica Manual Ancha 680 Mm 3 Tn</t>
  </si>
  <si>
    <t>Apilador Elevador Hidraulico 3 Mtrs. 1500 Kg</t>
  </si>
  <si>
    <t>Tanques Contenedores Bins Bidones1000 Lts</t>
  </si>
  <si>
    <t>Tanque De Agua 2500 Lts 4 Capas Completo Rotoplas</t>
  </si>
  <si>
    <t>Piping - Aproximado</t>
  </si>
  <si>
    <t>Accesorios para conducción - Aproximado</t>
  </si>
  <si>
    <t>Amoblamiento de Oficina</t>
  </si>
  <si>
    <t>Palets</t>
  </si>
  <si>
    <t>Accesorios para envasado de solidos</t>
  </si>
  <si>
    <t>Insumos de seguridad</t>
  </si>
  <si>
    <t>Adecuación de Laboratorio</t>
  </si>
  <si>
    <t>Elementos de Laboratorio</t>
  </si>
  <si>
    <t>BIOFLOC Catalizador</t>
  </si>
  <si>
    <t>Pozos</t>
  </si>
  <si>
    <t>Equipamiento</t>
  </si>
  <si>
    <t>Montaje Reactor</t>
  </si>
  <si>
    <t>Adecuación Galpón</t>
  </si>
  <si>
    <t>Automatización reactor</t>
  </si>
  <si>
    <t>Toyota Hilux</t>
  </si>
  <si>
    <t xml:space="preserve"> </t>
  </si>
  <si>
    <t>Costo de administración</t>
  </si>
  <si>
    <t>Conceptos</t>
  </si>
  <si>
    <t>Mensual</t>
  </si>
  <si>
    <t>Alquiler galpón</t>
  </si>
  <si>
    <t>Producción anuales</t>
  </si>
  <si>
    <t>Insumo Necesario</t>
  </si>
  <si>
    <t>Residuos</t>
  </si>
  <si>
    <t>Costo Unitario</t>
  </si>
  <si>
    <t>Qty Insumo</t>
  </si>
  <si>
    <t>Qty Producto</t>
  </si>
  <si>
    <t>Px Unitario</t>
  </si>
  <si>
    <t>Bidones</t>
  </si>
  <si>
    <t>Fibra</t>
  </si>
  <si>
    <t>Precursor</t>
  </si>
  <si>
    <t>Etiqueta</t>
  </si>
  <si>
    <t>Film</t>
  </si>
  <si>
    <t>IAPG</t>
  </si>
  <si>
    <t>m3 por pozo</t>
  </si>
  <si>
    <t>Fuente: Segar S.A.</t>
  </si>
  <si>
    <t>Kg de polímero por M3</t>
  </si>
  <si>
    <t>Fuente: Aplicación en campo</t>
  </si>
  <si>
    <t>Participación Arg / LATAM</t>
  </si>
  <si>
    <t>Fuente:  US Energy production</t>
  </si>
  <si>
    <t>Termosellador de bolsas</t>
  </si>
  <si>
    <t>Capacidad Montada</t>
  </si>
  <si>
    <t>Kg./Mes</t>
  </si>
  <si>
    <t>Ventas proyectadas</t>
  </si>
  <si>
    <t>Capacidad Ociosa</t>
  </si>
  <si>
    <t>Stock Inicial precursor</t>
  </si>
  <si>
    <t>Movilidad</t>
  </si>
  <si>
    <t>Herramientas varias</t>
  </si>
  <si>
    <t>Stock inicial bidones</t>
  </si>
  <si>
    <t>Bolsa y film</t>
  </si>
  <si>
    <t>Catalizador previo</t>
  </si>
  <si>
    <t>Energía Eléctrica</t>
  </si>
  <si>
    <t>Packaging Internacional</t>
  </si>
  <si>
    <t>Supuestos Iniciales</t>
  </si>
  <si>
    <t>Insumos de oficina</t>
  </si>
  <si>
    <t>Honorarios contables</t>
  </si>
  <si>
    <t>Honorarios legales</t>
  </si>
  <si>
    <t>Servicios</t>
  </si>
  <si>
    <t>Impuesto autónomo</t>
  </si>
  <si>
    <t>Fletes varios</t>
  </si>
  <si>
    <t>Gastos de comercialización internacional.</t>
  </si>
  <si>
    <t>Requerimiento financiero</t>
  </si>
  <si>
    <t>IIBB</t>
  </si>
  <si>
    <t>Amortización</t>
  </si>
  <si>
    <t>INGRESOS</t>
  </si>
  <si>
    <t>COSTOS OPERATIVOS</t>
  </si>
  <si>
    <t>AÑO 0</t>
  </si>
  <si>
    <t>BENEFICIO A/IMP GANANCIAS</t>
  </si>
  <si>
    <t>INVERSIÓN EQUIP E INSTAL.</t>
  </si>
  <si>
    <t>INVERSION EN NOF</t>
  </si>
  <si>
    <t>BENEFICIO D/IMP. GANANCIAS</t>
  </si>
  <si>
    <t>AMORTIZACIONES</t>
  </si>
  <si>
    <t>INVERSIÓN NOF</t>
  </si>
  <si>
    <t>NOF</t>
  </si>
  <si>
    <t>Inversión Inicial</t>
  </si>
  <si>
    <t>Transporte</t>
  </si>
  <si>
    <t>Proyección de Ventas</t>
  </si>
  <si>
    <t>Ventas estimadas BIOFLOC</t>
  </si>
  <si>
    <t>TOTAL COSTOS OPERATIVOS</t>
  </si>
  <si>
    <t>VAN al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</si>
</sst>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67" formatCode="_-* #,##0.00\ &quot;€&quot;_-;\-* #,##0.00\ &quot;€&quot;_-;_-* &quot;-&quot;??\ &quot;€&quot;_-;_-@_-"/>
    <numFmt numFmtId="168" formatCode="_ [$$-2C0A]\ * #,##0_ ;_ [$$-2C0A]\ * \-#,##0_ ;_ [$$-2C0A]\ * &quot;-&quot;_ ;_ @_ "/>
    <numFmt numFmtId="169" formatCode="_-[$$-409]* #,##0.00_ ;_-[$$-409]* \-#,##0.00\ ;_-[$$-409]* &quot;-&quot;??_ ;_-@_ "/>
    <numFmt numFmtId="170" formatCode="[$$-409]#,##0.00_ ;[Red]\-[$$-409]#,##0.00\ "/>
    <numFmt numFmtId="171" formatCode="#,##0.00_ ;\-#,##0.00\ "/>
    <numFmt numFmtId="172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</cellStyleXfs>
  <cellXfs count="2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25" xfId="0" applyFill="1" applyBorder="1"/>
    <xf numFmtId="164" fontId="5" fillId="4" borderId="23" xfId="1" applyFont="1" applyFill="1" applyBorder="1"/>
    <xf numFmtId="164" fontId="5" fillId="4" borderId="22" xfId="1" applyFont="1" applyFill="1" applyBorder="1"/>
    <xf numFmtId="164" fontId="5" fillId="4" borderId="21" xfId="1" applyFont="1" applyFill="1" applyBorder="1"/>
    <xf numFmtId="164" fontId="1" fillId="5" borderId="10" xfId="1" applyFont="1" applyFill="1" applyBorder="1"/>
    <xf numFmtId="164" fontId="1" fillId="5" borderId="9" xfId="1" applyFont="1" applyFill="1" applyBorder="1"/>
    <xf numFmtId="164" fontId="1" fillId="5" borderId="28" xfId="1" applyFont="1" applyFill="1" applyBorder="1"/>
    <xf numFmtId="164" fontId="1" fillId="5" borderId="7" xfId="1" applyFont="1" applyFill="1" applyBorder="1"/>
    <xf numFmtId="164" fontId="1" fillId="5" borderId="1" xfId="1" applyFont="1" applyFill="1" applyBorder="1"/>
    <xf numFmtId="164" fontId="1" fillId="5" borderId="25" xfId="1" applyFont="1" applyFill="1" applyBorder="1"/>
    <xf numFmtId="164" fontId="1" fillId="5" borderId="5" xfId="1" applyFont="1" applyFill="1" applyBorder="1"/>
    <xf numFmtId="164" fontId="1" fillId="5" borderId="4" xfId="1" applyFont="1" applyFill="1" applyBorder="1"/>
    <xf numFmtId="164" fontId="1" fillId="5" borderId="29" xfId="1" applyFont="1" applyFill="1" applyBorder="1"/>
    <xf numFmtId="0" fontId="0" fillId="7" borderId="18" xfId="0" applyFill="1" applyBorder="1" applyAlignment="1">
      <alignment horizontal="center"/>
    </xf>
    <xf numFmtId="166" fontId="1" fillId="5" borderId="10" xfId="3" applyNumberFormat="1" applyFont="1" applyFill="1" applyBorder="1"/>
    <xf numFmtId="0" fontId="0" fillId="5" borderId="8" xfId="0" applyFill="1" applyBorder="1"/>
    <xf numFmtId="166" fontId="1" fillId="5" borderId="13" xfId="3" applyNumberFormat="1" applyFont="1" applyFill="1" applyBorder="1"/>
    <xf numFmtId="0" fontId="0" fillId="5" borderId="9" xfId="0" applyFill="1" applyBorder="1"/>
    <xf numFmtId="166" fontId="1" fillId="5" borderId="9" xfId="3" applyNumberFormat="1" applyFont="1" applyFill="1" applyBorder="1"/>
    <xf numFmtId="166" fontId="1" fillId="5" borderId="7" xfId="3" applyNumberFormat="1" applyFont="1" applyFill="1" applyBorder="1"/>
    <xf numFmtId="0" fontId="0" fillId="5" borderId="6" xfId="0" applyFill="1" applyBorder="1"/>
    <xf numFmtId="166" fontId="1" fillId="5" borderId="2" xfId="3" applyNumberFormat="1" applyFont="1" applyFill="1" applyBorder="1"/>
    <xf numFmtId="0" fontId="0" fillId="5" borderId="1" xfId="0" applyFill="1" applyBorder="1"/>
    <xf numFmtId="166" fontId="1" fillId="5" borderId="1" xfId="3" applyNumberFormat="1" applyFont="1" applyFill="1" applyBorder="1"/>
    <xf numFmtId="9" fontId="0" fillId="5" borderId="7" xfId="0" applyNumberFormat="1" applyFill="1" applyBorder="1"/>
    <xf numFmtId="9" fontId="0" fillId="5" borderId="2" xfId="0" applyNumberFormat="1" applyFill="1" applyBorder="1"/>
    <xf numFmtId="9" fontId="0" fillId="5" borderId="1" xfId="0" applyNumberFormat="1" applyFill="1" applyBorder="1"/>
    <xf numFmtId="0" fontId="0" fillId="6" borderId="3" xfId="0" applyFont="1" applyFill="1" applyBorder="1" applyAlignment="1"/>
    <xf numFmtId="0" fontId="3" fillId="0" borderId="6" xfId="6" applyFont="1" applyBorder="1" applyAlignment="1">
      <alignment horizontal="center" wrapText="1"/>
    </xf>
    <xf numFmtId="0" fontId="3" fillId="0" borderId="1" xfId="6" applyFont="1" applyBorder="1" applyAlignment="1">
      <alignment horizontal="center" wrapText="1"/>
    </xf>
    <xf numFmtId="0" fontId="8" fillId="5" borderId="7" xfId="6" applyFont="1" applyFill="1" applyBorder="1" applyAlignment="1">
      <alignment horizontal="center" wrapText="1"/>
    </xf>
    <xf numFmtId="168" fontId="3" fillId="0" borderId="1" xfId="5" applyNumberFormat="1" applyFont="1" applyBorder="1" applyAlignment="1">
      <alignment wrapText="1"/>
    </xf>
    <xf numFmtId="168" fontId="8" fillId="5" borderId="7" xfId="5" applyNumberFormat="1" applyFont="1" applyFill="1" applyBorder="1" applyAlignment="1">
      <alignment wrapText="1"/>
    </xf>
    <xf numFmtId="168" fontId="9" fillId="0" borderId="1" xfId="5" applyNumberFormat="1" applyFont="1" applyBorder="1" applyAlignment="1">
      <alignment wrapText="1"/>
    </xf>
    <xf numFmtId="0" fontId="3" fillId="0" borderId="6" xfId="6" applyFont="1" applyBorder="1" applyAlignment="1">
      <alignment horizontal="center" vertical="top" wrapText="1"/>
    </xf>
    <xf numFmtId="0" fontId="8" fillId="5" borderId="33" xfId="6" applyFont="1" applyFill="1" applyBorder="1" applyAlignment="1">
      <alignment wrapText="1"/>
    </xf>
    <xf numFmtId="0" fontId="8" fillId="5" borderId="34" xfId="6" applyFont="1" applyFill="1" applyBorder="1" applyAlignment="1">
      <alignment wrapText="1"/>
    </xf>
    <xf numFmtId="0" fontId="8" fillId="5" borderId="28" xfId="6" applyFont="1" applyFill="1" applyBorder="1" applyAlignment="1">
      <alignment wrapText="1"/>
    </xf>
    <xf numFmtId="168" fontId="8" fillId="5" borderId="10" xfId="5" applyNumberFormat="1" applyFont="1" applyFill="1" applyBorder="1" applyAlignment="1">
      <alignment wrapText="1"/>
    </xf>
    <xf numFmtId="0" fontId="11" fillId="2" borderId="0" xfId="0" applyFont="1" applyFill="1"/>
    <xf numFmtId="0" fontId="6" fillId="2" borderId="0" xfId="6" applyFill="1"/>
    <xf numFmtId="0" fontId="6" fillId="2" borderId="0" xfId="6" applyFill="1" applyBorder="1"/>
    <xf numFmtId="0" fontId="0" fillId="6" borderId="16" xfId="0" applyFont="1" applyFill="1" applyBorder="1" applyAlignment="1"/>
    <xf numFmtId="0" fontId="3" fillId="0" borderId="7" xfId="6" applyFont="1" applyBorder="1" applyAlignment="1">
      <alignment wrapText="1"/>
    </xf>
    <xf numFmtId="0" fontId="9" fillId="0" borderId="7" xfId="6" applyFont="1" applyBorder="1" applyAlignment="1">
      <alignment wrapText="1"/>
    </xf>
    <xf numFmtId="0" fontId="0" fillId="8" borderId="45" xfId="0" applyFill="1" applyBorder="1" applyAlignment="1"/>
    <xf numFmtId="0" fontId="9" fillId="0" borderId="45" xfId="6" applyFont="1" applyBorder="1" applyAlignment="1">
      <alignment wrapText="1"/>
    </xf>
    <xf numFmtId="0" fontId="8" fillId="5" borderId="52" xfId="6" applyFont="1" applyFill="1" applyBorder="1" applyAlignment="1">
      <alignment wrapText="1"/>
    </xf>
    <xf numFmtId="164" fontId="0" fillId="0" borderId="1" xfId="1" applyFont="1" applyBorder="1" applyAlignment="1">
      <alignment horizontal="center"/>
    </xf>
    <xf numFmtId="0" fontId="3" fillId="0" borderId="25" xfId="6" applyFont="1" applyBorder="1" applyAlignment="1">
      <alignment horizontal="center" wrapText="1"/>
    </xf>
    <xf numFmtId="0" fontId="9" fillId="0" borderId="25" xfId="6" applyFont="1" applyBorder="1" applyAlignment="1">
      <alignment horizontal="center" wrapText="1"/>
    </xf>
    <xf numFmtId="0" fontId="0" fillId="8" borderId="7" xfId="0" applyFill="1" applyBorder="1" applyAlignment="1"/>
    <xf numFmtId="164" fontId="0" fillId="2" borderId="0" xfId="0" applyNumberFormat="1" applyFill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4" fontId="2" fillId="7" borderId="1" xfId="0" applyNumberFormat="1" applyFont="1" applyFill="1" applyBorder="1"/>
    <xf numFmtId="0" fontId="2" fillId="7" borderId="27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1" fillId="5" borderId="7" xfId="3" applyNumberFormat="1" applyFont="1" applyFill="1" applyBorder="1"/>
    <xf numFmtId="0" fontId="0" fillId="5" borderId="25" xfId="0" applyFill="1" applyBorder="1"/>
    <xf numFmtId="164" fontId="1" fillId="5" borderId="51" xfId="1" applyFont="1" applyFill="1" applyBorder="1"/>
    <xf numFmtId="164" fontId="1" fillId="5" borderId="53" xfId="1" applyFont="1" applyFill="1" applyBorder="1"/>
    <xf numFmtId="164" fontId="1" fillId="5" borderId="54" xfId="1" applyFont="1" applyFill="1" applyBorder="1"/>
    <xf numFmtId="164" fontId="1" fillId="5" borderId="31" xfId="1" applyFont="1" applyFill="1" applyBorder="1"/>
    <xf numFmtId="164" fontId="1" fillId="5" borderId="38" xfId="1" applyFont="1" applyFill="1" applyBorder="1"/>
    <xf numFmtId="164" fontId="1" fillId="5" borderId="45" xfId="1" applyFont="1" applyFill="1" applyBorder="1"/>
    <xf numFmtId="164" fontId="1" fillId="5" borderId="49" xfId="1" applyFont="1" applyFill="1" applyBorder="1"/>
    <xf numFmtId="164" fontId="1" fillId="5" borderId="47" xfId="1" applyFont="1" applyFill="1" applyBorder="1"/>
    <xf numFmtId="164" fontId="1" fillId="5" borderId="55" xfId="1" applyFont="1" applyFill="1" applyBorder="1"/>
    <xf numFmtId="0" fontId="1" fillId="5" borderId="10" xfId="3" applyNumberFormat="1" applyFont="1" applyFill="1" applyBorder="1"/>
    <xf numFmtId="0" fontId="0" fillId="5" borderId="28" xfId="0" applyFill="1" applyBorder="1"/>
    <xf numFmtId="164" fontId="5" fillId="4" borderId="27" xfId="1" applyFont="1" applyFill="1" applyBorder="1"/>
    <xf numFmtId="164" fontId="5" fillId="4" borderId="37" xfId="1" applyFont="1" applyFill="1" applyBorder="1"/>
    <xf numFmtId="164" fontId="5" fillId="4" borderId="35" xfId="1" applyFont="1" applyFill="1" applyBorder="1"/>
    <xf numFmtId="0" fontId="2" fillId="4" borderId="27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7" borderId="58" xfId="0" applyFont="1" applyFill="1" applyBorder="1"/>
    <xf numFmtId="0" fontId="2" fillId="7" borderId="40" xfId="0" applyFont="1" applyFill="1" applyBorder="1"/>
    <xf numFmtId="0" fontId="2" fillId="7" borderId="59" xfId="0" applyFont="1" applyFill="1" applyBorder="1"/>
    <xf numFmtId="0" fontId="2" fillId="7" borderId="60" xfId="0" applyFont="1" applyFill="1" applyBorder="1"/>
    <xf numFmtId="0" fontId="2" fillId="7" borderId="61" xfId="0" applyFont="1" applyFill="1" applyBorder="1"/>
    <xf numFmtId="0" fontId="2" fillId="7" borderId="48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63" xfId="0" applyFont="1" applyFill="1" applyBorder="1" applyAlignment="1">
      <alignment horizontal="center"/>
    </xf>
    <xf numFmtId="0" fontId="2" fillId="7" borderId="62" xfId="0" applyFont="1" applyFill="1" applyBorder="1" applyAlignment="1">
      <alignment horizontal="center"/>
    </xf>
    <xf numFmtId="0" fontId="0" fillId="2" borderId="51" xfId="0" applyFill="1" applyBorder="1"/>
    <xf numFmtId="0" fontId="0" fillId="2" borderId="32" xfId="0" applyFill="1" applyBorder="1"/>
    <xf numFmtId="164" fontId="1" fillId="2" borderId="14" xfId="1" applyFont="1" applyFill="1" applyBorder="1"/>
    <xf numFmtId="164" fontId="1" fillId="2" borderId="64" xfId="1" applyFont="1" applyFill="1" applyBorder="1"/>
    <xf numFmtId="0" fontId="0" fillId="2" borderId="65" xfId="0" applyFill="1" applyBorder="1"/>
    <xf numFmtId="9" fontId="1" fillId="2" borderId="54" xfId="2" applyFont="1" applyFill="1" applyBorder="1"/>
    <xf numFmtId="164" fontId="0" fillId="2" borderId="50" xfId="0" applyNumberFormat="1" applyFill="1" applyBorder="1"/>
    <xf numFmtId="164" fontId="0" fillId="2" borderId="42" xfId="0" applyNumberFormat="1" applyFill="1" applyBorder="1"/>
    <xf numFmtId="164" fontId="0" fillId="2" borderId="0" xfId="0" applyNumberFormat="1" applyFill="1" applyBorder="1"/>
    <xf numFmtId="164" fontId="0" fillId="2" borderId="66" xfId="0" applyNumberFormat="1" applyFill="1" applyBorder="1"/>
    <xf numFmtId="0" fontId="0" fillId="2" borderId="31" xfId="0" applyFill="1" applyBorder="1"/>
    <xf numFmtId="9" fontId="1" fillId="2" borderId="45" xfId="2" applyFont="1" applyFill="1" applyBorder="1"/>
    <xf numFmtId="0" fontId="0" fillId="2" borderId="33" xfId="0" applyFill="1" applyBorder="1"/>
    <xf numFmtId="164" fontId="1" fillId="2" borderId="59" xfId="1" applyFont="1" applyFill="1" applyBorder="1"/>
    <xf numFmtId="164" fontId="1" fillId="2" borderId="60" xfId="1" applyFont="1" applyFill="1" applyBorder="1"/>
    <xf numFmtId="0" fontId="0" fillId="2" borderId="28" xfId="0" applyFill="1" applyBorder="1"/>
    <xf numFmtId="9" fontId="1" fillId="2" borderId="52" xfId="2" applyFont="1" applyFill="1" applyBorder="1"/>
    <xf numFmtId="164" fontId="0" fillId="2" borderId="48" xfId="0" applyNumberFormat="1" applyFill="1" applyBorder="1"/>
    <xf numFmtId="164" fontId="0" fillId="2" borderId="46" xfId="0" applyNumberFormat="1" applyFill="1" applyBorder="1"/>
    <xf numFmtId="164" fontId="0" fillId="2" borderId="63" xfId="0" applyNumberFormat="1" applyFill="1" applyBorder="1"/>
    <xf numFmtId="164" fontId="0" fillId="2" borderId="62" xfId="0" applyNumberFormat="1" applyFill="1" applyBorder="1"/>
    <xf numFmtId="164" fontId="2" fillId="2" borderId="27" xfId="0" applyNumberFormat="1" applyFont="1" applyFill="1" applyBorder="1"/>
    <xf numFmtId="164" fontId="2" fillId="2" borderId="37" xfId="0" applyNumberFormat="1" applyFont="1" applyFill="1" applyBorder="1"/>
    <xf numFmtId="164" fontId="2" fillId="2" borderId="26" xfId="0" applyNumberFormat="1" applyFont="1" applyFill="1" applyBorder="1"/>
    <xf numFmtId="164" fontId="2" fillId="2" borderId="35" xfId="0" applyNumberFormat="1" applyFont="1" applyFill="1" applyBorder="1"/>
    <xf numFmtId="172" fontId="0" fillId="5" borderId="7" xfId="2" applyNumberFormat="1" applyFont="1" applyFill="1" applyBorder="1"/>
    <xf numFmtId="165" fontId="0" fillId="2" borderId="1" xfId="3" applyFont="1" applyFill="1" applyBorder="1"/>
    <xf numFmtId="10" fontId="0" fillId="2" borderId="1" xfId="2" applyNumberFormat="1" applyFont="1" applyFill="1" applyBorder="1"/>
    <xf numFmtId="0" fontId="3" fillId="0" borderId="19" xfId="6" applyFont="1" applyBorder="1" applyAlignment="1">
      <alignment horizontal="center" wrapText="1"/>
    </xf>
    <xf numFmtId="164" fontId="2" fillId="2" borderId="48" xfId="0" applyNumberFormat="1" applyFont="1" applyFill="1" applyBorder="1"/>
    <xf numFmtId="164" fontId="2" fillId="2" borderId="46" xfId="0" applyNumberFormat="1" applyFont="1" applyFill="1" applyBorder="1"/>
    <xf numFmtId="164" fontId="2" fillId="2" borderId="63" xfId="0" applyNumberFormat="1" applyFont="1" applyFill="1" applyBorder="1"/>
    <xf numFmtId="164" fontId="2" fillId="2" borderId="62" xfId="0" applyNumberFormat="1" applyFont="1" applyFill="1" applyBorder="1"/>
    <xf numFmtId="9" fontId="1" fillId="2" borderId="53" xfId="2" applyFont="1" applyFill="1" applyBorder="1"/>
    <xf numFmtId="9" fontId="1" fillId="2" borderId="38" xfId="2" applyFont="1" applyFill="1" applyBorder="1"/>
    <xf numFmtId="9" fontId="1" fillId="2" borderId="41" xfId="2" applyFont="1" applyFill="1" applyBorder="1"/>
    <xf numFmtId="0" fontId="0" fillId="2" borderId="49" xfId="0" applyFill="1" applyBorder="1"/>
    <xf numFmtId="165" fontId="0" fillId="2" borderId="18" xfId="3" applyFont="1" applyFill="1" applyBorder="1"/>
    <xf numFmtId="16" fontId="0" fillId="2" borderId="10" xfId="0" applyNumberFormat="1" applyFill="1" applyBorder="1"/>
    <xf numFmtId="0" fontId="0" fillId="5" borderId="1" xfId="0" applyFill="1" applyBorder="1" applyAlignment="1">
      <alignment horizontal="left" wrapText="1"/>
    </xf>
    <xf numFmtId="164" fontId="0" fillId="2" borderId="0" xfId="1" applyFont="1" applyFill="1"/>
    <xf numFmtId="166" fontId="0" fillId="2" borderId="0" xfId="0" applyNumberFormat="1" applyFill="1"/>
    <xf numFmtId="0" fontId="15" fillId="0" borderId="0" xfId="0" applyFont="1"/>
    <xf numFmtId="0" fontId="12" fillId="2" borderId="37" xfId="6" applyFont="1" applyFill="1" applyBorder="1" applyAlignment="1">
      <alignment horizontal="center"/>
    </xf>
    <xf numFmtId="0" fontId="12" fillId="2" borderId="26" xfId="6" applyFont="1" applyFill="1" applyBorder="1" applyAlignment="1">
      <alignment horizontal="center"/>
    </xf>
    <xf numFmtId="0" fontId="13" fillId="2" borderId="21" xfId="6" applyFont="1" applyFill="1" applyBorder="1"/>
    <xf numFmtId="164" fontId="13" fillId="2" borderId="37" xfId="1" applyFont="1" applyFill="1" applyBorder="1"/>
    <xf numFmtId="164" fontId="12" fillId="2" borderId="37" xfId="1" applyFont="1" applyFill="1" applyBorder="1" applyAlignment="1">
      <alignment horizontal="center"/>
    </xf>
    <xf numFmtId="164" fontId="13" fillId="2" borderId="38" xfId="1" applyFont="1" applyFill="1" applyBorder="1" applyAlignment="1"/>
    <xf numFmtId="164" fontId="12" fillId="2" borderId="39" xfId="1" applyFont="1" applyFill="1" applyBorder="1"/>
    <xf numFmtId="164" fontId="12" fillId="2" borderId="38" xfId="1" applyFont="1" applyFill="1" applyBorder="1"/>
    <xf numFmtId="164" fontId="12" fillId="2" borderId="16" xfId="1" applyFont="1" applyFill="1" applyBorder="1"/>
    <xf numFmtId="164" fontId="12" fillId="2" borderId="45" xfId="1" applyFont="1" applyFill="1" applyBorder="1"/>
    <xf numFmtId="164" fontId="12" fillId="2" borderId="37" xfId="1" applyFont="1" applyFill="1" applyBorder="1"/>
    <xf numFmtId="164" fontId="12" fillId="2" borderId="26" xfId="1" applyFont="1" applyFill="1" applyBorder="1"/>
    <xf numFmtId="0" fontId="12" fillId="2" borderId="27" xfId="6" applyFont="1" applyFill="1" applyBorder="1" applyAlignment="1">
      <alignment horizontal="left"/>
    </xf>
    <xf numFmtId="164" fontId="12" fillId="2" borderId="27" xfId="1" applyFont="1" applyFill="1" applyBorder="1"/>
    <xf numFmtId="164" fontId="13" fillId="2" borderId="47" xfId="1" applyFont="1" applyFill="1" applyBorder="1" applyAlignment="1">
      <alignment wrapText="1"/>
    </xf>
    <xf numFmtId="164" fontId="12" fillId="2" borderId="47" xfId="1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169" fontId="14" fillId="2" borderId="1" xfId="0" applyNumberFormat="1" applyFont="1" applyFill="1" applyBorder="1"/>
    <xf numFmtId="0" fontId="10" fillId="2" borderId="0" xfId="0" applyFont="1" applyFill="1"/>
    <xf numFmtId="0" fontId="10" fillId="2" borderId="27" xfId="0" applyFont="1" applyFill="1" applyBorder="1"/>
    <xf numFmtId="170" fontId="0" fillId="2" borderId="37" xfId="0" applyNumberFormat="1" applyFont="1" applyFill="1" applyBorder="1"/>
    <xf numFmtId="0" fontId="10" fillId="2" borderId="48" xfId="0" applyFont="1" applyFill="1" applyBorder="1"/>
    <xf numFmtId="9" fontId="0" fillId="2" borderId="46" xfId="0" applyNumberFormat="1" applyFont="1" applyFill="1" applyBorder="1"/>
    <xf numFmtId="0" fontId="10" fillId="2" borderId="0" xfId="0" applyFont="1" applyFill="1" applyBorder="1"/>
    <xf numFmtId="169" fontId="0" fillId="2" borderId="0" xfId="0" applyNumberFormat="1" applyFill="1"/>
    <xf numFmtId="171" fontId="0" fillId="2" borderId="37" xfId="0" applyNumberFormat="1" applyFill="1" applyBorder="1"/>
    <xf numFmtId="0" fontId="12" fillId="2" borderId="15" xfId="6" applyFont="1" applyFill="1" applyBorder="1"/>
    <xf numFmtId="0" fontId="13" fillId="2" borderId="6" xfId="6" applyFont="1" applyFill="1" applyBorder="1"/>
    <xf numFmtId="0" fontId="13" fillId="2" borderId="8" xfId="6" applyFont="1" applyFill="1" applyBorder="1"/>
    <xf numFmtId="0" fontId="13" fillId="2" borderId="27" xfId="6" applyFont="1" applyFill="1" applyBorder="1" applyAlignment="1">
      <alignment horizontal="left"/>
    </xf>
    <xf numFmtId="0" fontId="12" fillId="2" borderId="44" xfId="6" applyFont="1" applyFill="1" applyBorder="1" applyAlignment="1">
      <alignment horizontal="left" vertical="center"/>
    </xf>
    <xf numFmtId="0" fontId="12" fillId="2" borderId="27" xfId="6" applyFont="1" applyFill="1" applyBorder="1" applyAlignment="1"/>
    <xf numFmtId="0" fontId="2" fillId="2" borderId="27" xfId="0" applyFont="1" applyFill="1" applyBorder="1" applyAlignment="1"/>
    <xf numFmtId="0" fontId="12" fillId="2" borderId="0" xfId="6" applyFont="1" applyFill="1" applyBorder="1" applyAlignment="1"/>
    <xf numFmtId="0" fontId="13" fillId="2" borderId="32" xfId="6" applyFont="1" applyFill="1" applyBorder="1" applyAlignment="1"/>
    <xf numFmtId="0" fontId="13" fillId="2" borderId="19" xfId="6" applyFont="1" applyFill="1" applyBorder="1" applyAlignment="1">
      <alignment wrapText="1"/>
    </xf>
    <xf numFmtId="0" fontId="13" fillId="2" borderId="27" xfId="6" applyFont="1" applyFill="1" applyBorder="1"/>
    <xf numFmtId="9" fontId="13" fillId="2" borderId="37" xfId="2" applyFont="1" applyFill="1" applyBorder="1"/>
    <xf numFmtId="0" fontId="2" fillId="2" borderId="0" xfId="0" applyFont="1" applyFill="1"/>
    <xf numFmtId="0" fontId="12" fillId="2" borderId="35" xfId="6" applyFont="1" applyFill="1" applyBorder="1" applyAlignment="1">
      <alignment horizontal="center"/>
    </xf>
    <xf numFmtId="0" fontId="13" fillId="2" borderId="38" xfId="6" applyFont="1" applyFill="1" applyBorder="1"/>
    <xf numFmtId="0" fontId="13" fillId="2" borderId="41" xfId="6" applyFont="1" applyFill="1" applyBorder="1"/>
    <xf numFmtId="0" fontId="12" fillId="2" borderId="37" xfId="6" applyFont="1" applyFill="1" applyBorder="1" applyAlignment="1">
      <alignment horizontal="left"/>
    </xf>
    <xf numFmtId="0" fontId="13" fillId="2" borderId="53" xfId="6" applyFont="1" applyFill="1" applyBorder="1"/>
    <xf numFmtId="0" fontId="12" fillId="2" borderId="37" xfId="6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9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166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6" fontId="0" fillId="5" borderId="6" xfId="3" applyNumberFormat="1" applyFont="1" applyFill="1" applyBorder="1" applyAlignment="1">
      <alignment horizontal="center"/>
    </xf>
    <xf numFmtId="166" fontId="0" fillId="5" borderId="1" xfId="3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164" fontId="1" fillId="5" borderId="6" xfId="1" applyFont="1" applyFill="1" applyBorder="1" applyAlignment="1">
      <alignment horizontal="center"/>
    </xf>
    <xf numFmtId="164" fontId="1" fillId="5" borderId="7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1" fillId="5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164" fontId="1" fillId="5" borderId="2" xfId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0" fontId="3" fillId="0" borderId="19" xfId="6" applyFont="1" applyBorder="1" applyAlignment="1">
      <alignment horizontal="center" vertical="center" wrapText="1"/>
    </xf>
    <xf numFmtId="0" fontId="3" fillId="0" borderId="43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vertical="center" wrapText="1"/>
    </xf>
    <xf numFmtId="0" fontId="3" fillId="0" borderId="31" xfId="6" applyFont="1" applyBorder="1" applyAlignment="1">
      <alignment horizontal="center" wrapText="1"/>
    </xf>
    <xf numFmtId="0" fontId="3" fillId="0" borderId="45" xfId="6" applyFont="1" applyBorder="1" applyAlignment="1">
      <alignment horizontal="center" wrapText="1"/>
    </xf>
    <xf numFmtId="0" fontId="2" fillId="6" borderId="12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62" xfId="0" applyFont="1" applyFill="1" applyBorder="1" applyAlignment="1">
      <alignment horizontal="center"/>
    </xf>
    <xf numFmtId="0" fontId="2" fillId="6" borderId="44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/>
    </xf>
    <xf numFmtId="0" fontId="0" fillId="4" borderId="30" xfId="0" applyFon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6" borderId="32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7">
    <cellStyle name="Euro" xfId="4"/>
    <cellStyle name="Millares" xfId="3" builtinId="3"/>
    <cellStyle name="Moneda" xfId="1" builtinId="4"/>
    <cellStyle name="Moneda 2" xfId="5"/>
    <cellStyle name="Normal" xfId="0" builtinId="0"/>
    <cellStyle name="Normal 2" xfId="6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18" sqref="D18"/>
    </sheetView>
  </sheetViews>
  <sheetFormatPr baseColWidth="10" defaultColWidth="11.453125" defaultRowHeight="14.5" x14ac:dyDescent="0.35"/>
  <cols>
    <col min="1" max="1" width="3.453125" style="1" customWidth="1"/>
    <col min="2" max="2" width="40.6328125" style="1" bestFit="1" customWidth="1"/>
    <col min="3" max="3" width="11.453125" style="1"/>
    <col min="4" max="4" width="28" style="1" bestFit="1" customWidth="1"/>
    <col min="5" max="5" width="16.08984375" style="1" bestFit="1" customWidth="1"/>
    <col min="6" max="16384" width="11.453125" style="1"/>
  </cols>
  <sheetData>
    <row r="1" spans="2:5" ht="15" thickBot="1" x14ac:dyDescent="0.4"/>
    <row r="2" spans="2:5" x14ac:dyDescent="0.35">
      <c r="B2" s="186" t="s">
        <v>102</v>
      </c>
      <c r="C2" s="187"/>
      <c r="D2" s="188"/>
    </row>
    <row r="3" spans="2:5" x14ac:dyDescent="0.35">
      <c r="B3" s="3" t="s">
        <v>59</v>
      </c>
      <c r="C3" s="2">
        <v>1400</v>
      </c>
      <c r="D3" s="4" t="s">
        <v>82</v>
      </c>
    </row>
    <row r="4" spans="2:5" x14ac:dyDescent="0.35">
      <c r="B4" s="3" t="s">
        <v>83</v>
      </c>
      <c r="C4" s="2">
        <v>200</v>
      </c>
      <c r="D4" s="4" t="s">
        <v>84</v>
      </c>
    </row>
    <row r="5" spans="2:5" x14ac:dyDescent="0.35">
      <c r="B5" s="3" t="s">
        <v>85</v>
      </c>
      <c r="C5" s="2">
        <v>3</v>
      </c>
      <c r="D5" s="4" t="s">
        <v>86</v>
      </c>
    </row>
    <row r="6" spans="2:5" x14ac:dyDescent="0.35">
      <c r="B6" s="3" t="s">
        <v>87</v>
      </c>
      <c r="C6" s="124">
        <f>+(715.1/8411.4)</f>
        <v>8.5015574101814206E-2</v>
      </c>
      <c r="D6" s="4" t="s">
        <v>88</v>
      </c>
    </row>
    <row r="7" spans="2:5" ht="15" thickBot="1" x14ac:dyDescent="0.4">
      <c r="B7" s="5" t="s">
        <v>26</v>
      </c>
      <c r="C7" s="6">
        <v>9.4550000000000001</v>
      </c>
      <c r="D7" s="135">
        <v>42284</v>
      </c>
    </row>
    <row r="12" spans="2:5" x14ac:dyDescent="0.35">
      <c r="D12" s="139"/>
    </row>
    <row r="13" spans="2:5" x14ac:dyDescent="0.35">
      <c r="E13" s="137"/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K33"/>
  <sheetViews>
    <sheetView topLeftCell="A13" workbookViewId="0">
      <selection activeCell="F31" sqref="F31"/>
    </sheetView>
  </sheetViews>
  <sheetFormatPr baseColWidth="10" defaultColWidth="11.453125" defaultRowHeight="14.5" x14ac:dyDescent="0.35"/>
  <cols>
    <col min="1" max="1" width="2.90625" style="1" customWidth="1"/>
    <col min="2" max="2" width="14" style="1" customWidth="1"/>
    <col min="3" max="3" width="11.453125" style="1" customWidth="1"/>
    <col min="4" max="4" width="14.36328125" style="1" customWidth="1"/>
    <col min="5" max="5" width="14" style="1" bestFit="1" customWidth="1"/>
    <col min="6" max="6" width="14.54296875" style="1" customWidth="1"/>
    <col min="7" max="7" width="14" style="1" bestFit="1" customWidth="1"/>
    <col min="8" max="8" width="16.453125" style="1" customWidth="1"/>
    <col min="9" max="9" width="15.36328125" style="1" customWidth="1"/>
    <col min="10" max="10" width="10.90625" style="1" customWidth="1"/>
    <col min="11" max="11" width="14.54296875" style="1" bestFit="1" customWidth="1"/>
    <col min="12" max="16384" width="11.453125" style="1"/>
  </cols>
  <sheetData>
    <row r="1" spans="2:9" ht="15" thickBot="1" x14ac:dyDescent="0.4"/>
    <row r="2" spans="2:9" x14ac:dyDescent="0.35">
      <c r="B2" s="220" t="s">
        <v>14</v>
      </c>
      <c r="C2" s="221"/>
      <c r="D2" s="221"/>
      <c r="E2" s="221"/>
      <c r="F2" s="221"/>
      <c r="G2" s="222"/>
      <c r="H2" s="220" t="s">
        <v>15</v>
      </c>
      <c r="I2" s="223"/>
    </row>
    <row r="3" spans="2:9" x14ac:dyDescent="0.35">
      <c r="B3" s="195" t="s">
        <v>13</v>
      </c>
      <c r="C3" s="193"/>
      <c r="D3" s="193"/>
      <c r="E3" s="193"/>
      <c r="F3" s="193"/>
      <c r="G3" s="194"/>
      <c r="H3" s="195" t="s">
        <v>13</v>
      </c>
      <c r="I3" s="196"/>
    </row>
    <row r="4" spans="2:9" x14ac:dyDescent="0.35">
      <c r="B4" s="224">
        <v>7</v>
      </c>
      <c r="C4" s="213"/>
      <c r="D4" s="213"/>
      <c r="E4" s="213"/>
      <c r="F4" s="213"/>
      <c r="G4" s="214"/>
      <c r="H4" s="224">
        <f>INT(7/Supuestos!C6)</f>
        <v>82</v>
      </c>
      <c r="I4" s="201"/>
    </row>
    <row r="5" spans="2:9" x14ac:dyDescent="0.35">
      <c r="B5" s="191" t="s">
        <v>12</v>
      </c>
      <c r="C5" s="225"/>
      <c r="D5" s="225"/>
      <c r="E5" s="225"/>
      <c r="F5" s="225"/>
      <c r="G5" s="226"/>
      <c r="H5" s="191" t="s">
        <v>12</v>
      </c>
      <c r="I5" s="230"/>
    </row>
    <row r="6" spans="2:9" x14ac:dyDescent="0.35">
      <c r="B6" s="227">
        <v>0.01</v>
      </c>
      <c r="C6" s="228"/>
      <c r="D6" s="228"/>
      <c r="E6" s="228"/>
      <c r="F6" s="228"/>
      <c r="G6" s="229"/>
      <c r="H6" s="227">
        <v>0.01</v>
      </c>
      <c r="I6" s="231"/>
    </row>
    <row r="7" spans="2:9" x14ac:dyDescent="0.35">
      <c r="B7" s="191" t="s">
        <v>16</v>
      </c>
      <c r="C7" s="207"/>
      <c r="D7" s="191" t="s">
        <v>58</v>
      </c>
      <c r="E7" s="207"/>
      <c r="F7" s="191" t="s">
        <v>17</v>
      </c>
      <c r="G7" s="207"/>
      <c r="H7" s="191" t="s">
        <v>16</v>
      </c>
      <c r="I7" s="192"/>
    </row>
    <row r="8" spans="2:9" x14ac:dyDescent="0.35">
      <c r="B8" s="195" t="s">
        <v>11</v>
      </c>
      <c r="C8" s="193"/>
      <c r="D8" s="193" t="s">
        <v>11</v>
      </c>
      <c r="E8" s="193"/>
      <c r="F8" s="193" t="s">
        <v>11</v>
      </c>
      <c r="G8" s="194"/>
      <c r="H8" s="195" t="s">
        <v>11</v>
      </c>
      <c r="I8" s="196"/>
    </row>
    <row r="9" spans="2:9" x14ac:dyDescent="0.35">
      <c r="B9" s="211">
        <v>5.72</v>
      </c>
      <c r="C9" s="215"/>
      <c r="D9" s="215">
        <v>3</v>
      </c>
      <c r="E9" s="215"/>
      <c r="F9" s="215">
        <v>0</v>
      </c>
      <c r="G9" s="219"/>
      <c r="H9" s="211">
        <f>+B9</f>
        <v>5.72</v>
      </c>
      <c r="I9" s="212"/>
    </row>
    <row r="10" spans="2:9" x14ac:dyDescent="0.35">
      <c r="B10" s="195" t="s">
        <v>10</v>
      </c>
      <c r="C10" s="193"/>
      <c r="D10" s="193" t="s">
        <v>10</v>
      </c>
      <c r="E10" s="193"/>
      <c r="F10" s="193" t="s">
        <v>10</v>
      </c>
      <c r="G10" s="194"/>
      <c r="H10" s="195" t="s">
        <v>10</v>
      </c>
      <c r="I10" s="196"/>
    </row>
    <row r="11" spans="2:9" x14ac:dyDescent="0.35">
      <c r="B11" s="202">
        <f>+Supuestos!C3*Supuestos!C4*Supuestos!C5/'Proyección Ventas'!B4:G4</f>
        <v>120000</v>
      </c>
      <c r="C11" s="203"/>
      <c r="D11" s="203">
        <f>+B11/2</f>
        <v>60000</v>
      </c>
      <c r="E11" s="203"/>
      <c r="F11" s="213">
        <v>0</v>
      </c>
      <c r="G11" s="214"/>
      <c r="H11" s="200">
        <f>+B11</f>
        <v>120000</v>
      </c>
      <c r="I11" s="201"/>
    </row>
    <row r="12" spans="2:9" x14ac:dyDescent="0.35">
      <c r="B12" s="195" t="s">
        <v>9</v>
      </c>
      <c r="C12" s="193"/>
      <c r="D12" s="193" t="s">
        <v>9</v>
      </c>
      <c r="E12" s="193"/>
      <c r="F12" s="193" t="s">
        <v>9</v>
      </c>
      <c r="G12" s="194"/>
      <c r="H12" s="195" t="s">
        <v>9</v>
      </c>
      <c r="I12" s="196"/>
    </row>
    <row r="13" spans="2:9" x14ac:dyDescent="0.35">
      <c r="B13" s="29" t="s">
        <v>6</v>
      </c>
      <c r="C13" s="35">
        <v>0.12</v>
      </c>
      <c r="D13" s="31" t="s">
        <v>6</v>
      </c>
      <c r="E13" s="35">
        <f>+C13</f>
        <v>0.12</v>
      </c>
      <c r="F13" s="31" t="s">
        <v>6</v>
      </c>
      <c r="G13" s="34">
        <v>0</v>
      </c>
      <c r="H13" s="29" t="s">
        <v>6</v>
      </c>
      <c r="I13" s="33">
        <v>0</v>
      </c>
    </row>
    <row r="14" spans="2:9" x14ac:dyDescent="0.35">
      <c r="B14" s="29" t="s">
        <v>5</v>
      </c>
      <c r="C14" s="35">
        <v>0.15</v>
      </c>
      <c r="D14" s="31" t="s">
        <v>5</v>
      </c>
      <c r="E14" s="35">
        <f t="shared" ref="E14:E17" si="0">+C14</f>
        <v>0.15</v>
      </c>
      <c r="F14" s="31" t="s">
        <v>5</v>
      </c>
      <c r="G14" s="34">
        <v>0</v>
      </c>
      <c r="H14" s="29" t="s">
        <v>5</v>
      </c>
      <c r="I14" s="122">
        <v>1.4999999999999999E-2</v>
      </c>
    </row>
    <row r="15" spans="2:9" x14ac:dyDescent="0.35">
      <c r="B15" s="29" t="s">
        <v>4</v>
      </c>
      <c r="C15" s="35">
        <v>0.2</v>
      </c>
      <c r="D15" s="31" t="s">
        <v>4</v>
      </c>
      <c r="E15" s="35">
        <f t="shared" si="0"/>
        <v>0.2</v>
      </c>
      <c r="F15" s="31" t="s">
        <v>4</v>
      </c>
      <c r="G15" s="34">
        <v>0</v>
      </c>
      <c r="H15" s="29" t="s">
        <v>4</v>
      </c>
      <c r="I15" s="122">
        <v>0.03</v>
      </c>
    </row>
    <row r="16" spans="2:9" x14ac:dyDescent="0.35">
      <c r="B16" s="29" t="s">
        <v>3</v>
      </c>
      <c r="C16" s="35">
        <v>0.25</v>
      </c>
      <c r="D16" s="31" t="s">
        <v>3</v>
      </c>
      <c r="E16" s="35">
        <f t="shared" si="0"/>
        <v>0.25</v>
      </c>
      <c r="F16" s="31" t="s">
        <v>3</v>
      </c>
      <c r="G16" s="34">
        <v>0</v>
      </c>
      <c r="H16" s="29" t="s">
        <v>3</v>
      </c>
      <c r="I16" s="122">
        <v>0.05</v>
      </c>
    </row>
    <row r="17" spans="2:11" x14ac:dyDescent="0.35">
      <c r="B17" s="29" t="s">
        <v>2</v>
      </c>
      <c r="C17" s="35">
        <v>0.3</v>
      </c>
      <c r="D17" s="31" t="s">
        <v>2</v>
      </c>
      <c r="E17" s="35">
        <f t="shared" si="0"/>
        <v>0.3</v>
      </c>
      <c r="F17" s="31" t="s">
        <v>2</v>
      </c>
      <c r="G17" s="34">
        <v>0</v>
      </c>
      <c r="H17" s="29" t="s">
        <v>2</v>
      </c>
      <c r="I17" s="122">
        <v>0.1</v>
      </c>
    </row>
    <row r="18" spans="2:11" x14ac:dyDescent="0.35">
      <c r="B18" s="195" t="s">
        <v>8</v>
      </c>
      <c r="C18" s="193"/>
      <c r="D18" s="193" t="s">
        <v>8</v>
      </c>
      <c r="E18" s="193"/>
      <c r="F18" s="193" t="s">
        <v>8</v>
      </c>
      <c r="G18" s="194"/>
      <c r="H18" s="195" t="s">
        <v>8</v>
      </c>
      <c r="I18" s="196"/>
    </row>
    <row r="19" spans="2:11" x14ac:dyDescent="0.35">
      <c r="B19" s="29" t="s">
        <v>6</v>
      </c>
      <c r="C19" s="32">
        <f>+$B$4*B$11*C13</f>
        <v>100800</v>
      </c>
      <c r="D19" s="31" t="s">
        <v>6</v>
      </c>
      <c r="E19" s="32">
        <f>+$B$4*D$11*E13</f>
        <v>50400</v>
      </c>
      <c r="F19" s="31" t="s">
        <v>6</v>
      </c>
      <c r="G19" s="30">
        <f>+$B$4*F$11*G13</f>
        <v>0</v>
      </c>
      <c r="H19" s="29" t="s">
        <v>6</v>
      </c>
      <c r="I19" s="28">
        <f>+$H$4*H$11*I13</f>
        <v>0</v>
      </c>
    </row>
    <row r="20" spans="2:11" x14ac:dyDescent="0.35">
      <c r="B20" s="29" t="s">
        <v>5</v>
      </c>
      <c r="C20" s="32">
        <f>+$B$4*B$11*C14*(1+$B$6)</f>
        <v>127260</v>
      </c>
      <c r="D20" s="31" t="s">
        <v>5</v>
      </c>
      <c r="E20" s="32">
        <f>+$B$4*D$11*E14*(1+$B$6)</f>
        <v>63630</v>
      </c>
      <c r="F20" s="31" t="s">
        <v>5</v>
      </c>
      <c r="G20" s="30">
        <f>+$B$4*F$11*G14*(1+$B$6)</f>
        <v>0</v>
      </c>
      <c r="H20" s="29" t="s">
        <v>5</v>
      </c>
      <c r="I20" s="28">
        <f>+$H$4*H$11*I14*(1+H6)^(1)</f>
        <v>149076</v>
      </c>
    </row>
    <row r="21" spans="2:11" x14ac:dyDescent="0.35">
      <c r="B21" s="29" t="s">
        <v>4</v>
      </c>
      <c r="C21" s="32">
        <f>+$B$4*B$11*C15*(1+B6)^(2)</f>
        <v>171376.8</v>
      </c>
      <c r="D21" s="31" t="s">
        <v>4</v>
      </c>
      <c r="E21" s="32">
        <f>+$B$4*D$11*E15*(1+B6)^(2)</f>
        <v>85688.4</v>
      </c>
      <c r="F21" s="31" t="s">
        <v>4</v>
      </c>
      <c r="G21" s="30">
        <f>+$B$4*F$11*G15*(1+B6)^(2)</f>
        <v>0</v>
      </c>
      <c r="H21" s="29" t="s">
        <v>4</v>
      </c>
      <c r="I21" s="28">
        <f>+$H$4*H$11*I15*(1+H6)^(2)</f>
        <v>301133.52</v>
      </c>
    </row>
    <row r="22" spans="2:11" x14ac:dyDescent="0.35">
      <c r="B22" s="29" t="s">
        <v>3</v>
      </c>
      <c r="C22" s="32">
        <f>+$B$4*B$11*C16*(1+B6)^(3)</f>
        <v>216363.21</v>
      </c>
      <c r="D22" s="31" t="s">
        <v>3</v>
      </c>
      <c r="E22" s="32">
        <f>+$B$4*D$11*E16*(1+B6)^(3)</f>
        <v>108181.605</v>
      </c>
      <c r="F22" s="31" t="s">
        <v>3</v>
      </c>
      <c r="G22" s="30">
        <f>+$B$4*F$11*G16*(1+B6)^(3)</f>
        <v>0</v>
      </c>
      <c r="H22" s="29" t="s">
        <v>3</v>
      </c>
      <c r="I22" s="28">
        <f>+$H$4*H$11*I16*(1+H6)^(3)</f>
        <v>506908.09199999995</v>
      </c>
    </row>
    <row r="23" spans="2:11" ht="15" thickBot="1" x14ac:dyDescent="0.4">
      <c r="B23" s="24" t="s">
        <v>2</v>
      </c>
      <c r="C23" s="27">
        <f>+$B$4*B$11*C17*(1+B6)^(4)</f>
        <v>262232.21052000002</v>
      </c>
      <c r="D23" s="26" t="s">
        <v>2</v>
      </c>
      <c r="E23" s="27">
        <f>+$B$4*D$11*E17*(1+B6)^(4)</f>
        <v>131116.10526000001</v>
      </c>
      <c r="F23" s="26" t="s">
        <v>2</v>
      </c>
      <c r="G23" s="25">
        <f>+$B$4*F$11*G17*(1+B6)^(4)</f>
        <v>0</v>
      </c>
      <c r="H23" s="24" t="s">
        <v>2</v>
      </c>
      <c r="I23" s="23">
        <f>+$H$4*H$11*I17*(1+H6)^(4)</f>
        <v>1023954.34584</v>
      </c>
      <c r="K23" s="138"/>
    </row>
    <row r="25" spans="2:11" x14ac:dyDescent="0.35">
      <c r="E25" s="216" t="s">
        <v>7</v>
      </c>
      <c r="F25" s="217"/>
      <c r="G25" s="217"/>
      <c r="H25" s="217"/>
      <c r="I25" s="218"/>
    </row>
    <row r="26" spans="2:11" ht="15" thickBot="1" x14ac:dyDescent="0.4">
      <c r="E26" s="22" t="s">
        <v>6</v>
      </c>
      <c r="F26" s="22" t="s">
        <v>5</v>
      </c>
      <c r="G26" s="22" t="s">
        <v>4</v>
      </c>
      <c r="H26" s="22" t="s">
        <v>3</v>
      </c>
      <c r="I26" s="22" t="s">
        <v>2</v>
      </c>
    </row>
    <row r="27" spans="2:11" x14ac:dyDescent="0.35">
      <c r="B27" s="208" t="str">
        <f>CONCATENATE(B2," - ",B7)</f>
        <v>Argentina - BIOFLOC 58.175</v>
      </c>
      <c r="C27" s="209"/>
      <c r="D27" s="210"/>
      <c r="E27" s="21">
        <f>+$B$9*C$19</f>
        <v>576576</v>
      </c>
      <c r="F27" s="20">
        <f>+$B$9*C$20</f>
        <v>727927.2</v>
      </c>
      <c r="G27" s="20">
        <f>+$B$9*C$21</f>
        <v>980275.29599999986</v>
      </c>
      <c r="H27" s="20">
        <f>+$B$9*C$22</f>
        <v>1237597.5611999999</v>
      </c>
      <c r="I27" s="19">
        <f>+$B$9*C$23</f>
        <v>1499968.2441744001</v>
      </c>
    </row>
    <row r="28" spans="2:11" x14ac:dyDescent="0.35">
      <c r="B28" s="204" t="str">
        <f>CONCATENATE(B2," - ",+D7)</f>
        <v>Argentina - BIOFLOC Catalizador</v>
      </c>
      <c r="C28" s="205"/>
      <c r="D28" s="206"/>
      <c r="E28" s="18">
        <f>+$D$9*E19</f>
        <v>151200</v>
      </c>
      <c r="F28" s="17">
        <f>+$D$9*E20</f>
        <v>190890</v>
      </c>
      <c r="G28" s="17">
        <f>+$D$9*E21</f>
        <v>257065.19999999998</v>
      </c>
      <c r="H28" s="17">
        <f>+$D$9*E22</f>
        <v>324544.815</v>
      </c>
      <c r="I28" s="16">
        <f>+$D$9*E23</f>
        <v>393348.31578000006</v>
      </c>
    </row>
    <row r="29" spans="2:11" x14ac:dyDescent="0.35">
      <c r="B29" s="204" t="str">
        <f>CONCATENATE(B2," - ",F7)</f>
        <v>Argentina - BIO-D</v>
      </c>
      <c r="C29" s="205"/>
      <c r="D29" s="206"/>
      <c r="E29" s="18">
        <f>+$F$9*G$19</f>
        <v>0</v>
      </c>
      <c r="F29" s="17">
        <f>+$F$9*G$20</f>
        <v>0</v>
      </c>
      <c r="G29" s="17">
        <f>+$F$9*G$21</f>
        <v>0</v>
      </c>
      <c r="H29" s="17">
        <f>+$F$9*G$22</f>
        <v>0</v>
      </c>
      <c r="I29" s="16">
        <f>+$F$9*G$23</f>
        <v>0</v>
      </c>
    </row>
    <row r="30" spans="2:11" ht="15" thickBot="1" x14ac:dyDescent="0.4">
      <c r="B30" s="197" t="str">
        <f>CONCATENATE(H2," - ",H7)</f>
        <v>LATAM - BIOFLOC 58.175</v>
      </c>
      <c r="C30" s="198"/>
      <c r="D30" s="199"/>
      <c r="E30" s="15">
        <f>+$H$9*I$19</f>
        <v>0</v>
      </c>
      <c r="F30" s="14">
        <f>+$H$9*I20</f>
        <v>852714.72</v>
      </c>
      <c r="G30" s="14">
        <f>+$H$9*I21</f>
        <v>1722483.7344</v>
      </c>
      <c r="H30" s="14">
        <f>+$H$9*I22</f>
        <v>2899514.2862399993</v>
      </c>
      <c r="I30" s="13">
        <f>+$H$9*I23</f>
        <v>5857018.8582047997</v>
      </c>
    </row>
    <row r="31" spans="2:11" ht="15" thickBot="1" x14ac:dyDescent="0.4">
      <c r="B31" s="189" t="s">
        <v>1</v>
      </c>
      <c r="C31" s="190"/>
      <c r="D31" s="190"/>
      <c r="E31" s="12">
        <f>+SUM(E27:E30)</f>
        <v>727776</v>
      </c>
      <c r="F31" s="11">
        <f>+SUM(F27:F30)</f>
        <v>1771531.92</v>
      </c>
      <c r="G31" s="11">
        <f>+SUM(G27:G30)</f>
        <v>2959824.2303999998</v>
      </c>
      <c r="H31" s="11">
        <f>+SUM(H27:H30)</f>
        <v>4461656.6624399992</v>
      </c>
      <c r="I31" s="10">
        <f>+SUM(I27:I30)</f>
        <v>7750335.4181591999</v>
      </c>
    </row>
    <row r="33" spans="5:5" x14ac:dyDescent="0.35">
      <c r="E33" s="1" t="s">
        <v>65</v>
      </c>
    </row>
  </sheetData>
  <mergeCells count="44">
    <mergeCell ref="F8:G8"/>
    <mergeCell ref="F9:G9"/>
    <mergeCell ref="B2:G2"/>
    <mergeCell ref="H2:I2"/>
    <mergeCell ref="B3:G3"/>
    <mergeCell ref="B4:G4"/>
    <mergeCell ref="B5:G5"/>
    <mergeCell ref="B6:G6"/>
    <mergeCell ref="H3:I3"/>
    <mergeCell ref="H4:I4"/>
    <mergeCell ref="H5:I5"/>
    <mergeCell ref="H6:I6"/>
    <mergeCell ref="D8:E8"/>
    <mergeCell ref="D9:E9"/>
    <mergeCell ref="B8:C8"/>
    <mergeCell ref="B27:D27"/>
    <mergeCell ref="H9:I9"/>
    <mergeCell ref="H10:I10"/>
    <mergeCell ref="D18:E18"/>
    <mergeCell ref="F10:G10"/>
    <mergeCell ref="F11:G11"/>
    <mergeCell ref="B18:C18"/>
    <mergeCell ref="B9:C9"/>
    <mergeCell ref="B10:C10"/>
    <mergeCell ref="E25:I25"/>
    <mergeCell ref="H18:I18"/>
    <mergeCell ref="D11:E11"/>
    <mergeCell ref="D12:E12"/>
    <mergeCell ref="B31:D31"/>
    <mergeCell ref="H7:I7"/>
    <mergeCell ref="F12:G12"/>
    <mergeCell ref="F18:G18"/>
    <mergeCell ref="H8:I8"/>
    <mergeCell ref="B30:D30"/>
    <mergeCell ref="H11:I11"/>
    <mergeCell ref="H12:I12"/>
    <mergeCell ref="B11:C11"/>
    <mergeCell ref="B12:C12"/>
    <mergeCell ref="B28:D28"/>
    <mergeCell ref="B7:C7"/>
    <mergeCell ref="D7:E7"/>
    <mergeCell ref="F7:G7"/>
    <mergeCell ref="B29:D29"/>
    <mergeCell ref="D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U30"/>
  <sheetViews>
    <sheetView topLeftCell="K11" workbookViewId="0">
      <selection activeCell="F16" sqref="F4:F16"/>
    </sheetView>
  </sheetViews>
  <sheetFormatPr baseColWidth="10" defaultRowHeight="14.5" x14ac:dyDescent="0.35"/>
  <cols>
    <col min="1" max="1" width="2.08984375" style="1" customWidth="1"/>
    <col min="2" max="2" width="18.36328125" style="1" customWidth="1"/>
    <col min="3" max="3" width="29.6328125" style="1" customWidth="1"/>
    <col min="4" max="4" width="11.453125" style="1" customWidth="1"/>
    <col min="5" max="5" width="12.453125" style="1" bestFit="1" customWidth="1"/>
    <col min="6" max="256" width="11.453125" style="1"/>
    <col min="257" max="257" width="2.08984375" style="1" customWidth="1"/>
    <col min="258" max="258" width="18.36328125" style="1" customWidth="1"/>
    <col min="259" max="259" width="29.6328125" style="1" customWidth="1"/>
    <col min="260" max="260" width="11.453125" style="1" customWidth="1"/>
    <col min="261" max="512" width="11.453125" style="1"/>
    <col min="513" max="513" width="2.08984375" style="1" customWidth="1"/>
    <col min="514" max="514" width="18.36328125" style="1" customWidth="1"/>
    <col min="515" max="515" width="29.6328125" style="1" customWidth="1"/>
    <col min="516" max="516" width="11.453125" style="1" customWidth="1"/>
    <col min="517" max="768" width="11.453125" style="1"/>
    <col min="769" max="769" width="2.08984375" style="1" customWidth="1"/>
    <col min="770" max="770" width="18.36328125" style="1" customWidth="1"/>
    <col min="771" max="771" width="29.6328125" style="1" customWidth="1"/>
    <col min="772" max="772" width="11.453125" style="1" customWidth="1"/>
    <col min="773" max="1024" width="11.453125" style="1"/>
    <col min="1025" max="1025" width="2.08984375" style="1" customWidth="1"/>
    <col min="1026" max="1026" width="18.36328125" style="1" customWidth="1"/>
    <col min="1027" max="1027" width="29.6328125" style="1" customWidth="1"/>
    <col min="1028" max="1028" width="11.453125" style="1" customWidth="1"/>
    <col min="1029" max="1280" width="11.453125" style="1"/>
    <col min="1281" max="1281" width="2.08984375" style="1" customWidth="1"/>
    <col min="1282" max="1282" width="18.36328125" style="1" customWidth="1"/>
    <col min="1283" max="1283" width="29.6328125" style="1" customWidth="1"/>
    <col min="1284" max="1284" width="11.453125" style="1" customWidth="1"/>
    <col min="1285" max="1536" width="11.453125" style="1"/>
    <col min="1537" max="1537" width="2.08984375" style="1" customWidth="1"/>
    <col min="1538" max="1538" width="18.36328125" style="1" customWidth="1"/>
    <col min="1539" max="1539" width="29.6328125" style="1" customWidth="1"/>
    <col min="1540" max="1540" width="11.453125" style="1" customWidth="1"/>
    <col min="1541" max="1792" width="11.453125" style="1"/>
    <col min="1793" max="1793" width="2.08984375" style="1" customWidth="1"/>
    <col min="1794" max="1794" width="18.36328125" style="1" customWidth="1"/>
    <col min="1795" max="1795" width="29.6328125" style="1" customWidth="1"/>
    <col min="1796" max="1796" width="11.453125" style="1" customWidth="1"/>
    <col min="1797" max="2048" width="11.453125" style="1"/>
    <col min="2049" max="2049" width="2.08984375" style="1" customWidth="1"/>
    <col min="2050" max="2050" width="18.36328125" style="1" customWidth="1"/>
    <col min="2051" max="2051" width="29.6328125" style="1" customWidth="1"/>
    <col min="2052" max="2052" width="11.453125" style="1" customWidth="1"/>
    <col min="2053" max="2304" width="11.453125" style="1"/>
    <col min="2305" max="2305" width="2.08984375" style="1" customWidth="1"/>
    <col min="2306" max="2306" width="18.36328125" style="1" customWidth="1"/>
    <col min="2307" max="2307" width="29.6328125" style="1" customWidth="1"/>
    <col min="2308" max="2308" width="11.453125" style="1" customWidth="1"/>
    <col min="2309" max="2560" width="11.453125" style="1"/>
    <col min="2561" max="2561" width="2.08984375" style="1" customWidth="1"/>
    <col min="2562" max="2562" width="18.36328125" style="1" customWidth="1"/>
    <col min="2563" max="2563" width="29.6328125" style="1" customWidth="1"/>
    <col min="2564" max="2564" width="11.453125" style="1" customWidth="1"/>
    <col min="2565" max="2816" width="11.453125" style="1"/>
    <col min="2817" max="2817" width="2.08984375" style="1" customWidth="1"/>
    <col min="2818" max="2818" width="18.36328125" style="1" customWidth="1"/>
    <col min="2819" max="2819" width="29.6328125" style="1" customWidth="1"/>
    <col min="2820" max="2820" width="11.453125" style="1" customWidth="1"/>
    <col min="2821" max="3072" width="11.453125" style="1"/>
    <col min="3073" max="3073" width="2.08984375" style="1" customWidth="1"/>
    <col min="3074" max="3074" width="18.36328125" style="1" customWidth="1"/>
    <col min="3075" max="3075" width="29.6328125" style="1" customWidth="1"/>
    <col min="3076" max="3076" width="11.453125" style="1" customWidth="1"/>
    <col min="3077" max="3328" width="11.453125" style="1"/>
    <col min="3329" max="3329" width="2.08984375" style="1" customWidth="1"/>
    <col min="3330" max="3330" width="18.36328125" style="1" customWidth="1"/>
    <col min="3331" max="3331" width="29.6328125" style="1" customWidth="1"/>
    <col min="3332" max="3332" width="11.453125" style="1" customWidth="1"/>
    <col min="3333" max="3584" width="11.453125" style="1"/>
    <col min="3585" max="3585" width="2.08984375" style="1" customWidth="1"/>
    <col min="3586" max="3586" width="18.36328125" style="1" customWidth="1"/>
    <col min="3587" max="3587" width="29.6328125" style="1" customWidth="1"/>
    <col min="3588" max="3588" width="11.453125" style="1" customWidth="1"/>
    <col min="3589" max="3840" width="11.453125" style="1"/>
    <col min="3841" max="3841" width="2.08984375" style="1" customWidth="1"/>
    <col min="3842" max="3842" width="18.36328125" style="1" customWidth="1"/>
    <col min="3843" max="3843" width="29.6328125" style="1" customWidth="1"/>
    <col min="3844" max="3844" width="11.453125" style="1" customWidth="1"/>
    <col min="3845" max="4096" width="11.453125" style="1"/>
    <col min="4097" max="4097" width="2.08984375" style="1" customWidth="1"/>
    <col min="4098" max="4098" width="18.36328125" style="1" customWidth="1"/>
    <col min="4099" max="4099" width="29.6328125" style="1" customWidth="1"/>
    <col min="4100" max="4100" width="11.453125" style="1" customWidth="1"/>
    <col min="4101" max="4352" width="11.453125" style="1"/>
    <col min="4353" max="4353" width="2.08984375" style="1" customWidth="1"/>
    <col min="4354" max="4354" width="18.36328125" style="1" customWidth="1"/>
    <col min="4355" max="4355" width="29.6328125" style="1" customWidth="1"/>
    <col min="4356" max="4356" width="11.453125" style="1" customWidth="1"/>
    <col min="4357" max="4608" width="11.453125" style="1"/>
    <col min="4609" max="4609" width="2.08984375" style="1" customWidth="1"/>
    <col min="4610" max="4610" width="18.36328125" style="1" customWidth="1"/>
    <col min="4611" max="4611" width="29.6328125" style="1" customWidth="1"/>
    <col min="4612" max="4612" width="11.453125" style="1" customWidth="1"/>
    <col min="4613" max="4864" width="11.453125" style="1"/>
    <col min="4865" max="4865" width="2.08984375" style="1" customWidth="1"/>
    <col min="4866" max="4866" width="18.36328125" style="1" customWidth="1"/>
    <col min="4867" max="4867" width="29.6328125" style="1" customWidth="1"/>
    <col min="4868" max="4868" width="11.453125" style="1" customWidth="1"/>
    <col min="4869" max="5120" width="11.453125" style="1"/>
    <col min="5121" max="5121" width="2.08984375" style="1" customWidth="1"/>
    <col min="5122" max="5122" width="18.36328125" style="1" customWidth="1"/>
    <col min="5123" max="5123" width="29.6328125" style="1" customWidth="1"/>
    <col min="5124" max="5124" width="11.453125" style="1" customWidth="1"/>
    <col min="5125" max="5376" width="11.453125" style="1"/>
    <col min="5377" max="5377" width="2.08984375" style="1" customWidth="1"/>
    <col min="5378" max="5378" width="18.36328125" style="1" customWidth="1"/>
    <col min="5379" max="5379" width="29.6328125" style="1" customWidth="1"/>
    <col min="5380" max="5380" width="11.453125" style="1" customWidth="1"/>
    <col min="5381" max="5632" width="11.453125" style="1"/>
    <col min="5633" max="5633" width="2.08984375" style="1" customWidth="1"/>
    <col min="5634" max="5634" width="18.36328125" style="1" customWidth="1"/>
    <col min="5635" max="5635" width="29.6328125" style="1" customWidth="1"/>
    <col min="5636" max="5636" width="11.453125" style="1" customWidth="1"/>
    <col min="5637" max="5888" width="11.453125" style="1"/>
    <col min="5889" max="5889" width="2.08984375" style="1" customWidth="1"/>
    <col min="5890" max="5890" width="18.36328125" style="1" customWidth="1"/>
    <col min="5891" max="5891" width="29.6328125" style="1" customWidth="1"/>
    <col min="5892" max="5892" width="11.453125" style="1" customWidth="1"/>
    <col min="5893" max="6144" width="11.453125" style="1"/>
    <col min="6145" max="6145" width="2.08984375" style="1" customWidth="1"/>
    <col min="6146" max="6146" width="18.36328125" style="1" customWidth="1"/>
    <col min="6147" max="6147" width="29.6328125" style="1" customWidth="1"/>
    <col min="6148" max="6148" width="11.453125" style="1" customWidth="1"/>
    <col min="6149" max="6400" width="11.453125" style="1"/>
    <col min="6401" max="6401" width="2.08984375" style="1" customWidth="1"/>
    <col min="6402" max="6402" width="18.36328125" style="1" customWidth="1"/>
    <col min="6403" max="6403" width="29.6328125" style="1" customWidth="1"/>
    <col min="6404" max="6404" width="11.453125" style="1" customWidth="1"/>
    <col min="6405" max="6656" width="11.453125" style="1"/>
    <col min="6657" max="6657" width="2.08984375" style="1" customWidth="1"/>
    <col min="6658" max="6658" width="18.36328125" style="1" customWidth="1"/>
    <col min="6659" max="6659" width="29.6328125" style="1" customWidth="1"/>
    <col min="6660" max="6660" width="11.453125" style="1" customWidth="1"/>
    <col min="6661" max="6912" width="11.453125" style="1"/>
    <col min="6913" max="6913" width="2.08984375" style="1" customWidth="1"/>
    <col min="6914" max="6914" width="18.36328125" style="1" customWidth="1"/>
    <col min="6915" max="6915" width="29.6328125" style="1" customWidth="1"/>
    <col min="6916" max="6916" width="11.453125" style="1" customWidth="1"/>
    <col min="6917" max="7168" width="11.453125" style="1"/>
    <col min="7169" max="7169" width="2.08984375" style="1" customWidth="1"/>
    <col min="7170" max="7170" width="18.36328125" style="1" customWidth="1"/>
    <col min="7171" max="7171" width="29.6328125" style="1" customWidth="1"/>
    <col min="7172" max="7172" width="11.453125" style="1" customWidth="1"/>
    <col min="7173" max="7424" width="11.453125" style="1"/>
    <col min="7425" max="7425" width="2.08984375" style="1" customWidth="1"/>
    <col min="7426" max="7426" width="18.36328125" style="1" customWidth="1"/>
    <col min="7427" max="7427" width="29.6328125" style="1" customWidth="1"/>
    <col min="7428" max="7428" width="11.453125" style="1" customWidth="1"/>
    <col min="7429" max="7680" width="11.453125" style="1"/>
    <col min="7681" max="7681" width="2.08984375" style="1" customWidth="1"/>
    <col min="7682" max="7682" width="18.36328125" style="1" customWidth="1"/>
    <col min="7683" max="7683" width="29.6328125" style="1" customWidth="1"/>
    <col min="7684" max="7684" width="11.453125" style="1" customWidth="1"/>
    <col min="7685" max="7936" width="11.453125" style="1"/>
    <col min="7937" max="7937" width="2.08984375" style="1" customWidth="1"/>
    <col min="7938" max="7938" width="18.36328125" style="1" customWidth="1"/>
    <col min="7939" max="7939" width="29.6328125" style="1" customWidth="1"/>
    <col min="7940" max="7940" width="11.453125" style="1" customWidth="1"/>
    <col min="7941" max="8192" width="11.453125" style="1"/>
    <col min="8193" max="8193" width="2.08984375" style="1" customWidth="1"/>
    <col min="8194" max="8194" width="18.36328125" style="1" customWidth="1"/>
    <col min="8195" max="8195" width="29.6328125" style="1" customWidth="1"/>
    <col min="8196" max="8196" width="11.453125" style="1" customWidth="1"/>
    <col min="8197" max="8448" width="11.453125" style="1"/>
    <col min="8449" max="8449" width="2.08984375" style="1" customWidth="1"/>
    <col min="8450" max="8450" width="18.36328125" style="1" customWidth="1"/>
    <col min="8451" max="8451" width="29.6328125" style="1" customWidth="1"/>
    <col min="8452" max="8452" width="11.453125" style="1" customWidth="1"/>
    <col min="8453" max="8704" width="11.453125" style="1"/>
    <col min="8705" max="8705" width="2.08984375" style="1" customWidth="1"/>
    <col min="8706" max="8706" width="18.36328125" style="1" customWidth="1"/>
    <col min="8707" max="8707" width="29.6328125" style="1" customWidth="1"/>
    <col min="8708" max="8708" width="11.453125" style="1" customWidth="1"/>
    <col min="8709" max="8960" width="11.453125" style="1"/>
    <col min="8961" max="8961" width="2.08984375" style="1" customWidth="1"/>
    <col min="8962" max="8962" width="18.36328125" style="1" customWidth="1"/>
    <col min="8963" max="8963" width="29.6328125" style="1" customWidth="1"/>
    <col min="8964" max="8964" width="11.453125" style="1" customWidth="1"/>
    <col min="8965" max="9216" width="11.453125" style="1"/>
    <col min="9217" max="9217" width="2.08984375" style="1" customWidth="1"/>
    <col min="9218" max="9218" width="18.36328125" style="1" customWidth="1"/>
    <col min="9219" max="9219" width="29.6328125" style="1" customWidth="1"/>
    <col min="9220" max="9220" width="11.453125" style="1" customWidth="1"/>
    <col min="9221" max="9472" width="11.453125" style="1"/>
    <col min="9473" max="9473" width="2.08984375" style="1" customWidth="1"/>
    <col min="9474" max="9474" width="18.36328125" style="1" customWidth="1"/>
    <col min="9475" max="9475" width="29.6328125" style="1" customWidth="1"/>
    <col min="9476" max="9476" width="11.453125" style="1" customWidth="1"/>
    <col min="9477" max="9728" width="11.453125" style="1"/>
    <col min="9729" max="9729" width="2.08984375" style="1" customWidth="1"/>
    <col min="9730" max="9730" width="18.36328125" style="1" customWidth="1"/>
    <col min="9731" max="9731" width="29.6328125" style="1" customWidth="1"/>
    <col min="9732" max="9732" width="11.453125" style="1" customWidth="1"/>
    <col min="9733" max="9984" width="11.453125" style="1"/>
    <col min="9985" max="9985" width="2.08984375" style="1" customWidth="1"/>
    <col min="9986" max="9986" width="18.36328125" style="1" customWidth="1"/>
    <col min="9987" max="9987" width="29.6328125" style="1" customWidth="1"/>
    <col min="9988" max="9988" width="11.453125" style="1" customWidth="1"/>
    <col min="9989" max="10240" width="11.453125" style="1"/>
    <col min="10241" max="10241" width="2.08984375" style="1" customWidth="1"/>
    <col min="10242" max="10242" width="18.36328125" style="1" customWidth="1"/>
    <col min="10243" max="10243" width="29.6328125" style="1" customWidth="1"/>
    <col min="10244" max="10244" width="11.453125" style="1" customWidth="1"/>
    <col min="10245" max="10496" width="11.453125" style="1"/>
    <col min="10497" max="10497" width="2.08984375" style="1" customWidth="1"/>
    <col min="10498" max="10498" width="18.36328125" style="1" customWidth="1"/>
    <col min="10499" max="10499" width="29.6328125" style="1" customWidth="1"/>
    <col min="10500" max="10500" width="11.453125" style="1" customWidth="1"/>
    <col min="10501" max="10752" width="11.453125" style="1"/>
    <col min="10753" max="10753" width="2.08984375" style="1" customWidth="1"/>
    <col min="10754" max="10754" width="18.36328125" style="1" customWidth="1"/>
    <col min="10755" max="10755" width="29.6328125" style="1" customWidth="1"/>
    <col min="10756" max="10756" width="11.453125" style="1" customWidth="1"/>
    <col min="10757" max="11008" width="11.453125" style="1"/>
    <col min="11009" max="11009" width="2.08984375" style="1" customWidth="1"/>
    <col min="11010" max="11010" width="18.36328125" style="1" customWidth="1"/>
    <col min="11011" max="11011" width="29.6328125" style="1" customWidth="1"/>
    <col min="11012" max="11012" width="11.453125" style="1" customWidth="1"/>
    <col min="11013" max="11264" width="11.453125" style="1"/>
    <col min="11265" max="11265" width="2.08984375" style="1" customWidth="1"/>
    <col min="11266" max="11266" width="18.36328125" style="1" customWidth="1"/>
    <col min="11267" max="11267" width="29.6328125" style="1" customWidth="1"/>
    <col min="11268" max="11268" width="11.453125" style="1" customWidth="1"/>
    <col min="11269" max="11520" width="11.453125" style="1"/>
    <col min="11521" max="11521" width="2.08984375" style="1" customWidth="1"/>
    <col min="11522" max="11522" width="18.36328125" style="1" customWidth="1"/>
    <col min="11523" max="11523" width="29.6328125" style="1" customWidth="1"/>
    <col min="11524" max="11524" width="11.453125" style="1" customWidth="1"/>
    <col min="11525" max="11776" width="11.453125" style="1"/>
    <col min="11777" max="11777" width="2.08984375" style="1" customWidth="1"/>
    <col min="11778" max="11778" width="18.36328125" style="1" customWidth="1"/>
    <col min="11779" max="11779" width="29.6328125" style="1" customWidth="1"/>
    <col min="11780" max="11780" width="11.453125" style="1" customWidth="1"/>
    <col min="11781" max="12032" width="11.453125" style="1"/>
    <col min="12033" max="12033" width="2.08984375" style="1" customWidth="1"/>
    <col min="12034" max="12034" width="18.36328125" style="1" customWidth="1"/>
    <col min="12035" max="12035" width="29.6328125" style="1" customWidth="1"/>
    <col min="12036" max="12036" width="11.453125" style="1" customWidth="1"/>
    <col min="12037" max="12288" width="11.453125" style="1"/>
    <col min="12289" max="12289" width="2.08984375" style="1" customWidth="1"/>
    <col min="12290" max="12290" width="18.36328125" style="1" customWidth="1"/>
    <col min="12291" max="12291" width="29.6328125" style="1" customWidth="1"/>
    <col min="12292" max="12292" width="11.453125" style="1" customWidth="1"/>
    <col min="12293" max="12544" width="11.453125" style="1"/>
    <col min="12545" max="12545" width="2.08984375" style="1" customWidth="1"/>
    <col min="12546" max="12546" width="18.36328125" style="1" customWidth="1"/>
    <col min="12547" max="12547" width="29.6328125" style="1" customWidth="1"/>
    <col min="12548" max="12548" width="11.453125" style="1" customWidth="1"/>
    <col min="12549" max="12800" width="11.453125" style="1"/>
    <col min="12801" max="12801" width="2.08984375" style="1" customWidth="1"/>
    <col min="12802" max="12802" width="18.36328125" style="1" customWidth="1"/>
    <col min="12803" max="12803" width="29.6328125" style="1" customWidth="1"/>
    <col min="12804" max="12804" width="11.453125" style="1" customWidth="1"/>
    <col min="12805" max="13056" width="11.453125" style="1"/>
    <col min="13057" max="13057" width="2.08984375" style="1" customWidth="1"/>
    <col min="13058" max="13058" width="18.36328125" style="1" customWidth="1"/>
    <col min="13059" max="13059" width="29.6328125" style="1" customWidth="1"/>
    <col min="13060" max="13060" width="11.453125" style="1" customWidth="1"/>
    <col min="13061" max="13312" width="11.453125" style="1"/>
    <col min="13313" max="13313" width="2.08984375" style="1" customWidth="1"/>
    <col min="13314" max="13314" width="18.36328125" style="1" customWidth="1"/>
    <col min="13315" max="13315" width="29.6328125" style="1" customWidth="1"/>
    <col min="13316" max="13316" width="11.453125" style="1" customWidth="1"/>
    <col min="13317" max="13568" width="11.453125" style="1"/>
    <col min="13569" max="13569" width="2.08984375" style="1" customWidth="1"/>
    <col min="13570" max="13570" width="18.36328125" style="1" customWidth="1"/>
    <col min="13571" max="13571" width="29.6328125" style="1" customWidth="1"/>
    <col min="13572" max="13572" width="11.453125" style="1" customWidth="1"/>
    <col min="13573" max="13824" width="11.453125" style="1"/>
    <col min="13825" max="13825" width="2.08984375" style="1" customWidth="1"/>
    <col min="13826" max="13826" width="18.36328125" style="1" customWidth="1"/>
    <col min="13827" max="13827" width="29.6328125" style="1" customWidth="1"/>
    <col min="13828" max="13828" width="11.453125" style="1" customWidth="1"/>
    <col min="13829" max="14080" width="11.453125" style="1"/>
    <col min="14081" max="14081" width="2.08984375" style="1" customWidth="1"/>
    <col min="14082" max="14082" width="18.36328125" style="1" customWidth="1"/>
    <col min="14083" max="14083" width="29.6328125" style="1" customWidth="1"/>
    <col min="14084" max="14084" width="11.453125" style="1" customWidth="1"/>
    <col min="14085" max="14336" width="11.453125" style="1"/>
    <col min="14337" max="14337" width="2.08984375" style="1" customWidth="1"/>
    <col min="14338" max="14338" width="18.36328125" style="1" customWidth="1"/>
    <col min="14339" max="14339" width="29.6328125" style="1" customWidth="1"/>
    <col min="14340" max="14340" width="11.453125" style="1" customWidth="1"/>
    <col min="14341" max="14592" width="11.453125" style="1"/>
    <col min="14593" max="14593" width="2.08984375" style="1" customWidth="1"/>
    <col min="14594" max="14594" width="18.36328125" style="1" customWidth="1"/>
    <col min="14595" max="14595" width="29.6328125" style="1" customWidth="1"/>
    <col min="14596" max="14596" width="11.453125" style="1" customWidth="1"/>
    <col min="14597" max="14848" width="11.453125" style="1"/>
    <col min="14849" max="14849" width="2.08984375" style="1" customWidth="1"/>
    <col min="14850" max="14850" width="18.36328125" style="1" customWidth="1"/>
    <col min="14851" max="14851" width="29.6328125" style="1" customWidth="1"/>
    <col min="14852" max="14852" width="11.453125" style="1" customWidth="1"/>
    <col min="14853" max="15104" width="11.453125" style="1"/>
    <col min="15105" max="15105" width="2.08984375" style="1" customWidth="1"/>
    <col min="15106" max="15106" width="18.36328125" style="1" customWidth="1"/>
    <col min="15107" max="15107" width="29.6328125" style="1" customWidth="1"/>
    <col min="15108" max="15108" width="11.453125" style="1" customWidth="1"/>
    <col min="15109" max="15360" width="11.453125" style="1"/>
    <col min="15361" max="15361" width="2.08984375" style="1" customWidth="1"/>
    <col min="15362" max="15362" width="18.36328125" style="1" customWidth="1"/>
    <col min="15363" max="15363" width="29.6328125" style="1" customWidth="1"/>
    <col min="15364" max="15364" width="11.453125" style="1" customWidth="1"/>
    <col min="15365" max="15616" width="11.453125" style="1"/>
    <col min="15617" max="15617" width="2.08984375" style="1" customWidth="1"/>
    <col min="15618" max="15618" width="18.36328125" style="1" customWidth="1"/>
    <col min="15619" max="15619" width="29.6328125" style="1" customWidth="1"/>
    <col min="15620" max="15620" width="11.453125" style="1" customWidth="1"/>
    <col min="15621" max="15872" width="11.453125" style="1"/>
    <col min="15873" max="15873" width="2.08984375" style="1" customWidth="1"/>
    <col min="15874" max="15874" width="18.36328125" style="1" customWidth="1"/>
    <col min="15875" max="15875" width="29.6328125" style="1" customWidth="1"/>
    <col min="15876" max="15876" width="11.453125" style="1" customWidth="1"/>
    <col min="15877" max="16128" width="11.453125" style="1"/>
    <col min="16129" max="16129" width="2.08984375" style="1" customWidth="1"/>
    <col min="16130" max="16130" width="18.36328125" style="1" customWidth="1"/>
    <col min="16131" max="16131" width="29.6328125" style="1" customWidth="1"/>
    <col min="16132" max="16132" width="11.453125" style="1" customWidth="1"/>
    <col min="16133" max="16384" width="11.453125" style="1"/>
  </cols>
  <sheetData>
    <row r="1" spans="2:21" ht="12" customHeight="1" thickBot="1" x14ac:dyDescent="0.4"/>
    <row r="2" spans="2:21" x14ac:dyDescent="0.35">
      <c r="B2" s="36" t="s">
        <v>18</v>
      </c>
      <c r="C2" s="51"/>
      <c r="D2" s="237" t="s">
        <v>19</v>
      </c>
      <c r="E2" s="237"/>
      <c r="F2" s="238"/>
      <c r="G2" s="239" t="s">
        <v>6</v>
      </c>
      <c r="H2" s="237"/>
      <c r="I2" s="238"/>
      <c r="J2" s="239" t="s">
        <v>5</v>
      </c>
      <c r="K2" s="237"/>
      <c r="L2" s="238"/>
      <c r="M2" s="239" t="s">
        <v>4</v>
      </c>
      <c r="N2" s="237"/>
      <c r="O2" s="238"/>
      <c r="P2" s="239" t="s">
        <v>3</v>
      </c>
      <c r="Q2" s="237"/>
      <c r="R2" s="238"/>
      <c r="S2" s="239" t="s">
        <v>2</v>
      </c>
      <c r="T2" s="237"/>
      <c r="U2" s="238"/>
    </row>
    <row r="3" spans="2:21" ht="29" x14ac:dyDescent="0.35">
      <c r="B3" s="235"/>
      <c r="C3" s="236"/>
      <c r="D3" s="58" t="s">
        <v>20</v>
      </c>
      <c r="E3" s="38" t="s">
        <v>21</v>
      </c>
      <c r="F3" s="39" t="s">
        <v>1</v>
      </c>
      <c r="G3" s="37" t="s">
        <v>20</v>
      </c>
      <c r="H3" s="38" t="s">
        <v>21</v>
      </c>
      <c r="I3" s="39" t="s">
        <v>1</v>
      </c>
      <c r="J3" s="37" t="s">
        <v>20</v>
      </c>
      <c r="K3" s="38" t="s">
        <v>21</v>
      </c>
      <c r="L3" s="39" t="s">
        <v>1</v>
      </c>
      <c r="M3" s="37" t="s">
        <v>20</v>
      </c>
      <c r="N3" s="38" t="s">
        <v>21</v>
      </c>
      <c r="O3" s="39" t="s">
        <v>1</v>
      </c>
      <c r="P3" s="37" t="s">
        <v>20</v>
      </c>
      <c r="Q3" s="38" t="s">
        <v>21</v>
      </c>
      <c r="R3" s="39" t="s">
        <v>1</v>
      </c>
      <c r="S3" s="37" t="s">
        <v>20</v>
      </c>
      <c r="T3" s="38" t="s">
        <v>21</v>
      </c>
      <c r="U3" s="39" t="s">
        <v>1</v>
      </c>
    </row>
    <row r="4" spans="2:21" x14ac:dyDescent="0.35">
      <c r="B4" s="232" t="s">
        <v>60</v>
      </c>
      <c r="C4" s="52" t="s">
        <v>44</v>
      </c>
      <c r="D4" s="58">
        <v>3</v>
      </c>
      <c r="E4" s="57">
        <f>9210*0.8/Supuestos!C7</f>
        <v>779.27022739291385</v>
      </c>
      <c r="F4" s="41">
        <f>+D4*E4</f>
        <v>2337.8106821787414</v>
      </c>
      <c r="G4" s="37"/>
      <c r="H4" s="40"/>
      <c r="I4" s="41">
        <f t="shared" ref="I4:I14" si="0">+G4*H4</f>
        <v>0</v>
      </c>
      <c r="J4" s="37"/>
      <c r="K4" s="40"/>
      <c r="L4" s="41">
        <f t="shared" ref="L4:L14" si="1">+J4*K4</f>
        <v>0</v>
      </c>
      <c r="M4" s="37"/>
      <c r="N4" s="40"/>
      <c r="O4" s="41">
        <f t="shared" ref="O4:O25" si="2">+M4*N4</f>
        <v>0</v>
      </c>
      <c r="P4" s="37"/>
      <c r="Q4" s="40"/>
      <c r="R4" s="41">
        <f t="shared" ref="R4:R25" si="3">+P4*Q4</f>
        <v>0</v>
      </c>
      <c r="S4" s="37"/>
      <c r="T4" s="40"/>
      <c r="U4" s="41">
        <f t="shared" ref="U4:U25" si="4">+S4*T4</f>
        <v>0</v>
      </c>
    </row>
    <row r="5" spans="2:21" ht="29" x14ac:dyDescent="0.35">
      <c r="B5" s="233"/>
      <c r="C5" s="52" t="s">
        <v>45</v>
      </c>
      <c r="D5" s="58">
        <v>2</v>
      </c>
      <c r="E5" s="57">
        <f>2546/(1.21)/Supuestos!C7</f>
        <v>222.54174842992691</v>
      </c>
      <c r="F5" s="41">
        <f t="shared" ref="F5:F14" si="5">+D5*E5</f>
        <v>445.08349685985382</v>
      </c>
      <c r="G5" s="37"/>
      <c r="H5" s="40"/>
      <c r="I5" s="41">
        <f t="shared" si="0"/>
        <v>0</v>
      </c>
      <c r="J5" s="37"/>
      <c r="K5" s="40"/>
      <c r="L5" s="41">
        <f t="shared" si="1"/>
        <v>0</v>
      </c>
      <c r="M5" s="37"/>
      <c r="N5" s="40"/>
      <c r="O5" s="41">
        <f t="shared" si="2"/>
        <v>0</v>
      </c>
      <c r="P5" s="37"/>
      <c r="Q5" s="40"/>
      <c r="R5" s="41">
        <f t="shared" si="3"/>
        <v>0</v>
      </c>
      <c r="S5" s="37"/>
      <c r="T5" s="40"/>
      <c r="U5" s="41">
        <f t="shared" si="4"/>
        <v>0</v>
      </c>
    </row>
    <row r="6" spans="2:21" ht="29" x14ac:dyDescent="0.35">
      <c r="B6" s="233"/>
      <c r="C6" s="52" t="s">
        <v>46</v>
      </c>
      <c r="D6" s="58">
        <v>1</v>
      </c>
      <c r="E6" s="57">
        <f>5000/(1.21)/Supuestos!C7</f>
        <v>437.04192543190669</v>
      </c>
      <c r="F6" s="41">
        <f t="shared" si="5"/>
        <v>437.04192543190669</v>
      </c>
      <c r="G6" s="37"/>
      <c r="H6" s="40"/>
      <c r="I6" s="41">
        <f t="shared" si="0"/>
        <v>0</v>
      </c>
      <c r="J6" s="37"/>
      <c r="K6" s="40"/>
      <c r="L6" s="41">
        <f t="shared" si="1"/>
        <v>0</v>
      </c>
      <c r="M6" s="37"/>
      <c r="N6" s="40"/>
      <c r="O6" s="41">
        <f t="shared" si="2"/>
        <v>0</v>
      </c>
      <c r="P6" s="37"/>
      <c r="Q6" s="40"/>
      <c r="R6" s="41">
        <f t="shared" si="3"/>
        <v>0</v>
      </c>
      <c r="S6" s="37"/>
      <c r="T6" s="40"/>
      <c r="U6" s="41">
        <f t="shared" si="4"/>
        <v>0</v>
      </c>
    </row>
    <row r="7" spans="2:21" ht="29" x14ac:dyDescent="0.35">
      <c r="B7" s="233"/>
      <c r="C7" s="53" t="s">
        <v>47</v>
      </c>
      <c r="D7" s="59">
        <v>1</v>
      </c>
      <c r="E7" s="57">
        <f>21000/(1.21)/Supuestos!C7</f>
        <v>1835.576086814008</v>
      </c>
      <c r="F7" s="41">
        <f t="shared" si="5"/>
        <v>1835.576086814008</v>
      </c>
      <c r="G7" s="37"/>
      <c r="H7" s="40"/>
      <c r="I7" s="41">
        <f t="shared" si="0"/>
        <v>0</v>
      </c>
      <c r="J7" s="37"/>
      <c r="K7" s="40"/>
      <c r="L7" s="41">
        <f t="shared" si="1"/>
        <v>0</v>
      </c>
      <c r="M7" s="37"/>
      <c r="N7" s="40"/>
      <c r="O7" s="41">
        <f t="shared" si="2"/>
        <v>0</v>
      </c>
      <c r="P7" s="37"/>
      <c r="Q7" s="40"/>
      <c r="R7" s="41">
        <f t="shared" si="3"/>
        <v>0</v>
      </c>
      <c r="S7" s="37"/>
      <c r="T7" s="40"/>
      <c r="U7" s="41">
        <f t="shared" si="4"/>
        <v>0</v>
      </c>
    </row>
    <row r="8" spans="2:21" ht="29" x14ac:dyDescent="0.35">
      <c r="B8" s="233"/>
      <c r="C8" s="53" t="s">
        <v>48</v>
      </c>
      <c r="D8" s="59">
        <v>2</v>
      </c>
      <c r="E8" s="57">
        <f>(2960/(1.21)+500)/Supuestos!C7</f>
        <v>311.61089283294945</v>
      </c>
      <c r="F8" s="41">
        <f>+D8*E8</f>
        <v>623.22178566589889</v>
      </c>
      <c r="G8" s="37"/>
      <c r="H8" s="40"/>
      <c r="I8" s="41">
        <f t="shared" si="0"/>
        <v>0</v>
      </c>
      <c r="J8" s="37"/>
      <c r="K8" s="40"/>
      <c r="L8" s="41">
        <f t="shared" si="1"/>
        <v>0</v>
      </c>
      <c r="M8" s="37"/>
      <c r="N8" s="40"/>
      <c r="O8" s="41">
        <f t="shared" si="2"/>
        <v>0</v>
      </c>
      <c r="P8" s="37"/>
      <c r="Q8" s="40"/>
      <c r="R8" s="41">
        <f t="shared" si="3"/>
        <v>0</v>
      </c>
      <c r="S8" s="37"/>
      <c r="T8" s="40"/>
      <c r="U8" s="41">
        <f t="shared" si="4"/>
        <v>0</v>
      </c>
    </row>
    <row r="9" spans="2:21" ht="29" x14ac:dyDescent="0.35">
      <c r="B9" s="233"/>
      <c r="C9" s="53" t="s">
        <v>49</v>
      </c>
      <c r="D9" s="59">
        <v>1</v>
      </c>
      <c r="E9" s="57">
        <f>(4758/(1.21)+500)/Supuestos!C7</f>
        <v>468.7711692182632</v>
      </c>
      <c r="F9" s="41">
        <f>+D9*E9</f>
        <v>468.7711692182632</v>
      </c>
      <c r="G9" s="37"/>
      <c r="H9" s="40"/>
      <c r="I9" s="41">
        <f t="shared" si="0"/>
        <v>0</v>
      </c>
      <c r="J9" s="37"/>
      <c r="K9" s="40"/>
      <c r="L9" s="41">
        <f t="shared" si="1"/>
        <v>0</v>
      </c>
      <c r="M9" s="37"/>
      <c r="N9" s="40"/>
      <c r="O9" s="41">
        <f t="shared" si="2"/>
        <v>0</v>
      </c>
      <c r="P9" s="37"/>
      <c r="Q9" s="40"/>
      <c r="R9" s="41">
        <f t="shared" si="3"/>
        <v>0</v>
      </c>
      <c r="S9" s="37"/>
      <c r="T9" s="40"/>
      <c r="U9" s="41">
        <f t="shared" si="4"/>
        <v>0</v>
      </c>
    </row>
    <row r="10" spans="2:21" x14ac:dyDescent="0.35">
      <c r="B10" s="233"/>
      <c r="C10" s="53" t="s">
        <v>50</v>
      </c>
      <c r="D10" s="59">
        <v>1</v>
      </c>
      <c r="E10" s="57">
        <f>10000/Supuestos!C7</f>
        <v>1057.6414595452143</v>
      </c>
      <c r="F10" s="41">
        <f>+D10*E10</f>
        <v>1057.6414595452143</v>
      </c>
      <c r="G10" s="37"/>
      <c r="H10" s="40"/>
      <c r="I10" s="41">
        <f t="shared" si="0"/>
        <v>0</v>
      </c>
      <c r="J10" s="37"/>
      <c r="K10" s="40"/>
      <c r="L10" s="41">
        <f t="shared" si="1"/>
        <v>0</v>
      </c>
      <c r="M10" s="37"/>
      <c r="N10" s="40"/>
      <c r="O10" s="41">
        <f t="shared" si="2"/>
        <v>0</v>
      </c>
      <c r="P10" s="37"/>
      <c r="Q10" s="40"/>
      <c r="R10" s="41">
        <f t="shared" si="3"/>
        <v>0</v>
      </c>
      <c r="S10" s="37"/>
      <c r="T10" s="40"/>
      <c r="U10" s="41">
        <f t="shared" si="4"/>
        <v>0</v>
      </c>
    </row>
    <row r="11" spans="2:21" ht="29" x14ac:dyDescent="0.35">
      <c r="B11" s="233"/>
      <c r="C11" s="52" t="s">
        <v>51</v>
      </c>
      <c r="D11" s="58">
        <v>1</v>
      </c>
      <c r="E11" s="57">
        <f>20000/Supuestos!C7</f>
        <v>2115.2829190904285</v>
      </c>
      <c r="F11" s="41">
        <f>+D11*E11</f>
        <v>2115.2829190904285</v>
      </c>
      <c r="G11" s="37"/>
      <c r="H11" s="40"/>
      <c r="I11" s="41">
        <f t="shared" si="0"/>
        <v>0</v>
      </c>
      <c r="J11" s="37"/>
      <c r="K11" s="40"/>
      <c r="L11" s="41">
        <f t="shared" si="1"/>
        <v>0</v>
      </c>
      <c r="M11" s="37"/>
      <c r="N11" s="40"/>
      <c r="O11" s="41">
        <f t="shared" si="2"/>
        <v>0</v>
      </c>
      <c r="P11" s="37"/>
      <c r="Q11" s="40"/>
      <c r="R11" s="41">
        <f t="shared" si="3"/>
        <v>0</v>
      </c>
      <c r="S11" s="37"/>
      <c r="T11" s="40"/>
      <c r="U11" s="41">
        <f t="shared" si="4"/>
        <v>0</v>
      </c>
    </row>
    <row r="12" spans="2:21" ht="15" customHeight="1" x14ac:dyDescent="0.35">
      <c r="B12" s="233"/>
      <c r="C12" s="52" t="s">
        <v>52</v>
      </c>
      <c r="D12" s="58">
        <v>1</v>
      </c>
      <c r="E12" s="57">
        <f>30000/Supuestos!C7</f>
        <v>3172.9243786356424</v>
      </c>
      <c r="F12" s="41">
        <f t="shared" si="5"/>
        <v>3172.9243786356424</v>
      </c>
      <c r="G12" s="37"/>
      <c r="H12" s="40"/>
      <c r="I12" s="41">
        <f t="shared" si="0"/>
        <v>0</v>
      </c>
      <c r="J12" s="37"/>
      <c r="K12" s="40"/>
      <c r="L12" s="41">
        <f t="shared" si="1"/>
        <v>0</v>
      </c>
      <c r="M12" s="37"/>
      <c r="N12" s="40"/>
      <c r="O12" s="41">
        <f t="shared" si="2"/>
        <v>0</v>
      </c>
      <c r="P12" s="37"/>
      <c r="Q12" s="40"/>
      <c r="R12" s="41">
        <f t="shared" si="3"/>
        <v>0</v>
      </c>
      <c r="S12" s="37"/>
      <c r="T12" s="40"/>
      <c r="U12" s="41">
        <f t="shared" si="4"/>
        <v>0</v>
      </c>
    </row>
    <row r="13" spans="2:21" x14ac:dyDescent="0.35">
      <c r="B13" s="233"/>
      <c r="C13" s="52" t="s">
        <v>53</v>
      </c>
      <c r="D13" s="58">
        <v>50</v>
      </c>
      <c r="E13" s="57">
        <f>55/Supuestos!C7</f>
        <v>5.8170280274986776</v>
      </c>
      <c r="F13" s="41">
        <f>+D13*E13</f>
        <v>290.85140137493386</v>
      </c>
      <c r="G13" s="37"/>
      <c r="H13" s="40"/>
      <c r="I13" s="41">
        <f t="shared" si="0"/>
        <v>0</v>
      </c>
      <c r="J13" s="37"/>
      <c r="K13" s="40"/>
      <c r="L13" s="41">
        <f t="shared" si="1"/>
        <v>0</v>
      </c>
      <c r="M13" s="37"/>
      <c r="N13" s="40"/>
      <c r="O13" s="41">
        <f t="shared" si="2"/>
        <v>0</v>
      </c>
      <c r="P13" s="37"/>
      <c r="Q13" s="40"/>
      <c r="R13" s="41">
        <f t="shared" si="3"/>
        <v>0</v>
      </c>
      <c r="S13" s="37"/>
      <c r="T13" s="40"/>
      <c r="U13" s="41">
        <f t="shared" si="4"/>
        <v>0</v>
      </c>
    </row>
    <row r="14" spans="2:21" ht="29" x14ac:dyDescent="0.35">
      <c r="B14" s="233"/>
      <c r="C14" s="53" t="s">
        <v>54</v>
      </c>
      <c r="D14" s="59">
        <v>1</v>
      </c>
      <c r="E14" s="57">
        <f>5000/Supuestos!C7</f>
        <v>528.82072977260714</v>
      </c>
      <c r="F14" s="41">
        <f t="shared" si="5"/>
        <v>528.82072977260714</v>
      </c>
      <c r="G14" s="37"/>
      <c r="H14" s="40"/>
      <c r="I14" s="41">
        <f t="shared" si="0"/>
        <v>0</v>
      </c>
      <c r="J14" s="37"/>
      <c r="K14" s="40"/>
      <c r="L14" s="41">
        <f t="shared" si="1"/>
        <v>0</v>
      </c>
      <c r="M14" s="37"/>
      <c r="N14" s="40"/>
      <c r="O14" s="41">
        <f t="shared" si="2"/>
        <v>0</v>
      </c>
      <c r="P14" s="37"/>
      <c r="Q14" s="40"/>
      <c r="R14" s="41">
        <f t="shared" si="3"/>
        <v>0</v>
      </c>
      <c r="S14" s="37"/>
      <c r="T14" s="40"/>
      <c r="U14" s="41">
        <f t="shared" si="4"/>
        <v>0</v>
      </c>
    </row>
    <row r="15" spans="2:21" x14ac:dyDescent="0.35">
      <c r="B15" s="233"/>
      <c r="C15" s="53" t="s">
        <v>63</v>
      </c>
      <c r="D15" s="59">
        <v>1</v>
      </c>
      <c r="E15" s="42">
        <f>+E19*0.6</f>
        <v>7028.3447911158119</v>
      </c>
      <c r="F15" s="41">
        <f t="shared" ref="F15:F24" si="6">+D15*E15</f>
        <v>7028.3447911158119</v>
      </c>
      <c r="G15" s="37"/>
      <c r="H15" s="40"/>
      <c r="I15" s="41">
        <f t="shared" ref="I15:I24" si="7">+G15*H15</f>
        <v>0</v>
      </c>
      <c r="J15" s="37"/>
      <c r="K15" s="40"/>
      <c r="L15" s="41">
        <f t="shared" ref="L15:L24" si="8">+J15*K15</f>
        <v>0</v>
      </c>
      <c r="M15" s="37"/>
      <c r="N15" s="40"/>
      <c r="O15" s="41">
        <f t="shared" si="2"/>
        <v>0</v>
      </c>
      <c r="P15" s="37"/>
      <c r="Q15" s="40"/>
      <c r="R15" s="41">
        <f t="shared" si="3"/>
        <v>0</v>
      </c>
      <c r="S15" s="37"/>
      <c r="T15" s="40"/>
      <c r="U15" s="41">
        <f t="shared" si="4"/>
        <v>0</v>
      </c>
    </row>
    <row r="16" spans="2:21" x14ac:dyDescent="0.35">
      <c r="B16" s="234"/>
      <c r="C16" s="53" t="s">
        <v>89</v>
      </c>
      <c r="D16" s="59">
        <v>2</v>
      </c>
      <c r="E16" s="42">
        <f>4500/Supuestos!C7</f>
        <v>475.93865679534639</v>
      </c>
      <c r="F16" s="41">
        <f t="shared" si="6"/>
        <v>951.87731359069278</v>
      </c>
      <c r="G16" s="37"/>
      <c r="H16" s="40"/>
      <c r="I16" s="41">
        <f t="shared" si="7"/>
        <v>0</v>
      </c>
      <c r="J16" s="37"/>
      <c r="K16" s="40"/>
      <c r="L16" s="41">
        <f t="shared" si="8"/>
        <v>0</v>
      </c>
      <c r="M16" s="37"/>
      <c r="N16" s="40"/>
      <c r="O16" s="41">
        <f t="shared" si="2"/>
        <v>0</v>
      </c>
      <c r="P16" s="37"/>
      <c r="Q16" s="40"/>
      <c r="R16" s="41">
        <f t="shared" si="3"/>
        <v>0</v>
      </c>
      <c r="S16" s="37"/>
      <c r="T16" s="40"/>
      <c r="U16" s="41">
        <f t="shared" si="4"/>
        <v>0</v>
      </c>
    </row>
    <row r="17" spans="2:21" x14ac:dyDescent="0.35">
      <c r="B17" s="232" t="s">
        <v>22</v>
      </c>
      <c r="C17" s="60" t="s">
        <v>56</v>
      </c>
      <c r="D17" s="59">
        <v>1</v>
      </c>
      <c r="E17" s="57">
        <f>25000/Supuestos!C7</f>
        <v>2644.1036488630352</v>
      </c>
      <c r="F17" s="41">
        <f t="shared" si="6"/>
        <v>2644.1036488630352</v>
      </c>
      <c r="G17" s="37"/>
      <c r="H17" s="40"/>
      <c r="I17" s="41">
        <f t="shared" si="7"/>
        <v>0</v>
      </c>
      <c r="J17" s="37"/>
      <c r="K17" s="40"/>
      <c r="L17" s="41">
        <f t="shared" si="8"/>
        <v>0</v>
      </c>
      <c r="M17" s="37"/>
      <c r="N17" s="40"/>
      <c r="O17" s="41">
        <f t="shared" si="2"/>
        <v>0</v>
      </c>
      <c r="P17" s="37"/>
      <c r="Q17" s="40"/>
      <c r="R17" s="41">
        <f t="shared" si="3"/>
        <v>0</v>
      </c>
      <c r="S17" s="37"/>
      <c r="T17" s="40"/>
      <c r="U17" s="41">
        <f t="shared" si="4"/>
        <v>0</v>
      </c>
    </row>
    <row r="18" spans="2:21" x14ac:dyDescent="0.35">
      <c r="B18" s="233"/>
      <c r="C18" s="55" t="s">
        <v>62</v>
      </c>
      <c r="D18" s="59">
        <v>1</v>
      </c>
      <c r="E18" s="42">
        <f>30000/Supuestos!C7</f>
        <v>3172.9243786356424</v>
      </c>
      <c r="F18" s="41">
        <f t="shared" si="6"/>
        <v>3172.9243786356424</v>
      </c>
      <c r="G18" s="37"/>
      <c r="H18" s="40"/>
      <c r="I18" s="41">
        <f t="shared" si="7"/>
        <v>0</v>
      </c>
      <c r="J18" s="37"/>
      <c r="K18" s="40"/>
      <c r="L18" s="41">
        <f t="shared" si="8"/>
        <v>0</v>
      </c>
      <c r="M18" s="37"/>
      <c r="N18" s="40"/>
      <c r="O18" s="41">
        <f t="shared" si="2"/>
        <v>0</v>
      </c>
      <c r="P18" s="37"/>
      <c r="Q18" s="40"/>
      <c r="R18" s="41">
        <f t="shared" si="3"/>
        <v>0</v>
      </c>
      <c r="S18" s="37"/>
      <c r="T18" s="40"/>
      <c r="U18" s="41">
        <f t="shared" si="4"/>
        <v>0</v>
      </c>
    </row>
    <row r="19" spans="2:21" x14ac:dyDescent="0.35">
      <c r="B19" s="234"/>
      <c r="C19" s="54" t="s">
        <v>61</v>
      </c>
      <c r="D19" s="59">
        <v>1</v>
      </c>
      <c r="E19" s="57">
        <f>110755/Supuestos!C7</f>
        <v>11713.90798519302</v>
      </c>
      <c r="F19" s="41">
        <f t="shared" si="6"/>
        <v>11713.90798519302</v>
      </c>
      <c r="G19" s="37"/>
      <c r="H19" s="40"/>
      <c r="I19" s="41">
        <f t="shared" si="7"/>
        <v>0</v>
      </c>
      <c r="J19" s="37"/>
      <c r="K19" s="40"/>
      <c r="L19" s="41">
        <f t="shared" si="8"/>
        <v>0</v>
      </c>
      <c r="M19" s="37"/>
      <c r="N19" s="40"/>
      <c r="O19" s="41">
        <f t="shared" si="2"/>
        <v>0</v>
      </c>
      <c r="P19" s="37"/>
      <c r="Q19" s="40"/>
      <c r="R19" s="41">
        <f t="shared" si="3"/>
        <v>0</v>
      </c>
      <c r="S19" s="37"/>
      <c r="T19" s="40"/>
      <c r="U19" s="41">
        <f t="shared" si="4"/>
        <v>0</v>
      </c>
    </row>
    <row r="20" spans="2:21" x14ac:dyDescent="0.35">
      <c r="B20" s="43" t="s">
        <v>23</v>
      </c>
      <c r="C20" s="53" t="s">
        <v>96</v>
      </c>
      <c r="D20" s="59">
        <v>1</v>
      </c>
      <c r="E20" s="57">
        <f>5000/Supuestos!C7</f>
        <v>528.82072977260714</v>
      </c>
      <c r="F20" s="41">
        <f t="shared" si="6"/>
        <v>528.82072977260714</v>
      </c>
      <c r="G20" s="37"/>
      <c r="H20" s="40"/>
      <c r="I20" s="41">
        <f t="shared" si="7"/>
        <v>0</v>
      </c>
      <c r="J20" s="37"/>
      <c r="K20" s="40"/>
      <c r="L20" s="41">
        <f t="shared" si="8"/>
        <v>0</v>
      </c>
      <c r="M20" s="37"/>
      <c r="N20" s="40"/>
      <c r="O20" s="41">
        <f t="shared" si="2"/>
        <v>0</v>
      </c>
      <c r="P20" s="37"/>
      <c r="Q20" s="40"/>
      <c r="R20" s="41">
        <f t="shared" si="3"/>
        <v>0</v>
      </c>
      <c r="S20" s="37"/>
      <c r="T20" s="40"/>
      <c r="U20" s="41">
        <f t="shared" si="4"/>
        <v>0</v>
      </c>
    </row>
    <row r="21" spans="2:21" x14ac:dyDescent="0.35">
      <c r="B21" s="232" t="s">
        <v>24</v>
      </c>
      <c r="C21" s="55" t="s">
        <v>94</v>
      </c>
      <c r="D21" s="59">
        <f>+'Proyección Ventas'!C19*0.062</f>
        <v>6249.6</v>
      </c>
      <c r="E21" s="42" t="e">
        <f>+#REF!</f>
        <v>#REF!</v>
      </c>
      <c r="F21" s="41" t="e">
        <f t="shared" si="6"/>
        <v>#REF!</v>
      </c>
      <c r="G21" s="37"/>
      <c r="H21" s="40"/>
      <c r="I21" s="41">
        <f t="shared" si="7"/>
        <v>0</v>
      </c>
      <c r="J21" s="37"/>
      <c r="K21" s="40"/>
      <c r="L21" s="41">
        <f t="shared" si="8"/>
        <v>0</v>
      </c>
      <c r="M21" s="37"/>
      <c r="N21" s="40"/>
      <c r="O21" s="41">
        <f t="shared" si="2"/>
        <v>0</v>
      </c>
      <c r="P21" s="37"/>
      <c r="Q21" s="40"/>
      <c r="R21" s="41">
        <f t="shared" si="3"/>
        <v>0</v>
      </c>
      <c r="S21" s="37"/>
      <c r="T21" s="40"/>
      <c r="U21" s="41">
        <f t="shared" si="4"/>
        <v>0</v>
      </c>
    </row>
    <row r="22" spans="2:21" x14ac:dyDescent="0.35">
      <c r="B22" s="233"/>
      <c r="C22" s="55" t="s">
        <v>97</v>
      </c>
      <c r="D22" s="59">
        <f>INT(+'Proyección Ventas'!C19/1000)</f>
        <v>100</v>
      </c>
      <c r="E22" s="42">
        <f>+'Cs Prod'!E12</f>
        <v>365.94394500264411</v>
      </c>
      <c r="F22" s="41">
        <f t="shared" si="6"/>
        <v>36594.39450026441</v>
      </c>
      <c r="G22" s="37"/>
      <c r="H22" s="40"/>
      <c r="I22" s="41">
        <f t="shared" si="7"/>
        <v>0</v>
      </c>
      <c r="J22" s="37"/>
      <c r="K22" s="40"/>
      <c r="L22" s="41">
        <f t="shared" si="8"/>
        <v>0</v>
      </c>
      <c r="M22" s="37"/>
      <c r="N22" s="40"/>
      <c r="O22" s="41">
        <f t="shared" si="2"/>
        <v>0</v>
      </c>
      <c r="P22" s="37"/>
      <c r="Q22" s="40"/>
      <c r="R22" s="41">
        <f t="shared" si="3"/>
        <v>0</v>
      </c>
      <c r="S22" s="37"/>
      <c r="T22" s="40"/>
      <c r="U22" s="41">
        <f t="shared" si="4"/>
        <v>0</v>
      </c>
    </row>
    <row r="23" spans="2:21" x14ac:dyDescent="0.35">
      <c r="B23" s="233"/>
      <c r="C23" s="60" t="s">
        <v>57</v>
      </c>
      <c r="D23" s="59">
        <v>1</v>
      </c>
      <c r="E23" s="57">
        <f>10000/Supuestos!C7</f>
        <v>1057.6414595452143</v>
      </c>
      <c r="F23" s="41">
        <f t="shared" si="6"/>
        <v>1057.6414595452143</v>
      </c>
      <c r="G23" s="37"/>
      <c r="H23" s="40"/>
      <c r="I23" s="41">
        <f t="shared" si="7"/>
        <v>0</v>
      </c>
      <c r="J23" s="37"/>
      <c r="K23" s="40"/>
      <c r="L23" s="41">
        <f t="shared" si="8"/>
        <v>0</v>
      </c>
      <c r="M23" s="37"/>
      <c r="N23" s="40"/>
      <c r="O23" s="41">
        <f t="shared" si="2"/>
        <v>0</v>
      </c>
      <c r="P23" s="37"/>
      <c r="Q23" s="40"/>
      <c r="R23" s="41">
        <f t="shared" si="3"/>
        <v>0</v>
      </c>
      <c r="S23" s="37"/>
      <c r="T23" s="40"/>
      <c r="U23" s="41">
        <f t="shared" si="4"/>
        <v>0</v>
      </c>
    </row>
    <row r="24" spans="2:21" x14ac:dyDescent="0.35">
      <c r="B24" s="233"/>
      <c r="C24" s="53" t="s">
        <v>55</v>
      </c>
      <c r="D24" s="59">
        <v>1</v>
      </c>
      <c r="E24" s="57">
        <f>10000/Supuestos!C7</f>
        <v>1057.6414595452143</v>
      </c>
      <c r="F24" s="41">
        <f t="shared" si="6"/>
        <v>1057.6414595452143</v>
      </c>
      <c r="G24" s="37"/>
      <c r="H24" s="40"/>
      <c r="I24" s="41">
        <f t="shared" si="7"/>
        <v>0</v>
      </c>
      <c r="J24" s="37"/>
      <c r="K24" s="40"/>
      <c r="L24" s="41">
        <f t="shared" si="8"/>
        <v>0</v>
      </c>
      <c r="M24" s="37"/>
      <c r="N24" s="40"/>
      <c r="O24" s="41">
        <f t="shared" si="2"/>
        <v>0</v>
      </c>
      <c r="P24" s="37"/>
      <c r="Q24" s="40"/>
      <c r="R24" s="41">
        <f t="shared" si="3"/>
        <v>0</v>
      </c>
      <c r="S24" s="37"/>
      <c r="T24" s="40"/>
      <c r="U24" s="41">
        <f t="shared" si="4"/>
        <v>0</v>
      </c>
    </row>
    <row r="25" spans="2:21" x14ac:dyDescent="0.35">
      <c r="B25" s="125" t="s">
        <v>95</v>
      </c>
      <c r="C25" s="55" t="s">
        <v>64</v>
      </c>
      <c r="D25" s="59">
        <v>1</v>
      </c>
      <c r="E25" s="42">
        <f>145000/Supuestos!C7</f>
        <v>15335.801163405606</v>
      </c>
      <c r="F25" s="41">
        <f>+D25*E25</f>
        <v>15335.801163405606</v>
      </c>
      <c r="G25" s="37">
        <v>1</v>
      </c>
      <c r="H25" s="40">
        <f>360000/Supuestos!C7</f>
        <v>38075.09254362771</v>
      </c>
      <c r="I25" s="41">
        <f>+G25*H25</f>
        <v>38075.09254362771</v>
      </c>
      <c r="J25" s="37">
        <v>1</v>
      </c>
      <c r="K25" s="40">
        <f>+H25</f>
        <v>38075.09254362771</v>
      </c>
      <c r="L25" s="41">
        <f>+J25*K25</f>
        <v>38075.09254362771</v>
      </c>
      <c r="M25" s="37"/>
      <c r="N25" s="40"/>
      <c r="O25" s="41">
        <f t="shared" si="2"/>
        <v>0</v>
      </c>
      <c r="P25" s="37"/>
      <c r="Q25" s="40"/>
      <c r="R25" s="41">
        <f t="shared" si="3"/>
        <v>0</v>
      </c>
      <c r="S25" s="37"/>
      <c r="T25" s="40"/>
      <c r="U25" s="41">
        <f t="shared" si="4"/>
        <v>0</v>
      </c>
    </row>
    <row r="26" spans="2:21" ht="15" thickBot="1" x14ac:dyDescent="0.4">
      <c r="B26" s="44" t="s">
        <v>25</v>
      </c>
      <c r="C26" s="56"/>
      <c r="D26" s="45" t="s">
        <v>19</v>
      </c>
      <c r="E26" s="46"/>
      <c r="F26" s="47" t="e">
        <f>+SUM(F4:F25)</f>
        <v>#REF!</v>
      </c>
      <c r="G26" s="44" t="s">
        <v>6</v>
      </c>
      <c r="H26" s="46"/>
      <c r="I26" s="47">
        <f>+SUM(I4:I25)</f>
        <v>38075.09254362771</v>
      </c>
      <c r="J26" s="44" t="s">
        <v>5</v>
      </c>
      <c r="K26" s="46"/>
      <c r="L26" s="47">
        <f>+SUM(L4:L25)</f>
        <v>38075.09254362771</v>
      </c>
      <c r="M26" s="44" t="s">
        <v>4</v>
      </c>
      <c r="N26" s="46"/>
      <c r="O26" s="47">
        <f>+SUM(O4:O25)</f>
        <v>0</v>
      </c>
      <c r="P26" s="44" t="s">
        <v>3</v>
      </c>
      <c r="Q26" s="46"/>
      <c r="R26" s="47">
        <f>+SUM(R4:R25)</f>
        <v>0</v>
      </c>
      <c r="S26" s="44" t="s">
        <v>2</v>
      </c>
      <c r="T26" s="46"/>
      <c r="U26" s="47">
        <f>+SUM(U4:U25)</f>
        <v>0</v>
      </c>
    </row>
    <row r="28" spans="2:21" ht="12" customHeight="1" x14ac:dyDescent="0.35">
      <c r="C28" s="1" t="s">
        <v>90</v>
      </c>
      <c r="D28" s="1">
        <v>60000</v>
      </c>
      <c r="E28" s="1" t="s">
        <v>91</v>
      </c>
      <c r="I28" s="1">
        <f>+D28*12</f>
        <v>720000</v>
      </c>
      <c r="L28" s="1">
        <f>+I28</f>
        <v>720000</v>
      </c>
      <c r="O28" s="1">
        <f>+L28</f>
        <v>720000</v>
      </c>
      <c r="R28" s="1">
        <f>+O28</f>
        <v>720000</v>
      </c>
      <c r="U28" s="1">
        <f>+R28</f>
        <v>720000</v>
      </c>
    </row>
    <row r="29" spans="2:21" ht="12" customHeight="1" x14ac:dyDescent="0.35">
      <c r="C29" s="1" t="s">
        <v>92</v>
      </c>
      <c r="I29" s="1">
        <f>+'Proyección Ventas'!C19</f>
        <v>100800</v>
      </c>
      <c r="L29" s="1">
        <f>+'Proyección Ventas'!C20</f>
        <v>127260</v>
      </c>
      <c r="O29" s="1">
        <f>+'Proyección Ventas'!C21+'Proyección Ventas'!I21</f>
        <v>472510.32</v>
      </c>
      <c r="R29" s="1">
        <f>+'Proyección Ventas'!C22+'Proyección Ventas'!I22</f>
        <v>723271.30199999991</v>
      </c>
      <c r="U29" s="1">
        <f>+'Proyección Ventas'!C23+'Proyección Ventas'!I23</f>
        <v>1286186.55636</v>
      </c>
    </row>
    <row r="30" spans="2:21" ht="12" customHeight="1" x14ac:dyDescent="0.35">
      <c r="C30" s="1" t="s">
        <v>93</v>
      </c>
      <c r="I30" s="1">
        <f>+I28-I29</f>
        <v>619200</v>
      </c>
      <c r="L30" s="1">
        <f>+L28-L29</f>
        <v>592740</v>
      </c>
      <c r="O30" s="1">
        <f>+O28-O29</f>
        <v>247489.68</v>
      </c>
      <c r="R30" s="1">
        <f>+R28-R29</f>
        <v>-3271.3019999999087</v>
      </c>
      <c r="U30" s="1">
        <f>+U28-U29</f>
        <v>-566186.55636000005</v>
      </c>
    </row>
  </sheetData>
  <mergeCells count="10">
    <mergeCell ref="G2:I2"/>
    <mergeCell ref="J2:L2"/>
    <mergeCell ref="M2:O2"/>
    <mergeCell ref="P2:R2"/>
    <mergeCell ref="S2:U2"/>
    <mergeCell ref="B4:B16"/>
    <mergeCell ref="B17:B19"/>
    <mergeCell ref="B3:C3"/>
    <mergeCell ref="B21:B24"/>
    <mergeCell ref="D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AD64"/>
  <sheetViews>
    <sheetView topLeftCell="G1" workbookViewId="0">
      <selection activeCell="D18" sqref="D18"/>
    </sheetView>
  </sheetViews>
  <sheetFormatPr baseColWidth="10" defaultRowHeight="14.5" x14ac:dyDescent="0.35"/>
  <cols>
    <col min="1" max="1" width="3.36328125" style="1" customWidth="1"/>
    <col min="2" max="2" width="22.08984375" style="1" bestFit="1" customWidth="1"/>
    <col min="3" max="3" width="11.453125" style="1"/>
    <col min="4" max="4" width="13.54296875" style="1" customWidth="1"/>
    <col min="5" max="5" width="12.36328125" style="1" customWidth="1"/>
    <col min="6" max="6" width="11.453125" style="1"/>
    <col min="7" max="7" width="17" style="1" bestFit="1" customWidth="1"/>
    <col min="8" max="9" width="12.453125" style="1" bestFit="1" customWidth="1"/>
    <col min="10" max="10" width="12.453125" style="1" customWidth="1"/>
    <col min="11" max="11" width="11.453125" style="1"/>
    <col min="12" max="12" width="17" style="1" bestFit="1" customWidth="1"/>
    <col min="13" max="13" width="13.54296875" style="1" customWidth="1"/>
    <col min="14" max="14" width="12.453125" style="1" bestFit="1" customWidth="1"/>
    <col min="15" max="16" width="14" style="1" bestFit="1" customWidth="1"/>
    <col min="17" max="17" width="17" style="1" bestFit="1" customWidth="1"/>
    <col min="18" max="18" width="14" style="1" bestFit="1" customWidth="1"/>
    <col min="19" max="19" width="17.36328125" style="1" customWidth="1"/>
    <col min="20" max="23" width="13.6328125" style="1" bestFit="1" customWidth="1"/>
    <col min="24" max="256" width="11.453125" style="1"/>
    <col min="257" max="257" width="3.36328125" style="1" customWidth="1"/>
    <col min="258" max="258" width="17.453125" style="1" customWidth="1"/>
    <col min="259" max="259" width="11.453125" style="1"/>
    <col min="260" max="260" width="13.54296875" style="1" customWidth="1"/>
    <col min="261" max="261" width="12.36328125" style="1" customWidth="1"/>
    <col min="262" max="262" width="11.453125" style="1"/>
    <col min="263" max="263" width="17" style="1" bestFit="1" customWidth="1"/>
    <col min="264" max="265" width="12.453125" style="1" bestFit="1" customWidth="1"/>
    <col min="266" max="266" width="12.453125" style="1" customWidth="1"/>
    <col min="267" max="267" width="11.453125" style="1"/>
    <col min="268" max="268" width="17" style="1" bestFit="1" customWidth="1"/>
    <col min="269" max="269" width="13.54296875" style="1" customWidth="1"/>
    <col min="270" max="272" width="11.453125" style="1"/>
    <col min="273" max="273" width="17" style="1" bestFit="1" customWidth="1"/>
    <col min="274" max="274" width="11.453125" style="1"/>
    <col min="275" max="275" width="17.36328125" style="1" customWidth="1"/>
    <col min="276" max="279" width="13.6328125" style="1" bestFit="1" customWidth="1"/>
    <col min="280" max="512" width="11.453125" style="1"/>
    <col min="513" max="513" width="3.36328125" style="1" customWidth="1"/>
    <col min="514" max="514" width="17.453125" style="1" customWidth="1"/>
    <col min="515" max="515" width="11.453125" style="1"/>
    <col min="516" max="516" width="13.54296875" style="1" customWidth="1"/>
    <col min="517" max="517" width="12.36328125" style="1" customWidth="1"/>
    <col min="518" max="518" width="11.453125" style="1"/>
    <col min="519" max="519" width="17" style="1" bestFit="1" customWidth="1"/>
    <col min="520" max="521" width="12.453125" style="1" bestFit="1" customWidth="1"/>
    <col min="522" max="522" width="12.453125" style="1" customWidth="1"/>
    <col min="523" max="523" width="11.453125" style="1"/>
    <col min="524" max="524" width="17" style="1" bestFit="1" customWidth="1"/>
    <col min="525" max="525" width="13.54296875" style="1" customWidth="1"/>
    <col min="526" max="528" width="11.453125" style="1"/>
    <col min="529" max="529" width="17" style="1" bestFit="1" customWidth="1"/>
    <col min="530" max="530" width="11.453125" style="1"/>
    <col min="531" max="531" width="17.36328125" style="1" customWidth="1"/>
    <col min="532" max="535" width="13.6328125" style="1" bestFit="1" customWidth="1"/>
    <col min="536" max="768" width="11.453125" style="1"/>
    <col min="769" max="769" width="3.36328125" style="1" customWidth="1"/>
    <col min="770" max="770" width="17.453125" style="1" customWidth="1"/>
    <col min="771" max="771" width="11.453125" style="1"/>
    <col min="772" max="772" width="13.54296875" style="1" customWidth="1"/>
    <col min="773" max="773" width="12.36328125" style="1" customWidth="1"/>
    <col min="774" max="774" width="11.453125" style="1"/>
    <col min="775" max="775" width="17" style="1" bestFit="1" customWidth="1"/>
    <col min="776" max="777" width="12.453125" style="1" bestFit="1" customWidth="1"/>
    <col min="778" max="778" width="12.453125" style="1" customWidth="1"/>
    <col min="779" max="779" width="11.453125" style="1"/>
    <col min="780" max="780" width="17" style="1" bestFit="1" customWidth="1"/>
    <col min="781" max="781" width="13.54296875" style="1" customWidth="1"/>
    <col min="782" max="784" width="11.453125" style="1"/>
    <col min="785" max="785" width="17" style="1" bestFit="1" customWidth="1"/>
    <col min="786" max="786" width="11.453125" style="1"/>
    <col min="787" max="787" width="17.36328125" style="1" customWidth="1"/>
    <col min="788" max="791" width="13.6328125" style="1" bestFit="1" customWidth="1"/>
    <col min="792" max="1024" width="11.453125" style="1"/>
    <col min="1025" max="1025" width="3.36328125" style="1" customWidth="1"/>
    <col min="1026" max="1026" width="17.453125" style="1" customWidth="1"/>
    <col min="1027" max="1027" width="11.453125" style="1"/>
    <col min="1028" max="1028" width="13.54296875" style="1" customWidth="1"/>
    <col min="1029" max="1029" width="12.36328125" style="1" customWidth="1"/>
    <col min="1030" max="1030" width="11.453125" style="1"/>
    <col min="1031" max="1031" width="17" style="1" bestFit="1" customWidth="1"/>
    <col min="1032" max="1033" width="12.453125" style="1" bestFit="1" customWidth="1"/>
    <col min="1034" max="1034" width="12.453125" style="1" customWidth="1"/>
    <col min="1035" max="1035" width="11.453125" style="1"/>
    <col min="1036" max="1036" width="17" style="1" bestFit="1" customWidth="1"/>
    <col min="1037" max="1037" width="13.54296875" style="1" customWidth="1"/>
    <col min="1038" max="1040" width="11.453125" style="1"/>
    <col min="1041" max="1041" width="17" style="1" bestFit="1" customWidth="1"/>
    <col min="1042" max="1042" width="11.453125" style="1"/>
    <col min="1043" max="1043" width="17.36328125" style="1" customWidth="1"/>
    <col min="1044" max="1047" width="13.6328125" style="1" bestFit="1" customWidth="1"/>
    <col min="1048" max="1280" width="11.453125" style="1"/>
    <col min="1281" max="1281" width="3.36328125" style="1" customWidth="1"/>
    <col min="1282" max="1282" width="17.453125" style="1" customWidth="1"/>
    <col min="1283" max="1283" width="11.453125" style="1"/>
    <col min="1284" max="1284" width="13.54296875" style="1" customWidth="1"/>
    <col min="1285" max="1285" width="12.36328125" style="1" customWidth="1"/>
    <col min="1286" max="1286" width="11.453125" style="1"/>
    <col min="1287" max="1287" width="17" style="1" bestFit="1" customWidth="1"/>
    <col min="1288" max="1289" width="12.453125" style="1" bestFit="1" customWidth="1"/>
    <col min="1290" max="1290" width="12.453125" style="1" customWidth="1"/>
    <col min="1291" max="1291" width="11.453125" style="1"/>
    <col min="1292" max="1292" width="17" style="1" bestFit="1" customWidth="1"/>
    <col min="1293" max="1293" width="13.54296875" style="1" customWidth="1"/>
    <col min="1294" max="1296" width="11.453125" style="1"/>
    <col min="1297" max="1297" width="17" style="1" bestFit="1" customWidth="1"/>
    <col min="1298" max="1298" width="11.453125" style="1"/>
    <col min="1299" max="1299" width="17.36328125" style="1" customWidth="1"/>
    <col min="1300" max="1303" width="13.6328125" style="1" bestFit="1" customWidth="1"/>
    <col min="1304" max="1536" width="11.453125" style="1"/>
    <col min="1537" max="1537" width="3.36328125" style="1" customWidth="1"/>
    <col min="1538" max="1538" width="17.453125" style="1" customWidth="1"/>
    <col min="1539" max="1539" width="11.453125" style="1"/>
    <col min="1540" max="1540" width="13.54296875" style="1" customWidth="1"/>
    <col min="1541" max="1541" width="12.36328125" style="1" customWidth="1"/>
    <col min="1542" max="1542" width="11.453125" style="1"/>
    <col min="1543" max="1543" width="17" style="1" bestFit="1" customWidth="1"/>
    <col min="1544" max="1545" width="12.453125" style="1" bestFit="1" customWidth="1"/>
    <col min="1546" max="1546" width="12.453125" style="1" customWidth="1"/>
    <col min="1547" max="1547" width="11.453125" style="1"/>
    <col min="1548" max="1548" width="17" style="1" bestFit="1" customWidth="1"/>
    <col min="1549" max="1549" width="13.54296875" style="1" customWidth="1"/>
    <col min="1550" max="1552" width="11.453125" style="1"/>
    <col min="1553" max="1553" width="17" style="1" bestFit="1" customWidth="1"/>
    <col min="1554" max="1554" width="11.453125" style="1"/>
    <col min="1555" max="1555" width="17.36328125" style="1" customWidth="1"/>
    <col min="1556" max="1559" width="13.6328125" style="1" bestFit="1" customWidth="1"/>
    <col min="1560" max="1792" width="11.453125" style="1"/>
    <col min="1793" max="1793" width="3.36328125" style="1" customWidth="1"/>
    <col min="1794" max="1794" width="17.453125" style="1" customWidth="1"/>
    <col min="1795" max="1795" width="11.453125" style="1"/>
    <col min="1796" max="1796" width="13.54296875" style="1" customWidth="1"/>
    <col min="1797" max="1797" width="12.36328125" style="1" customWidth="1"/>
    <col min="1798" max="1798" width="11.453125" style="1"/>
    <col min="1799" max="1799" width="17" style="1" bestFit="1" customWidth="1"/>
    <col min="1800" max="1801" width="12.453125" style="1" bestFit="1" customWidth="1"/>
    <col min="1802" max="1802" width="12.453125" style="1" customWidth="1"/>
    <col min="1803" max="1803" width="11.453125" style="1"/>
    <col min="1804" max="1804" width="17" style="1" bestFit="1" customWidth="1"/>
    <col min="1805" max="1805" width="13.54296875" style="1" customWidth="1"/>
    <col min="1806" max="1808" width="11.453125" style="1"/>
    <col min="1809" max="1809" width="17" style="1" bestFit="1" customWidth="1"/>
    <col min="1810" max="1810" width="11.453125" style="1"/>
    <col min="1811" max="1811" width="17.36328125" style="1" customWidth="1"/>
    <col min="1812" max="1815" width="13.6328125" style="1" bestFit="1" customWidth="1"/>
    <col min="1816" max="2048" width="11.453125" style="1"/>
    <col min="2049" max="2049" width="3.36328125" style="1" customWidth="1"/>
    <col min="2050" max="2050" width="17.453125" style="1" customWidth="1"/>
    <col min="2051" max="2051" width="11.453125" style="1"/>
    <col min="2052" max="2052" width="13.54296875" style="1" customWidth="1"/>
    <col min="2053" max="2053" width="12.36328125" style="1" customWidth="1"/>
    <col min="2054" max="2054" width="11.453125" style="1"/>
    <col min="2055" max="2055" width="17" style="1" bestFit="1" customWidth="1"/>
    <col min="2056" max="2057" width="12.453125" style="1" bestFit="1" customWidth="1"/>
    <col min="2058" max="2058" width="12.453125" style="1" customWidth="1"/>
    <col min="2059" max="2059" width="11.453125" style="1"/>
    <col min="2060" max="2060" width="17" style="1" bestFit="1" customWidth="1"/>
    <col min="2061" max="2061" width="13.54296875" style="1" customWidth="1"/>
    <col min="2062" max="2064" width="11.453125" style="1"/>
    <col min="2065" max="2065" width="17" style="1" bestFit="1" customWidth="1"/>
    <col min="2066" max="2066" width="11.453125" style="1"/>
    <col min="2067" max="2067" width="17.36328125" style="1" customWidth="1"/>
    <col min="2068" max="2071" width="13.6328125" style="1" bestFit="1" customWidth="1"/>
    <col min="2072" max="2304" width="11.453125" style="1"/>
    <col min="2305" max="2305" width="3.36328125" style="1" customWidth="1"/>
    <col min="2306" max="2306" width="17.453125" style="1" customWidth="1"/>
    <col min="2307" max="2307" width="11.453125" style="1"/>
    <col min="2308" max="2308" width="13.54296875" style="1" customWidth="1"/>
    <col min="2309" max="2309" width="12.36328125" style="1" customWidth="1"/>
    <col min="2310" max="2310" width="11.453125" style="1"/>
    <col min="2311" max="2311" width="17" style="1" bestFit="1" customWidth="1"/>
    <col min="2312" max="2313" width="12.453125" style="1" bestFit="1" customWidth="1"/>
    <col min="2314" max="2314" width="12.453125" style="1" customWidth="1"/>
    <col min="2315" max="2315" width="11.453125" style="1"/>
    <col min="2316" max="2316" width="17" style="1" bestFit="1" customWidth="1"/>
    <col min="2317" max="2317" width="13.54296875" style="1" customWidth="1"/>
    <col min="2318" max="2320" width="11.453125" style="1"/>
    <col min="2321" max="2321" width="17" style="1" bestFit="1" customWidth="1"/>
    <col min="2322" max="2322" width="11.453125" style="1"/>
    <col min="2323" max="2323" width="17.36328125" style="1" customWidth="1"/>
    <col min="2324" max="2327" width="13.6328125" style="1" bestFit="1" customWidth="1"/>
    <col min="2328" max="2560" width="11.453125" style="1"/>
    <col min="2561" max="2561" width="3.36328125" style="1" customWidth="1"/>
    <col min="2562" max="2562" width="17.453125" style="1" customWidth="1"/>
    <col min="2563" max="2563" width="11.453125" style="1"/>
    <col min="2564" max="2564" width="13.54296875" style="1" customWidth="1"/>
    <col min="2565" max="2565" width="12.36328125" style="1" customWidth="1"/>
    <col min="2566" max="2566" width="11.453125" style="1"/>
    <col min="2567" max="2567" width="17" style="1" bestFit="1" customWidth="1"/>
    <col min="2568" max="2569" width="12.453125" style="1" bestFit="1" customWidth="1"/>
    <col min="2570" max="2570" width="12.453125" style="1" customWidth="1"/>
    <col min="2571" max="2571" width="11.453125" style="1"/>
    <col min="2572" max="2572" width="17" style="1" bestFit="1" customWidth="1"/>
    <col min="2573" max="2573" width="13.54296875" style="1" customWidth="1"/>
    <col min="2574" max="2576" width="11.453125" style="1"/>
    <col min="2577" max="2577" width="17" style="1" bestFit="1" customWidth="1"/>
    <col min="2578" max="2578" width="11.453125" style="1"/>
    <col min="2579" max="2579" width="17.36328125" style="1" customWidth="1"/>
    <col min="2580" max="2583" width="13.6328125" style="1" bestFit="1" customWidth="1"/>
    <col min="2584" max="2816" width="11.453125" style="1"/>
    <col min="2817" max="2817" width="3.36328125" style="1" customWidth="1"/>
    <col min="2818" max="2818" width="17.453125" style="1" customWidth="1"/>
    <col min="2819" max="2819" width="11.453125" style="1"/>
    <col min="2820" max="2820" width="13.54296875" style="1" customWidth="1"/>
    <col min="2821" max="2821" width="12.36328125" style="1" customWidth="1"/>
    <col min="2822" max="2822" width="11.453125" style="1"/>
    <col min="2823" max="2823" width="17" style="1" bestFit="1" customWidth="1"/>
    <col min="2824" max="2825" width="12.453125" style="1" bestFit="1" customWidth="1"/>
    <col min="2826" max="2826" width="12.453125" style="1" customWidth="1"/>
    <col min="2827" max="2827" width="11.453125" style="1"/>
    <col min="2828" max="2828" width="17" style="1" bestFit="1" customWidth="1"/>
    <col min="2829" max="2829" width="13.54296875" style="1" customWidth="1"/>
    <col min="2830" max="2832" width="11.453125" style="1"/>
    <col min="2833" max="2833" width="17" style="1" bestFit="1" customWidth="1"/>
    <col min="2834" max="2834" width="11.453125" style="1"/>
    <col min="2835" max="2835" width="17.36328125" style="1" customWidth="1"/>
    <col min="2836" max="2839" width="13.6328125" style="1" bestFit="1" customWidth="1"/>
    <col min="2840" max="3072" width="11.453125" style="1"/>
    <col min="3073" max="3073" width="3.36328125" style="1" customWidth="1"/>
    <col min="3074" max="3074" width="17.453125" style="1" customWidth="1"/>
    <col min="3075" max="3075" width="11.453125" style="1"/>
    <col min="3076" max="3076" width="13.54296875" style="1" customWidth="1"/>
    <col min="3077" max="3077" width="12.36328125" style="1" customWidth="1"/>
    <col min="3078" max="3078" width="11.453125" style="1"/>
    <col min="3079" max="3079" width="17" style="1" bestFit="1" customWidth="1"/>
    <col min="3080" max="3081" width="12.453125" style="1" bestFit="1" customWidth="1"/>
    <col min="3082" max="3082" width="12.453125" style="1" customWidth="1"/>
    <col min="3083" max="3083" width="11.453125" style="1"/>
    <col min="3084" max="3084" width="17" style="1" bestFit="1" customWidth="1"/>
    <col min="3085" max="3085" width="13.54296875" style="1" customWidth="1"/>
    <col min="3086" max="3088" width="11.453125" style="1"/>
    <col min="3089" max="3089" width="17" style="1" bestFit="1" customWidth="1"/>
    <col min="3090" max="3090" width="11.453125" style="1"/>
    <col min="3091" max="3091" width="17.36328125" style="1" customWidth="1"/>
    <col min="3092" max="3095" width="13.6328125" style="1" bestFit="1" customWidth="1"/>
    <col min="3096" max="3328" width="11.453125" style="1"/>
    <col min="3329" max="3329" width="3.36328125" style="1" customWidth="1"/>
    <col min="3330" max="3330" width="17.453125" style="1" customWidth="1"/>
    <col min="3331" max="3331" width="11.453125" style="1"/>
    <col min="3332" max="3332" width="13.54296875" style="1" customWidth="1"/>
    <col min="3333" max="3333" width="12.36328125" style="1" customWidth="1"/>
    <col min="3334" max="3334" width="11.453125" style="1"/>
    <col min="3335" max="3335" width="17" style="1" bestFit="1" customWidth="1"/>
    <col min="3336" max="3337" width="12.453125" style="1" bestFit="1" customWidth="1"/>
    <col min="3338" max="3338" width="12.453125" style="1" customWidth="1"/>
    <col min="3339" max="3339" width="11.453125" style="1"/>
    <col min="3340" max="3340" width="17" style="1" bestFit="1" customWidth="1"/>
    <col min="3341" max="3341" width="13.54296875" style="1" customWidth="1"/>
    <col min="3342" max="3344" width="11.453125" style="1"/>
    <col min="3345" max="3345" width="17" style="1" bestFit="1" customWidth="1"/>
    <col min="3346" max="3346" width="11.453125" style="1"/>
    <col min="3347" max="3347" width="17.36328125" style="1" customWidth="1"/>
    <col min="3348" max="3351" width="13.6328125" style="1" bestFit="1" customWidth="1"/>
    <col min="3352" max="3584" width="11.453125" style="1"/>
    <col min="3585" max="3585" width="3.36328125" style="1" customWidth="1"/>
    <col min="3586" max="3586" width="17.453125" style="1" customWidth="1"/>
    <col min="3587" max="3587" width="11.453125" style="1"/>
    <col min="3588" max="3588" width="13.54296875" style="1" customWidth="1"/>
    <col min="3589" max="3589" width="12.36328125" style="1" customWidth="1"/>
    <col min="3590" max="3590" width="11.453125" style="1"/>
    <col min="3591" max="3591" width="17" style="1" bestFit="1" customWidth="1"/>
    <col min="3592" max="3593" width="12.453125" style="1" bestFit="1" customWidth="1"/>
    <col min="3594" max="3594" width="12.453125" style="1" customWidth="1"/>
    <col min="3595" max="3595" width="11.453125" style="1"/>
    <col min="3596" max="3596" width="17" style="1" bestFit="1" customWidth="1"/>
    <col min="3597" max="3597" width="13.54296875" style="1" customWidth="1"/>
    <col min="3598" max="3600" width="11.453125" style="1"/>
    <col min="3601" max="3601" width="17" style="1" bestFit="1" customWidth="1"/>
    <col min="3602" max="3602" width="11.453125" style="1"/>
    <col min="3603" max="3603" width="17.36328125" style="1" customWidth="1"/>
    <col min="3604" max="3607" width="13.6328125" style="1" bestFit="1" customWidth="1"/>
    <col min="3608" max="3840" width="11.453125" style="1"/>
    <col min="3841" max="3841" width="3.36328125" style="1" customWidth="1"/>
    <col min="3842" max="3842" width="17.453125" style="1" customWidth="1"/>
    <col min="3843" max="3843" width="11.453125" style="1"/>
    <col min="3844" max="3844" width="13.54296875" style="1" customWidth="1"/>
    <col min="3845" max="3845" width="12.36328125" style="1" customWidth="1"/>
    <col min="3846" max="3846" width="11.453125" style="1"/>
    <col min="3847" max="3847" width="17" style="1" bestFit="1" customWidth="1"/>
    <col min="3848" max="3849" width="12.453125" style="1" bestFit="1" customWidth="1"/>
    <col min="3850" max="3850" width="12.453125" style="1" customWidth="1"/>
    <col min="3851" max="3851" width="11.453125" style="1"/>
    <col min="3852" max="3852" width="17" style="1" bestFit="1" customWidth="1"/>
    <col min="3853" max="3853" width="13.54296875" style="1" customWidth="1"/>
    <col min="3854" max="3856" width="11.453125" style="1"/>
    <col min="3857" max="3857" width="17" style="1" bestFit="1" customWidth="1"/>
    <col min="3858" max="3858" width="11.453125" style="1"/>
    <col min="3859" max="3859" width="17.36328125" style="1" customWidth="1"/>
    <col min="3860" max="3863" width="13.6328125" style="1" bestFit="1" customWidth="1"/>
    <col min="3864" max="4096" width="11.453125" style="1"/>
    <col min="4097" max="4097" width="3.36328125" style="1" customWidth="1"/>
    <col min="4098" max="4098" width="17.453125" style="1" customWidth="1"/>
    <col min="4099" max="4099" width="11.453125" style="1"/>
    <col min="4100" max="4100" width="13.54296875" style="1" customWidth="1"/>
    <col min="4101" max="4101" width="12.36328125" style="1" customWidth="1"/>
    <col min="4102" max="4102" width="11.453125" style="1"/>
    <col min="4103" max="4103" width="17" style="1" bestFit="1" customWidth="1"/>
    <col min="4104" max="4105" width="12.453125" style="1" bestFit="1" customWidth="1"/>
    <col min="4106" max="4106" width="12.453125" style="1" customWidth="1"/>
    <col min="4107" max="4107" width="11.453125" style="1"/>
    <col min="4108" max="4108" width="17" style="1" bestFit="1" customWidth="1"/>
    <col min="4109" max="4109" width="13.54296875" style="1" customWidth="1"/>
    <col min="4110" max="4112" width="11.453125" style="1"/>
    <col min="4113" max="4113" width="17" style="1" bestFit="1" customWidth="1"/>
    <col min="4114" max="4114" width="11.453125" style="1"/>
    <col min="4115" max="4115" width="17.36328125" style="1" customWidth="1"/>
    <col min="4116" max="4119" width="13.6328125" style="1" bestFit="1" customWidth="1"/>
    <col min="4120" max="4352" width="11.453125" style="1"/>
    <col min="4353" max="4353" width="3.36328125" style="1" customWidth="1"/>
    <col min="4354" max="4354" width="17.453125" style="1" customWidth="1"/>
    <col min="4355" max="4355" width="11.453125" style="1"/>
    <col min="4356" max="4356" width="13.54296875" style="1" customWidth="1"/>
    <col min="4357" max="4357" width="12.36328125" style="1" customWidth="1"/>
    <col min="4358" max="4358" width="11.453125" style="1"/>
    <col min="4359" max="4359" width="17" style="1" bestFit="1" customWidth="1"/>
    <col min="4360" max="4361" width="12.453125" style="1" bestFit="1" customWidth="1"/>
    <col min="4362" max="4362" width="12.453125" style="1" customWidth="1"/>
    <col min="4363" max="4363" width="11.453125" style="1"/>
    <col min="4364" max="4364" width="17" style="1" bestFit="1" customWidth="1"/>
    <col min="4365" max="4365" width="13.54296875" style="1" customWidth="1"/>
    <col min="4366" max="4368" width="11.453125" style="1"/>
    <col min="4369" max="4369" width="17" style="1" bestFit="1" customWidth="1"/>
    <col min="4370" max="4370" width="11.453125" style="1"/>
    <col min="4371" max="4371" width="17.36328125" style="1" customWidth="1"/>
    <col min="4372" max="4375" width="13.6328125" style="1" bestFit="1" customWidth="1"/>
    <col min="4376" max="4608" width="11.453125" style="1"/>
    <col min="4609" max="4609" width="3.36328125" style="1" customWidth="1"/>
    <col min="4610" max="4610" width="17.453125" style="1" customWidth="1"/>
    <col min="4611" max="4611" width="11.453125" style="1"/>
    <col min="4612" max="4612" width="13.54296875" style="1" customWidth="1"/>
    <col min="4613" max="4613" width="12.36328125" style="1" customWidth="1"/>
    <col min="4614" max="4614" width="11.453125" style="1"/>
    <col min="4615" max="4615" width="17" style="1" bestFit="1" customWidth="1"/>
    <col min="4616" max="4617" width="12.453125" style="1" bestFit="1" customWidth="1"/>
    <col min="4618" max="4618" width="12.453125" style="1" customWidth="1"/>
    <col min="4619" max="4619" width="11.453125" style="1"/>
    <col min="4620" max="4620" width="17" style="1" bestFit="1" customWidth="1"/>
    <col min="4621" max="4621" width="13.54296875" style="1" customWidth="1"/>
    <col min="4622" max="4624" width="11.453125" style="1"/>
    <col min="4625" max="4625" width="17" style="1" bestFit="1" customWidth="1"/>
    <col min="4626" max="4626" width="11.453125" style="1"/>
    <col min="4627" max="4627" width="17.36328125" style="1" customWidth="1"/>
    <col min="4628" max="4631" width="13.6328125" style="1" bestFit="1" customWidth="1"/>
    <col min="4632" max="4864" width="11.453125" style="1"/>
    <col min="4865" max="4865" width="3.36328125" style="1" customWidth="1"/>
    <col min="4866" max="4866" width="17.453125" style="1" customWidth="1"/>
    <col min="4867" max="4867" width="11.453125" style="1"/>
    <col min="4868" max="4868" width="13.54296875" style="1" customWidth="1"/>
    <col min="4869" max="4869" width="12.36328125" style="1" customWidth="1"/>
    <col min="4870" max="4870" width="11.453125" style="1"/>
    <col min="4871" max="4871" width="17" style="1" bestFit="1" customWidth="1"/>
    <col min="4872" max="4873" width="12.453125" style="1" bestFit="1" customWidth="1"/>
    <col min="4874" max="4874" width="12.453125" style="1" customWidth="1"/>
    <col min="4875" max="4875" width="11.453125" style="1"/>
    <col min="4876" max="4876" width="17" style="1" bestFit="1" customWidth="1"/>
    <col min="4877" max="4877" width="13.54296875" style="1" customWidth="1"/>
    <col min="4878" max="4880" width="11.453125" style="1"/>
    <col min="4881" max="4881" width="17" style="1" bestFit="1" customWidth="1"/>
    <col min="4882" max="4882" width="11.453125" style="1"/>
    <col min="4883" max="4883" width="17.36328125" style="1" customWidth="1"/>
    <col min="4884" max="4887" width="13.6328125" style="1" bestFit="1" customWidth="1"/>
    <col min="4888" max="5120" width="11.453125" style="1"/>
    <col min="5121" max="5121" width="3.36328125" style="1" customWidth="1"/>
    <col min="5122" max="5122" width="17.453125" style="1" customWidth="1"/>
    <col min="5123" max="5123" width="11.453125" style="1"/>
    <col min="5124" max="5124" width="13.54296875" style="1" customWidth="1"/>
    <col min="5125" max="5125" width="12.36328125" style="1" customWidth="1"/>
    <col min="5126" max="5126" width="11.453125" style="1"/>
    <col min="5127" max="5127" width="17" style="1" bestFit="1" customWidth="1"/>
    <col min="5128" max="5129" width="12.453125" style="1" bestFit="1" customWidth="1"/>
    <col min="5130" max="5130" width="12.453125" style="1" customWidth="1"/>
    <col min="5131" max="5131" width="11.453125" style="1"/>
    <col min="5132" max="5132" width="17" style="1" bestFit="1" customWidth="1"/>
    <col min="5133" max="5133" width="13.54296875" style="1" customWidth="1"/>
    <col min="5134" max="5136" width="11.453125" style="1"/>
    <col min="5137" max="5137" width="17" style="1" bestFit="1" customWidth="1"/>
    <col min="5138" max="5138" width="11.453125" style="1"/>
    <col min="5139" max="5139" width="17.36328125" style="1" customWidth="1"/>
    <col min="5140" max="5143" width="13.6328125" style="1" bestFit="1" customWidth="1"/>
    <col min="5144" max="5376" width="11.453125" style="1"/>
    <col min="5377" max="5377" width="3.36328125" style="1" customWidth="1"/>
    <col min="5378" max="5378" width="17.453125" style="1" customWidth="1"/>
    <col min="5379" max="5379" width="11.453125" style="1"/>
    <col min="5380" max="5380" width="13.54296875" style="1" customWidth="1"/>
    <col min="5381" max="5381" width="12.36328125" style="1" customWidth="1"/>
    <col min="5382" max="5382" width="11.453125" style="1"/>
    <col min="5383" max="5383" width="17" style="1" bestFit="1" customWidth="1"/>
    <col min="5384" max="5385" width="12.453125" style="1" bestFit="1" customWidth="1"/>
    <col min="5386" max="5386" width="12.453125" style="1" customWidth="1"/>
    <col min="5387" max="5387" width="11.453125" style="1"/>
    <col min="5388" max="5388" width="17" style="1" bestFit="1" customWidth="1"/>
    <col min="5389" max="5389" width="13.54296875" style="1" customWidth="1"/>
    <col min="5390" max="5392" width="11.453125" style="1"/>
    <col min="5393" max="5393" width="17" style="1" bestFit="1" customWidth="1"/>
    <col min="5394" max="5394" width="11.453125" style="1"/>
    <col min="5395" max="5395" width="17.36328125" style="1" customWidth="1"/>
    <col min="5396" max="5399" width="13.6328125" style="1" bestFit="1" customWidth="1"/>
    <col min="5400" max="5632" width="11.453125" style="1"/>
    <col min="5633" max="5633" width="3.36328125" style="1" customWidth="1"/>
    <col min="5634" max="5634" width="17.453125" style="1" customWidth="1"/>
    <col min="5635" max="5635" width="11.453125" style="1"/>
    <col min="5636" max="5636" width="13.54296875" style="1" customWidth="1"/>
    <col min="5637" max="5637" width="12.36328125" style="1" customWidth="1"/>
    <col min="5638" max="5638" width="11.453125" style="1"/>
    <col min="5639" max="5639" width="17" style="1" bestFit="1" customWidth="1"/>
    <col min="5640" max="5641" width="12.453125" style="1" bestFit="1" customWidth="1"/>
    <col min="5642" max="5642" width="12.453125" style="1" customWidth="1"/>
    <col min="5643" max="5643" width="11.453125" style="1"/>
    <col min="5644" max="5644" width="17" style="1" bestFit="1" customWidth="1"/>
    <col min="5645" max="5645" width="13.54296875" style="1" customWidth="1"/>
    <col min="5646" max="5648" width="11.453125" style="1"/>
    <col min="5649" max="5649" width="17" style="1" bestFit="1" customWidth="1"/>
    <col min="5650" max="5650" width="11.453125" style="1"/>
    <col min="5651" max="5651" width="17.36328125" style="1" customWidth="1"/>
    <col min="5652" max="5655" width="13.6328125" style="1" bestFit="1" customWidth="1"/>
    <col min="5656" max="5888" width="11.453125" style="1"/>
    <col min="5889" max="5889" width="3.36328125" style="1" customWidth="1"/>
    <col min="5890" max="5890" width="17.453125" style="1" customWidth="1"/>
    <col min="5891" max="5891" width="11.453125" style="1"/>
    <col min="5892" max="5892" width="13.54296875" style="1" customWidth="1"/>
    <col min="5893" max="5893" width="12.36328125" style="1" customWidth="1"/>
    <col min="5894" max="5894" width="11.453125" style="1"/>
    <col min="5895" max="5895" width="17" style="1" bestFit="1" customWidth="1"/>
    <col min="5896" max="5897" width="12.453125" style="1" bestFit="1" customWidth="1"/>
    <col min="5898" max="5898" width="12.453125" style="1" customWidth="1"/>
    <col min="5899" max="5899" width="11.453125" style="1"/>
    <col min="5900" max="5900" width="17" style="1" bestFit="1" customWidth="1"/>
    <col min="5901" max="5901" width="13.54296875" style="1" customWidth="1"/>
    <col min="5902" max="5904" width="11.453125" style="1"/>
    <col min="5905" max="5905" width="17" style="1" bestFit="1" customWidth="1"/>
    <col min="5906" max="5906" width="11.453125" style="1"/>
    <col min="5907" max="5907" width="17.36328125" style="1" customWidth="1"/>
    <col min="5908" max="5911" width="13.6328125" style="1" bestFit="1" customWidth="1"/>
    <col min="5912" max="6144" width="11.453125" style="1"/>
    <col min="6145" max="6145" width="3.36328125" style="1" customWidth="1"/>
    <col min="6146" max="6146" width="17.453125" style="1" customWidth="1"/>
    <col min="6147" max="6147" width="11.453125" style="1"/>
    <col min="6148" max="6148" width="13.54296875" style="1" customWidth="1"/>
    <col min="6149" max="6149" width="12.36328125" style="1" customWidth="1"/>
    <col min="6150" max="6150" width="11.453125" style="1"/>
    <col min="6151" max="6151" width="17" style="1" bestFit="1" customWidth="1"/>
    <col min="6152" max="6153" width="12.453125" style="1" bestFit="1" customWidth="1"/>
    <col min="6154" max="6154" width="12.453125" style="1" customWidth="1"/>
    <col min="6155" max="6155" width="11.453125" style="1"/>
    <col min="6156" max="6156" width="17" style="1" bestFit="1" customWidth="1"/>
    <col min="6157" max="6157" width="13.54296875" style="1" customWidth="1"/>
    <col min="6158" max="6160" width="11.453125" style="1"/>
    <col min="6161" max="6161" width="17" style="1" bestFit="1" customWidth="1"/>
    <col min="6162" max="6162" width="11.453125" style="1"/>
    <col min="6163" max="6163" width="17.36328125" style="1" customWidth="1"/>
    <col min="6164" max="6167" width="13.6328125" style="1" bestFit="1" customWidth="1"/>
    <col min="6168" max="6400" width="11.453125" style="1"/>
    <col min="6401" max="6401" width="3.36328125" style="1" customWidth="1"/>
    <col min="6402" max="6402" width="17.453125" style="1" customWidth="1"/>
    <col min="6403" max="6403" width="11.453125" style="1"/>
    <col min="6404" max="6404" width="13.54296875" style="1" customWidth="1"/>
    <col min="6405" max="6405" width="12.36328125" style="1" customWidth="1"/>
    <col min="6406" max="6406" width="11.453125" style="1"/>
    <col min="6407" max="6407" width="17" style="1" bestFit="1" customWidth="1"/>
    <col min="6408" max="6409" width="12.453125" style="1" bestFit="1" customWidth="1"/>
    <col min="6410" max="6410" width="12.453125" style="1" customWidth="1"/>
    <col min="6411" max="6411" width="11.453125" style="1"/>
    <col min="6412" max="6412" width="17" style="1" bestFit="1" customWidth="1"/>
    <col min="6413" max="6413" width="13.54296875" style="1" customWidth="1"/>
    <col min="6414" max="6416" width="11.453125" style="1"/>
    <col min="6417" max="6417" width="17" style="1" bestFit="1" customWidth="1"/>
    <col min="6418" max="6418" width="11.453125" style="1"/>
    <col min="6419" max="6419" width="17.36328125" style="1" customWidth="1"/>
    <col min="6420" max="6423" width="13.6328125" style="1" bestFit="1" customWidth="1"/>
    <col min="6424" max="6656" width="11.453125" style="1"/>
    <col min="6657" max="6657" width="3.36328125" style="1" customWidth="1"/>
    <col min="6658" max="6658" width="17.453125" style="1" customWidth="1"/>
    <col min="6659" max="6659" width="11.453125" style="1"/>
    <col min="6660" max="6660" width="13.54296875" style="1" customWidth="1"/>
    <col min="6661" max="6661" width="12.36328125" style="1" customWidth="1"/>
    <col min="6662" max="6662" width="11.453125" style="1"/>
    <col min="6663" max="6663" width="17" style="1" bestFit="1" customWidth="1"/>
    <col min="6664" max="6665" width="12.453125" style="1" bestFit="1" customWidth="1"/>
    <col min="6666" max="6666" width="12.453125" style="1" customWidth="1"/>
    <col min="6667" max="6667" width="11.453125" style="1"/>
    <col min="6668" max="6668" width="17" style="1" bestFit="1" customWidth="1"/>
    <col min="6669" max="6669" width="13.54296875" style="1" customWidth="1"/>
    <col min="6670" max="6672" width="11.453125" style="1"/>
    <col min="6673" max="6673" width="17" style="1" bestFit="1" customWidth="1"/>
    <col min="6674" max="6674" width="11.453125" style="1"/>
    <col min="6675" max="6675" width="17.36328125" style="1" customWidth="1"/>
    <col min="6676" max="6679" width="13.6328125" style="1" bestFit="1" customWidth="1"/>
    <col min="6680" max="6912" width="11.453125" style="1"/>
    <col min="6913" max="6913" width="3.36328125" style="1" customWidth="1"/>
    <col min="6914" max="6914" width="17.453125" style="1" customWidth="1"/>
    <col min="6915" max="6915" width="11.453125" style="1"/>
    <col min="6916" max="6916" width="13.54296875" style="1" customWidth="1"/>
    <col min="6917" max="6917" width="12.36328125" style="1" customWidth="1"/>
    <col min="6918" max="6918" width="11.453125" style="1"/>
    <col min="6919" max="6919" width="17" style="1" bestFit="1" customWidth="1"/>
    <col min="6920" max="6921" width="12.453125" style="1" bestFit="1" customWidth="1"/>
    <col min="6922" max="6922" width="12.453125" style="1" customWidth="1"/>
    <col min="6923" max="6923" width="11.453125" style="1"/>
    <col min="6924" max="6924" width="17" style="1" bestFit="1" customWidth="1"/>
    <col min="6925" max="6925" width="13.54296875" style="1" customWidth="1"/>
    <col min="6926" max="6928" width="11.453125" style="1"/>
    <col min="6929" max="6929" width="17" style="1" bestFit="1" customWidth="1"/>
    <col min="6930" max="6930" width="11.453125" style="1"/>
    <col min="6931" max="6931" width="17.36328125" style="1" customWidth="1"/>
    <col min="6932" max="6935" width="13.6328125" style="1" bestFit="1" customWidth="1"/>
    <col min="6936" max="7168" width="11.453125" style="1"/>
    <col min="7169" max="7169" width="3.36328125" style="1" customWidth="1"/>
    <col min="7170" max="7170" width="17.453125" style="1" customWidth="1"/>
    <col min="7171" max="7171" width="11.453125" style="1"/>
    <col min="7172" max="7172" width="13.54296875" style="1" customWidth="1"/>
    <col min="7173" max="7173" width="12.36328125" style="1" customWidth="1"/>
    <col min="7174" max="7174" width="11.453125" style="1"/>
    <col min="7175" max="7175" width="17" style="1" bestFit="1" customWidth="1"/>
    <col min="7176" max="7177" width="12.453125" style="1" bestFit="1" customWidth="1"/>
    <col min="7178" max="7178" width="12.453125" style="1" customWidth="1"/>
    <col min="7179" max="7179" width="11.453125" style="1"/>
    <col min="7180" max="7180" width="17" style="1" bestFit="1" customWidth="1"/>
    <col min="7181" max="7181" width="13.54296875" style="1" customWidth="1"/>
    <col min="7182" max="7184" width="11.453125" style="1"/>
    <col min="7185" max="7185" width="17" style="1" bestFit="1" customWidth="1"/>
    <col min="7186" max="7186" width="11.453125" style="1"/>
    <col min="7187" max="7187" width="17.36328125" style="1" customWidth="1"/>
    <col min="7188" max="7191" width="13.6328125" style="1" bestFit="1" customWidth="1"/>
    <col min="7192" max="7424" width="11.453125" style="1"/>
    <col min="7425" max="7425" width="3.36328125" style="1" customWidth="1"/>
    <col min="7426" max="7426" width="17.453125" style="1" customWidth="1"/>
    <col min="7427" max="7427" width="11.453125" style="1"/>
    <col min="7428" max="7428" width="13.54296875" style="1" customWidth="1"/>
    <col min="7429" max="7429" width="12.36328125" style="1" customWidth="1"/>
    <col min="7430" max="7430" width="11.453125" style="1"/>
    <col min="7431" max="7431" width="17" style="1" bestFit="1" customWidth="1"/>
    <col min="7432" max="7433" width="12.453125" style="1" bestFit="1" customWidth="1"/>
    <col min="7434" max="7434" width="12.453125" style="1" customWidth="1"/>
    <col min="7435" max="7435" width="11.453125" style="1"/>
    <col min="7436" max="7436" width="17" style="1" bestFit="1" customWidth="1"/>
    <col min="7437" max="7437" width="13.54296875" style="1" customWidth="1"/>
    <col min="7438" max="7440" width="11.453125" style="1"/>
    <col min="7441" max="7441" width="17" style="1" bestFit="1" customWidth="1"/>
    <col min="7442" max="7442" width="11.453125" style="1"/>
    <col min="7443" max="7443" width="17.36328125" style="1" customWidth="1"/>
    <col min="7444" max="7447" width="13.6328125" style="1" bestFit="1" customWidth="1"/>
    <col min="7448" max="7680" width="11.453125" style="1"/>
    <col min="7681" max="7681" width="3.36328125" style="1" customWidth="1"/>
    <col min="7682" max="7682" width="17.453125" style="1" customWidth="1"/>
    <col min="7683" max="7683" width="11.453125" style="1"/>
    <col min="7684" max="7684" width="13.54296875" style="1" customWidth="1"/>
    <col min="7685" max="7685" width="12.36328125" style="1" customWidth="1"/>
    <col min="7686" max="7686" width="11.453125" style="1"/>
    <col min="7687" max="7687" width="17" style="1" bestFit="1" customWidth="1"/>
    <col min="7688" max="7689" width="12.453125" style="1" bestFit="1" customWidth="1"/>
    <col min="7690" max="7690" width="12.453125" style="1" customWidth="1"/>
    <col min="7691" max="7691" width="11.453125" style="1"/>
    <col min="7692" max="7692" width="17" style="1" bestFit="1" customWidth="1"/>
    <col min="7693" max="7693" width="13.54296875" style="1" customWidth="1"/>
    <col min="7694" max="7696" width="11.453125" style="1"/>
    <col min="7697" max="7697" width="17" style="1" bestFit="1" customWidth="1"/>
    <col min="7698" max="7698" width="11.453125" style="1"/>
    <col min="7699" max="7699" width="17.36328125" style="1" customWidth="1"/>
    <col min="7700" max="7703" width="13.6328125" style="1" bestFit="1" customWidth="1"/>
    <col min="7704" max="7936" width="11.453125" style="1"/>
    <col min="7937" max="7937" width="3.36328125" style="1" customWidth="1"/>
    <col min="7938" max="7938" width="17.453125" style="1" customWidth="1"/>
    <col min="7939" max="7939" width="11.453125" style="1"/>
    <col min="7940" max="7940" width="13.54296875" style="1" customWidth="1"/>
    <col min="7941" max="7941" width="12.36328125" style="1" customWidth="1"/>
    <col min="7942" max="7942" width="11.453125" style="1"/>
    <col min="7943" max="7943" width="17" style="1" bestFit="1" customWidth="1"/>
    <col min="7944" max="7945" width="12.453125" style="1" bestFit="1" customWidth="1"/>
    <col min="7946" max="7946" width="12.453125" style="1" customWidth="1"/>
    <col min="7947" max="7947" width="11.453125" style="1"/>
    <col min="7948" max="7948" width="17" style="1" bestFit="1" customWidth="1"/>
    <col min="7949" max="7949" width="13.54296875" style="1" customWidth="1"/>
    <col min="7950" max="7952" width="11.453125" style="1"/>
    <col min="7953" max="7953" width="17" style="1" bestFit="1" customWidth="1"/>
    <col min="7954" max="7954" width="11.453125" style="1"/>
    <col min="7955" max="7955" width="17.36328125" style="1" customWidth="1"/>
    <col min="7956" max="7959" width="13.6328125" style="1" bestFit="1" customWidth="1"/>
    <col min="7960" max="8192" width="11.453125" style="1"/>
    <col min="8193" max="8193" width="3.36328125" style="1" customWidth="1"/>
    <col min="8194" max="8194" width="17.453125" style="1" customWidth="1"/>
    <col min="8195" max="8195" width="11.453125" style="1"/>
    <col min="8196" max="8196" width="13.54296875" style="1" customWidth="1"/>
    <col min="8197" max="8197" width="12.36328125" style="1" customWidth="1"/>
    <col min="8198" max="8198" width="11.453125" style="1"/>
    <col min="8199" max="8199" width="17" style="1" bestFit="1" customWidth="1"/>
    <col min="8200" max="8201" width="12.453125" style="1" bestFit="1" customWidth="1"/>
    <col min="8202" max="8202" width="12.453125" style="1" customWidth="1"/>
    <col min="8203" max="8203" width="11.453125" style="1"/>
    <col min="8204" max="8204" width="17" style="1" bestFit="1" customWidth="1"/>
    <col min="8205" max="8205" width="13.54296875" style="1" customWidth="1"/>
    <col min="8206" max="8208" width="11.453125" style="1"/>
    <col min="8209" max="8209" width="17" style="1" bestFit="1" customWidth="1"/>
    <col min="8210" max="8210" width="11.453125" style="1"/>
    <col min="8211" max="8211" width="17.36328125" style="1" customWidth="1"/>
    <col min="8212" max="8215" width="13.6328125" style="1" bestFit="1" customWidth="1"/>
    <col min="8216" max="8448" width="11.453125" style="1"/>
    <col min="8449" max="8449" width="3.36328125" style="1" customWidth="1"/>
    <col min="8450" max="8450" width="17.453125" style="1" customWidth="1"/>
    <col min="8451" max="8451" width="11.453125" style="1"/>
    <col min="8452" max="8452" width="13.54296875" style="1" customWidth="1"/>
    <col min="8453" max="8453" width="12.36328125" style="1" customWidth="1"/>
    <col min="8454" max="8454" width="11.453125" style="1"/>
    <col min="8455" max="8455" width="17" style="1" bestFit="1" customWidth="1"/>
    <col min="8456" max="8457" width="12.453125" style="1" bestFit="1" customWidth="1"/>
    <col min="8458" max="8458" width="12.453125" style="1" customWidth="1"/>
    <col min="8459" max="8459" width="11.453125" style="1"/>
    <col min="8460" max="8460" width="17" style="1" bestFit="1" customWidth="1"/>
    <col min="8461" max="8461" width="13.54296875" style="1" customWidth="1"/>
    <col min="8462" max="8464" width="11.453125" style="1"/>
    <col min="8465" max="8465" width="17" style="1" bestFit="1" customWidth="1"/>
    <col min="8466" max="8466" width="11.453125" style="1"/>
    <col min="8467" max="8467" width="17.36328125" style="1" customWidth="1"/>
    <col min="8468" max="8471" width="13.6328125" style="1" bestFit="1" customWidth="1"/>
    <col min="8472" max="8704" width="11.453125" style="1"/>
    <col min="8705" max="8705" width="3.36328125" style="1" customWidth="1"/>
    <col min="8706" max="8706" width="17.453125" style="1" customWidth="1"/>
    <col min="8707" max="8707" width="11.453125" style="1"/>
    <col min="8708" max="8708" width="13.54296875" style="1" customWidth="1"/>
    <col min="8709" max="8709" width="12.36328125" style="1" customWidth="1"/>
    <col min="8710" max="8710" width="11.453125" style="1"/>
    <col min="8711" max="8711" width="17" style="1" bestFit="1" customWidth="1"/>
    <col min="8712" max="8713" width="12.453125" style="1" bestFit="1" customWidth="1"/>
    <col min="8714" max="8714" width="12.453125" style="1" customWidth="1"/>
    <col min="8715" max="8715" width="11.453125" style="1"/>
    <col min="8716" max="8716" width="17" style="1" bestFit="1" customWidth="1"/>
    <col min="8717" max="8717" width="13.54296875" style="1" customWidth="1"/>
    <col min="8718" max="8720" width="11.453125" style="1"/>
    <col min="8721" max="8721" width="17" style="1" bestFit="1" customWidth="1"/>
    <col min="8722" max="8722" width="11.453125" style="1"/>
    <col min="8723" max="8723" width="17.36328125" style="1" customWidth="1"/>
    <col min="8724" max="8727" width="13.6328125" style="1" bestFit="1" customWidth="1"/>
    <col min="8728" max="8960" width="11.453125" style="1"/>
    <col min="8961" max="8961" width="3.36328125" style="1" customWidth="1"/>
    <col min="8962" max="8962" width="17.453125" style="1" customWidth="1"/>
    <col min="8963" max="8963" width="11.453125" style="1"/>
    <col min="8964" max="8964" width="13.54296875" style="1" customWidth="1"/>
    <col min="8965" max="8965" width="12.36328125" style="1" customWidth="1"/>
    <col min="8966" max="8966" width="11.453125" style="1"/>
    <col min="8967" max="8967" width="17" style="1" bestFit="1" customWidth="1"/>
    <col min="8968" max="8969" width="12.453125" style="1" bestFit="1" customWidth="1"/>
    <col min="8970" max="8970" width="12.453125" style="1" customWidth="1"/>
    <col min="8971" max="8971" width="11.453125" style="1"/>
    <col min="8972" max="8972" width="17" style="1" bestFit="1" customWidth="1"/>
    <col min="8973" max="8973" width="13.54296875" style="1" customWidth="1"/>
    <col min="8974" max="8976" width="11.453125" style="1"/>
    <col min="8977" max="8977" width="17" style="1" bestFit="1" customWidth="1"/>
    <col min="8978" max="8978" width="11.453125" style="1"/>
    <col min="8979" max="8979" width="17.36328125" style="1" customWidth="1"/>
    <col min="8980" max="8983" width="13.6328125" style="1" bestFit="1" customWidth="1"/>
    <col min="8984" max="9216" width="11.453125" style="1"/>
    <col min="9217" max="9217" width="3.36328125" style="1" customWidth="1"/>
    <col min="9218" max="9218" width="17.453125" style="1" customWidth="1"/>
    <col min="9219" max="9219" width="11.453125" style="1"/>
    <col min="9220" max="9220" width="13.54296875" style="1" customWidth="1"/>
    <col min="9221" max="9221" width="12.36328125" style="1" customWidth="1"/>
    <col min="9222" max="9222" width="11.453125" style="1"/>
    <col min="9223" max="9223" width="17" style="1" bestFit="1" customWidth="1"/>
    <col min="9224" max="9225" width="12.453125" style="1" bestFit="1" customWidth="1"/>
    <col min="9226" max="9226" width="12.453125" style="1" customWidth="1"/>
    <col min="9227" max="9227" width="11.453125" style="1"/>
    <col min="9228" max="9228" width="17" style="1" bestFit="1" customWidth="1"/>
    <col min="9229" max="9229" width="13.54296875" style="1" customWidth="1"/>
    <col min="9230" max="9232" width="11.453125" style="1"/>
    <col min="9233" max="9233" width="17" style="1" bestFit="1" customWidth="1"/>
    <col min="9234" max="9234" width="11.453125" style="1"/>
    <col min="9235" max="9235" width="17.36328125" style="1" customWidth="1"/>
    <col min="9236" max="9239" width="13.6328125" style="1" bestFit="1" customWidth="1"/>
    <col min="9240" max="9472" width="11.453125" style="1"/>
    <col min="9473" max="9473" width="3.36328125" style="1" customWidth="1"/>
    <col min="9474" max="9474" width="17.453125" style="1" customWidth="1"/>
    <col min="9475" max="9475" width="11.453125" style="1"/>
    <col min="9476" max="9476" width="13.54296875" style="1" customWidth="1"/>
    <col min="9477" max="9477" width="12.36328125" style="1" customWidth="1"/>
    <col min="9478" max="9478" width="11.453125" style="1"/>
    <col min="9479" max="9479" width="17" style="1" bestFit="1" customWidth="1"/>
    <col min="9480" max="9481" width="12.453125" style="1" bestFit="1" customWidth="1"/>
    <col min="9482" max="9482" width="12.453125" style="1" customWidth="1"/>
    <col min="9483" max="9483" width="11.453125" style="1"/>
    <col min="9484" max="9484" width="17" style="1" bestFit="1" customWidth="1"/>
    <col min="9485" max="9485" width="13.54296875" style="1" customWidth="1"/>
    <col min="9486" max="9488" width="11.453125" style="1"/>
    <col min="9489" max="9489" width="17" style="1" bestFit="1" customWidth="1"/>
    <col min="9490" max="9490" width="11.453125" style="1"/>
    <col min="9491" max="9491" width="17.36328125" style="1" customWidth="1"/>
    <col min="9492" max="9495" width="13.6328125" style="1" bestFit="1" customWidth="1"/>
    <col min="9496" max="9728" width="11.453125" style="1"/>
    <col min="9729" max="9729" width="3.36328125" style="1" customWidth="1"/>
    <col min="9730" max="9730" width="17.453125" style="1" customWidth="1"/>
    <col min="9731" max="9731" width="11.453125" style="1"/>
    <col min="9732" max="9732" width="13.54296875" style="1" customWidth="1"/>
    <col min="9733" max="9733" width="12.36328125" style="1" customWidth="1"/>
    <col min="9734" max="9734" width="11.453125" style="1"/>
    <col min="9735" max="9735" width="17" style="1" bestFit="1" customWidth="1"/>
    <col min="9736" max="9737" width="12.453125" style="1" bestFit="1" customWidth="1"/>
    <col min="9738" max="9738" width="12.453125" style="1" customWidth="1"/>
    <col min="9739" max="9739" width="11.453125" style="1"/>
    <col min="9740" max="9740" width="17" style="1" bestFit="1" customWidth="1"/>
    <col min="9741" max="9741" width="13.54296875" style="1" customWidth="1"/>
    <col min="9742" max="9744" width="11.453125" style="1"/>
    <col min="9745" max="9745" width="17" style="1" bestFit="1" customWidth="1"/>
    <col min="9746" max="9746" width="11.453125" style="1"/>
    <col min="9747" max="9747" width="17.36328125" style="1" customWidth="1"/>
    <col min="9748" max="9751" width="13.6328125" style="1" bestFit="1" customWidth="1"/>
    <col min="9752" max="9984" width="11.453125" style="1"/>
    <col min="9985" max="9985" width="3.36328125" style="1" customWidth="1"/>
    <col min="9986" max="9986" width="17.453125" style="1" customWidth="1"/>
    <col min="9987" max="9987" width="11.453125" style="1"/>
    <col min="9988" max="9988" width="13.54296875" style="1" customWidth="1"/>
    <col min="9989" max="9989" width="12.36328125" style="1" customWidth="1"/>
    <col min="9990" max="9990" width="11.453125" style="1"/>
    <col min="9991" max="9991" width="17" style="1" bestFit="1" customWidth="1"/>
    <col min="9992" max="9993" width="12.453125" style="1" bestFit="1" customWidth="1"/>
    <col min="9994" max="9994" width="12.453125" style="1" customWidth="1"/>
    <col min="9995" max="9995" width="11.453125" style="1"/>
    <col min="9996" max="9996" width="17" style="1" bestFit="1" customWidth="1"/>
    <col min="9997" max="9997" width="13.54296875" style="1" customWidth="1"/>
    <col min="9998" max="10000" width="11.453125" style="1"/>
    <col min="10001" max="10001" width="17" style="1" bestFit="1" customWidth="1"/>
    <col min="10002" max="10002" width="11.453125" style="1"/>
    <col min="10003" max="10003" width="17.36328125" style="1" customWidth="1"/>
    <col min="10004" max="10007" width="13.6328125" style="1" bestFit="1" customWidth="1"/>
    <col min="10008" max="10240" width="11.453125" style="1"/>
    <col min="10241" max="10241" width="3.36328125" style="1" customWidth="1"/>
    <col min="10242" max="10242" width="17.453125" style="1" customWidth="1"/>
    <col min="10243" max="10243" width="11.453125" style="1"/>
    <col min="10244" max="10244" width="13.54296875" style="1" customWidth="1"/>
    <col min="10245" max="10245" width="12.36328125" style="1" customWidth="1"/>
    <col min="10246" max="10246" width="11.453125" style="1"/>
    <col min="10247" max="10247" width="17" style="1" bestFit="1" customWidth="1"/>
    <col min="10248" max="10249" width="12.453125" style="1" bestFit="1" customWidth="1"/>
    <col min="10250" max="10250" width="12.453125" style="1" customWidth="1"/>
    <col min="10251" max="10251" width="11.453125" style="1"/>
    <col min="10252" max="10252" width="17" style="1" bestFit="1" customWidth="1"/>
    <col min="10253" max="10253" width="13.54296875" style="1" customWidth="1"/>
    <col min="10254" max="10256" width="11.453125" style="1"/>
    <col min="10257" max="10257" width="17" style="1" bestFit="1" customWidth="1"/>
    <col min="10258" max="10258" width="11.453125" style="1"/>
    <col min="10259" max="10259" width="17.36328125" style="1" customWidth="1"/>
    <col min="10260" max="10263" width="13.6328125" style="1" bestFit="1" customWidth="1"/>
    <col min="10264" max="10496" width="11.453125" style="1"/>
    <col min="10497" max="10497" width="3.36328125" style="1" customWidth="1"/>
    <col min="10498" max="10498" width="17.453125" style="1" customWidth="1"/>
    <col min="10499" max="10499" width="11.453125" style="1"/>
    <col min="10500" max="10500" width="13.54296875" style="1" customWidth="1"/>
    <col min="10501" max="10501" width="12.36328125" style="1" customWidth="1"/>
    <col min="10502" max="10502" width="11.453125" style="1"/>
    <col min="10503" max="10503" width="17" style="1" bestFit="1" customWidth="1"/>
    <col min="10504" max="10505" width="12.453125" style="1" bestFit="1" customWidth="1"/>
    <col min="10506" max="10506" width="12.453125" style="1" customWidth="1"/>
    <col min="10507" max="10507" width="11.453125" style="1"/>
    <col min="10508" max="10508" width="17" style="1" bestFit="1" customWidth="1"/>
    <col min="10509" max="10509" width="13.54296875" style="1" customWidth="1"/>
    <col min="10510" max="10512" width="11.453125" style="1"/>
    <col min="10513" max="10513" width="17" style="1" bestFit="1" customWidth="1"/>
    <col min="10514" max="10514" width="11.453125" style="1"/>
    <col min="10515" max="10515" width="17.36328125" style="1" customWidth="1"/>
    <col min="10516" max="10519" width="13.6328125" style="1" bestFit="1" customWidth="1"/>
    <col min="10520" max="10752" width="11.453125" style="1"/>
    <col min="10753" max="10753" width="3.36328125" style="1" customWidth="1"/>
    <col min="10754" max="10754" width="17.453125" style="1" customWidth="1"/>
    <col min="10755" max="10755" width="11.453125" style="1"/>
    <col min="10756" max="10756" width="13.54296875" style="1" customWidth="1"/>
    <col min="10757" max="10757" width="12.36328125" style="1" customWidth="1"/>
    <col min="10758" max="10758" width="11.453125" style="1"/>
    <col min="10759" max="10759" width="17" style="1" bestFit="1" customWidth="1"/>
    <col min="10760" max="10761" width="12.453125" style="1" bestFit="1" customWidth="1"/>
    <col min="10762" max="10762" width="12.453125" style="1" customWidth="1"/>
    <col min="10763" max="10763" width="11.453125" style="1"/>
    <col min="10764" max="10764" width="17" style="1" bestFit="1" customWidth="1"/>
    <col min="10765" max="10765" width="13.54296875" style="1" customWidth="1"/>
    <col min="10766" max="10768" width="11.453125" style="1"/>
    <col min="10769" max="10769" width="17" style="1" bestFit="1" customWidth="1"/>
    <col min="10770" max="10770" width="11.453125" style="1"/>
    <col min="10771" max="10771" width="17.36328125" style="1" customWidth="1"/>
    <col min="10772" max="10775" width="13.6328125" style="1" bestFit="1" customWidth="1"/>
    <col min="10776" max="11008" width="11.453125" style="1"/>
    <col min="11009" max="11009" width="3.36328125" style="1" customWidth="1"/>
    <col min="11010" max="11010" width="17.453125" style="1" customWidth="1"/>
    <col min="11011" max="11011" width="11.453125" style="1"/>
    <col min="11012" max="11012" width="13.54296875" style="1" customWidth="1"/>
    <col min="11013" max="11013" width="12.36328125" style="1" customWidth="1"/>
    <col min="11014" max="11014" width="11.453125" style="1"/>
    <col min="11015" max="11015" width="17" style="1" bestFit="1" customWidth="1"/>
    <col min="11016" max="11017" width="12.453125" style="1" bestFit="1" customWidth="1"/>
    <col min="11018" max="11018" width="12.453125" style="1" customWidth="1"/>
    <col min="11019" max="11019" width="11.453125" style="1"/>
    <col min="11020" max="11020" width="17" style="1" bestFit="1" customWidth="1"/>
    <col min="11021" max="11021" width="13.54296875" style="1" customWidth="1"/>
    <col min="11022" max="11024" width="11.453125" style="1"/>
    <col min="11025" max="11025" width="17" style="1" bestFit="1" customWidth="1"/>
    <col min="11026" max="11026" width="11.453125" style="1"/>
    <col min="11027" max="11027" width="17.36328125" style="1" customWidth="1"/>
    <col min="11028" max="11031" width="13.6328125" style="1" bestFit="1" customWidth="1"/>
    <col min="11032" max="11264" width="11.453125" style="1"/>
    <col min="11265" max="11265" width="3.36328125" style="1" customWidth="1"/>
    <col min="11266" max="11266" width="17.453125" style="1" customWidth="1"/>
    <col min="11267" max="11267" width="11.453125" style="1"/>
    <col min="11268" max="11268" width="13.54296875" style="1" customWidth="1"/>
    <col min="11269" max="11269" width="12.36328125" style="1" customWidth="1"/>
    <col min="11270" max="11270" width="11.453125" style="1"/>
    <col min="11271" max="11271" width="17" style="1" bestFit="1" customWidth="1"/>
    <col min="11272" max="11273" width="12.453125" style="1" bestFit="1" customWidth="1"/>
    <col min="11274" max="11274" width="12.453125" style="1" customWidth="1"/>
    <col min="11275" max="11275" width="11.453125" style="1"/>
    <col min="11276" max="11276" width="17" style="1" bestFit="1" customWidth="1"/>
    <col min="11277" max="11277" width="13.54296875" style="1" customWidth="1"/>
    <col min="11278" max="11280" width="11.453125" style="1"/>
    <col min="11281" max="11281" width="17" style="1" bestFit="1" customWidth="1"/>
    <col min="11282" max="11282" width="11.453125" style="1"/>
    <col min="11283" max="11283" width="17.36328125" style="1" customWidth="1"/>
    <col min="11284" max="11287" width="13.6328125" style="1" bestFit="1" customWidth="1"/>
    <col min="11288" max="11520" width="11.453125" style="1"/>
    <col min="11521" max="11521" width="3.36328125" style="1" customWidth="1"/>
    <col min="11522" max="11522" width="17.453125" style="1" customWidth="1"/>
    <col min="11523" max="11523" width="11.453125" style="1"/>
    <col min="11524" max="11524" width="13.54296875" style="1" customWidth="1"/>
    <col min="11525" max="11525" width="12.36328125" style="1" customWidth="1"/>
    <col min="11526" max="11526" width="11.453125" style="1"/>
    <col min="11527" max="11527" width="17" style="1" bestFit="1" customWidth="1"/>
    <col min="11528" max="11529" width="12.453125" style="1" bestFit="1" customWidth="1"/>
    <col min="11530" max="11530" width="12.453125" style="1" customWidth="1"/>
    <col min="11531" max="11531" width="11.453125" style="1"/>
    <col min="11532" max="11532" width="17" style="1" bestFit="1" customWidth="1"/>
    <col min="11533" max="11533" width="13.54296875" style="1" customWidth="1"/>
    <col min="11534" max="11536" width="11.453125" style="1"/>
    <col min="11537" max="11537" width="17" style="1" bestFit="1" customWidth="1"/>
    <col min="11538" max="11538" width="11.453125" style="1"/>
    <col min="11539" max="11539" width="17.36328125" style="1" customWidth="1"/>
    <col min="11540" max="11543" width="13.6328125" style="1" bestFit="1" customWidth="1"/>
    <col min="11544" max="11776" width="11.453125" style="1"/>
    <col min="11777" max="11777" width="3.36328125" style="1" customWidth="1"/>
    <col min="11778" max="11778" width="17.453125" style="1" customWidth="1"/>
    <col min="11779" max="11779" width="11.453125" style="1"/>
    <col min="11780" max="11780" width="13.54296875" style="1" customWidth="1"/>
    <col min="11781" max="11781" width="12.36328125" style="1" customWidth="1"/>
    <col min="11782" max="11782" width="11.453125" style="1"/>
    <col min="11783" max="11783" width="17" style="1" bestFit="1" customWidth="1"/>
    <col min="11784" max="11785" width="12.453125" style="1" bestFit="1" customWidth="1"/>
    <col min="11786" max="11786" width="12.453125" style="1" customWidth="1"/>
    <col min="11787" max="11787" width="11.453125" style="1"/>
    <col min="11788" max="11788" width="17" style="1" bestFit="1" customWidth="1"/>
    <col min="11789" max="11789" width="13.54296875" style="1" customWidth="1"/>
    <col min="11790" max="11792" width="11.453125" style="1"/>
    <col min="11793" max="11793" width="17" style="1" bestFit="1" customWidth="1"/>
    <col min="11794" max="11794" width="11.453125" style="1"/>
    <col min="11795" max="11795" width="17.36328125" style="1" customWidth="1"/>
    <col min="11796" max="11799" width="13.6328125" style="1" bestFit="1" customWidth="1"/>
    <col min="11800" max="12032" width="11.453125" style="1"/>
    <col min="12033" max="12033" width="3.36328125" style="1" customWidth="1"/>
    <col min="12034" max="12034" width="17.453125" style="1" customWidth="1"/>
    <col min="12035" max="12035" width="11.453125" style="1"/>
    <col min="12036" max="12036" width="13.54296875" style="1" customWidth="1"/>
    <col min="12037" max="12037" width="12.36328125" style="1" customWidth="1"/>
    <col min="12038" max="12038" width="11.453125" style="1"/>
    <col min="12039" max="12039" width="17" style="1" bestFit="1" customWidth="1"/>
    <col min="12040" max="12041" width="12.453125" style="1" bestFit="1" customWidth="1"/>
    <col min="12042" max="12042" width="12.453125" style="1" customWidth="1"/>
    <col min="12043" max="12043" width="11.453125" style="1"/>
    <col min="12044" max="12044" width="17" style="1" bestFit="1" customWidth="1"/>
    <col min="12045" max="12045" width="13.54296875" style="1" customWidth="1"/>
    <col min="12046" max="12048" width="11.453125" style="1"/>
    <col min="12049" max="12049" width="17" style="1" bestFit="1" customWidth="1"/>
    <col min="12050" max="12050" width="11.453125" style="1"/>
    <col min="12051" max="12051" width="17.36328125" style="1" customWidth="1"/>
    <col min="12052" max="12055" width="13.6328125" style="1" bestFit="1" customWidth="1"/>
    <col min="12056" max="12288" width="11.453125" style="1"/>
    <col min="12289" max="12289" width="3.36328125" style="1" customWidth="1"/>
    <col min="12290" max="12290" width="17.453125" style="1" customWidth="1"/>
    <col min="12291" max="12291" width="11.453125" style="1"/>
    <col min="12292" max="12292" width="13.54296875" style="1" customWidth="1"/>
    <col min="12293" max="12293" width="12.36328125" style="1" customWidth="1"/>
    <col min="12294" max="12294" width="11.453125" style="1"/>
    <col min="12295" max="12295" width="17" style="1" bestFit="1" customWidth="1"/>
    <col min="12296" max="12297" width="12.453125" style="1" bestFit="1" customWidth="1"/>
    <col min="12298" max="12298" width="12.453125" style="1" customWidth="1"/>
    <col min="12299" max="12299" width="11.453125" style="1"/>
    <col min="12300" max="12300" width="17" style="1" bestFit="1" customWidth="1"/>
    <col min="12301" max="12301" width="13.54296875" style="1" customWidth="1"/>
    <col min="12302" max="12304" width="11.453125" style="1"/>
    <col min="12305" max="12305" width="17" style="1" bestFit="1" customWidth="1"/>
    <col min="12306" max="12306" width="11.453125" style="1"/>
    <col min="12307" max="12307" width="17.36328125" style="1" customWidth="1"/>
    <col min="12308" max="12311" width="13.6328125" style="1" bestFit="1" customWidth="1"/>
    <col min="12312" max="12544" width="11.453125" style="1"/>
    <col min="12545" max="12545" width="3.36328125" style="1" customWidth="1"/>
    <col min="12546" max="12546" width="17.453125" style="1" customWidth="1"/>
    <col min="12547" max="12547" width="11.453125" style="1"/>
    <col min="12548" max="12548" width="13.54296875" style="1" customWidth="1"/>
    <col min="12549" max="12549" width="12.36328125" style="1" customWidth="1"/>
    <col min="12550" max="12550" width="11.453125" style="1"/>
    <col min="12551" max="12551" width="17" style="1" bestFit="1" customWidth="1"/>
    <col min="12552" max="12553" width="12.453125" style="1" bestFit="1" customWidth="1"/>
    <col min="12554" max="12554" width="12.453125" style="1" customWidth="1"/>
    <col min="12555" max="12555" width="11.453125" style="1"/>
    <col min="12556" max="12556" width="17" style="1" bestFit="1" customWidth="1"/>
    <col min="12557" max="12557" width="13.54296875" style="1" customWidth="1"/>
    <col min="12558" max="12560" width="11.453125" style="1"/>
    <col min="12561" max="12561" width="17" style="1" bestFit="1" customWidth="1"/>
    <col min="12562" max="12562" width="11.453125" style="1"/>
    <col min="12563" max="12563" width="17.36328125" style="1" customWidth="1"/>
    <col min="12564" max="12567" width="13.6328125" style="1" bestFit="1" customWidth="1"/>
    <col min="12568" max="12800" width="11.453125" style="1"/>
    <col min="12801" max="12801" width="3.36328125" style="1" customWidth="1"/>
    <col min="12802" max="12802" width="17.453125" style="1" customWidth="1"/>
    <col min="12803" max="12803" width="11.453125" style="1"/>
    <col min="12804" max="12804" width="13.54296875" style="1" customWidth="1"/>
    <col min="12805" max="12805" width="12.36328125" style="1" customWidth="1"/>
    <col min="12806" max="12806" width="11.453125" style="1"/>
    <col min="12807" max="12807" width="17" style="1" bestFit="1" customWidth="1"/>
    <col min="12808" max="12809" width="12.453125" style="1" bestFit="1" customWidth="1"/>
    <col min="12810" max="12810" width="12.453125" style="1" customWidth="1"/>
    <col min="12811" max="12811" width="11.453125" style="1"/>
    <col min="12812" max="12812" width="17" style="1" bestFit="1" customWidth="1"/>
    <col min="12813" max="12813" width="13.54296875" style="1" customWidth="1"/>
    <col min="12814" max="12816" width="11.453125" style="1"/>
    <col min="12817" max="12817" width="17" style="1" bestFit="1" customWidth="1"/>
    <col min="12818" max="12818" width="11.453125" style="1"/>
    <col min="12819" max="12819" width="17.36328125" style="1" customWidth="1"/>
    <col min="12820" max="12823" width="13.6328125" style="1" bestFit="1" customWidth="1"/>
    <col min="12824" max="13056" width="11.453125" style="1"/>
    <col min="13057" max="13057" width="3.36328125" style="1" customWidth="1"/>
    <col min="13058" max="13058" width="17.453125" style="1" customWidth="1"/>
    <col min="13059" max="13059" width="11.453125" style="1"/>
    <col min="13060" max="13060" width="13.54296875" style="1" customWidth="1"/>
    <col min="13061" max="13061" width="12.36328125" style="1" customWidth="1"/>
    <col min="13062" max="13062" width="11.453125" style="1"/>
    <col min="13063" max="13063" width="17" style="1" bestFit="1" customWidth="1"/>
    <col min="13064" max="13065" width="12.453125" style="1" bestFit="1" customWidth="1"/>
    <col min="13066" max="13066" width="12.453125" style="1" customWidth="1"/>
    <col min="13067" max="13067" width="11.453125" style="1"/>
    <col min="13068" max="13068" width="17" style="1" bestFit="1" customWidth="1"/>
    <col min="13069" max="13069" width="13.54296875" style="1" customWidth="1"/>
    <col min="13070" max="13072" width="11.453125" style="1"/>
    <col min="13073" max="13073" width="17" style="1" bestFit="1" customWidth="1"/>
    <col min="13074" max="13074" width="11.453125" style="1"/>
    <col min="13075" max="13075" width="17.36328125" style="1" customWidth="1"/>
    <col min="13076" max="13079" width="13.6328125" style="1" bestFit="1" customWidth="1"/>
    <col min="13080" max="13312" width="11.453125" style="1"/>
    <col min="13313" max="13313" width="3.36328125" style="1" customWidth="1"/>
    <col min="13314" max="13314" width="17.453125" style="1" customWidth="1"/>
    <col min="13315" max="13315" width="11.453125" style="1"/>
    <col min="13316" max="13316" width="13.54296875" style="1" customWidth="1"/>
    <col min="13317" max="13317" width="12.36328125" style="1" customWidth="1"/>
    <col min="13318" max="13318" width="11.453125" style="1"/>
    <col min="13319" max="13319" width="17" style="1" bestFit="1" customWidth="1"/>
    <col min="13320" max="13321" width="12.453125" style="1" bestFit="1" customWidth="1"/>
    <col min="13322" max="13322" width="12.453125" style="1" customWidth="1"/>
    <col min="13323" max="13323" width="11.453125" style="1"/>
    <col min="13324" max="13324" width="17" style="1" bestFit="1" customWidth="1"/>
    <col min="13325" max="13325" width="13.54296875" style="1" customWidth="1"/>
    <col min="13326" max="13328" width="11.453125" style="1"/>
    <col min="13329" max="13329" width="17" style="1" bestFit="1" customWidth="1"/>
    <col min="13330" max="13330" width="11.453125" style="1"/>
    <col min="13331" max="13331" width="17.36328125" style="1" customWidth="1"/>
    <col min="13332" max="13335" width="13.6328125" style="1" bestFit="1" customWidth="1"/>
    <col min="13336" max="13568" width="11.453125" style="1"/>
    <col min="13569" max="13569" width="3.36328125" style="1" customWidth="1"/>
    <col min="13570" max="13570" width="17.453125" style="1" customWidth="1"/>
    <col min="13571" max="13571" width="11.453125" style="1"/>
    <col min="13572" max="13572" width="13.54296875" style="1" customWidth="1"/>
    <col min="13573" max="13573" width="12.36328125" style="1" customWidth="1"/>
    <col min="13574" max="13574" width="11.453125" style="1"/>
    <col min="13575" max="13575" width="17" style="1" bestFit="1" customWidth="1"/>
    <col min="13576" max="13577" width="12.453125" style="1" bestFit="1" customWidth="1"/>
    <col min="13578" max="13578" width="12.453125" style="1" customWidth="1"/>
    <col min="13579" max="13579" width="11.453125" style="1"/>
    <col min="13580" max="13580" width="17" style="1" bestFit="1" customWidth="1"/>
    <col min="13581" max="13581" width="13.54296875" style="1" customWidth="1"/>
    <col min="13582" max="13584" width="11.453125" style="1"/>
    <col min="13585" max="13585" width="17" style="1" bestFit="1" customWidth="1"/>
    <col min="13586" max="13586" width="11.453125" style="1"/>
    <col min="13587" max="13587" width="17.36328125" style="1" customWidth="1"/>
    <col min="13588" max="13591" width="13.6328125" style="1" bestFit="1" customWidth="1"/>
    <col min="13592" max="13824" width="11.453125" style="1"/>
    <col min="13825" max="13825" width="3.36328125" style="1" customWidth="1"/>
    <col min="13826" max="13826" width="17.453125" style="1" customWidth="1"/>
    <col min="13827" max="13827" width="11.453125" style="1"/>
    <col min="13828" max="13828" width="13.54296875" style="1" customWidth="1"/>
    <col min="13829" max="13829" width="12.36328125" style="1" customWidth="1"/>
    <col min="13830" max="13830" width="11.453125" style="1"/>
    <col min="13831" max="13831" width="17" style="1" bestFit="1" customWidth="1"/>
    <col min="13832" max="13833" width="12.453125" style="1" bestFit="1" customWidth="1"/>
    <col min="13834" max="13834" width="12.453125" style="1" customWidth="1"/>
    <col min="13835" max="13835" width="11.453125" style="1"/>
    <col min="13836" max="13836" width="17" style="1" bestFit="1" customWidth="1"/>
    <col min="13837" max="13837" width="13.54296875" style="1" customWidth="1"/>
    <col min="13838" max="13840" width="11.453125" style="1"/>
    <col min="13841" max="13841" width="17" style="1" bestFit="1" customWidth="1"/>
    <col min="13842" max="13842" width="11.453125" style="1"/>
    <col min="13843" max="13843" width="17.36328125" style="1" customWidth="1"/>
    <col min="13844" max="13847" width="13.6328125" style="1" bestFit="1" customWidth="1"/>
    <col min="13848" max="14080" width="11.453125" style="1"/>
    <col min="14081" max="14081" width="3.36328125" style="1" customWidth="1"/>
    <col min="14082" max="14082" width="17.453125" style="1" customWidth="1"/>
    <col min="14083" max="14083" width="11.453125" style="1"/>
    <col min="14084" max="14084" width="13.54296875" style="1" customWidth="1"/>
    <col min="14085" max="14085" width="12.36328125" style="1" customWidth="1"/>
    <col min="14086" max="14086" width="11.453125" style="1"/>
    <col min="14087" max="14087" width="17" style="1" bestFit="1" customWidth="1"/>
    <col min="14088" max="14089" width="12.453125" style="1" bestFit="1" customWidth="1"/>
    <col min="14090" max="14090" width="12.453125" style="1" customWidth="1"/>
    <col min="14091" max="14091" width="11.453125" style="1"/>
    <col min="14092" max="14092" width="17" style="1" bestFit="1" customWidth="1"/>
    <col min="14093" max="14093" width="13.54296875" style="1" customWidth="1"/>
    <col min="14094" max="14096" width="11.453125" style="1"/>
    <col min="14097" max="14097" width="17" style="1" bestFit="1" customWidth="1"/>
    <col min="14098" max="14098" width="11.453125" style="1"/>
    <col min="14099" max="14099" width="17.36328125" style="1" customWidth="1"/>
    <col min="14100" max="14103" width="13.6328125" style="1" bestFit="1" customWidth="1"/>
    <col min="14104" max="14336" width="11.453125" style="1"/>
    <col min="14337" max="14337" width="3.36328125" style="1" customWidth="1"/>
    <col min="14338" max="14338" width="17.453125" style="1" customWidth="1"/>
    <col min="14339" max="14339" width="11.453125" style="1"/>
    <col min="14340" max="14340" width="13.54296875" style="1" customWidth="1"/>
    <col min="14341" max="14341" width="12.36328125" style="1" customWidth="1"/>
    <col min="14342" max="14342" width="11.453125" style="1"/>
    <col min="14343" max="14343" width="17" style="1" bestFit="1" customWidth="1"/>
    <col min="14344" max="14345" width="12.453125" style="1" bestFit="1" customWidth="1"/>
    <col min="14346" max="14346" width="12.453125" style="1" customWidth="1"/>
    <col min="14347" max="14347" width="11.453125" style="1"/>
    <col min="14348" max="14348" width="17" style="1" bestFit="1" customWidth="1"/>
    <col min="14349" max="14349" width="13.54296875" style="1" customWidth="1"/>
    <col min="14350" max="14352" width="11.453125" style="1"/>
    <col min="14353" max="14353" width="17" style="1" bestFit="1" customWidth="1"/>
    <col min="14354" max="14354" width="11.453125" style="1"/>
    <col min="14355" max="14355" width="17.36328125" style="1" customWidth="1"/>
    <col min="14356" max="14359" width="13.6328125" style="1" bestFit="1" customWidth="1"/>
    <col min="14360" max="14592" width="11.453125" style="1"/>
    <col min="14593" max="14593" width="3.36328125" style="1" customWidth="1"/>
    <col min="14594" max="14594" width="17.453125" style="1" customWidth="1"/>
    <col min="14595" max="14595" width="11.453125" style="1"/>
    <col min="14596" max="14596" width="13.54296875" style="1" customWidth="1"/>
    <col min="14597" max="14597" width="12.36328125" style="1" customWidth="1"/>
    <col min="14598" max="14598" width="11.453125" style="1"/>
    <col min="14599" max="14599" width="17" style="1" bestFit="1" customWidth="1"/>
    <col min="14600" max="14601" width="12.453125" style="1" bestFit="1" customWidth="1"/>
    <col min="14602" max="14602" width="12.453125" style="1" customWidth="1"/>
    <col min="14603" max="14603" width="11.453125" style="1"/>
    <col min="14604" max="14604" width="17" style="1" bestFit="1" customWidth="1"/>
    <col min="14605" max="14605" width="13.54296875" style="1" customWidth="1"/>
    <col min="14606" max="14608" width="11.453125" style="1"/>
    <col min="14609" max="14609" width="17" style="1" bestFit="1" customWidth="1"/>
    <col min="14610" max="14610" width="11.453125" style="1"/>
    <col min="14611" max="14611" width="17.36328125" style="1" customWidth="1"/>
    <col min="14612" max="14615" width="13.6328125" style="1" bestFit="1" customWidth="1"/>
    <col min="14616" max="14848" width="11.453125" style="1"/>
    <col min="14849" max="14849" width="3.36328125" style="1" customWidth="1"/>
    <col min="14850" max="14850" width="17.453125" style="1" customWidth="1"/>
    <col min="14851" max="14851" width="11.453125" style="1"/>
    <col min="14852" max="14852" width="13.54296875" style="1" customWidth="1"/>
    <col min="14853" max="14853" width="12.36328125" style="1" customWidth="1"/>
    <col min="14854" max="14854" width="11.453125" style="1"/>
    <col min="14855" max="14855" width="17" style="1" bestFit="1" customWidth="1"/>
    <col min="14856" max="14857" width="12.453125" style="1" bestFit="1" customWidth="1"/>
    <col min="14858" max="14858" width="12.453125" style="1" customWidth="1"/>
    <col min="14859" max="14859" width="11.453125" style="1"/>
    <col min="14860" max="14860" width="17" style="1" bestFit="1" customWidth="1"/>
    <col min="14861" max="14861" width="13.54296875" style="1" customWidth="1"/>
    <col min="14862" max="14864" width="11.453125" style="1"/>
    <col min="14865" max="14865" width="17" style="1" bestFit="1" customWidth="1"/>
    <col min="14866" max="14866" width="11.453125" style="1"/>
    <col min="14867" max="14867" width="17.36328125" style="1" customWidth="1"/>
    <col min="14868" max="14871" width="13.6328125" style="1" bestFit="1" customWidth="1"/>
    <col min="14872" max="15104" width="11.453125" style="1"/>
    <col min="15105" max="15105" width="3.36328125" style="1" customWidth="1"/>
    <col min="15106" max="15106" width="17.453125" style="1" customWidth="1"/>
    <col min="15107" max="15107" width="11.453125" style="1"/>
    <col min="15108" max="15108" width="13.54296875" style="1" customWidth="1"/>
    <col min="15109" max="15109" width="12.36328125" style="1" customWidth="1"/>
    <col min="15110" max="15110" width="11.453125" style="1"/>
    <col min="15111" max="15111" width="17" style="1" bestFit="1" customWidth="1"/>
    <col min="15112" max="15113" width="12.453125" style="1" bestFit="1" customWidth="1"/>
    <col min="15114" max="15114" width="12.453125" style="1" customWidth="1"/>
    <col min="15115" max="15115" width="11.453125" style="1"/>
    <col min="15116" max="15116" width="17" style="1" bestFit="1" customWidth="1"/>
    <col min="15117" max="15117" width="13.54296875" style="1" customWidth="1"/>
    <col min="15118" max="15120" width="11.453125" style="1"/>
    <col min="15121" max="15121" width="17" style="1" bestFit="1" customWidth="1"/>
    <col min="15122" max="15122" width="11.453125" style="1"/>
    <col min="15123" max="15123" width="17.36328125" style="1" customWidth="1"/>
    <col min="15124" max="15127" width="13.6328125" style="1" bestFit="1" customWidth="1"/>
    <col min="15128" max="15360" width="11.453125" style="1"/>
    <col min="15361" max="15361" width="3.36328125" style="1" customWidth="1"/>
    <col min="15362" max="15362" width="17.453125" style="1" customWidth="1"/>
    <col min="15363" max="15363" width="11.453125" style="1"/>
    <col min="15364" max="15364" width="13.54296875" style="1" customWidth="1"/>
    <col min="15365" max="15365" width="12.36328125" style="1" customWidth="1"/>
    <col min="15366" max="15366" width="11.453125" style="1"/>
    <col min="15367" max="15367" width="17" style="1" bestFit="1" customWidth="1"/>
    <col min="15368" max="15369" width="12.453125" style="1" bestFit="1" customWidth="1"/>
    <col min="15370" max="15370" width="12.453125" style="1" customWidth="1"/>
    <col min="15371" max="15371" width="11.453125" style="1"/>
    <col min="15372" max="15372" width="17" style="1" bestFit="1" customWidth="1"/>
    <col min="15373" max="15373" width="13.54296875" style="1" customWidth="1"/>
    <col min="15374" max="15376" width="11.453125" style="1"/>
    <col min="15377" max="15377" width="17" style="1" bestFit="1" customWidth="1"/>
    <col min="15378" max="15378" width="11.453125" style="1"/>
    <col min="15379" max="15379" width="17.36328125" style="1" customWidth="1"/>
    <col min="15380" max="15383" width="13.6328125" style="1" bestFit="1" customWidth="1"/>
    <col min="15384" max="15616" width="11.453125" style="1"/>
    <col min="15617" max="15617" width="3.36328125" style="1" customWidth="1"/>
    <col min="15618" max="15618" width="17.453125" style="1" customWidth="1"/>
    <col min="15619" max="15619" width="11.453125" style="1"/>
    <col min="15620" max="15620" width="13.54296875" style="1" customWidth="1"/>
    <col min="15621" max="15621" width="12.36328125" style="1" customWidth="1"/>
    <col min="15622" max="15622" width="11.453125" style="1"/>
    <col min="15623" max="15623" width="17" style="1" bestFit="1" customWidth="1"/>
    <col min="15624" max="15625" width="12.453125" style="1" bestFit="1" customWidth="1"/>
    <col min="15626" max="15626" width="12.453125" style="1" customWidth="1"/>
    <col min="15627" max="15627" width="11.453125" style="1"/>
    <col min="15628" max="15628" width="17" style="1" bestFit="1" customWidth="1"/>
    <col min="15629" max="15629" width="13.54296875" style="1" customWidth="1"/>
    <col min="15630" max="15632" width="11.453125" style="1"/>
    <col min="15633" max="15633" width="17" style="1" bestFit="1" customWidth="1"/>
    <col min="15634" max="15634" width="11.453125" style="1"/>
    <col min="15635" max="15635" width="17.36328125" style="1" customWidth="1"/>
    <col min="15636" max="15639" width="13.6328125" style="1" bestFit="1" customWidth="1"/>
    <col min="15640" max="15872" width="11.453125" style="1"/>
    <col min="15873" max="15873" width="3.36328125" style="1" customWidth="1"/>
    <col min="15874" max="15874" width="17.453125" style="1" customWidth="1"/>
    <col min="15875" max="15875" width="11.453125" style="1"/>
    <col min="15876" max="15876" width="13.54296875" style="1" customWidth="1"/>
    <col min="15877" max="15877" width="12.36328125" style="1" customWidth="1"/>
    <col min="15878" max="15878" width="11.453125" style="1"/>
    <col min="15879" max="15879" width="17" style="1" bestFit="1" customWidth="1"/>
    <col min="15880" max="15881" width="12.453125" style="1" bestFit="1" customWidth="1"/>
    <col min="15882" max="15882" width="12.453125" style="1" customWidth="1"/>
    <col min="15883" max="15883" width="11.453125" style="1"/>
    <col min="15884" max="15884" width="17" style="1" bestFit="1" customWidth="1"/>
    <col min="15885" max="15885" width="13.54296875" style="1" customWidth="1"/>
    <col min="15886" max="15888" width="11.453125" style="1"/>
    <col min="15889" max="15889" width="17" style="1" bestFit="1" customWidth="1"/>
    <col min="15890" max="15890" width="11.453125" style="1"/>
    <col min="15891" max="15891" width="17.36328125" style="1" customWidth="1"/>
    <col min="15892" max="15895" width="13.6328125" style="1" bestFit="1" customWidth="1"/>
    <col min="15896" max="16128" width="11.453125" style="1"/>
    <col min="16129" max="16129" width="3.36328125" style="1" customWidth="1"/>
    <col min="16130" max="16130" width="17.453125" style="1" customWidth="1"/>
    <col min="16131" max="16131" width="11.453125" style="1"/>
    <col min="16132" max="16132" width="13.54296875" style="1" customWidth="1"/>
    <col min="16133" max="16133" width="12.36328125" style="1" customWidth="1"/>
    <col min="16134" max="16134" width="11.453125" style="1"/>
    <col min="16135" max="16135" width="17" style="1" bestFit="1" customWidth="1"/>
    <col min="16136" max="16137" width="12.453125" style="1" bestFit="1" customWidth="1"/>
    <col min="16138" max="16138" width="12.453125" style="1" customWidth="1"/>
    <col min="16139" max="16139" width="11.453125" style="1"/>
    <col min="16140" max="16140" width="17" style="1" bestFit="1" customWidth="1"/>
    <col min="16141" max="16141" width="13.54296875" style="1" customWidth="1"/>
    <col min="16142" max="16144" width="11.453125" style="1"/>
    <col min="16145" max="16145" width="17" style="1" bestFit="1" customWidth="1"/>
    <col min="16146" max="16146" width="11.453125" style="1"/>
    <col min="16147" max="16147" width="17.36328125" style="1" customWidth="1"/>
    <col min="16148" max="16151" width="13.6328125" style="1" bestFit="1" customWidth="1"/>
    <col min="16152" max="16384" width="11.453125" style="1"/>
  </cols>
  <sheetData>
    <row r="1" spans="2:30" ht="15" thickBot="1" x14ac:dyDescent="0.4">
      <c r="B1" s="257" t="str">
        <f>+'Proyección Ventas'!B7:C7</f>
        <v>BIOFLOC 58.175</v>
      </c>
      <c r="C1" s="258"/>
      <c r="D1" s="259" t="str">
        <f>+'Proyección Ventas'!D7:E7</f>
        <v>BIOFLOC Catalizador</v>
      </c>
      <c r="E1" s="260"/>
      <c r="F1" s="257" t="str">
        <f>+'Proyección Ventas'!F7:G7</f>
        <v>BIO-D</v>
      </c>
      <c r="G1" s="258"/>
      <c r="H1" s="259" t="str">
        <f>+'Proyección Ventas'!H7:I7</f>
        <v>BIOFLOC 58.175</v>
      </c>
      <c r="I1" s="258"/>
    </row>
    <row r="2" spans="2:30" ht="15" thickBot="1" x14ac:dyDescent="0.4">
      <c r="B2" s="261" t="s">
        <v>70</v>
      </c>
      <c r="C2" s="262"/>
      <c r="D2" s="263" t="s">
        <v>70</v>
      </c>
      <c r="E2" s="263"/>
      <c r="F2" s="261" t="s">
        <v>70</v>
      </c>
      <c r="G2" s="262"/>
      <c r="H2" s="263" t="s">
        <v>70</v>
      </c>
      <c r="I2" s="262"/>
      <c r="K2" s="264"/>
      <c r="L2" s="265"/>
      <c r="M2" s="265"/>
      <c r="N2" s="65" t="s">
        <v>6</v>
      </c>
      <c r="O2" s="65" t="s">
        <v>5</v>
      </c>
      <c r="P2" s="66" t="s">
        <v>4</v>
      </c>
      <c r="Q2" s="67" t="s">
        <v>3</v>
      </c>
      <c r="R2" s="67" t="s">
        <v>2</v>
      </c>
    </row>
    <row r="3" spans="2:30" x14ac:dyDescent="0.35">
      <c r="B3" s="29" t="s">
        <v>6</v>
      </c>
      <c r="C3" s="68">
        <f>+'Proyección Ventas'!C19</f>
        <v>100800</v>
      </c>
      <c r="D3" s="69" t="s">
        <v>6</v>
      </c>
      <c r="E3" s="68">
        <f>+'Proyección Ventas'!E19</f>
        <v>50400</v>
      </c>
      <c r="F3" s="29" t="s">
        <v>6</v>
      </c>
      <c r="G3" s="68">
        <f>+'Proyección Ventas'!G19</f>
        <v>0</v>
      </c>
      <c r="H3" s="69" t="s">
        <v>6</v>
      </c>
      <c r="I3" s="68">
        <f>+'Proyección Ventas'!I19</f>
        <v>0</v>
      </c>
      <c r="K3" s="266" t="str">
        <f>+CONCATENATE("Costo - ",B1)</f>
        <v>Costo - BIOFLOC 58.175</v>
      </c>
      <c r="L3" s="267"/>
      <c r="M3" s="268"/>
      <c r="N3" s="70" t="e">
        <f>+C3*S18</f>
        <v>#REF!</v>
      </c>
      <c r="O3" s="70" t="e">
        <f>+C4*T18</f>
        <v>#REF!</v>
      </c>
      <c r="P3" s="71" t="e">
        <f>+C5*U18</f>
        <v>#REF!</v>
      </c>
      <c r="Q3" s="72" t="e">
        <f>+C6*V18</f>
        <v>#REF!</v>
      </c>
      <c r="R3" s="72" t="e">
        <f>+C7*W18</f>
        <v>#REF!</v>
      </c>
    </row>
    <row r="4" spans="2:30" x14ac:dyDescent="0.35">
      <c r="B4" s="29" t="s">
        <v>5</v>
      </c>
      <c r="C4" s="68">
        <f>+'Proyección Ventas'!C20</f>
        <v>127260</v>
      </c>
      <c r="D4" s="69" t="s">
        <v>5</v>
      </c>
      <c r="E4" s="68">
        <f>+'Proyección Ventas'!E20</f>
        <v>63630</v>
      </c>
      <c r="F4" s="29" t="s">
        <v>5</v>
      </c>
      <c r="G4" s="68">
        <f>+'Proyección Ventas'!G20</f>
        <v>0</v>
      </c>
      <c r="H4" s="69" t="s">
        <v>5</v>
      </c>
      <c r="I4" s="68">
        <f>+'Proyección Ventas'!I20</f>
        <v>149076</v>
      </c>
      <c r="K4" s="204" t="str">
        <f>+CONCATENATE("Costo - ",D1)</f>
        <v>Costo - BIOFLOC Catalizador</v>
      </c>
      <c r="L4" s="205"/>
      <c r="M4" s="269"/>
      <c r="N4" s="73">
        <f>+E3*S25</f>
        <v>119072.99841353782</v>
      </c>
      <c r="O4" s="73">
        <f>+E4*T25</f>
        <v>150329.66049709151</v>
      </c>
      <c r="P4" s="74">
        <f>+E5*U25</f>
        <v>202443.94280274987</v>
      </c>
      <c r="Q4" s="75">
        <f>+E6*V25</f>
        <v>255585.47778847173</v>
      </c>
      <c r="R4" s="75">
        <f>+E7*W25</f>
        <v>309769.59907962778</v>
      </c>
    </row>
    <row r="5" spans="2:30" x14ac:dyDescent="0.35">
      <c r="B5" s="29" t="s">
        <v>4</v>
      </c>
      <c r="C5" s="68">
        <f>+'Proyección Ventas'!C21</f>
        <v>171376.8</v>
      </c>
      <c r="D5" s="69" t="s">
        <v>4</v>
      </c>
      <c r="E5" s="68">
        <f>+'Proyección Ventas'!E21</f>
        <v>85688.4</v>
      </c>
      <c r="F5" s="29" t="s">
        <v>4</v>
      </c>
      <c r="G5" s="68">
        <f>+'Proyección Ventas'!G21</f>
        <v>0</v>
      </c>
      <c r="H5" s="69" t="s">
        <v>4</v>
      </c>
      <c r="I5" s="68">
        <f>+'Proyección Ventas'!I21</f>
        <v>301133.52</v>
      </c>
      <c r="K5" s="204" t="str">
        <f>+CONCATENATE("Costo - ",F1)</f>
        <v>Costo - BIO-D</v>
      </c>
      <c r="L5" s="205"/>
      <c r="M5" s="269"/>
      <c r="N5" s="73">
        <f>+G3*S53</f>
        <v>0</v>
      </c>
      <c r="O5" s="73">
        <f>+G4*T53</f>
        <v>0</v>
      </c>
      <c r="P5" s="74">
        <f>+G5*U53</f>
        <v>0</v>
      </c>
      <c r="Q5" s="75">
        <f>+G6*V53</f>
        <v>0</v>
      </c>
      <c r="R5" s="75">
        <f>+G7*W53</f>
        <v>0</v>
      </c>
    </row>
    <row r="6" spans="2:30" ht="15" thickBot="1" x14ac:dyDescent="0.4">
      <c r="B6" s="29" t="s">
        <v>3</v>
      </c>
      <c r="C6" s="68">
        <f>+'Proyección Ventas'!C22</f>
        <v>216363.21</v>
      </c>
      <c r="D6" s="69" t="s">
        <v>3</v>
      </c>
      <c r="E6" s="68">
        <f>+'Proyección Ventas'!E22</f>
        <v>108181.605</v>
      </c>
      <c r="F6" s="29" t="s">
        <v>3</v>
      </c>
      <c r="G6" s="68">
        <f>+'Proyección Ventas'!G22</f>
        <v>0</v>
      </c>
      <c r="H6" s="69" t="s">
        <v>3</v>
      </c>
      <c r="I6" s="68">
        <f>+'Proyección Ventas'!I22</f>
        <v>506908.09199999995</v>
      </c>
      <c r="K6" s="197" t="str">
        <f>+CONCATENATE("Costo - ",H1)</f>
        <v>Costo - BIOFLOC 58.175</v>
      </c>
      <c r="L6" s="198"/>
      <c r="M6" s="270"/>
      <c r="N6" s="76" t="e">
        <f>+I3*S64</f>
        <v>#REF!</v>
      </c>
      <c r="O6" s="76" t="e">
        <f>I4*T64</f>
        <v>#REF!</v>
      </c>
      <c r="P6" s="77" t="e">
        <f>I5*U64</f>
        <v>#REF!</v>
      </c>
      <c r="Q6" s="78" t="e">
        <f>I6*V64</f>
        <v>#REF!</v>
      </c>
      <c r="R6" s="78" t="e">
        <f>I7*W64</f>
        <v>#REF!</v>
      </c>
    </row>
    <row r="7" spans="2:30" ht="15" thickBot="1" x14ac:dyDescent="0.4">
      <c r="B7" s="24" t="s">
        <v>2</v>
      </c>
      <c r="C7" s="79">
        <f>+'Proyección Ventas'!C23</f>
        <v>262232.21052000002</v>
      </c>
      <c r="D7" s="80" t="s">
        <v>2</v>
      </c>
      <c r="E7" s="79">
        <f>+'Proyección Ventas'!E23</f>
        <v>131116.10526000001</v>
      </c>
      <c r="F7" s="24" t="s">
        <v>2</v>
      </c>
      <c r="G7" s="79">
        <f>+'Proyección Ventas'!G23</f>
        <v>0</v>
      </c>
      <c r="H7" s="80" t="s">
        <v>2</v>
      </c>
      <c r="I7" s="79">
        <f>+'Proyección Ventas'!I23</f>
        <v>1023954.34584</v>
      </c>
      <c r="K7" s="254" t="s">
        <v>1</v>
      </c>
      <c r="L7" s="255"/>
      <c r="M7" s="256"/>
      <c r="N7" s="81" t="e">
        <f>+SUM(N3:N6)</f>
        <v>#REF!</v>
      </c>
      <c r="O7" s="81" t="e">
        <f>+SUM(O3:O6)</f>
        <v>#REF!</v>
      </c>
      <c r="P7" s="82" t="e">
        <f>+SUM(P3:P6)</f>
        <v>#REF!</v>
      </c>
      <c r="Q7" s="83" t="e">
        <f>+SUM(Q3:Q6)</f>
        <v>#REF!</v>
      </c>
      <c r="R7" s="83" t="e">
        <f>+SUM(R3:R6)</f>
        <v>#REF!</v>
      </c>
    </row>
    <row r="8" spans="2:30" ht="15" thickBot="1" x14ac:dyDescent="0.4"/>
    <row r="9" spans="2:30" ht="15" thickBot="1" x14ac:dyDescent="0.4">
      <c r="B9" s="240" t="str">
        <f>+CONCATENATE(B1," - Matriz Insumo - Producto")</f>
        <v>BIOFLOC 58.175 - Matriz Insumo - Producto</v>
      </c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2"/>
    </row>
    <row r="10" spans="2:30" ht="15" thickBot="1" x14ac:dyDescent="0.4">
      <c r="B10" s="243" t="s">
        <v>71</v>
      </c>
      <c r="C10" s="245" t="s">
        <v>6</v>
      </c>
      <c r="D10" s="246"/>
      <c r="E10" s="247"/>
      <c r="F10" s="245" t="s">
        <v>5</v>
      </c>
      <c r="G10" s="246"/>
      <c r="H10" s="248"/>
      <c r="I10" s="249" t="s">
        <v>4</v>
      </c>
      <c r="J10" s="246"/>
      <c r="K10" s="248"/>
      <c r="L10" s="249" t="s">
        <v>3</v>
      </c>
      <c r="M10" s="246"/>
      <c r="N10" s="248"/>
      <c r="O10" s="249" t="s">
        <v>2</v>
      </c>
      <c r="P10" s="246"/>
      <c r="Q10" s="247"/>
      <c r="R10" s="252" t="s">
        <v>72</v>
      </c>
      <c r="S10" s="84" t="s">
        <v>73</v>
      </c>
      <c r="T10" s="85" t="s">
        <v>73</v>
      </c>
      <c r="U10" s="86" t="s">
        <v>73</v>
      </c>
      <c r="V10" s="85" t="s">
        <v>73</v>
      </c>
      <c r="W10" s="87" t="s">
        <v>73</v>
      </c>
    </row>
    <row r="11" spans="2:30" ht="15" thickBot="1" x14ac:dyDescent="0.4">
      <c r="B11" s="244"/>
      <c r="C11" s="88" t="s">
        <v>74</v>
      </c>
      <c r="D11" s="89" t="s">
        <v>75</v>
      </c>
      <c r="E11" s="90" t="s">
        <v>76</v>
      </c>
      <c r="F11" s="88" t="s">
        <v>74</v>
      </c>
      <c r="G11" s="89" t="s">
        <v>75</v>
      </c>
      <c r="H11" s="91" t="s">
        <v>76</v>
      </c>
      <c r="I11" s="92" t="s">
        <v>74</v>
      </c>
      <c r="J11" s="89" t="s">
        <v>75</v>
      </c>
      <c r="K11" s="91" t="s">
        <v>76</v>
      </c>
      <c r="L11" s="92" t="s">
        <v>74</v>
      </c>
      <c r="M11" s="89" t="s">
        <v>75</v>
      </c>
      <c r="N11" s="91" t="s">
        <v>76</v>
      </c>
      <c r="O11" s="92" t="s">
        <v>74</v>
      </c>
      <c r="P11" s="89" t="s">
        <v>75</v>
      </c>
      <c r="Q11" s="90" t="s">
        <v>76</v>
      </c>
      <c r="R11" s="253"/>
      <c r="S11" s="93" t="s">
        <v>6</v>
      </c>
      <c r="T11" s="94" t="s">
        <v>5</v>
      </c>
      <c r="U11" s="95" t="s">
        <v>4</v>
      </c>
      <c r="V11" s="94" t="s">
        <v>3</v>
      </c>
      <c r="W11" s="96" t="s">
        <v>2</v>
      </c>
    </row>
    <row r="12" spans="2:30" x14ac:dyDescent="0.35">
      <c r="B12" s="97" t="s">
        <v>77</v>
      </c>
      <c r="C12" s="98">
        <v>1</v>
      </c>
      <c r="D12" s="7">
        <v>1000</v>
      </c>
      <c r="E12" s="99">
        <f>(2960+500)/Supuestos!$C$7</f>
        <v>365.94394500264411</v>
      </c>
      <c r="F12" s="98">
        <v>1</v>
      </c>
      <c r="G12" s="7">
        <v>1000</v>
      </c>
      <c r="H12" s="99">
        <f>(2960+500)/Supuestos!$C$7</f>
        <v>365.94394500264411</v>
      </c>
      <c r="I12" s="98">
        <v>1</v>
      </c>
      <c r="J12" s="7">
        <v>1000</v>
      </c>
      <c r="K12" s="99">
        <f>(2960+500)/Supuestos!$C$7</f>
        <v>365.94394500264411</v>
      </c>
      <c r="L12" s="98">
        <v>1</v>
      </c>
      <c r="M12" s="7">
        <v>1000</v>
      </c>
      <c r="N12" s="99">
        <f>(2960+500)/Supuestos!$C$7</f>
        <v>365.94394500264411</v>
      </c>
      <c r="O12" s="98">
        <v>1</v>
      </c>
      <c r="P12" s="7">
        <v>1000</v>
      </c>
      <c r="Q12" s="99">
        <f>(2960+500)/Supuestos!$C$7</f>
        <v>365.94394500264411</v>
      </c>
      <c r="R12" s="130">
        <v>0.08</v>
      </c>
      <c r="S12" s="103">
        <f>+(C12*E12)/IF(D12=0,1,D12)+$R12*C12*E12/IF(D12=0,1,D12)</f>
        <v>0.39521946060285562</v>
      </c>
      <c r="T12" s="104">
        <f>+(F12*H12)/IF(G12=0,1,G12)+$R12*F12*H12/IF(G12=0,1,G12)</f>
        <v>0.39521946060285562</v>
      </c>
      <c r="U12" s="105">
        <f>+(I12*K12)/IF(J12=0,1,J12)+$R12*I12*K12/IF(J12=0,1,J12)</f>
        <v>0.39521946060285562</v>
      </c>
      <c r="V12" s="104">
        <f>+(L12*N12)/IF(M12=0,1,M12)+$R12*L12*N12/IF(M12=0,1,M12)</f>
        <v>0.39521946060285562</v>
      </c>
      <c r="W12" s="106">
        <f>+(O12*Q12)/IF(P12=0,1,P12)+$R12*O12*Q12/IF(P12=0,1,P12)</f>
        <v>0.39521946060285562</v>
      </c>
      <c r="X12" s="61"/>
      <c r="Y12" s="61"/>
      <c r="Z12" s="61"/>
      <c r="AA12" s="61"/>
      <c r="AB12" s="61"/>
      <c r="AC12" s="61"/>
      <c r="AD12" s="61"/>
    </row>
    <row r="13" spans="2:30" x14ac:dyDescent="0.35">
      <c r="B13" s="107" t="s">
        <v>78</v>
      </c>
      <c r="C13" s="3">
        <v>1</v>
      </c>
      <c r="D13" s="123">
        <f>+C13/0.175</f>
        <v>5.7142857142857144</v>
      </c>
      <c r="E13" s="99">
        <f>38/Supuestos!$C$7</f>
        <v>4.0190375462718135</v>
      </c>
      <c r="F13" s="3">
        <v>1</v>
      </c>
      <c r="G13" s="123">
        <f>+F13/0.175</f>
        <v>5.7142857142857144</v>
      </c>
      <c r="H13" s="99">
        <f>38/Supuestos!$C$7</f>
        <v>4.0190375462718135</v>
      </c>
      <c r="I13" s="3">
        <v>1</v>
      </c>
      <c r="J13" s="123">
        <f>+I13/0.175</f>
        <v>5.7142857142857144</v>
      </c>
      <c r="K13" s="99">
        <f>38/Supuestos!$C$7</f>
        <v>4.0190375462718135</v>
      </c>
      <c r="L13" s="3">
        <v>1</v>
      </c>
      <c r="M13" s="123">
        <f>+L13/0.175</f>
        <v>5.7142857142857144</v>
      </c>
      <c r="N13" s="99">
        <f>38/Supuestos!$C$7</f>
        <v>4.0190375462718135</v>
      </c>
      <c r="O13" s="3">
        <v>1</v>
      </c>
      <c r="P13" s="123">
        <f>+O13/0.175</f>
        <v>5.7142857142857144</v>
      </c>
      <c r="Q13" s="99">
        <f>38/Supuestos!$C$7</f>
        <v>4.0190375462718135</v>
      </c>
      <c r="R13" s="131">
        <v>0.05</v>
      </c>
      <c r="S13" s="103">
        <f t="shared" ref="S13:S17" si="0">+(C13*E13)/IF(D13=0,1,D13)+$R13*C13*E13/IF(D13=0,1,D13)</f>
        <v>0.73849814912744571</v>
      </c>
      <c r="T13" s="104">
        <f t="shared" ref="T13:T17" si="1">+(F13*H13)/IF(G13=0,1,G13)+$R13*F13*H13/IF(G13=0,1,G13)</f>
        <v>0.73849814912744571</v>
      </c>
      <c r="U13" s="105">
        <f t="shared" ref="U13:U17" si="2">+(I13*K13)/IF(J13=0,1,J13)+$R13*I13*K13/IF(J13=0,1,J13)</f>
        <v>0.73849814912744571</v>
      </c>
      <c r="V13" s="104">
        <f t="shared" ref="V13:V17" si="3">+(L13*N13)/IF(M13=0,1,M13)+$R13*L13*N13/IF(M13=0,1,M13)</f>
        <v>0.73849814912744571</v>
      </c>
      <c r="W13" s="106">
        <f t="shared" ref="W13:W17" si="4">+(O13*Q13)/IF(P13=0,1,P13)+$R13*O13*Q13/IF(P13=0,1,P13)</f>
        <v>0.73849814912744571</v>
      </c>
    </row>
    <row r="14" spans="2:30" x14ac:dyDescent="0.35">
      <c r="B14" s="107" t="s">
        <v>79</v>
      </c>
      <c r="C14" s="3">
        <v>1</v>
      </c>
      <c r="D14" s="123">
        <f>1/0.058</f>
        <v>17.241379310344826</v>
      </c>
      <c r="E14" s="99" t="e">
        <f>+#REF!</f>
        <v>#REF!</v>
      </c>
      <c r="F14" s="3">
        <v>1</v>
      </c>
      <c r="G14" s="123">
        <f>1/0.058</f>
        <v>17.241379310344826</v>
      </c>
      <c r="H14" s="99" t="e">
        <f>+E14</f>
        <v>#REF!</v>
      </c>
      <c r="I14" s="3">
        <v>1</v>
      </c>
      <c r="J14" s="123">
        <f>1/0.058</f>
        <v>17.241379310344826</v>
      </c>
      <c r="K14" s="99" t="e">
        <f>+H14</f>
        <v>#REF!</v>
      </c>
      <c r="L14" s="3">
        <v>1</v>
      </c>
      <c r="M14" s="123">
        <f>1/0.058</f>
        <v>17.241379310344826</v>
      </c>
      <c r="N14" s="99" t="e">
        <f>+K14</f>
        <v>#REF!</v>
      </c>
      <c r="O14" s="3">
        <v>1</v>
      </c>
      <c r="P14" s="123">
        <f>1/0.058</f>
        <v>17.241379310344826</v>
      </c>
      <c r="Q14" s="99" t="e">
        <f>+#REF!</f>
        <v>#REF!</v>
      </c>
      <c r="R14" s="131">
        <v>0.05</v>
      </c>
      <c r="S14" s="103" t="e">
        <f t="shared" si="0"/>
        <v>#REF!</v>
      </c>
      <c r="T14" s="104" t="e">
        <f t="shared" si="1"/>
        <v>#REF!</v>
      </c>
      <c r="U14" s="105" t="e">
        <f t="shared" si="2"/>
        <v>#REF!</v>
      </c>
      <c r="V14" s="104" t="e">
        <f t="shared" si="3"/>
        <v>#REF!</v>
      </c>
      <c r="W14" s="106" t="e">
        <f t="shared" si="4"/>
        <v>#REF!</v>
      </c>
    </row>
    <row r="15" spans="2:30" x14ac:dyDescent="0.35">
      <c r="B15" s="107" t="s">
        <v>80</v>
      </c>
      <c r="C15" s="3">
        <v>1</v>
      </c>
      <c r="D15" s="2">
        <v>1000</v>
      </c>
      <c r="E15" s="99">
        <f>7/Supuestos!$C$7</f>
        <v>0.74034902168164995</v>
      </c>
      <c r="F15" s="3">
        <v>1</v>
      </c>
      <c r="G15" s="2">
        <v>1000</v>
      </c>
      <c r="H15" s="99">
        <f>7/Supuestos!$C$7</f>
        <v>0.74034902168164995</v>
      </c>
      <c r="I15" s="3">
        <v>1</v>
      </c>
      <c r="J15" s="2">
        <v>1000</v>
      </c>
      <c r="K15" s="99">
        <f>7/Supuestos!$C$7</f>
        <v>0.74034902168164995</v>
      </c>
      <c r="L15" s="3">
        <v>1</v>
      </c>
      <c r="M15" s="2">
        <v>1000</v>
      </c>
      <c r="N15" s="99">
        <f>7/Supuestos!$C$7</f>
        <v>0.74034902168164995</v>
      </c>
      <c r="O15" s="3">
        <v>1</v>
      </c>
      <c r="P15" s="2">
        <v>1000</v>
      </c>
      <c r="Q15" s="99">
        <f>7/Supuestos!$C$7</f>
        <v>0.74034902168164995</v>
      </c>
      <c r="R15" s="131">
        <v>0.03</v>
      </c>
      <c r="S15" s="103">
        <f t="shared" si="0"/>
        <v>7.6255949233209946E-4</v>
      </c>
      <c r="T15" s="104">
        <f t="shared" si="1"/>
        <v>7.6255949233209946E-4</v>
      </c>
      <c r="U15" s="105">
        <f t="shared" si="2"/>
        <v>7.6255949233209946E-4</v>
      </c>
      <c r="V15" s="104">
        <f t="shared" si="3"/>
        <v>7.6255949233209946E-4</v>
      </c>
      <c r="W15" s="106">
        <f t="shared" si="4"/>
        <v>7.6255949233209946E-4</v>
      </c>
    </row>
    <row r="16" spans="2:30" x14ac:dyDescent="0.35">
      <c r="B16" s="107" t="s">
        <v>98</v>
      </c>
      <c r="C16" s="3">
        <v>1</v>
      </c>
      <c r="D16" s="123">
        <f>6/0.058</f>
        <v>103.44827586206895</v>
      </c>
      <c r="E16" s="99">
        <f>10/Supuestos!$C$7</f>
        <v>1.0576414595452142</v>
      </c>
      <c r="F16" s="3">
        <v>1</v>
      </c>
      <c r="G16" s="123">
        <f>6/0.058</f>
        <v>103.44827586206895</v>
      </c>
      <c r="H16" s="99">
        <f>10/Supuestos!$C$7</f>
        <v>1.0576414595452142</v>
      </c>
      <c r="I16" s="3">
        <v>1</v>
      </c>
      <c r="J16" s="123">
        <f>6/0.058</f>
        <v>103.44827586206895</v>
      </c>
      <c r="K16" s="99">
        <f>10/Supuestos!$C$7</f>
        <v>1.0576414595452142</v>
      </c>
      <c r="L16" s="3">
        <v>1</v>
      </c>
      <c r="M16" s="123">
        <f>6/0.058</f>
        <v>103.44827586206895</v>
      </c>
      <c r="N16" s="99">
        <f>10/Supuestos!$C$7</f>
        <v>1.0576414595452142</v>
      </c>
      <c r="O16" s="3">
        <v>1</v>
      </c>
      <c r="P16" s="123">
        <f>6/0.058</f>
        <v>103.44827586206895</v>
      </c>
      <c r="Q16" s="99">
        <f>10/Supuestos!$C$7</f>
        <v>1.0576414595452142</v>
      </c>
      <c r="R16" s="131">
        <v>0.1</v>
      </c>
      <c r="S16" s="103">
        <f t="shared" si="0"/>
        <v>1.1246254186497447E-2</v>
      </c>
      <c r="T16" s="104">
        <f t="shared" si="1"/>
        <v>1.1246254186497447E-2</v>
      </c>
      <c r="U16" s="105">
        <f t="shared" si="2"/>
        <v>1.1246254186497447E-2</v>
      </c>
      <c r="V16" s="104">
        <f t="shared" si="3"/>
        <v>1.1246254186497447E-2</v>
      </c>
      <c r="W16" s="106">
        <f t="shared" si="4"/>
        <v>1.1246254186497447E-2</v>
      </c>
    </row>
    <row r="17" spans="2:23" ht="15" thickBot="1" x14ac:dyDescent="0.4">
      <c r="B17" s="109" t="s">
        <v>0</v>
      </c>
      <c r="C17" s="5">
        <v>1</v>
      </c>
      <c r="D17" s="6">
        <f>1/0.001</f>
        <v>1000</v>
      </c>
      <c r="E17" s="110">
        <f>21/Supuestos!$C$7</f>
        <v>2.2210470650449499</v>
      </c>
      <c r="F17" s="5">
        <v>1</v>
      </c>
      <c r="G17" s="6">
        <f>1/0.001</f>
        <v>1000</v>
      </c>
      <c r="H17" s="110">
        <f>21/Supuestos!$C$7</f>
        <v>2.2210470650449499</v>
      </c>
      <c r="I17" s="5">
        <v>1</v>
      </c>
      <c r="J17" s="6">
        <f>1/0.001</f>
        <v>1000</v>
      </c>
      <c r="K17" s="110">
        <f>21/Supuestos!$C$7</f>
        <v>2.2210470650449499</v>
      </c>
      <c r="L17" s="5">
        <v>1</v>
      </c>
      <c r="M17" s="6">
        <f>1/0.001</f>
        <v>1000</v>
      </c>
      <c r="N17" s="110">
        <f>21/Supuestos!$C$7</f>
        <v>2.2210470650449499</v>
      </c>
      <c r="O17" s="5">
        <v>1</v>
      </c>
      <c r="P17" s="6">
        <f>1/0.001</f>
        <v>1000</v>
      </c>
      <c r="Q17" s="110">
        <f>21/Supuestos!$C$7</f>
        <v>2.2210470650449499</v>
      </c>
      <c r="R17" s="132">
        <v>0.1</v>
      </c>
      <c r="S17" s="114">
        <f t="shared" si="0"/>
        <v>2.4431517715494447E-3</v>
      </c>
      <c r="T17" s="115">
        <f t="shared" si="1"/>
        <v>2.4431517715494447E-3</v>
      </c>
      <c r="U17" s="116">
        <f t="shared" si="2"/>
        <v>2.4431517715494447E-3</v>
      </c>
      <c r="V17" s="115">
        <f t="shared" si="3"/>
        <v>2.4431517715494447E-3</v>
      </c>
      <c r="W17" s="117">
        <f t="shared" si="4"/>
        <v>2.4431517715494447E-3</v>
      </c>
    </row>
    <row r="18" spans="2:23" ht="15" thickBot="1" x14ac:dyDescent="0.4">
      <c r="S18" s="126" t="e">
        <f>+SUM(S12:S17)</f>
        <v>#REF!</v>
      </c>
      <c r="T18" s="127" t="e">
        <f>+SUM(T12:T17)</f>
        <v>#REF!</v>
      </c>
      <c r="U18" s="128" t="e">
        <f>+SUM(U12:U17)</f>
        <v>#REF!</v>
      </c>
      <c r="V18" s="127" t="e">
        <f>+SUM(V12:V17)</f>
        <v>#REF!</v>
      </c>
      <c r="W18" s="129" t="e">
        <f>+SUM(W12:W17)</f>
        <v>#REF!</v>
      </c>
    </row>
    <row r="19" spans="2:23" ht="15" thickBot="1" x14ac:dyDescent="0.4">
      <c r="B19" s="240" t="str">
        <f>+CONCATENATE(D1," - Matriz Insumo - Producto")</f>
        <v>BIOFLOC Catalizador - Matriz Insumo - Producto</v>
      </c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2"/>
    </row>
    <row r="20" spans="2:23" ht="15" thickBot="1" x14ac:dyDescent="0.4">
      <c r="B20" s="243" t="s">
        <v>71</v>
      </c>
      <c r="C20" s="245" t="s">
        <v>6</v>
      </c>
      <c r="D20" s="246"/>
      <c r="E20" s="247"/>
      <c r="F20" s="245" t="s">
        <v>5</v>
      </c>
      <c r="G20" s="246"/>
      <c r="H20" s="248"/>
      <c r="I20" s="249" t="s">
        <v>4</v>
      </c>
      <c r="J20" s="246"/>
      <c r="K20" s="248"/>
      <c r="L20" s="249" t="s">
        <v>3</v>
      </c>
      <c r="M20" s="246"/>
      <c r="N20" s="248"/>
      <c r="O20" s="249" t="s">
        <v>2</v>
      </c>
      <c r="P20" s="246"/>
      <c r="Q20" s="247"/>
      <c r="R20" s="252" t="s">
        <v>72</v>
      </c>
      <c r="S20" s="84" t="s">
        <v>73</v>
      </c>
      <c r="T20" s="85" t="s">
        <v>73</v>
      </c>
      <c r="U20" s="86" t="s">
        <v>73</v>
      </c>
      <c r="V20" s="85" t="s">
        <v>73</v>
      </c>
      <c r="W20" s="87" t="s">
        <v>73</v>
      </c>
    </row>
    <row r="21" spans="2:23" ht="15" thickBot="1" x14ac:dyDescent="0.4">
      <c r="B21" s="244"/>
      <c r="C21" s="88" t="s">
        <v>74</v>
      </c>
      <c r="D21" s="89" t="s">
        <v>75</v>
      </c>
      <c r="E21" s="90" t="s">
        <v>76</v>
      </c>
      <c r="F21" s="88" t="s">
        <v>74</v>
      </c>
      <c r="G21" s="89" t="s">
        <v>75</v>
      </c>
      <c r="H21" s="91" t="s">
        <v>76</v>
      </c>
      <c r="I21" s="92" t="s">
        <v>74</v>
      </c>
      <c r="J21" s="89" t="s">
        <v>75</v>
      </c>
      <c r="K21" s="91" t="s">
        <v>76</v>
      </c>
      <c r="L21" s="92" t="s">
        <v>74</v>
      </c>
      <c r="M21" s="89" t="s">
        <v>75</v>
      </c>
      <c r="N21" s="91" t="s">
        <v>76</v>
      </c>
      <c r="O21" s="92" t="s">
        <v>74</v>
      </c>
      <c r="P21" s="89" t="s">
        <v>75</v>
      </c>
      <c r="Q21" s="90" t="s">
        <v>76</v>
      </c>
      <c r="R21" s="253"/>
      <c r="S21" s="93" t="s">
        <v>6</v>
      </c>
      <c r="T21" s="94" t="s">
        <v>5</v>
      </c>
      <c r="U21" s="95" t="s">
        <v>4</v>
      </c>
      <c r="V21" s="94" t="s">
        <v>3</v>
      </c>
      <c r="W21" s="96" t="s">
        <v>2</v>
      </c>
    </row>
    <row r="22" spans="2:23" x14ac:dyDescent="0.35">
      <c r="B22" s="97" t="s">
        <v>99</v>
      </c>
      <c r="C22" s="98">
        <v>1</v>
      </c>
      <c r="D22" s="7">
        <v>1</v>
      </c>
      <c r="E22" s="99">
        <f>21/Supuestos!$C$7</f>
        <v>2.2210470650449499</v>
      </c>
      <c r="F22" s="98">
        <v>1</v>
      </c>
      <c r="G22" s="7">
        <v>1</v>
      </c>
      <c r="H22" s="99">
        <f>21/Supuestos!$C$7</f>
        <v>2.2210470650449499</v>
      </c>
      <c r="I22" s="98">
        <v>1</v>
      </c>
      <c r="J22" s="7">
        <v>1</v>
      </c>
      <c r="K22" s="99">
        <f>21/Supuestos!$C$7</f>
        <v>2.2210470650449499</v>
      </c>
      <c r="L22" s="98">
        <v>1</v>
      </c>
      <c r="M22" s="7">
        <v>1</v>
      </c>
      <c r="N22" s="99">
        <f>21/Supuestos!$C$7</f>
        <v>2.2210470650449499</v>
      </c>
      <c r="O22" s="98">
        <v>1</v>
      </c>
      <c r="P22" s="7">
        <v>1</v>
      </c>
      <c r="Q22" s="99">
        <f>21/Supuestos!$C$7</f>
        <v>2.2210470650449499</v>
      </c>
      <c r="R22" s="130">
        <v>0.02</v>
      </c>
      <c r="S22" s="103">
        <f>+(C22*E22)/IF(D22=0,1,D22)+$R22*C22*E22/IF(D22=0,1,D22)</f>
        <v>2.265468006345849</v>
      </c>
      <c r="T22" s="104">
        <f>+(F22*H22)/IF(G22=0,1,G22)+$R22*F22*H22/IF(G22=0,1,G22)</f>
        <v>2.265468006345849</v>
      </c>
      <c r="U22" s="105">
        <f>+(I22*K22)/IF(J22=0,1,J22)+$R22*I22*K22/IF(J22=0,1,J22)</f>
        <v>2.265468006345849</v>
      </c>
      <c r="V22" s="104">
        <f>+(L22*N22)/IF(M22=0,1,M22)+$R22*L22*N22/IF(M22=0,1,M22)</f>
        <v>2.265468006345849</v>
      </c>
      <c r="W22" s="106">
        <f>+(O22*Q22)/IF(P22=0,1,P22)+$R22*O22*Q22/IF(P22=0,1,P22)</f>
        <v>2.265468006345849</v>
      </c>
    </row>
    <row r="23" spans="2:23" x14ac:dyDescent="0.35">
      <c r="B23" s="107" t="s">
        <v>80</v>
      </c>
      <c r="C23" s="3">
        <v>1</v>
      </c>
      <c r="D23" s="2">
        <v>30</v>
      </c>
      <c r="E23" s="99">
        <f>7/Supuestos!$C$7</f>
        <v>0.74034902168164995</v>
      </c>
      <c r="F23" s="3">
        <v>1</v>
      </c>
      <c r="G23" s="2">
        <v>30</v>
      </c>
      <c r="H23" s="99">
        <f>7/Supuestos!$C$7</f>
        <v>0.74034902168164995</v>
      </c>
      <c r="I23" s="3">
        <v>1</v>
      </c>
      <c r="J23" s="2">
        <v>30</v>
      </c>
      <c r="K23" s="99">
        <f>7/Supuestos!$C$7</f>
        <v>0.74034902168164995</v>
      </c>
      <c r="L23" s="3">
        <v>1</v>
      </c>
      <c r="M23" s="2">
        <v>30</v>
      </c>
      <c r="N23" s="99">
        <f>7/Supuestos!$C$7</f>
        <v>0.74034902168164995</v>
      </c>
      <c r="O23" s="3">
        <v>1</v>
      </c>
      <c r="P23" s="2">
        <v>30</v>
      </c>
      <c r="Q23" s="99">
        <f>7/Supuestos!$C$7</f>
        <v>0.74034902168164995</v>
      </c>
      <c r="R23" s="131">
        <v>0.02</v>
      </c>
      <c r="S23" s="103">
        <f t="shared" ref="S23:S24" si="5">+(C23*E23)/IF(D23=0,1,D23)+$R23*C23*E23/IF(D23=0,1,D23)</f>
        <v>2.5171866737176099E-2</v>
      </c>
      <c r="T23" s="104">
        <f t="shared" ref="T23:T24" si="6">+(F23*H23)/IF(G23=0,1,G23)+$R23*F23*H23/IF(G23=0,1,G23)</f>
        <v>2.5171866737176099E-2</v>
      </c>
      <c r="U23" s="105">
        <f t="shared" ref="U23:U24" si="7">+(I23*K23)/IF(J23=0,1,J23)+$R23*I23*K23/IF(J23=0,1,J23)</f>
        <v>2.5171866737176099E-2</v>
      </c>
      <c r="V23" s="104">
        <f t="shared" ref="V23:V24" si="8">+(L23*N23)/IF(M23=0,1,M23)+$R23*L23*N23/IF(M23=0,1,M23)</f>
        <v>2.5171866737176099E-2</v>
      </c>
      <c r="W23" s="106">
        <f t="shared" ref="W23:W24" si="9">+(O23*Q23)/IF(P23=0,1,P23)+$R23*O23*Q23/IF(P23=0,1,P23)</f>
        <v>2.5171866737176099E-2</v>
      </c>
    </row>
    <row r="24" spans="2:23" ht="15" thickBot="1" x14ac:dyDescent="0.4">
      <c r="B24" s="109" t="s">
        <v>81</v>
      </c>
      <c r="C24" s="5">
        <v>1</v>
      </c>
      <c r="D24" s="6">
        <v>300</v>
      </c>
      <c r="E24" s="110">
        <f>200/Supuestos!$C$7</f>
        <v>21.152829190904285</v>
      </c>
      <c r="F24" s="5">
        <v>1</v>
      </c>
      <c r="G24" s="6">
        <v>300</v>
      </c>
      <c r="H24" s="110">
        <f>200/Supuestos!$C$7</f>
        <v>21.152829190904285</v>
      </c>
      <c r="I24" s="5">
        <v>1</v>
      </c>
      <c r="J24" s="6">
        <v>300</v>
      </c>
      <c r="K24" s="110">
        <f>200/Supuestos!$C$7</f>
        <v>21.152829190904285</v>
      </c>
      <c r="L24" s="5">
        <v>1</v>
      </c>
      <c r="M24" s="6">
        <v>300</v>
      </c>
      <c r="N24" s="110">
        <f>200/Supuestos!$C$7</f>
        <v>21.152829190904285</v>
      </c>
      <c r="O24" s="5">
        <v>1</v>
      </c>
      <c r="P24" s="6">
        <v>300</v>
      </c>
      <c r="Q24" s="110">
        <f>200/Supuestos!$C$7</f>
        <v>21.152829190904285</v>
      </c>
      <c r="R24" s="132">
        <v>0.02</v>
      </c>
      <c r="S24" s="114">
        <f t="shared" si="5"/>
        <v>7.1919619249074557E-2</v>
      </c>
      <c r="T24" s="115">
        <f t="shared" si="6"/>
        <v>7.1919619249074557E-2</v>
      </c>
      <c r="U24" s="116">
        <f t="shared" si="7"/>
        <v>7.1919619249074557E-2</v>
      </c>
      <c r="V24" s="115">
        <f t="shared" si="8"/>
        <v>7.1919619249074557E-2</v>
      </c>
      <c r="W24" s="117">
        <f t="shared" si="9"/>
        <v>7.1919619249074557E-2</v>
      </c>
    </row>
    <row r="25" spans="2:23" ht="15" thickBot="1" x14ac:dyDescent="0.4">
      <c r="S25" s="126">
        <f>+SUM(S22:S24)</f>
        <v>2.3625594923320996</v>
      </c>
      <c r="T25" s="127">
        <f>+SUM(T22:T24)</f>
        <v>2.3625594923320996</v>
      </c>
      <c r="U25" s="128">
        <f>+SUM(U22:U24)</f>
        <v>2.3625594923320996</v>
      </c>
      <c r="V25" s="127">
        <f>+SUM(V22:V24)</f>
        <v>2.3625594923320996</v>
      </c>
      <c r="W25" s="129">
        <f>+SUM(W22:W24)</f>
        <v>2.3625594923320996</v>
      </c>
    </row>
    <row r="26" spans="2:23" ht="15" thickBot="1" x14ac:dyDescent="0.4">
      <c r="B26" s="240" t="str">
        <f>+CONCATENATE(F1," - Matriz Insumo - Producto")</f>
        <v>BIO-D - Matriz Insumo - Producto</v>
      </c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2"/>
    </row>
    <row r="27" spans="2:23" ht="15" thickBot="1" x14ac:dyDescent="0.4">
      <c r="B27" s="243" t="s">
        <v>71</v>
      </c>
      <c r="C27" s="245" t="s">
        <v>6</v>
      </c>
      <c r="D27" s="246"/>
      <c r="E27" s="247"/>
      <c r="F27" s="245" t="s">
        <v>5</v>
      </c>
      <c r="G27" s="246"/>
      <c r="H27" s="248"/>
      <c r="I27" s="249" t="s">
        <v>4</v>
      </c>
      <c r="J27" s="246"/>
      <c r="K27" s="248"/>
      <c r="L27" s="249" t="s">
        <v>3</v>
      </c>
      <c r="M27" s="246"/>
      <c r="N27" s="248"/>
      <c r="O27" s="249" t="s">
        <v>2</v>
      </c>
      <c r="P27" s="246"/>
      <c r="Q27" s="248"/>
      <c r="R27" s="250" t="s">
        <v>72</v>
      </c>
      <c r="S27" s="84" t="s">
        <v>73</v>
      </c>
      <c r="T27" s="85" t="s">
        <v>73</v>
      </c>
      <c r="U27" s="86" t="s">
        <v>73</v>
      </c>
      <c r="V27" s="85" t="s">
        <v>73</v>
      </c>
      <c r="W27" s="87" t="s">
        <v>73</v>
      </c>
    </row>
    <row r="28" spans="2:23" ht="15" thickBot="1" x14ac:dyDescent="0.4">
      <c r="B28" s="244"/>
      <c r="C28" s="88" t="s">
        <v>74</v>
      </c>
      <c r="D28" s="89" t="s">
        <v>75</v>
      </c>
      <c r="E28" s="90" t="s">
        <v>76</v>
      </c>
      <c r="F28" s="88" t="s">
        <v>74</v>
      </c>
      <c r="G28" s="89" t="s">
        <v>75</v>
      </c>
      <c r="H28" s="91" t="s">
        <v>76</v>
      </c>
      <c r="I28" s="92" t="s">
        <v>74</v>
      </c>
      <c r="J28" s="89" t="s">
        <v>75</v>
      </c>
      <c r="K28" s="91" t="s">
        <v>76</v>
      </c>
      <c r="L28" s="92" t="s">
        <v>74</v>
      </c>
      <c r="M28" s="89" t="s">
        <v>75</v>
      </c>
      <c r="N28" s="91" t="s">
        <v>76</v>
      </c>
      <c r="O28" s="92" t="s">
        <v>74</v>
      </c>
      <c r="P28" s="89" t="s">
        <v>75</v>
      </c>
      <c r="Q28" s="91" t="s">
        <v>76</v>
      </c>
      <c r="R28" s="251"/>
      <c r="S28" s="93" t="s">
        <v>6</v>
      </c>
      <c r="T28" s="94" t="s">
        <v>5</v>
      </c>
      <c r="U28" s="95" t="s">
        <v>4</v>
      </c>
      <c r="V28" s="94" t="s">
        <v>3</v>
      </c>
      <c r="W28" s="96" t="s">
        <v>2</v>
      </c>
    </row>
    <row r="29" spans="2:23" x14ac:dyDescent="0.35">
      <c r="B29" s="97"/>
      <c r="C29" s="98"/>
      <c r="D29" s="7"/>
      <c r="E29" s="99">
        <v>0</v>
      </c>
      <c r="F29" s="98"/>
      <c r="G29" s="7"/>
      <c r="H29" s="100">
        <v>0</v>
      </c>
      <c r="I29" s="101"/>
      <c r="J29" s="7"/>
      <c r="K29" s="100">
        <v>0</v>
      </c>
      <c r="L29" s="101"/>
      <c r="M29" s="7"/>
      <c r="N29" s="100">
        <v>0</v>
      </c>
      <c r="O29" s="101"/>
      <c r="P29" s="7"/>
      <c r="Q29" s="100">
        <v>0</v>
      </c>
      <c r="R29" s="102">
        <v>0</v>
      </c>
      <c r="S29" s="103">
        <f>+(C29*E29)/IF(D29=0,1,D29)+$R29*C29*E29/IF(D29=0,1,D29)</f>
        <v>0</v>
      </c>
      <c r="T29" s="104">
        <f>+(F29*H29)/IF(G29=0,1,G29)+$R29*F29*H29/IF(G29=0,1,G29)</f>
        <v>0</v>
      </c>
      <c r="U29" s="105">
        <f>+(I29*K29)/IF(J29=0,1,J29)+$R29*I29*K29/IF(J29=0,1,J29)</f>
        <v>0</v>
      </c>
      <c r="V29" s="104">
        <f>+(L29*N29)/IF(M29=0,1,M29)+$R29*L29*N29/IF(M29=0,1,M29)</f>
        <v>0</v>
      </c>
      <c r="W29" s="106">
        <f>+(O29*Q29)/IF(P29=0,1,P29)+$R29*O29*Q29/IF(P29=0,1,P29)</f>
        <v>0</v>
      </c>
    </row>
    <row r="30" spans="2:23" x14ac:dyDescent="0.35">
      <c r="B30" s="107"/>
      <c r="C30" s="3"/>
      <c r="D30" s="2"/>
      <c r="E30" s="99">
        <v>0</v>
      </c>
      <c r="F30" s="3"/>
      <c r="G30" s="2"/>
      <c r="H30" s="100">
        <v>0</v>
      </c>
      <c r="I30" s="9"/>
      <c r="J30" s="2"/>
      <c r="K30" s="100">
        <v>0</v>
      </c>
      <c r="L30" s="9"/>
      <c r="M30" s="2"/>
      <c r="N30" s="100">
        <v>0</v>
      </c>
      <c r="O30" s="9"/>
      <c r="P30" s="2"/>
      <c r="Q30" s="100">
        <v>0</v>
      </c>
      <c r="R30" s="108">
        <v>0</v>
      </c>
      <c r="S30" s="103">
        <f t="shared" ref="S30:S52" si="10">+(C30*E30)/IF(D30=0,1,D30)+$R30*C30*E30/IF(D30=0,1,D30)</f>
        <v>0</v>
      </c>
      <c r="T30" s="104">
        <f t="shared" ref="T30:T52" si="11">+(F30*H30)/IF(G30=0,1,G30)+$R30*F30*H30/IF(G30=0,1,G30)</f>
        <v>0</v>
      </c>
      <c r="U30" s="105">
        <f t="shared" ref="U30:U52" si="12">+(I30*K30)/IF(J30=0,1,J30)+$R30*I30*K30/IF(J30=0,1,J30)</f>
        <v>0</v>
      </c>
      <c r="V30" s="104">
        <f t="shared" ref="V30:V52" si="13">+(L30*N30)/IF(M30=0,1,M30)+$R30*L30*N30/IF(M30=0,1,M30)</f>
        <v>0</v>
      </c>
      <c r="W30" s="106">
        <f t="shared" ref="W30:W52" si="14">+(O30*Q30)/IF(P30=0,1,P30)+$R30*O30*Q30/IF(P30=0,1,P30)</f>
        <v>0</v>
      </c>
    </row>
    <row r="31" spans="2:23" x14ac:dyDescent="0.35">
      <c r="B31" s="107"/>
      <c r="C31" s="3"/>
      <c r="D31" s="2"/>
      <c r="E31" s="99">
        <v>0</v>
      </c>
      <c r="F31" s="3"/>
      <c r="G31" s="2"/>
      <c r="H31" s="100">
        <v>0</v>
      </c>
      <c r="I31" s="9"/>
      <c r="J31" s="2"/>
      <c r="K31" s="100">
        <v>0</v>
      </c>
      <c r="L31" s="9"/>
      <c r="M31" s="2"/>
      <c r="N31" s="100">
        <v>0</v>
      </c>
      <c r="O31" s="9"/>
      <c r="P31" s="2"/>
      <c r="Q31" s="100">
        <v>0</v>
      </c>
      <c r="R31" s="108">
        <v>0</v>
      </c>
      <c r="S31" s="103">
        <f t="shared" si="10"/>
        <v>0</v>
      </c>
      <c r="T31" s="104">
        <f t="shared" si="11"/>
        <v>0</v>
      </c>
      <c r="U31" s="105">
        <f t="shared" si="12"/>
        <v>0</v>
      </c>
      <c r="V31" s="104">
        <f t="shared" si="13"/>
        <v>0</v>
      </c>
      <c r="W31" s="106">
        <f t="shared" si="14"/>
        <v>0</v>
      </c>
    </row>
    <row r="32" spans="2:23" x14ac:dyDescent="0.35">
      <c r="B32" s="107"/>
      <c r="C32" s="3"/>
      <c r="D32" s="2"/>
      <c r="E32" s="99">
        <v>0</v>
      </c>
      <c r="F32" s="3"/>
      <c r="G32" s="2"/>
      <c r="H32" s="100">
        <v>0</v>
      </c>
      <c r="I32" s="9"/>
      <c r="J32" s="2"/>
      <c r="K32" s="100">
        <v>0</v>
      </c>
      <c r="L32" s="9"/>
      <c r="M32" s="2"/>
      <c r="N32" s="100">
        <v>0</v>
      </c>
      <c r="O32" s="9"/>
      <c r="P32" s="2"/>
      <c r="Q32" s="100">
        <v>0</v>
      </c>
      <c r="R32" s="108">
        <v>0</v>
      </c>
      <c r="S32" s="103">
        <f t="shared" si="10"/>
        <v>0</v>
      </c>
      <c r="T32" s="104">
        <f t="shared" si="11"/>
        <v>0</v>
      </c>
      <c r="U32" s="105">
        <f t="shared" si="12"/>
        <v>0</v>
      </c>
      <c r="V32" s="104">
        <f t="shared" si="13"/>
        <v>0</v>
      </c>
      <c r="W32" s="106">
        <f t="shared" si="14"/>
        <v>0</v>
      </c>
    </row>
    <row r="33" spans="2:23" x14ac:dyDescent="0.35">
      <c r="B33" s="107"/>
      <c r="C33" s="3"/>
      <c r="D33" s="2"/>
      <c r="E33" s="99">
        <v>0</v>
      </c>
      <c r="F33" s="3"/>
      <c r="G33" s="2"/>
      <c r="H33" s="100">
        <v>0</v>
      </c>
      <c r="I33" s="9"/>
      <c r="J33" s="2"/>
      <c r="K33" s="100">
        <v>0</v>
      </c>
      <c r="L33" s="9"/>
      <c r="M33" s="2"/>
      <c r="N33" s="100">
        <v>0</v>
      </c>
      <c r="O33" s="9"/>
      <c r="P33" s="2"/>
      <c r="Q33" s="100">
        <v>0</v>
      </c>
      <c r="R33" s="108">
        <v>0</v>
      </c>
      <c r="S33" s="103">
        <f t="shared" si="10"/>
        <v>0</v>
      </c>
      <c r="T33" s="104">
        <f t="shared" si="11"/>
        <v>0</v>
      </c>
      <c r="U33" s="105">
        <f t="shared" si="12"/>
        <v>0</v>
      </c>
      <c r="V33" s="104">
        <f t="shared" si="13"/>
        <v>0</v>
      </c>
      <c r="W33" s="106">
        <f t="shared" si="14"/>
        <v>0</v>
      </c>
    </row>
    <row r="34" spans="2:23" x14ac:dyDescent="0.35">
      <c r="B34" s="107"/>
      <c r="C34" s="3"/>
      <c r="D34" s="2"/>
      <c r="E34" s="99">
        <v>0</v>
      </c>
      <c r="F34" s="3"/>
      <c r="G34" s="2"/>
      <c r="H34" s="100">
        <v>0</v>
      </c>
      <c r="I34" s="9"/>
      <c r="J34" s="2"/>
      <c r="K34" s="100">
        <v>0</v>
      </c>
      <c r="L34" s="9"/>
      <c r="M34" s="2"/>
      <c r="N34" s="100">
        <v>0</v>
      </c>
      <c r="O34" s="9"/>
      <c r="P34" s="2"/>
      <c r="Q34" s="100">
        <v>0</v>
      </c>
      <c r="R34" s="108">
        <v>0</v>
      </c>
      <c r="S34" s="103">
        <f t="shared" si="10"/>
        <v>0</v>
      </c>
      <c r="T34" s="104">
        <f t="shared" si="11"/>
        <v>0</v>
      </c>
      <c r="U34" s="105">
        <f t="shared" si="12"/>
        <v>0</v>
      </c>
      <c r="V34" s="104">
        <f t="shared" si="13"/>
        <v>0</v>
      </c>
      <c r="W34" s="106">
        <f t="shared" si="14"/>
        <v>0</v>
      </c>
    </row>
    <row r="35" spans="2:23" x14ac:dyDescent="0.35">
      <c r="B35" s="107"/>
      <c r="C35" s="3"/>
      <c r="D35" s="2"/>
      <c r="E35" s="99">
        <v>0</v>
      </c>
      <c r="F35" s="3"/>
      <c r="G35" s="2"/>
      <c r="H35" s="100">
        <v>0</v>
      </c>
      <c r="I35" s="9"/>
      <c r="J35" s="2"/>
      <c r="K35" s="100">
        <v>0</v>
      </c>
      <c r="L35" s="9"/>
      <c r="M35" s="2"/>
      <c r="N35" s="100">
        <v>0</v>
      </c>
      <c r="O35" s="9"/>
      <c r="P35" s="2"/>
      <c r="Q35" s="100">
        <v>0</v>
      </c>
      <c r="R35" s="108">
        <v>0</v>
      </c>
      <c r="S35" s="103">
        <f t="shared" si="10"/>
        <v>0</v>
      </c>
      <c r="T35" s="104">
        <f t="shared" si="11"/>
        <v>0</v>
      </c>
      <c r="U35" s="105">
        <f t="shared" si="12"/>
        <v>0</v>
      </c>
      <c r="V35" s="104">
        <f t="shared" si="13"/>
        <v>0</v>
      </c>
      <c r="W35" s="106">
        <f t="shared" si="14"/>
        <v>0</v>
      </c>
    </row>
    <row r="36" spans="2:23" x14ac:dyDescent="0.35">
      <c r="B36" s="107"/>
      <c r="C36" s="3"/>
      <c r="D36" s="2"/>
      <c r="E36" s="99">
        <v>0</v>
      </c>
      <c r="F36" s="3"/>
      <c r="G36" s="2"/>
      <c r="H36" s="100">
        <v>0</v>
      </c>
      <c r="I36" s="9"/>
      <c r="J36" s="2"/>
      <c r="K36" s="100">
        <v>0</v>
      </c>
      <c r="L36" s="9"/>
      <c r="M36" s="2"/>
      <c r="N36" s="100">
        <v>0</v>
      </c>
      <c r="O36" s="9"/>
      <c r="P36" s="2"/>
      <c r="Q36" s="100">
        <v>0</v>
      </c>
      <c r="R36" s="108">
        <v>0</v>
      </c>
      <c r="S36" s="103">
        <f t="shared" si="10"/>
        <v>0</v>
      </c>
      <c r="T36" s="104">
        <f t="shared" si="11"/>
        <v>0</v>
      </c>
      <c r="U36" s="105">
        <f t="shared" si="12"/>
        <v>0</v>
      </c>
      <c r="V36" s="104">
        <f t="shared" si="13"/>
        <v>0</v>
      </c>
      <c r="W36" s="106">
        <f t="shared" si="14"/>
        <v>0</v>
      </c>
    </row>
    <row r="37" spans="2:23" x14ac:dyDescent="0.35">
      <c r="B37" s="107"/>
      <c r="C37" s="3"/>
      <c r="D37" s="2"/>
      <c r="E37" s="99">
        <v>0</v>
      </c>
      <c r="F37" s="3"/>
      <c r="G37" s="2"/>
      <c r="H37" s="100">
        <v>0</v>
      </c>
      <c r="I37" s="9"/>
      <c r="J37" s="2"/>
      <c r="K37" s="100">
        <v>0</v>
      </c>
      <c r="L37" s="9"/>
      <c r="M37" s="2"/>
      <c r="N37" s="100">
        <v>0</v>
      </c>
      <c r="O37" s="9"/>
      <c r="P37" s="2"/>
      <c r="Q37" s="100">
        <v>0</v>
      </c>
      <c r="R37" s="108">
        <v>0</v>
      </c>
      <c r="S37" s="103">
        <f t="shared" si="10"/>
        <v>0</v>
      </c>
      <c r="T37" s="104">
        <f t="shared" si="11"/>
        <v>0</v>
      </c>
      <c r="U37" s="105">
        <f t="shared" si="12"/>
        <v>0</v>
      </c>
      <c r="V37" s="104">
        <f t="shared" si="13"/>
        <v>0</v>
      </c>
      <c r="W37" s="106">
        <f t="shared" si="14"/>
        <v>0</v>
      </c>
    </row>
    <row r="38" spans="2:23" x14ac:dyDescent="0.35">
      <c r="B38" s="107"/>
      <c r="C38" s="3"/>
      <c r="D38" s="2"/>
      <c r="E38" s="99">
        <v>0</v>
      </c>
      <c r="F38" s="3"/>
      <c r="G38" s="2"/>
      <c r="H38" s="100">
        <v>0</v>
      </c>
      <c r="I38" s="9"/>
      <c r="J38" s="2"/>
      <c r="K38" s="100">
        <v>0</v>
      </c>
      <c r="L38" s="9"/>
      <c r="M38" s="2"/>
      <c r="N38" s="100">
        <v>0</v>
      </c>
      <c r="O38" s="9"/>
      <c r="P38" s="2"/>
      <c r="Q38" s="100">
        <v>0</v>
      </c>
      <c r="R38" s="108">
        <v>0</v>
      </c>
      <c r="S38" s="103">
        <f t="shared" si="10"/>
        <v>0</v>
      </c>
      <c r="T38" s="104">
        <f t="shared" si="11"/>
        <v>0</v>
      </c>
      <c r="U38" s="105">
        <f t="shared" si="12"/>
        <v>0</v>
      </c>
      <c r="V38" s="104">
        <f t="shared" si="13"/>
        <v>0</v>
      </c>
      <c r="W38" s="106">
        <f t="shared" si="14"/>
        <v>0</v>
      </c>
    </row>
    <row r="39" spans="2:23" x14ac:dyDescent="0.35">
      <c r="B39" s="107"/>
      <c r="C39" s="3"/>
      <c r="D39" s="2"/>
      <c r="E39" s="99">
        <v>0</v>
      </c>
      <c r="F39" s="3"/>
      <c r="G39" s="2"/>
      <c r="H39" s="100">
        <v>0</v>
      </c>
      <c r="I39" s="9"/>
      <c r="J39" s="2"/>
      <c r="K39" s="100">
        <v>0</v>
      </c>
      <c r="L39" s="9"/>
      <c r="M39" s="2"/>
      <c r="N39" s="100">
        <v>0</v>
      </c>
      <c r="O39" s="9"/>
      <c r="P39" s="2"/>
      <c r="Q39" s="100">
        <v>0</v>
      </c>
      <c r="R39" s="108">
        <v>0</v>
      </c>
      <c r="S39" s="103">
        <f t="shared" si="10"/>
        <v>0</v>
      </c>
      <c r="T39" s="104">
        <f t="shared" si="11"/>
        <v>0</v>
      </c>
      <c r="U39" s="105">
        <f t="shared" si="12"/>
        <v>0</v>
      </c>
      <c r="V39" s="104">
        <f t="shared" si="13"/>
        <v>0</v>
      </c>
      <c r="W39" s="106">
        <f t="shared" si="14"/>
        <v>0</v>
      </c>
    </row>
    <row r="40" spans="2:23" x14ac:dyDescent="0.35">
      <c r="B40" s="107"/>
      <c r="C40" s="3"/>
      <c r="D40" s="2"/>
      <c r="E40" s="99">
        <v>0</v>
      </c>
      <c r="F40" s="3"/>
      <c r="G40" s="2"/>
      <c r="H40" s="100">
        <v>0</v>
      </c>
      <c r="I40" s="9"/>
      <c r="J40" s="2"/>
      <c r="K40" s="100">
        <v>0</v>
      </c>
      <c r="L40" s="9"/>
      <c r="M40" s="2"/>
      <c r="N40" s="100">
        <v>0</v>
      </c>
      <c r="O40" s="9"/>
      <c r="P40" s="2"/>
      <c r="Q40" s="100">
        <v>0</v>
      </c>
      <c r="R40" s="108">
        <v>0</v>
      </c>
      <c r="S40" s="103">
        <f t="shared" si="10"/>
        <v>0</v>
      </c>
      <c r="T40" s="104">
        <f t="shared" si="11"/>
        <v>0</v>
      </c>
      <c r="U40" s="105">
        <f t="shared" si="12"/>
        <v>0</v>
      </c>
      <c r="V40" s="104">
        <f t="shared" si="13"/>
        <v>0</v>
      </c>
      <c r="W40" s="106">
        <f t="shared" si="14"/>
        <v>0</v>
      </c>
    </row>
    <row r="41" spans="2:23" x14ac:dyDescent="0.35">
      <c r="B41" s="107"/>
      <c r="C41" s="3"/>
      <c r="D41" s="2"/>
      <c r="E41" s="99">
        <v>0</v>
      </c>
      <c r="F41" s="3"/>
      <c r="G41" s="2"/>
      <c r="H41" s="100">
        <v>0</v>
      </c>
      <c r="I41" s="9"/>
      <c r="J41" s="2"/>
      <c r="K41" s="100">
        <v>0</v>
      </c>
      <c r="L41" s="9"/>
      <c r="M41" s="2"/>
      <c r="N41" s="100">
        <v>0</v>
      </c>
      <c r="O41" s="9"/>
      <c r="P41" s="2"/>
      <c r="Q41" s="100">
        <v>0</v>
      </c>
      <c r="R41" s="108">
        <v>0</v>
      </c>
      <c r="S41" s="103">
        <f t="shared" si="10"/>
        <v>0</v>
      </c>
      <c r="T41" s="104">
        <f t="shared" si="11"/>
        <v>0</v>
      </c>
      <c r="U41" s="105">
        <f t="shared" si="12"/>
        <v>0</v>
      </c>
      <c r="V41" s="104">
        <f t="shared" si="13"/>
        <v>0</v>
      </c>
      <c r="W41" s="106">
        <f t="shared" si="14"/>
        <v>0</v>
      </c>
    </row>
    <row r="42" spans="2:23" x14ac:dyDescent="0.35">
      <c r="B42" s="107"/>
      <c r="C42" s="3"/>
      <c r="D42" s="2"/>
      <c r="E42" s="99">
        <v>0</v>
      </c>
      <c r="F42" s="3"/>
      <c r="G42" s="2"/>
      <c r="H42" s="100">
        <v>0</v>
      </c>
      <c r="I42" s="9"/>
      <c r="J42" s="2"/>
      <c r="K42" s="100">
        <v>0</v>
      </c>
      <c r="L42" s="9"/>
      <c r="M42" s="2"/>
      <c r="N42" s="100">
        <v>0</v>
      </c>
      <c r="O42" s="9"/>
      <c r="P42" s="2"/>
      <c r="Q42" s="100">
        <v>0</v>
      </c>
      <c r="R42" s="108">
        <v>0</v>
      </c>
      <c r="S42" s="103">
        <f t="shared" si="10"/>
        <v>0</v>
      </c>
      <c r="T42" s="104">
        <f t="shared" si="11"/>
        <v>0</v>
      </c>
      <c r="U42" s="105">
        <f t="shared" si="12"/>
        <v>0</v>
      </c>
      <c r="V42" s="104">
        <f t="shared" si="13"/>
        <v>0</v>
      </c>
      <c r="W42" s="106">
        <f t="shared" si="14"/>
        <v>0</v>
      </c>
    </row>
    <row r="43" spans="2:23" x14ac:dyDescent="0.35">
      <c r="B43" s="107"/>
      <c r="C43" s="3"/>
      <c r="D43" s="2"/>
      <c r="E43" s="99">
        <v>0</v>
      </c>
      <c r="F43" s="3"/>
      <c r="G43" s="2"/>
      <c r="H43" s="100">
        <v>0</v>
      </c>
      <c r="I43" s="9"/>
      <c r="J43" s="2"/>
      <c r="K43" s="100">
        <v>0</v>
      </c>
      <c r="L43" s="9"/>
      <c r="M43" s="2"/>
      <c r="N43" s="100">
        <v>0</v>
      </c>
      <c r="O43" s="9"/>
      <c r="P43" s="2"/>
      <c r="Q43" s="100">
        <v>0</v>
      </c>
      <c r="R43" s="108">
        <v>0</v>
      </c>
      <c r="S43" s="103">
        <f t="shared" si="10"/>
        <v>0</v>
      </c>
      <c r="T43" s="104">
        <f t="shared" si="11"/>
        <v>0</v>
      </c>
      <c r="U43" s="105">
        <f t="shared" si="12"/>
        <v>0</v>
      </c>
      <c r="V43" s="104">
        <f t="shared" si="13"/>
        <v>0</v>
      </c>
      <c r="W43" s="106">
        <f t="shared" si="14"/>
        <v>0</v>
      </c>
    </row>
    <row r="44" spans="2:23" x14ac:dyDescent="0.35">
      <c r="B44" s="107"/>
      <c r="C44" s="3"/>
      <c r="D44" s="2"/>
      <c r="E44" s="99">
        <v>0</v>
      </c>
      <c r="F44" s="3"/>
      <c r="G44" s="2"/>
      <c r="H44" s="100">
        <v>0</v>
      </c>
      <c r="I44" s="9"/>
      <c r="J44" s="2"/>
      <c r="K44" s="100">
        <v>0</v>
      </c>
      <c r="L44" s="9"/>
      <c r="M44" s="2"/>
      <c r="N44" s="100">
        <v>0</v>
      </c>
      <c r="O44" s="9"/>
      <c r="P44" s="2"/>
      <c r="Q44" s="100">
        <v>0</v>
      </c>
      <c r="R44" s="108">
        <v>0</v>
      </c>
      <c r="S44" s="103">
        <f t="shared" si="10"/>
        <v>0</v>
      </c>
      <c r="T44" s="104">
        <f t="shared" si="11"/>
        <v>0</v>
      </c>
      <c r="U44" s="105">
        <f t="shared" si="12"/>
        <v>0</v>
      </c>
      <c r="V44" s="104">
        <f t="shared" si="13"/>
        <v>0</v>
      </c>
      <c r="W44" s="106">
        <f t="shared" si="14"/>
        <v>0</v>
      </c>
    </row>
    <row r="45" spans="2:23" x14ac:dyDescent="0.35">
      <c r="B45" s="107"/>
      <c r="C45" s="3"/>
      <c r="D45" s="2"/>
      <c r="E45" s="99">
        <v>0</v>
      </c>
      <c r="F45" s="3"/>
      <c r="G45" s="2"/>
      <c r="H45" s="100">
        <v>0</v>
      </c>
      <c r="I45" s="9"/>
      <c r="J45" s="2"/>
      <c r="K45" s="100">
        <v>0</v>
      </c>
      <c r="L45" s="9"/>
      <c r="M45" s="2"/>
      <c r="N45" s="100">
        <v>0</v>
      </c>
      <c r="O45" s="9"/>
      <c r="P45" s="2"/>
      <c r="Q45" s="100">
        <v>0</v>
      </c>
      <c r="R45" s="108">
        <v>0</v>
      </c>
      <c r="S45" s="103">
        <f t="shared" si="10"/>
        <v>0</v>
      </c>
      <c r="T45" s="104">
        <f t="shared" si="11"/>
        <v>0</v>
      </c>
      <c r="U45" s="105">
        <f t="shared" si="12"/>
        <v>0</v>
      </c>
      <c r="V45" s="104">
        <f t="shared" si="13"/>
        <v>0</v>
      </c>
      <c r="W45" s="106">
        <f t="shared" si="14"/>
        <v>0</v>
      </c>
    </row>
    <row r="46" spans="2:23" x14ac:dyDescent="0.35">
      <c r="B46" s="107"/>
      <c r="C46" s="3"/>
      <c r="D46" s="2"/>
      <c r="E46" s="99">
        <v>0</v>
      </c>
      <c r="F46" s="3"/>
      <c r="G46" s="2"/>
      <c r="H46" s="100">
        <v>0</v>
      </c>
      <c r="I46" s="9"/>
      <c r="J46" s="2"/>
      <c r="K46" s="100">
        <v>0</v>
      </c>
      <c r="L46" s="9"/>
      <c r="M46" s="2"/>
      <c r="N46" s="100">
        <v>0</v>
      </c>
      <c r="O46" s="9"/>
      <c r="P46" s="2"/>
      <c r="Q46" s="100">
        <v>0</v>
      </c>
      <c r="R46" s="108">
        <v>0</v>
      </c>
      <c r="S46" s="103">
        <f t="shared" si="10"/>
        <v>0</v>
      </c>
      <c r="T46" s="104">
        <f t="shared" si="11"/>
        <v>0</v>
      </c>
      <c r="U46" s="105">
        <f t="shared" si="12"/>
        <v>0</v>
      </c>
      <c r="V46" s="104">
        <f t="shared" si="13"/>
        <v>0</v>
      </c>
      <c r="W46" s="106">
        <f t="shared" si="14"/>
        <v>0</v>
      </c>
    </row>
    <row r="47" spans="2:23" x14ac:dyDescent="0.35">
      <c r="B47" s="107"/>
      <c r="C47" s="3"/>
      <c r="D47" s="2"/>
      <c r="E47" s="99">
        <v>0</v>
      </c>
      <c r="F47" s="3"/>
      <c r="G47" s="2"/>
      <c r="H47" s="100">
        <v>0</v>
      </c>
      <c r="I47" s="9"/>
      <c r="J47" s="2"/>
      <c r="K47" s="100">
        <v>0</v>
      </c>
      <c r="L47" s="9"/>
      <c r="M47" s="2"/>
      <c r="N47" s="100">
        <v>0</v>
      </c>
      <c r="O47" s="9"/>
      <c r="P47" s="2"/>
      <c r="Q47" s="100">
        <v>0</v>
      </c>
      <c r="R47" s="108">
        <v>0</v>
      </c>
      <c r="S47" s="103">
        <f t="shared" si="10"/>
        <v>0</v>
      </c>
      <c r="T47" s="104">
        <f t="shared" si="11"/>
        <v>0</v>
      </c>
      <c r="U47" s="105">
        <f t="shared" si="12"/>
        <v>0</v>
      </c>
      <c r="V47" s="104">
        <f t="shared" si="13"/>
        <v>0</v>
      </c>
      <c r="W47" s="106">
        <f t="shared" si="14"/>
        <v>0</v>
      </c>
    </row>
    <row r="48" spans="2:23" x14ac:dyDescent="0.35">
      <c r="B48" s="107"/>
      <c r="C48" s="3"/>
      <c r="D48" s="2"/>
      <c r="E48" s="99">
        <v>0</v>
      </c>
      <c r="F48" s="3"/>
      <c r="G48" s="2"/>
      <c r="H48" s="100">
        <v>0</v>
      </c>
      <c r="I48" s="9"/>
      <c r="J48" s="2"/>
      <c r="K48" s="100">
        <v>0</v>
      </c>
      <c r="L48" s="9"/>
      <c r="M48" s="2"/>
      <c r="N48" s="100">
        <v>0</v>
      </c>
      <c r="O48" s="9"/>
      <c r="P48" s="2"/>
      <c r="Q48" s="100">
        <v>0</v>
      </c>
      <c r="R48" s="108">
        <v>0</v>
      </c>
      <c r="S48" s="103">
        <f t="shared" si="10"/>
        <v>0</v>
      </c>
      <c r="T48" s="104">
        <f t="shared" si="11"/>
        <v>0</v>
      </c>
      <c r="U48" s="105">
        <f t="shared" si="12"/>
        <v>0</v>
      </c>
      <c r="V48" s="104">
        <f t="shared" si="13"/>
        <v>0</v>
      </c>
      <c r="W48" s="106">
        <f t="shared" si="14"/>
        <v>0</v>
      </c>
    </row>
    <row r="49" spans="2:23" x14ac:dyDescent="0.35">
      <c r="B49" s="107"/>
      <c r="C49" s="3"/>
      <c r="D49" s="2"/>
      <c r="E49" s="99">
        <v>0</v>
      </c>
      <c r="F49" s="3"/>
      <c r="G49" s="2"/>
      <c r="H49" s="100">
        <v>0</v>
      </c>
      <c r="I49" s="9"/>
      <c r="J49" s="2"/>
      <c r="K49" s="100">
        <v>0</v>
      </c>
      <c r="L49" s="9"/>
      <c r="M49" s="2"/>
      <c r="N49" s="100">
        <v>0</v>
      </c>
      <c r="O49" s="9"/>
      <c r="P49" s="2"/>
      <c r="Q49" s="100">
        <v>0</v>
      </c>
      <c r="R49" s="108">
        <v>0</v>
      </c>
      <c r="S49" s="103">
        <f t="shared" si="10"/>
        <v>0</v>
      </c>
      <c r="T49" s="104">
        <f t="shared" si="11"/>
        <v>0</v>
      </c>
      <c r="U49" s="105">
        <f t="shared" si="12"/>
        <v>0</v>
      </c>
      <c r="V49" s="104">
        <f t="shared" si="13"/>
        <v>0</v>
      </c>
      <c r="W49" s="106">
        <f t="shared" si="14"/>
        <v>0</v>
      </c>
    </row>
    <row r="50" spans="2:23" x14ac:dyDescent="0.35">
      <c r="B50" s="107"/>
      <c r="C50" s="3"/>
      <c r="D50" s="2"/>
      <c r="E50" s="99">
        <v>0</v>
      </c>
      <c r="F50" s="3"/>
      <c r="G50" s="2"/>
      <c r="H50" s="100">
        <v>0</v>
      </c>
      <c r="I50" s="9"/>
      <c r="J50" s="2"/>
      <c r="K50" s="100">
        <v>0</v>
      </c>
      <c r="L50" s="9"/>
      <c r="M50" s="2"/>
      <c r="N50" s="100">
        <v>0</v>
      </c>
      <c r="O50" s="9"/>
      <c r="P50" s="2"/>
      <c r="Q50" s="100">
        <v>0</v>
      </c>
      <c r="R50" s="108">
        <v>0</v>
      </c>
      <c r="S50" s="103">
        <f t="shared" si="10"/>
        <v>0</v>
      </c>
      <c r="T50" s="104">
        <f t="shared" si="11"/>
        <v>0</v>
      </c>
      <c r="U50" s="105">
        <f t="shared" si="12"/>
        <v>0</v>
      </c>
      <c r="V50" s="104">
        <f t="shared" si="13"/>
        <v>0</v>
      </c>
      <c r="W50" s="106">
        <f t="shared" si="14"/>
        <v>0</v>
      </c>
    </row>
    <row r="51" spans="2:23" x14ac:dyDescent="0.35">
      <c r="B51" s="107"/>
      <c r="C51" s="3"/>
      <c r="D51" s="2"/>
      <c r="E51" s="99">
        <v>0</v>
      </c>
      <c r="F51" s="3"/>
      <c r="G51" s="2"/>
      <c r="H51" s="100">
        <v>0</v>
      </c>
      <c r="I51" s="9"/>
      <c r="J51" s="2"/>
      <c r="K51" s="100">
        <v>0</v>
      </c>
      <c r="L51" s="9"/>
      <c r="M51" s="2"/>
      <c r="N51" s="100">
        <v>0</v>
      </c>
      <c r="O51" s="9"/>
      <c r="P51" s="2"/>
      <c r="Q51" s="100">
        <v>0</v>
      </c>
      <c r="R51" s="108">
        <v>0</v>
      </c>
      <c r="S51" s="103">
        <f t="shared" si="10"/>
        <v>0</v>
      </c>
      <c r="T51" s="104">
        <f t="shared" si="11"/>
        <v>0</v>
      </c>
      <c r="U51" s="105">
        <f t="shared" si="12"/>
        <v>0</v>
      </c>
      <c r="V51" s="104">
        <f t="shared" si="13"/>
        <v>0</v>
      </c>
      <c r="W51" s="106">
        <f t="shared" si="14"/>
        <v>0</v>
      </c>
    </row>
    <row r="52" spans="2:23" ht="15" thickBot="1" x14ac:dyDescent="0.4">
      <c r="B52" s="109"/>
      <c r="C52" s="5"/>
      <c r="D52" s="6"/>
      <c r="E52" s="110">
        <v>0</v>
      </c>
      <c r="F52" s="5"/>
      <c r="G52" s="6"/>
      <c r="H52" s="111">
        <v>0</v>
      </c>
      <c r="I52" s="112"/>
      <c r="J52" s="6"/>
      <c r="K52" s="111">
        <v>0</v>
      </c>
      <c r="L52" s="112"/>
      <c r="M52" s="6"/>
      <c r="N52" s="111">
        <v>0</v>
      </c>
      <c r="O52" s="112"/>
      <c r="P52" s="6"/>
      <c r="Q52" s="111">
        <v>0</v>
      </c>
      <c r="R52" s="113">
        <v>0</v>
      </c>
      <c r="S52" s="114">
        <f t="shared" si="10"/>
        <v>0</v>
      </c>
      <c r="T52" s="115">
        <f t="shared" si="11"/>
        <v>0</v>
      </c>
      <c r="U52" s="116">
        <f t="shared" si="12"/>
        <v>0</v>
      </c>
      <c r="V52" s="115">
        <f t="shared" si="13"/>
        <v>0</v>
      </c>
      <c r="W52" s="117">
        <f t="shared" si="14"/>
        <v>0</v>
      </c>
    </row>
    <row r="53" spans="2:23" ht="15" thickBot="1" x14ac:dyDescent="0.4">
      <c r="S53" s="118">
        <f>+SUM(S29:S52)</f>
        <v>0</v>
      </c>
      <c r="T53" s="119">
        <f>+SUM(T29:T52)</f>
        <v>0</v>
      </c>
      <c r="U53" s="120">
        <f>+SUM(U29:U52)</f>
        <v>0</v>
      </c>
      <c r="V53" s="119">
        <f>+SUM(V29:V52)</f>
        <v>0</v>
      </c>
      <c r="W53" s="121">
        <f>+SUM(W29:W52)</f>
        <v>0</v>
      </c>
    </row>
    <row r="54" spans="2:23" ht="15" thickBot="1" x14ac:dyDescent="0.4">
      <c r="B54" s="240" t="str">
        <f>+CONCATENATE(H1," - Matriz Insumo - Producto")</f>
        <v>BIOFLOC 58.175 - Matriz Insumo - Producto</v>
      </c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2"/>
    </row>
    <row r="55" spans="2:23" ht="15" thickBot="1" x14ac:dyDescent="0.4">
      <c r="B55" s="243" t="s">
        <v>71</v>
      </c>
      <c r="C55" s="245" t="s">
        <v>6</v>
      </c>
      <c r="D55" s="246"/>
      <c r="E55" s="247"/>
      <c r="F55" s="245" t="s">
        <v>5</v>
      </c>
      <c r="G55" s="246"/>
      <c r="H55" s="248"/>
      <c r="I55" s="249" t="s">
        <v>4</v>
      </c>
      <c r="J55" s="246"/>
      <c r="K55" s="248"/>
      <c r="L55" s="249" t="s">
        <v>3</v>
      </c>
      <c r="M55" s="246"/>
      <c r="N55" s="248"/>
      <c r="O55" s="249" t="s">
        <v>2</v>
      </c>
      <c r="P55" s="246"/>
      <c r="Q55" s="248"/>
      <c r="R55" s="250" t="s">
        <v>72</v>
      </c>
      <c r="S55" s="84" t="s">
        <v>73</v>
      </c>
      <c r="T55" s="85" t="s">
        <v>73</v>
      </c>
      <c r="U55" s="86" t="s">
        <v>73</v>
      </c>
      <c r="V55" s="85" t="s">
        <v>73</v>
      </c>
      <c r="W55" s="87" t="s">
        <v>73</v>
      </c>
    </row>
    <row r="56" spans="2:23" ht="15" thickBot="1" x14ac:dyDescent="0.4">
      <c r="B56" s="244"/>
      <c r="C56" s="88" t="s">
        <v>74</v>
      </c>
      <c r="D56" s="89" t="s">
        <v>75</v>
      </c>
      <c r="E56" s="90" t="s">
        <v>76</v>
      </c>
      <c r="F56" s="88" t="s">
        <v>74</v>
      </c>
      <c r="G56" s="89" t="s">
        <v>75</v>
      </c>
      <c r="H56" s="91" t="s">
        <v>76</v>
      </c>
      <c r="I56" s="92" t="s">
        <v>74</v>
      </c>
      <c r="J56" s="89" t="s">
        <v>75</v>
      </c>
      <c r="K56" s="91" t="s">
        <v>76</v>
      </c>
      <c r="L56" s="92" t="s">
        <v>74</v>
      </c>
      <c r="M56" s="89" t="s">
        <v>75</v>
      </c>
      <c r="N56" s="91" t="s">
        <v>76</v>
      </c>
      <c r="O56" s="92" t="s">
        <v>74</v>
      </c>
      <c r="P56" s="89" t="s">
        <v>75</v>
      </c>
      <c r="Q56" s="91" t="s">
        <v>76</v>
      </c>
      <c r="R56" s="251"/>
      <c r="S56" s="93" t="s">
        <v>6</v>
      </c>
      <c r="T56" s="94" t="s">
        <v>5</v>
      </c>
      <c r="U56" s="95" t="s">
        <v>4</v>
      </c>
      <c r="V56" s="94" t="s">
        <v>3</v>
      </c>
      <c r="W56" s="96" t="s">
        <v>2</v>
      </c>
    </row>
    <row r="57" spans="2:23" x14ac:dyDescent="0.35">
      <c r="B57" s="97" t="s">
        <v>77</v>
      </c>
      <c r="C57" s="98">
        <v>1</v>
      </c>
      <c r="D57" s="7">
        <v>1000</v>
      </c>
      <c r="E57" s="99">
        <f>(2960+500)/Supuestos!$C$7</f>
        <v>365.94394500264411</v>
      </c>
      <c r="F57" s="98">
        <v>1</v>
      </c>
      <c r="G57" s="7">
        <v>1000</v>
      </c>
      <c r="H57" s="99">
        <f>(2960+500)/Supuestos!$C$7</f>
        <v>365.94394500264411</v>
      </c>
      <c r="I57" s="98">
        <v>1</v>
      </c>
      <c r="J57" s="7">
        <v>1000</v>
      </c>
      <c r="K57" s="99">
        <f>(2960+500)/Supuestos!$C$7</f>
        <v>365.94394500264411</v>
      </c>
      <c r="L57" s="98">
        <v>1</v>
      </c>
      <c r="M57" s="7">
        <v>1000</v>
      </c>
      <c r="N57" s="99">
        <f>(2960+500)/Supuestos!$C$7</f>
        <v>365.94394500264411</v>
      </c>
      <c r="O57" s="98">
        <v>1</v>
      </c>
      <c r="P57" s="7">
        <v>1000</v>
      </c>
      <c r="Q57" s="99">
        <f>(2960+500)/Supuestos!$C$7</f>
        <v>365.94394500264411</v>
      </c>
      <c r="R57" s="130">
        <v>0.08</v>
      </c>
      <c r="S57" s="103">
        <f>+(C57*E57)/IF(D57=0,1,D57)+$R57*C57*E57/IF(D57=0,1,D57)</f>
        <v>0.39521946060285562</v>
      </c>
      <c r="T57" s="104">
        <f>+(F57*H57)/IF(G57=0,1,G57)+$R57*F57*H57/IF(G57=0,1,G57)</f>
        <v>0.39521946060285562</v>
      </c>
      <c r="U57" s="105">
        <f>+(I57*K57)/IF(J57=0,1,J57)+$R57*I57*K57/IF(J57=0,1,J57)</f>
        <v>0.39521946060285562</v>
      </c>
      <c r="V57" s="104">
        <f>+(L57*N57)/IF(M57=0,1,M57)+$R57*L57*N57/IF(M57=0,1,M57)</f>
        <v>0.39521946060285562</v>
      </c>
      <c r="W57" s="106">
        <f>+(O57*Q57)/IF(P57=0,1,P57)+$R57*O57*Q57/IF(P57=0,1,P57)</f>
        <v>0.39521946060285562</v>
      </c>
    </row>
    <row r="58" spans="2:23" x14ac:dyDescent="0.35">
      <c r="B58" s="107" t="s">
        <v>78</v>
      </c>
      <c r="C58" s="3">
        <v>1</v>
      </c>
      <c r="D58" s="123">
        <f>+C58/0.175</f>
        <v>5.7142857142857144</v>
      </c>
      <c r="E58" s="99">
        <f>38/Supuestos!$C$7</f>
        <v>4.0190375462718135</v>
      </c>
      <c r="F58" s="3">
        <v>1</v>
      </c>
      <c r="G58" s="123">
        <f>+F58/0.175</f>
        <v>5.7142857142857144</v>
      </c>
      <c r="H58" s="99">
        <f>38/Supuestos!$C$7</f>
        <v>4.0190375462718135</v>
      </c>
      <c r="I58" s="3">
        <v>1</v>
      </c>
      <c r="J58" s="123">
        <f>+I58/0.175</f>
        <v>5.7142857142857144</v>
      </c>
      <c r="K58" s="99">
        <f>38/Supuestos!$C$7</f>
        <v>4.0190375462718135</v>
      </c>
      <c r="L58" s="3">
        <v>1</v>
      </c>
      <c r="M58" s="123">
        <f>+L58/0.175</f>
        <v>5.7142857142857144</v>
      </c>
      <c r="N58" s="99">
        <f>38/Supuestos!$C$7</f>
        <v>4.0190375462718135</v>
      </c>
      <c r="O58" s="3">
        <v>1</v>
      </c>
      <c r="P58" s="123">
        <f>+O58/0.175</f>
        <v>5.7142857142857144</v>
      </c>
      <c r="Q58" s="99">
        <f>38/Supuestos!$C$7</f>
        <v>4.0190375462718135</v>
      </c>
      <c r="R58" s="131">
        <v>0.05</v>
      </c>
      <c r="S58" s="103">
        <f t="shared" ref="S58:S63" si="15">+(C58*E58)/IF(D58=0,1,D58)+$R58*C58*E58/IF(D58=0,1,D58)</f>
        <v>0.73849814912744571</v>
      </c>
      <c r="T58" s="104">
        <f t="shared" ref="T58:T63" si="16">+(F58*H58)/IF(G58=0,1,G58)+$R58*F58*H58/IF(G58=0,1,G58)</f>
        <v>0.73849814912744571</v>
      </c>
      <c r="U58" s="105">
        <f t="shared" ref="U58:U63" si="17">+(I58*K58)/IF(J58=0,1,J58)+$R58*I58*K58/IF(J58=0,1,J58)</f>
        <v>0.73849814912744571</v>
      </c>
      <c r="V58" s="104">
        <f t="shared" ref="V58:V63" si="18">+(L58*N58)/IF(M58=0,1,M58)+$R58*L58*N58/IF(M58=0,1,M58)</f>
        <v>0.73849814912744571</v>
      </c>
      <c r="W58" s="106">
        <f t="shared" ref="W58:W63" si="19">+(O58*Q58)/IF(P58=0,1,P58)+$R58*O58*Q58/IF(P58=0,1,P58)</f>
        <v>0.73849814912744571</v>
      </c>
    </row>
    <row r="59" spans="2:23" x14ac:dyDescent="0.35">
      <c r="B59" s="107" t="s">
        <v>79</v>
      </c>
      <c r="C59" s="3">
        <v>1</v>
      </c>
      <c r="D59" s="123">
        <f>1/0.058</f>
        <v>17.241379310344826</v>
      </c>
      <c r="E59" s="99" t="e">
        <f>+#REF!</f>
        <v>#REF!</v>
      </c>
      <c r="F59" s="3">
        <v>1</v>
      </c>
      <c r="G59" s="123">
        <f>1/0.058</f>
        <v>17.241379310344826</v>
      </c>
      <c r="H59" s="99" t="e">
        <f>+#REF!</f>
        <v>#REF!</v>
      </c>
      <c r="I59" s="3">
        <v>1</v>
      </c>
      <c r="J59" s="123">
        <f>1/0.058</f>
        <v>17.241379310344826</v>
      </c>
      <c r="K59" s="99" t="e">
        <f>+#REF!</f>
        <v>#REF!</v>
      </c>
      <c r="L59" s="3">
        <v>1</v>
      </c>
      <c r="M59" s="123">
        <f>1/0.058</f>
        <v>17.241379310344826</v>
      </c>
      <c r="N59" s="99" t="e">
        <f>+#REF!</f>
        <v>#REF!</v>
      </c>
      <c r="O59" s="3">
        <v>1</v>
      </c>
      <c r="P59" s="123">
        <f>1/0.058</f>
        <v>17.241379310344826</v>
      </c>
      <c r="Q59" s="99" t="e">
        <f>+#REF!</f>
        <v>#REF!</v>
      </c>
      <c r="R59" s="131">
        <v>0.05</v>
      </c>
      <c r="S59" s="103" t="e">
        <f t="shared" si="15"/>
        <v>#REF!</v>
      </c>
      <c r="T59" s="104" t="e">
        <f t="shared" si="16"/>
        <v>#REF!</v>
      </c>
      <c r="U59" s="105" t="e">
        <f t="shared" si="17"/>
        <v>#REF!</v>
      </c>
      <c r="V59" s="104" t="e">
        <f t="shared" si="18"/>
        <v>#REF!</v>
      </c>
      <c r="W59" s="106" t="e">
        <f t="shared" si="19"/>
        <v>#REF!</v>
      </c>
    </row>
    <row r="60" spans="2:23" x14ac:dyDescent="0.35">
      <c r="B60" s="107" t="s">
        <v>80</v>
      </c>
      <c r="C60" s="3">
        <v>1</v>
      </c>
      <c r="D60" s="2">
        <v>1000</v>
      </c>
      <c r="E60" s="99">
        <f>7/Supuestos!$C$7</f>
        <v>0.74034902168164995</v>
      </c>
      <c r="F60" s="3">
        <v>1</v>
      </c>
      <c r="G60" s="2">
        <v>1000</v>
      </c>
      <c r="H60" s="99">
        <f>7/Supuestos!$C$7</f>
        <v>0.74034902168164995</v>
      </c>
      <c r="I60" s="3">
        <v>1</v>
      </c>
      <c r="J60" s="2">
        <v>1000</v>
      </c>
      <c r="K60" s="99">
        <f>7/Supuestos!$C$7</f>
        <v>0.74034902168164995</v>
      </c>
      <c r="L60" s="3">
        <v>1</v>
      </c>
      <c r="M60" s="2">
        <v>1000</v>
      </c>
      <c r="N60" s="99">
        <f>7/Supuestos!$C$7</f>
        <v>0.74034902168164995</v>
      </c>
      <c r="O60" s="3">
        <v>1</v>
      </c>
      <c r="P60" s="2">
        <v>1000</v>
      </c>
      <c r="Q60" s="99">
        <f>7/Supuestos!$C$7</f>
        <v>0.74034902168164995</v>
      </c>
      <c r="R60" s="131">
        <v>0.03</v>
      </c>
      <c r="S60" s="103">
        <f t="shared" si="15"/>
        <v>7.6255949233209946E-4</v>
      </c>
      <c r="T60" s="104">
        <f t="shared" si="16"/>
        <v>7.6255949233209946E-4</v>
      </c>
      <c r="U60" s="105">
        <f t="shared" si="17"/>
        <v>7.6255949233209946E-4</v>
      </c>
      <c r="V60" s="104">
        <f t="shared" si="18"/>
        <v>7.6255949233209946E-4</v>
      </c>
      <c r="W60" s="106">
        <f t="shared" si="19"/>
        <v>7.6255949233209946E-4</v>
      </c>
    </row>
    <row r="61" spans="2:23" x14ac:dyDescent="0.35">
      <c r="B61" s="107" t="s">
        <v>98</v>
      </c>
      <c r="C61" s="3">
        <v>1</v>
      </c>
      <c r="D61" s="123">
        <f>6/0.058</f>
        <v>103.44827586206895</v>
      </c>
      <c r="E61" s="99">
        <f>10/Supuestos!$C$7</f>
        <v>1.0576414595452142</v>
      </c>
      <c r="F61" s="3">
        <v>1</v>
      </c>
      <c r="G61" s="123">
        <f>6/0.058</f>
        <v>103.44827586206895</v>
      </c>
      <c r="H61" s="99">
        <f>10/Supuestos!$C$7</f>
        <v>1.0576414595452142</v>
      </c>
      <c r="I61" s="3">
        <v>1</v>
      </c>
      <c r="J61" s="123">
        <f>6/0.058</f>
        <v>103.44827586206895</v>
      </c>
      <c r="K61" s="99">
        <f>10/Supuestos!$C$7</f>
        <v>1.0576414595452142</v>
      </c>
      <c r="L61" s="3">
        <v>1</v>
      </c>
      <c r="M61" s="123">
        <f>6/0.058</f>
        <v>103.44827586206895</v>
      </c>
      <c r="N61" s="99">
        <f>10/Supuestos!$C$7</f>
        <v>1.0576414595452142</v>
      </c>
      <c r="O61" s="3">
        <v>1</v>
      </c>
      <c r="P61" s="123">
        <f>6/0.058</f>
        <v>103.44827586206895</v>
      </c>
      <c r="Q61" s="99">
        <f>10/Supuestos!$C$7</f>
        <v>1.0576414595452142</v>
      </c>
      <c r="R61" s="131">
        <v>0.1</v>
      </c>
      <c r="S61" s="103">
        <f t="shared" si="15"/>
        <v>1.1246254186497447E-2</v>
      </c>
      <c r="T61" s="104">
        <f t="shared" si="16"/>
        <v>1.1246254186497447E-2</v>
      </c>
      <c r="U61" s="105">
        <f t="shared" si="17"/>
        <v>1.1246254186497447E-2</v>
      </c>
      <c r="V61" s="104">
        <f t="shared" si="18"/>
        <v>1.1246254186497447E-2</v>
      </c>
      <c r="W61" s="106">
        <f t="shared" si="19"/>
        <v>1.1246254186497447E-2</v>
      </c>
    </row>
    <row r="62" spans="2:23" x14ac:dyDescent="0.35">
      <c r="B62" s="133" t="s">
        <v>101</v>
      </c>
      <c r="C62" s="8">
        <v>1</v>
      </c>
      <c r="D62" s="134">
        <v>1</v>
      </c>
      <c r="E62" s="99">
        <v>0.5</v>
      </c>
      <c r="F62" s="8">
        <v>1</v>
      </c>
      <c r="G62" s="134">
        <v>1</v>
      </c>
      <c r="H62" s="99">
        <v>0.5</v>
      </c>
      <c r="I62" s="8">
        <v>1</v>
      </c>
      <c r="J62" s="134">
        <v>1</v>
      </c>
      <c r="K62" s="99">
        <f>+H62</f>
        <v>0.5</v>
      </c>
      <c r="L62" s="8">
        <v>1</v>
      </c>
      <c r="M62" s="134">
        <v>1</v>
      </c>
      <c r="N62" s="99">
        <f>+K62</f>
        <v>0.5</v>
      </c>
      <c r="O62" s="8">
        <v>1</v>
      </c>
      <c r="P62" s="134">
        <v>1</v>
      </c>
      <c r="Q62" s="99">
        <f>+N62</f>
        <v>0.5</v>
      </c>
      <c r="R62" s="131">
        <v>0</v>
      </c>
      <c r="S62" s="103">
        <f t="shared" ref="S62" si="20">+(C62*E62)/IF(D62=0,1,D62)+$R62*C62*E62/IF(D62=0,1,D62)</f>
        <v>0.5</v>
      </c>
      <c r="T62" s="104">
        <f t="shared" ref="T62" si="21">+(F62*H62)/IF(G62=0,1,G62)+$R62*F62*H62/IF(G62=0,1,G62)</f>
        <v>0.5</v>
      </c>
      <c r="U62" s="105">
        <f t="shared" ref="U62" si="22">+(I62*K62)/IF(J62=0,1,J62)+$R62*I62*K62/IF(J62=0,1,J62)</f>
        <v>0.5</v>
      </c>
      <c r="V62" s="104">
        <f t="shared" ref="V62" si="23">+(L62*N62)/IF(M62=0,1,M62)+$R62*L62*N62/IF(M62=0,1,M62)</f>
        <v>0.5</v>
      </c>
      <c r="W62" s="106">
        <f t="shared" ref="W62" si="24">+(O62*Q62)/IF(P62=0,1,P62)+$R62*O62*Q62/IF(P62=0,1,P62)</f>
        <v>0.5</v>
      </c>
    </row>
    <row r="63" spans="2:23" ht="15" thickBot="1" x14ac:dyDescent="0.4">
      <c r="B63" s="109" t="s">
        <v>0</v>
      </c>
      <c r="C63" s="5">
        <v>1</v>
      </c>
      <c r="D63" s="6">
        <f>1/0.001</f>
        <v>1000</v>
      </c>
      <c r="E63" s="110">
        <f>21/Supuestos!$C$7</f>
        <v>2.2210470650449499</v>
      </c>
      <c r="F63" s="5">
        <v>1</v>
      </c>
      <c r="G63" s="6">
        <f>1/0.001</f>
        <v>1000</v>
      </c>
      <c r="H63" s="110">
        <f>21/Supuestos!$C$7</f>
        <v>2.2210470650449499</v>
      </c>
      <c r="I63" s="5">
        <v>1</v>
      </c>
      <c r="J63" s="6">
        <f>1/0.001</f>
        <v>1000</v>
      </c>
      <c r="K63" s="110">
        <f>21/Supuestos!$C$7</f>
        <v>2.2210470650449499</v>
      </c>
      <c r="L63" s="5">
        <v>1</v>
      </c>
      <c r="M63" s="6">
        <f>1/0.001</f>
        <v>1000</v>
      </c>
      <c r="N63" s="110">
        <f>21/Supuestos!$C$7</f>
        <v>2.2210470650449499</v>
      </c>
      <c r="O63" s="5">
        <v>1</v>
      </c>
      <c r="P63" s="6">
        <f>1/0.001</f>
        <v>1000</v>
      </c>
      <c r="Q63" s="110">
        <f>21/Supuestos!$C$7</f>
        <v>2.2210470650449499</v>
      </c>
      <c r="R63" s="132">
        <v>0.1</v>
      </c>
      <c r="S63" s="114">
        <f t="shared" si="15"/>
        <v>2.4431517715494447E-3</v>
      </c>
      <c r="T63" s="115">
        <f t="shared" si="16"/>
        <v>2.4431517715494447E-3</v>
      </c>
      <c r="U63" s="116">
        <f t="shared" si="17"/>
        <v>2.4431517715494447E-3</v>
      </c>
      <c r="V63" s="115">
        <f t="shared" si="18"/>
        <v>2.4431517715494447E-3</v>
      </c>
      <c r="W63" s="117">
        <f t="shared" si="19"/>
        <v>2.4431517715494447E-3</v>
      </c>
    </row>
    <row r="64" spans="2:23" ht="15" thickBot="1" x14ac:dyDescent="0.4">
      <c r="S64" s="118" t="e">
        <f>+SUM(S57:S63)</f>
        <v>#REF!</v>
      </c>
      <c r="T64" s="119" t="e">
        <f>+SUM(T57:T63)</f>
        <v>#REF!</v>
      </c>
      <c r="U64" s="120" t="e">
        <f>+SUM(U57:U63)</f>
        <v>#REF!</v>
      </c>
      <c r="V64" s="119" t="e">
        <f>+SUM(V57:V63)</f>
        <v>#REF!</v>
      </c>
      <c r="W64" s="121" t="e">
        <f>+SUM(W57:W63)</f>
        <v>#REF!</v>
      </c>
    </row>
  </sheetData>
  <mergeCells count="46">
    <mergeCell ref="K7:M7"/>
    <mergeCell ref="B1:C1"/>
    <mergeCell ref="D1:E1"/>
    <mergeCell ref="F1:G1"/>
    <mergeCell ref="H1:I1"/>
    <mergeCell ref="B2:C2"/>
    <mergeCell ref="D2:E2"/>
    <mergeCell ref="F2:G2"/>
    <mergeCell ref="H2:I2"/>
    <mergeCell ref="K2:M2"/>
    <mergeCell ref="K3:M3"/>
    <mergeCell ref="K4:M4"/>
    <mergeCell ref="K5:M5"/>
    <mergeCell ref="K6:M6"/>
    <mergeCell ref="B9:W9"/>
    <mergeCell ref="B10:B11"/>
    <mergeCell ref="C10:E10"/>
    <mergeCell ref="F10:H10"/>
    <mergeCell ref="I10:K10"/>
    <mergeCell ref="L10:N10"/>
    <mergeCell ref="O10:Q10"/>
    <mergeCell ref="R10:R11"/>
    <mergeCell ref="B19:W19"/>
    <mergeCell ref="B20:B21"/>
    <mergeCell ref="C20:E20"/>
    <mergeCell ref="F20:H20"/>
    <mergeCell ref="I20:K20"/>
    <mergeCell ref="L20:N20"/>
    <mergeCell ref="O20:Q20"/>
    <mergeCell ref="R20:R21"/>
    <mergeCell ref="B26:W26"/>
    <mergeCell ref="B27:B28"/>
    <mergeCell ref="C27:E27"/>
    <mergeCell ref="F27:H27"/>
    <mergeCell ref="I27:K27"/>
    <mergeCell ref="L27:N27"/>
    <mergeCell ref="O27:Q27"/>
    <mergeCell ref="R27:R28"/>
    <mergeCell ref="B54:W54"/>
    <mergeCell ref="B55:B56"/>
    <mergeCell ref="C55:E55"/>
    <mergeCell ref="F55:H55"/>
    <mergeCell ref="I55:K55"/>
    <mergeCell ref="L55:N55"/>
    <mergeCell ref="O55:Q55"/>
    <mergeCell ref="R55:R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H14"/>
  <sheetViews>
    <sheetView workbookViewId="0">
      <selection activeCell="D18" sqref="D18"/>
    </sheetView>
  </sheetViews>
  <sheetFormatPr baseColWidth="10" defaultRowHeight="14.5" x14ac:dyDescent="0.35"/>
  <cols>
    <col min="1" max="1" width="3.08984375" style="1" customWidth="1"/>
    <col min="2" max="2" width="27.453125" style="1" customWidth="1"/>
    <col min="3" max="3" width="11.453125" style="1"/>
    <col min="4" max="8" width="12.453125" style="1" bestFit="1" customWidth="1"/>
    <col min="9" max="256" width="11.453125" style="1"/>
    <col min="257" max="257" width="3.08984375" style="1" customWidth="1"/>
    <col min="258" max="258" width="27.453125" style="1" customWidth="1"/>
    <col min="259" max="512" width="11.453125" style="1"/>
    <col min="513" max="513" width="3.08984375" style="1" customWidth="1"/>
    <col min="514" max="514" width="27.453125" style="1" customWidth="1"/>
    <col min="515" max="768" width="11.453125" style="1"/>
    <col min="769" max="769" width="3.08984375" style="1" customWidth="1"/>
    <col min="770" max="770" width="27.453125" style="1" customWidth="1"/>
    <col min="771" max="1024" width="11.453125" style="1"/>
    <col min="1025" max="1025" width="3.08984375" style="1" customWidth="1"/>
    <col min="1026" max="1026" width="27.453125" style="1" customWidth="1"/>
    <col min="1027" max="1280" width="11.453125" style="1"/>
    <col min="1281" max="1281" width="3.08984375" style="1" customWidth="1"/>
    <col min="1282" max="1282" width="27.453125" style="1" customWidth="1"/>
    <col min="1283" max="1536" width="11.453125" style="1"/>
    <col min="1537" max="1537" width="3.08984375" style="1" customWidth="1"/>
    <col min="1538" max="1538" width="27.453125" style="1" customWidth="1"/>
    <col min="1539" max="1792" width="11.453125" style="1"/>
    <col min="1793" max="1793" width="3.08984375" style="1" customWidth="1"/>
    <col min="1794" max="1794" width="27.453125" style="1" customWidth="1"/>
    <col min="1795" max="2048" width="11.453125" style="1"/>
    <col min="2049" max="2049" width="3.08984375" style="1" customWidth="1"/>
    <col min="2050" max="2050" width="27.453125" style="1" customWidth="1"/>
    <col min="2051" max="2304" width="11.453125" style="1"/>
    <col min="2305" max="2305" width="3.08984375" style="1" customWidth="1"/>
    <col min="2306" max="2306" width="27.453125" style="1" customWidth="1"/>
    <col min="2307" max="2560" width="11.453125" style="1"/>
    <col min="2561" max="2561" width="3.08984375" style="1" customWidth="1"/>
    <col min="2562" max="2562" width="27.453125" style="1" customWidth="1"/>
    <col min="2563" max="2816" width="11.453125" style="1"/>
    <col min="2817" max="2817" width="3.08984375" style="1" customWidth="1"/>
    <col min="2818" max="2818" width="27.453125" style="1" customWidth="1"/>
    <col min="2819" max="3072" width="11.453125" style="1"/>
    <col min="3073" max="3073" width="3.08984375" style="1" customWidth="1"/>
    <col min="3074" max="3074" width="27.453125" style="1" customWidth="1"/>
    <col min="3075" max="3328" width="11.453125" style="1"/>
    <col min="3329" max="3329" width="3.08984375" style="1" customWidth="1"/>
    <col min="3330" max="3330" width="27.453125" style="1" customWidth="1"/>
    <col min="3331" max="3584" width="11.453125" style="1"/>
    <col min="3585" max="3585" width="3.08984375" style="1" customWidth="1"/>
    <col min="3586" max="3586" width="27.453125" style="1" customWidth="1"/>
    <col min="3587" max="3840" width="11.453125" style="1"/>
    <col min="3841" max="3841" width="3.08984375" style="1" customWidth="1"/>
    <col min="3842" max="3842" width="27.453125" style="1" customWidth="1"/>
    <col min="3843" max="4096" width="11.453125" style="1"/>
    <col min="4097" max="4097" width="3.08984375" style="1" customWidth="1"/>
    <col min="4098" max="4098" width="27.453125" style="1" customWidth="1"/>
    <col min="4099" max="4352" width="11.453125" style="1"/>
    <col min="4353" max="4353" width="3.08984375" style="1" customWidth="1"/>
    <col min="4354" max="4354" width="27.453125" style="1" customWidth="1"/>
    <col min="4355" max="4608" width="11.453125" style="1"/>
    <col min="4609" max="4609" width="3.08984375" style="1" customWidth="1"/>
    <col min="4610" max="4610" width="27.453125" style="1" customWidth="1"/>
    <col min="4611" max="4864" width="11.453125" style="1"/>
    <col min="4865" max="4865" width="3.08984375" style="1" customWidth="1"/>
    <col min="4866" max="4866" width="27.453125" style="1" customWidth="1"/>
    <col min="4867" max="5120" width="11.453125" style="1"/>
    <col min="5121" max="5121" width="3.08984375" style="1" customWidth="1"/>
    <col min="5122" max="5122" width="27.453125" style="1" customWidth="1"/>
    <col min="5123" max="5376" width="11.453125" style="1"/>
    <col min="5377" max="5377" width="3.08984375" style="1" customWidth="1"/>
    <col min="5378" max="5378" width="27.453125" style="1" customWidth="1"/>
    <col min="5379" max="5632" width="11.453125" style="1"/>
    <col min="5633" max="5633" width="3.08984375" style="1" customWidth="1"/>
    <col min="5634" max="5634" width="27.453125" style="1" customWidth="1"/>
    <col min="5635" max="5888" width="11.453125" style="1"/>
    <col min="5889" max="5889" width="3.08984375" style="1" customWidth="1"/>
    <col min="5890" max="5890" width="27.453125" style="1" customWidth="1"/>
    <col min="5891" max="6144" width="11.453125" style="1"/>
    <col min="6145" max="6145" width="3.08984375" style="1" customWidth="1"/>
    <col min="6146" max="6146" width="27.453125" style="1" customWidth="1"/>
    <col min="6147" max="6400" width="11.453125" style="1"/>
    <col min="6401" max="6401" width="3.08984375" style="1" customWidth="1"/>
    <col min="6402" max="6402" width="27.453125" style="1" customWidth="1"/>
    <col min="6403" max="6656" width="11.453125" style="1"/>
    <col min="6657" max="6657" width="3.08984375" style="1" customWidth="1"/>
    <col min="6658" max="6658" width="27.453125" style="1" customWidth="1"/>
    <col min="6659" max="6912" width="11.453125" style="1"/>
    <col min="6913" max="6913" width="3.08984375" style="1" customWidth="1"/>
    <col min="6914" max="6914" width="27.453125" style="1" customWidth="1"/>
    <col min="6915" max="7168" width="11.453125" style="1"/>
    <col min="7169" max="7169" width="3.08984375" style="1" customWidth="1"/>
    <col min="7170" max="7170" width="27.453125" style="1" customWidth="1"/>
    <col min="7171" max="7424" width="11.453125" style="1"/>
    <col min="7425" max="7425" width="3.08984375" style="1" customWidth="1"/>
    <col min="7426" max="7426" width="27.453125" style="1" customWidth="1"/>
    <col min="7427" max="7680" width="11.453125" style="1"/>
    <col min="7681" max="7681" width="3.08984375" style="1" customWidth="1"/>
    <col min="7682" max="7682" width="27.453125" style="1" customWidth="1"/>
    <col min="7683" max="7936" width="11.453125" style="1"/>
    <col min="7937" max="7937" width="3.08984375" style="1" customWidth="1"/>
    <col min="7938" max="7938" width="27.453125" style="1" customWidth="1"/>
    <col min="7939" max="8192" width="11.453125" style="1"/>
    <col min="8193" max="8193" width="3.08984375" style="1" customWidth="1"/>
    <col min="8194" max="8194" width="27.453125" style="1" customWidth="1"/>
    <col min="8195" max="8448" width="11.453125" style="1"/>
    <col min="8449" max="8449" width="3.08984375" style="1" customWidth="1"/>
    <col min="8450" max="8450" width="27.453125" style="1" customWidth="1"/>
    <col min="8451" max="8704" width="11.453125" style="1"/>
    <col min="8705" max="8705" width="3.08984375" style="1" customWidth="1"/>
    <col min="8706" max="8706" width="27.453125" style="1" customWidth="1"/>
    <col min="8707" max="8960" width="11.453125" style="1"/>
    <col min="8961" max="8961" width="3.08984375" style="1" customWidth="1"/>
    <col min="8962" max="8962" width="27.453125" style="1" customWidth="1"/>
    <col min="8963" max="9216" width="11.453125" style="1"/>
    <col min="9217" max="9217" width="3.08984375" style="1" customWidth="1"/>
    <col min="9218" max="9218" width="27.453125" style="1" customWidth="1"/>
    <col min="9219" max="9472" width="11.453125" style="1"/>
    <col min="9473" max="9473" width="3.08984375" style="1" customWidth="1"/>
    <col min="9474" max="9474" width="27.453125" style="1" customWidth="1"/>
    <col min="9475" max="9728" width="11.453125" style="1"/>
    <col min="9729" max="9729" width="3.08984375" style="1" customWidth="1"/>
    <col min="9730" max="9730" width="27.453125" style="1" customWidth="1"/>
    <col min="9731" max="9984" width="11.453125" style="1"/>
    <col min="9985" max="9985" width="3.08984375" style="1" customWidth="1"/>
    <col min="9986" max="9986" width="27.453125" style="1" customWidth="1"/>
    <col min="9987" max="10240" width="11.453125" style="1"/>
    <col min="10241" max="10241" width="3.08984375" style="1" customWidth="1"/>
    <col min="10242" max="10242" width="27.453125" style="1" customWidth="1"/>
    <col min="10243" max="10496" width="11.453125" style="1"/>
    <col min="10497" max="10497" width="3.08984375" style="1" customWidth="1"/>
    <col min="10498" max="10498" width="27.453125" style="1" customWidth="1"/>
    <col min="10499" max="10752" width="11.453125" style="1"/>
    <col min="10753" max="10753" width="3.08984375" style="1" customWidth="1"/>
    <col min="10754" max="10754" width="27.453125" style="1" customWidth="1"/>
    <col min="10755" max="11008" width="11.453125" style="1"/>
    <col min="11009" max="11009" width="3.08984375" style="1" customWidth="1"/>
    <col min="11010" max="11010" width="27.453125" style="1" customWidth="1"/>
    <col min="11011" max="11264" width="11.453125" style="1"/>
    <col min="11265" max="11265" width="3.08984375" style="1" customWidth="1"/>
    <col min="11266" max="11266" width="27.453125" style="1" customWidth="1"/>
    <col min="11267" max="11520" width="11.453125" style="1"/>
    <col min="11521" max="11521" width="3.08984375" style="1" customWidth="1"/>
    <col min="11522" max="11522" width="27.453125" style="1" customWidth="1"/>
    <col min="11523" max="11776" width="11.453125" style="1"/>
    <col min="11777" max="11777" width="3.08984375" style="1" customWidth="1"/>
    <col min="11778" max="11778" width="27.453125" style="1" customWidth="1"/>
    <col min="11779" max="12032" width="11.453125" style="1"/>
    <col min="12033" max="12033" width="3.08984375" style="1" customWidth="1"/>
    <col min="12034" max="12034" width="27.453125" style="1" customWidth="1"/>
    <col min="12035" max="12288" width="11.453125" style="1"/>
    <col min="12289" max="12289" width="3.08984375" style="1" customWidth="1"/>
    <col min="12290" max="12290" width="27.453125" style="1" customWidth="1"/>
    <col min="12291" max="12544" width="11.453125" style="1"/>
    <col min="12545" max="12545" width="3.08984375" style="1" customWidth="1"/>
    <col min="12546" max="12546" width="27.453125" style="1" customWidth="1"/>
    <col min="12547" max="12800" width="11.453125" style="1"/>
    <col min="12801" max="12801" width="3.08984375" style="1" customWidth="1"/>
    <col min="12802" max="12802" width="27.453125" style="1" customWidth="1"/>
    <col min="12803" max="13056" width="11.453125" style="1"/>
    <col min="13057" max="13057" width="3.08984375" style="1" customWidth="1"/>
    <col min="13058" max="13058" width="27.453125" style="1" customWidth="1"/>
    <col min="13059" max="13312" width="11.453125" style="1"/>
    <col min="13313" max="13313" width="3.08984375" style="1" customWidth="1"/>
    <col min="13314" max="13314" width="27.453125" style="1" customWidth="1"/>
    <col min="13315" max="13568" width="11.453125" style="1"/>
    <col min="13569" max="13569" width="3.08984375" style="1" customWidth="1"/>
    <col min="13570" max="13570" width="27.453125" style="1" customWidth="1"/>
    <col min="13571" max="13824" width="11.453125" style="1"/>
    <col min="13825" max="13825" width="3.08984375" style="1" customWidth="1"/>
    <col min="13826" max="13826" width="27.453125" style="1" customWidth="1"/>
    <col min="13827" max="14080" width="11.453125" style="1"/>
    <col min="14081" max="14081" width="3.08984375" style="1" customWidth="1"/>
    <col min="14082" max="14082" width="27.453125" style="1" customWidth="1"/>
    <col min="14083" max="14336" width="11.453125" style="1"/>
    <col min="14337" max="14337" width="3.08984375" style="1" customWidth="1"/>
    <col min="14338" max="14338" width="27.453125" style="1" customWidth="1"/>
    <col min="14339" max="14592" width="11.453125" style="1"/>
    <col min="14593" max="14593" width="3.08984375" style="1" customWidth="1"/>
    <col min="14594" max="14594" width="27.453125" style="1" customWidth="1"/>
    <col min="14595" max="14848" width="11.453125" style="1"/>
    <col min="14849" max="14849" width="3.08984375" style="1" customWidth="1"/>
    <col min="14850" max="14850" width="27.453125" style="1" customWidth="1"/>
    <col min="14851" max="15104" width="11.453125" style="1"/>
    <col min="15105" max="15105" width="3.08984375" style="1" customWidth="1"/>
    <col min="15106" max="15106" width="27.453125" style="1" customWidth="1"/>
    <col min="15107" max="15360" width="11.453125" style="1"/>
    <col min="15361" max="15361" width="3.08984375" style="1" customWidth="1"/>
    <col min="15362" max="15362" width="27.453125" style="1" customWidth="1"/>
    <col min="15363" max="15616" width="11.453125" style="1"/>
    <col min="15617" max="15617" width="3.08984375" style="1" customWidth="1"/>
    <col min="15618" max="15618" width="27.453125" style="1" customWidth="1"/>
    <col min="15619" max="15872" width="11.453125" style="1"/>
    <col min="15873" max="15873" width="3.08984375" style="1" customWidth="1"/>
    <col min="15874" max="15874" width="27.453125" style="1" customWidth="1"/>
    <col min="15875" max="16128" width="11.453125" style="1"/>
    <col min="16129" max="16129" width="3.08984375" style="1" customWidth="1"/>
    <col min="16130" max="16130" width="27.453125" style="1" customWidth="1"/>
    <col min="16131" max="16384" width="11.453125" style="1"/>
  </cols>
  <sheetData>
    <row r="2" spans="2:8" x14ac:dyDescent="0.35">
      <c r="B2" s="271" t="s">
        <v>66</v>
      </c>
      <c r="C2" s="271"/>
      <c r="D2" s="271"/>
      <c r="E2" s="271"/>
      <c r="F2" s="271"/>
      <c r="G2" s="271"/>
      <c r="H2" s="271"/>
    </row>
    <row r="3" spans="2:8" x14ac:dyDescent="0.35">
      <c r="B3" s="62" t="s">
        <v>67</v>
      </c>
      <c r="C3" s="62" t="s">
        <v>68</v>
      </c>
      <c r="D3" s="62" t="s">
        <v>6</v>
      </c>
      <c r="E3" s="62" t="s">
        <v>5</v>
      </c>
      <c r="F3" s="62" t="s">
        <v>4</v>
      </c>
      <c r="G3" s="62" t="s">
        <v>3</v>
      </c>
      <c r="H3" s="62" t="s">
        <v>2</v>
      </c>
    </row>
    <row r="4" spans="2:8" x14ac:dyDescent="0.35">
      <c r="B4" s="63" t="s">
        <v>69</v>
      </c>
      <c r="C4" s="17">
        <f>19500/Supuestos!C7</f>
        <v>2062.4008461131675</v>
      </c>
      <c r="D4" s="17">
        <f>+$C$4*12</f>
        <v>24748.810153358012</v>
      </c>
      <c r="E4" s="17">
        <f>+$C$4*12</f>
        <v>24748.810153358012</v>
      </c>
      <c r="F4" s="17">
        <f>+$C$4*12</f>
        <v>24748.810153358012</v>
      </c>
      <c r="G4" s="17">
        <f>+$C$4*12</f>
        <v>24748.810153358012</v>
      </c>
      <c r="H4" s="17">
        <f>+$C$4*12</f>
        <v>24748.810153358012</v>
      </c>
    </row>
    <row r="5" spans="2:8" x14ac:dyDescent="0.35">
      <c r="B5" s="63" t="s">
        <v>100</v>
      </c>
      <c r="C5" s="17">
        <f>5000*20%/Supuestos!C7</f>
        <v>105.76414595452141</v>
      </c>
      <c r="D5" s="17">
        <f>+$C$5*12</f>
        <v>1269.169751454257</v>
      </c>
      <c r="E5" s="17">
        <f>+$C$5*12*'Proyección Ventas'!F31/'Proyección Ventas'!$E$31</f>
        <v>3089.3773999138234</v>
      </c>
      <c r="F5" s="17">
        <f>+$C$5*12*'Proyección Ventas'!G31/'Proyección Ventas'!$E$31</f>
        <v>5161.6422949438493</v>
      </c>
      <c r="G5" s="17">
        <f>+$C$5*12*'Proyección Ventas'!H31/'Proyección Ventas'!$E$31</f>
        <v>7780.6903186464015</v>
      </c>
      <c r="H5" s="17">
        <f>+$C$5*12*'Proyección Ventas'!I31/'Proyección Ventas'!$E$31</f>
        <v>13515.822555775731</v>
      </c>
    </row>
    <row r="6" spans="2:8" x14ac:dyDescent="0.35">
      <c r="B6" s="63" t="s">
        <v>103</v>
      </c>
      <c r="C6" s="17">
        <f>7000/Supuestos!C7</f>
        <v>740.3490216816499</v>
      </c>
      <c r="D6" s="17">
        <f>+$C$6*12</f>
        <v>8884.1882601797988</v>
      </c>
      <c r="E6" s="17">
        <f>+$C$6*12</f>
        <v>8884.1882601797988</v>
      </c>
      <c r="F6" s="17">
        <f>+$C$6*12</f>
        <v>8884.1882601797988</v>
      </c>
      <c r="G6" s="17">
        <f>+$C$6*12</f>
        <v>8884.1882601797988</v>
      </c>
      <c r="H6" s="17">
        <f>+$C$6*12</f>
        <v>8884.1882601797988</v>
      </c>
    </row>
    <row r="7" spans="2:8" x14ac:dyDescent="0.35">
      <c r="B7" s="63" t="s">
        <v>104</v>
      </c>
      <c r="C7" s="17">
        <f>1500/Supuestos!C7</f>
        <v>158.64621893178213</v>
      </c>
      <c r="D7" s="17">
        <f>+C7*12</f>
        <v>1903.7546271813856</v>
      </c>
      <c r="E7" s="17">
        <f t="shared" ref="E7:H12" si="0">+$C7*12</f>
        <v>1903.7546271813856</v>
      </c>
      <c r="F7" s="17">
        <f t="shared" si="0"/>
        <v>1903.7546271813856</v>
      </c>
      <c r="G7" s="17">
        <f t="shared" si="0"/>
        <v>1903.7546271813856</v>
      </c>
      <c r="H7" s="17">
        <f t="shared" si="0"/>
        <v>1903.7546271813856</v>
      </c>
    </row>
    <row r="8" spans="2:8" x14ac:dyDescent="0.35">
      <c r="B8" s="63" t="s">
        <v>105</v>
      </c>
      <c r="C8" s="17">
        <f>2000/Supuestos!C7</f>
        <v>211.52829190904282</v>
      </c>
      <c r="D8" s="17">
        <f>+$C8*12</f>
        <v>2538.3395029085141</v>
      </c>
      <c r="E8" s="17">
        <f t="shared" si="0"/>
        <v>2538.3395029085141</v>
      </c>
      <c r="F8" s="17">
        <f t="shared" si="0"/>
        <v>2538.3395029085141</v>
      </c>
      <c r="G8" s="17">
        <f t="shared" si="0"/>
        <v>2538.3395029085141</v>
      </c>
      <c r="H8" s="17">
        <f t="shared" si="0"/>
        <v>2538.3395029085141</v>
      </c>
    </row>
    <row r="9" spans="2:8" x14ac:dyDescent="0.35">
      <c r="B9" s="63" t="s">
        <v>106</v>
      </c>
      <c r="C9" s="17">
        <f>1300/Supuestos!C7</f>
        <v>137.49338974087783</v>
      </c>
      <c r="D9" s="17">
        <f>+$C9*12</f>
        <v>1649.920676890534</v>
      </c>
      <c r="E9" s="17">
        <f t="shared" si="0"/>
        <v>1649.920676890534</v>
      </c>
      <c r="F9" s="17">
        <f t="shared" si="0"/>
        <v>1649.920676890534</v>
      </c>
      <c r="G9" s="17">
        <f t="shared" si="0"/>
        <v>1649.920676890534</v>
      </c>
      <c r="H9" s="17">
        <f t="shared" si="0"/>
        <v>1649.920676890534</v>
      </c>
    </row>
    <row r="10" spans="2:8" x14ac:dyDescent="0.35">
      <c r="B10" s="63" t="s">
        <v>107</v>
      </c>
      <c r="C10" s="17">
        <f>1200/Supuestos!C7</f>
        <v>126.9169751454257</v>
      </c>
      <c r="D10" s="17">
        <f>+$C10*12</f>
        <v>1523.0037017451084</v>
      </c>
      <c r="E10" s="17">
        <f t="shared" si="0"/>
        <v>1523.0037017451084</v>
      </c>
      <c r="F10" s="17">
        <f t="shared" si="0"/>
        <v>1523.0037017451084</v>
      </c>
      <c r="G10" s="17">
        <f t="shared" si="0"/>
        <v>1523.0037017451084</v>
      </c>
      <c r="H10" s="17">
        <f t="shared" si="0"/>
        <v>1523.0037017451084</v>
      </c>
    </row>
    <row r="11" spans="2:8" x14ac:dyDescent="0.35">
      <c r="B11" s="63" t="s">
        <v>108</v>
      </c>
      <c r="C11" s="17">
        <f>2000/Supuestos!C7</f>
        <v>211.52829190904282</v>
      </c>
      <c r="D11" s="17">
        <f>+$C11*12</f>
        <v>2538.3395029085141</v>
      </c>
      <c r="E11" s="17">
        <f t="shared" si="0"/>
        <v>2538.3395029085141</v>
      </c>
      <c r="F11" s="17">
        <f t="shared" si="0"/>
        <v>2538.3395029085141</v>
      </c>
      <c r="G11" s="17">
        <f t="shared" si="0"/>
        <v>2538.3395029085141</v>
      </c>
      <c r="H11" s="17">
        <f t="shared" si="0"/>
        <v>2538.3395029085141</v>
      </c>
    </row>
    <row r="12" spans="2:8" ht="29" x14ac:dyDescent="0.35">
      <c r="B12" s="136" t="s">
        <v>109</v>
      </c>
      <c r="C12" s="17">
        <f>10000/Supuestos!C7</f>
        <v>1057.6414595452143</v>
      </c>
      <c r="D12" s="17">
        <v>0</v>
      </c>
      <c r="E12" s="17">
        <f t="shared" si="0"/>
        <v>12691.697514542571</v>
      </c>
      <c r="F12" s="17">
        <f t="shared" si="0"/>
        <v>12691.697514542571</v>
      </c>
      <c r="G12" s="17">
        <f t="shared" si="0"/>
        <v>12691.697514542571</v>
      </c>
      <c r="H12" s="17">
        <f t="shared" si="0"/>
        <v>12691.697514542571</v>
      </c>
    </row>
    <row r="13" spans="2:8" x14ac:dyDescent="0.35">
      <c r="B13" s="272" t="s">
        <v>25</v>
      </c>
      <c r="C13" s="272"/>
      <c r="D13" s="64">
        <f>+SUM(D4:D12)</f>
        <v>45055.526176626125</v>
      </c>
      <c r="E13" s="64">
        <f>+SUM(E4:E12)</f>
        <v>59567.431339628267</v>
      </c>
      <c r="F13" s="64">
        <f>+SUM(F4:F12)</f>
        <v>61639.696234658288</v>
      </c>
      <c r="G13" s="64">
        <f>+SUM(G4:G12)</f>
        <v>64258.744258360835</v>
      </c>
      <c r="H13" s="64">
        <f>+SUM(H4:H12)</f>
        <v>69993.876495490171</v>
      </c>
    </row>
    <row r="14" spans="2:8" x14ac:dyDescent="0.35">
      <c r="B14" s="48"/>
    </row>
  </sheetData>
  <mergeCells count="2">
    <mergeCell ref="B2:H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7"/>
  <sheetViews>
    <sheetView tabSelected="1" topLeftCell="B71" zoomScale="120" zoomScaleNormal="120" workbookViewId="0">
      <selection activeCell="E4" sqref="E4"/>
    </sheetView>
  </sheetViews>
  <sheetFormatPr baseColWidth="10" defaultRowHeight="14.5" x14ac:dyDescent="0.35"/>
  <cols>
    <col min="1" max="1" width="4.08984375" style="1" customWidth="1"/>
    <col min="2" max="2" width="30.08984375" style="1" customWidth="1"/>
    <col min="3" max="3" width="15.08984375" style="1" customWidth="1"/>
    <col min="4" max="4" width="13" style="1" bestFit="1" customWidth="1"/>
    <col min="5" max="6" width="12.6328125" style="1" bestFit="1" customWidth="1"/>
    <col min="7" max="7" width="13.54296875" style="1" bestFit="1" customWidth="1"/>
    <col min="8" max="8" width="13" style="1" bestFit="1" customWidth="1"/>
    <col min="9" max="243" width="11.453125" style="1"/>
    <col min="244" max="244" width="4.08984375" style="1" customWidth="1"/>
    <col min="245" max="245" width="11.453125" style="1"/>
    <col min="246" max="246" width="29.08984375" style="1" customWidth="1"/>
    <col min="247" max="247" width="12.08984375" style="1" bestFit="1" customWidth="1"/>
    <col min="248" max="250" width="12" style="1" bestFit="1" customWidth="1"/>
    <col min="251" max="252" width="12.36328125" style="1" bestFit="1" customWidth="1"/>
    <col min="253" max="259" width="11.453125" style="1"/>
    <col min="260" max="260" width="11.90625" style="1" bestFit="1" customWidth="1"/>
    <col min="261" max="263" width="11.453125" style="1"/>
    <col min="264" max="264" width="12.08984375" style="1" bestFit="1" customWidth="1"/>
    <col min="265" max="499" width="11.453125" style="1"/>
    <col min="500" max="500" width="4.08984375" style="1" customWidth="1"/>
    <col min="501" max="501" width="11.453125" style="1"/>
    <col min="502" max="502" width="29.08984375" style="1" customWidth="1"/>
    <col min="503" max="503" width="12.08984375" style="1" bestFit="1" customWidth="1"/>
    <col min="504" max="506" width="12" style="1" bestFit="1" customWidth="1"/>
    <col min="507" max="508" width="12.36328125" style="1" bestFit="1" customWidth="1"/>
    <col min="509" max="515" width="11.453125" style="1"/>
    <col min="516" max="516" width="11.90625" style="1" bestFit="1" customWidth="1"/>
    <col min="517" max="519" width="11.453125" style="1"/>
    <col min="520" max="520" width="12.08984375" style="1" bestFit="1" customWidth="1"/>
    <col min="521" max="755" width="11.453125" style="1"/>
    <col min="756" max="756" width="4.08984375" style="1" customWidth="1"/>
    <col min="757" max="757" width="11.453125" style="1"/>
    <col min="758" max="758" width="29.08984375" style="1" customWidth="1"/>
    <col min="759" max="759" width="12.08984375" style="1" bestFit="1" customWidth="1"/>
    <col min="760" max="762" width="12" style="1" bestFit="1" customWidth="1"/>
    <col min="763" max="764" width="12.36328125" style="1" bestFit="1" customWidth="1"/>
    <col min="765" max="771" width="11.453125" style="1"/>
    <col min="772" max="772" width="11.90625" style="1" bestFit="1" customWidth="1"/>
    <col min="773" max="775" width="11.453125" style="1"/>
    <col min="776" max="776" width="12.08984375" style="1" bestFit="1" customWidth="1"/>
    <col min="777" max="1011" width="11.453125" style="1"/>
    <col min="1012" max="1012" width="4.08984375" style="1" customWidth="1"/>
    <col min="1013" max="1013" width="11.453125" style="1"/>
    <col min="1014" max="1014" width="29.08984375" style="1" customWidth="1"/>
    <col min="1015" max="1015" width="12.08984375" style="1" bestFit="1" customWidth="1"/>
    <col min="1016" max="1018" width="12" style="1" bestFit="1" customWidth="1"/>
    <col min="1019" max="1020" width="12.36328125" style="1" bestFit="1" customWidth="1"/>
    <col min="1021" max="1027" width="11.453125" style="1"/>
    <col min="1028" max="1028" width="11.90625" style="1" bestFit="1" customWidth="1"/>
    <col min="1029" max="1031" width="11.453125" style="1"/>
    <col min="1032" max="1032" width="12.08984375" style="1" bestFit="1" customWidth="1"/>
    <col min="1033" max="1267" width="11.453125" style="1"/>
    <col min="1268" max="1268" width="4.08984375" style="1" customWidth="1"/>
    <col min="1269" max="1269" width="11.453125" style="1"/>
    <col min="1270" max="1270" width="29.08984375" style="1" customWidth="1"/>
    <col min="1271" max="1271" width="12.08984375" style="1" bestFit="1" customWidth="1"/>
    <col min="1272" max="1274" width="12" style="1" bestFit="1" customWidth="1"/>
    <col min="1275" max="1276" width="12.36328125" style="1" bestFit="1" customWidth="1"/>
    <col min="1277" max="1283" width="11.453125" style="1"/>
    <col min="1284" max="1284" width="11.90625" style="1" bestFit="1" customWidth="1"/>
    <col min="1285" max="1287" width="11.453125" style="1"/>
    <col min="1288" max="1288" width="12.08984375" style="1" bestFit="1" customWidth="1"/>
    <col min="1289" max="1523" width="11.453125" style="1"/>
    <col min="1524" max="1524" width="4.08984375" style="1" customWidth="1"/>
    <col min="1525" max="1525" width="11.453125" style="1"/>
    <col min="1526" max="1526" width="29.08984375" style="1" customWidth="1"/>
    <col min="1527" max="1527" width="12.08984375" style="1" bestFit="1" customWidth="1"/>
    <col min="1528" max="1530" width="12" style="1" bestFit="1" customWidth="1"/>
    <col min="1531" max="1532" width="12.36328125" style="1" bestFit="1" customWidth="1"/>
    <col min="1533" max="1539" width="11.453125" style="1"/>
    <col min="1540" max="1540" width="11.90625" style="1" bestFit="1" customWidth="1"/>
    <col min="1541" max="1543" width="11.453125" style="1"/>
    <col min="1544" max="1544" width="12.08984375" style="1" bestFit="1" customWidth="1"/>
    <col min="1545" max="1779" width="11.453125" style="1"/>
    <col min="1780" max="1780" width="4.08984375" style="1" customWidth="1"/>
    <col min="1781" max="1781" width="11.453125" style="1"/>
    <col min="1782" max="1782" width="29.08984375" style="1" customWidth="1"/>
    <col min="1783" max="1783" width="12.08984375" style="1" bestFit="1" customWidth="1"/>
    <col min="1784" max="1786" width="12" style="1" bestFit="1" customWidth="1"/>
    <col min="1787" max="1788" width="12.36328125" style="1" bestFit="1" customWidth="1"/>
    <col min="1789" max="1795" width="11.453125" style="1"/>
    <col min="1796" max="1796" width="11.90625" style="1" bestFit="1" customWidth="1"/>
    <col min="1797" max="1799" width="11.453125" style="1"/>
    <col min="1800" max="1800" width="12.08984375" style="1" bestFit="1" customWidth="1"/>
    <col min="1801" max="2035" width="11.453125" style="1"/>
    <col min="2036" max="2036" width="4.08984375" style="1" customWidth="1"/>
    <col min="2037" max="2037" width="11.453125" style="1"/>
    <col min="2038" max="2038" width="29.08984375" style="1" customWidth="1"/>
    <col min="2039" max="2039" width="12.08984375" style="1" bestFit="1" customWidth="1"/>
    <col min="2040" max="2042" width="12" style="1" bestFit="1" customWidth="1"/>
    <col min="2043" max="2044" width="12.36328125" style="1" bestFit="1" customWidth="1"/>
    <col min="2045" max="2051" width="11.453125" style="1"/>
    <col min="2052" max="2052" width="11.90625" style="1" bestFit="1" customWidth="1"/>
    <col min="2053" max="2055" width="11.453125" style="1"/>
    <col min="2056" max="2056" width="12.08984375" style="1" bestFit="1" customWidth="1"/>
    <col min="2057" max="2291" width="11.453125" style="1"/>
    <col min="2292" max="2292" width="4.08984375" style="1" customWidth="1"/>
    <col min="2293" max="2293" width="11.453125" style="1"/>
    <col min="2294" max="2294" width="29.08984375" style="1" customWidth="1"/>
    <col min="2295" max="2295" width="12.08984375" style="1" bestFit="1" customWidth="1"/>
    <col min="2296" max="2298" width="12" style="1" bestFit="1" customWidth="1"/>
    <col min="2299" max="2300" width="12.36328125" style="1" bestFit="1" customWidth="1"/>
    <col min="2301" max="2307" width="11.453125" style="1"/>
    <col min="2308" max="2308" width="11.90625" style="1" bestFit="1" customWidth="1"/>
    <col min="2309" max="2311" width="11.453125" style="1"/>
    <col min="2312" max="2312" width="12.08984375" style="1" bestFit="1" customWidth="1"/>
    <col min="2313" max="2547" width="11.453125" style="1"/>
    <col min="2548" max="2548" width="4.08984375" style="1" customWidth="1"/>
    <col min="2549" max="2549" width="11.453125" style="1"/>
    <col min="2550" max="2550" width="29.08984375" style="1" customWidth="1"/>
    <col min="2551" max="2551" width="12.08984375" style="1" bestFit="1" customWidth="1"/>
    <col min="2552" max="2554" width="12" style="1" bestFit="1" customWidth="1"/>
    <col min="2555" max="2556" width="12.36328125" style="1" bestFit="1" customWidth="1"/>
    <col min="2557" max="2563" width="11.453125" style="1"/>
    <col min="2564" max="2564" width="11.90625" style="1" bestFit="1" customWidth="1"/>
    <col min="2565" max="2567" width="11.453125" style="1"/>
    <col min="2568" max="2568" width="12.08984375" style="1" bestFit="1" customWidth="1"/>
    <col min="2569" max="2803" width="11.453125" style="1"/>
    <col min="2804" max="2804" width="4.08984375" style="1" customWidth="1"/>
    <col min="2805" max="2805" width="11.453125" style="1"/>
    <col min="2806" max="2806" width="29.08984375" style="1" customWidth="1"/>
    <col min="2807" max="2807" width="12.08984375" style="1" bestFit="1" customWidth="1"/>
    <col min="2808" max="2810" width="12" style="1" bestFit="1" customWidth="1"/>
    <col min="2811" max="2812" width="12.36328125" style="1" bestFit="1" customWidth="1"/>
    <col min="2813" max="2819" width="11.453125" style="1"/>
    <col min="2820" max="2820" width="11.90625" style="1" bestFit="1" customWidth="1"/>
    <col min="2821" max="2823" width="11.453125" style="1"/>
    <col min="2824" max="2824" width="12.08984375" style="1" bestFit="1" customWidth="1"/>
    <col min="2825" max="3059" width="11.453125" style="1"/>
    <col min="3060" max="3060" width="4.08984375" style="1" customWidth="1"/>
    <col min="3061" max="3061" width="11.453125" style="1"/>
    <col min="3062" max="3062" width="29.08984375" style="1" customWidth="1"/>
    <col min="3063" max="3063" width="12.08984375" style="1" bestFit="1" customWidth="1"/>
    <col min="3064" max="3066" width="12" style="1" bestFit="1" customWidth="1"/>
    <col min="3067" max="3068" width="12.36328125" style="1" bestFit="1" customWidth="1"/>
    <col min="3069" max="3075" width="11.453125" style="1"/>
    <col min="3076" max="3076" width="11.90625" style="1" bestFit="1" customWidth="1"/>
    <col min="3077" max="3079" width="11.453125" style="1"/>
    <col min="3080" max="3080" width="12.08984375" style="1" bestFit="1" customWidth="1"/>
    <col min="3081" max="3315" width="11.453125" style="1"/>
    <col min="3316" max="3316" width="4.08984375" style="1" customWidth="1"/>
    <col min="3317" max="3317" width="11.453125" style="1"/>
    <col min="3318" max="3318" width="29.08984375" style="1" customWidth="1"/>
    <col min="3319" max="3319" width="12.08984375" style="1" bestFit="1" customWidth="1"/>
    <col min="3320" max="3322" width="12" style="1" bestFit="1" customWidth="1"/>
    <col min="3323" max="3324" width="12.36328125" style="1" bestFit="1" customWidth="1"/>
    <col min="3325" max="3331" width="11.453125" style="1"/>
    <col min="3332" max="3332" width="11.90625" style="1" bestFit="1" customWidth="1"/>
    <col min="3333" max="3335" width="11.453125" style="1"/>
    <col min="3336" max="3336" width="12.08984375" style="1" bestFit="1" customWidth="1"/>
    <col min="3337" max="3571" width="11.453125" style="1"/>
    <col min="3572" max="3572" width="4.08984375" style="1" customWidth="1"/>
    <col min="3573" max="3573" width="11.453125" style="1"/>
    <col min="3574" max="3574" width="29.08984375" style="1" customWidth="1"/>
    <col min="3575" max="3575" width="12.08984375" style="1" bestFit="1" customWidth="1"/>
    <col min="3576" max="3578" width="12" style="1" bestFit="1" customWidth="1"/>
    <col min="3579" max="3580" width="12.36328125" style="1" bestFit="1" customWidth="1"/>
    <col min="3581" max="3587" width="11.453125" style="1"/>
    <col min="3588" max="3588" width="11.90625" style="1" bestFit="1" customWidth="1"/>
    <col min="3589" max="3591" width="11.453125" style="1"/>
    <col min="3592" max="3592" width="12.08984375" style="1" bestFit="1" customWidth="1"/>
    <col min="3593" max="3827" width="11.453125" style="1"/>
    <col min="3828" max="3828" width="4.08984375" style="1" customWidth="1"/>
    <col min="3829" max="3829" width="11.453125" style="1"/>
    <col min="3830" max="3830" width="29.08984375" style="1" customWidth="1"/>
    <col min="3831" max="3831" width="12.08984375" style="1" bestFit="1" customWidth="1"/>
    <col min="3832" max="3834" width="12" style="1" bestFit="1" customWidth="1"/>
    <col min="3835" max="3836" width="12.36328125" style="1" bestFit="1" customWidth="1"/>
    <col min="3837" max="3843" width="11.453125" style="1"/>
    <col min="3844" max="3844" width="11.90625" style="1" bestFit="1" customWidth="1"/>
    <col min="3845" max="3847" width="11.453125" style="1"/>
    <col min="3848" max="3848" width="12.08984375" style="1" bestFit="1" customWidth="1"/>
    <col min="3849" max="4083" width="11.453125" style="1"/>
    <col min="4084" max="4084" width="4.08984375" style="1" customWidth="1"/>
    <col min="4085" max="4085" width="11.453125" style="1"/>
    <col min="4086" max="4086" width="29.08984375" style="1" customWidth="1"/>
    <col min="4087" max="4087" width="12.08984375" style="1" bestFit="1" customWidth="1"/>
    <col min="4088" max="4090" width="12" style="1" bestFit="1" customWidth="1"/>
    <col min="4091" max="4092" width="12.36328125" style="1" bestFit="1" customWidth="1"/>
    <col min="4093" max="4099" width="11.453125" style="1"/>
    <col min="4100" max="4100" width="11.90625" style="1" bestFit="1" customWidth="1"/>
    <col min="4101" max="4103" width="11.453125" style="1"/>
    <col min="4104" max="4104" width="12.08984375" style="1" bestFit="1" customWidth="1"/>
    <col min="4105" max="4339" width="11.453125" style="1"/>
    <col min="4340" max="4340" width="4.08984375" style="1" customWidth="1"/>
    <col min="4341" max="4341" width="11.453125" style="1"/>
    <col min="4342" max="4342" width="29.08984375" style="1" customWidth="1"/>
    <col min="4343" max="4343" width="12.08984375" style="1" bestFit="1" customWidth="1"/>
    <col min="4344" max="4346" width="12" style="1" bestFit="1" customWidth="1"/>
    <col min="4347" max="4348" width="12.36328125" style="1" bestFit="1" customWidth="1"/>
    <col min="4349" max="4355" width="11.453125" style="1"/>
    <col min="4356" max="4356" width="11.90625" style="1" bestFit="1" customWidth="1"/>
    <col min="4357" max="4359" width="11.453125" style="1"/>
    <col min="4360" max="4360" width="12.08984375" style="1" bestFit="1" customWidth="1"/>
    <col min="4361" max="4595" width="11.453125" style="1"/>
    <col min="4596" max="4596" width="4.08984375" style="1" customWidth="1"/>
    <col min="4597" max="4597" width="11.453125" style="1"/>
    <col min="4598" max="4598" width="29.08984375" style="1" customWidth="1"/>
    <col min="4599" max="4599" width="12.08984375" style="1" bestFit="1" customWidth="1"/>
    <col min="4600" max="4602" width="12" style="1" bestFit="1" customWidth="1"/>
    <col min="4603" max="4604" width="12.36328125" style="1" bestFit="1" customWidth="1"/>
    <col min="4605" max="4611" width="11.453125" style="1"/>
    <col min="4612" max="4612" width="11.90625" style="1" bestFit="1" customWidth="1"/>
    <col min="4613" max="4615" width="11.453125" style="1"/>
    <col min="4616" max="4616" width="12.08984375" style="1" bestFit="1" customWidth="1"/>
    <col min="4617" max="4851" width="11.453125" style="1"/>
    <col min="4852" max="4852" width="4.08984375" style="1" customWidth="1"/>
    <col min="4853" max="4853" width="11.453125" style="1"/>
    <col min="4854" max="4854" width="29.08984375" style="1" customWidth="1"/>
    <col min="4855" max="4855" width="12.08984375" style="1" bestFit="1" customWidth="1"/>
    <col min="4856" max="4858" width="12" style="1" bestFit="1" customWidth="1"/>
    <col min="4859" max="4860" width="12.36328125" style="1" bestFit="1" customWidth="1"/>
    <col min="4861" max="4867" width="11.453125" style="1"/>
    <col min="4868" max="4868" width="11.90625" style="1" bestFit="1" customWidth="1"/>
    <col min="4869" max="4871" width="11.453125" style="1"/>
    <col min="4872" max="4872" width="12.08984375" style="1" bestFit="1" customWidth="1"/>
    <col min="4873" max="5107" width="11.453125" style="1"/>
    <col min="5108" max="5108" width="4.08984375" style="1" customWidth="1"/>
    <col min="5109" max="5109" width="11.453125" style="1"/>
    <col min="5110" max="5110" width="29.08984375" style="1" customWidth="1"/>
    <col min="5111" max="5111" width="12.08984375" style="1" bestFit="1" customWidth="1"/>
    <col min="5112" max="5114" width="12" style="1" bestFit="1" customWidth="1"/>
    <col min="5115" max="5116" width="12.36328125" style="1" bestFit="1" customWidth="1"/>
    <col min="5117" max="5123" width="11.453125" style="1"/>
    <col min="5124" max="5124" width="11.90625" style="1" bestFit="1" customWidth="1"/>
    <col min="5125" max="5127" width="11.453125" style="1"/>
    <col min="5128" max="5128" width="12.08984375" style="1" bestFit="1" customWidth="1"/>
    <col min="5129" max="5363" width="11.453125" style="1"/>
    <col min="5364" max="5364" width="4.08984375" style="1" customWidth="1"/>
    <col min="5365" max="5365" width="11.453125" style="1"/>
    <col min="5366" max="5366" width="29.08984375" style="1" customWidth="1"/>
    <col min="5367" max="5367" width="12.08984375" style="1" bestFit="1" customWidth="1"/>
    <col min="5368" max="5370" width="12" style="1" bestFit="1" customWidth="1"/>
    <col min="5371" max="5372" width="12.36328125" style="1" bestFit="1" customWidth="1"/>
    <col min="5373" max="5379" width="11.453125" style="1"/>
    <col min="5380" max="5380" width="11.90625" style="1" bestFit="1" customWidth="1"/>
    <col min="5381" max="5383" width="11.453125" style="1"/>
    <col min="5384" max="5384" width="12.08984375" style="1" bestFit="1" customWidth="1"/>
    <col min="5385" max="5619" width="11.453125" style="1"/>
    <col min="5620" max="5620" width="4.08984375" style="1" customWidth="1"/>
    <col min="5621" max="5621" width="11.453125" style="1"/>
    <col min="5622" max="5622" width="29.08984375" style="1" customWidth="1"/>
    <col min="5623" max="5623" width="12.08984375" style="1" bestFit="1" customWidth="1"/>
    <col min="5624" max="5626" width="12" style="1" bestFit="1" customWidth="1"/>
    <col min="5627" max="5628" width="12.36328125" style="1" bestFit="1" customWidth="1"/>
    <col min="5629" max="5635" width="11.453125" style="1"/>
    <col min="5636" max="5636" width="11.90625" style="1" bestFit="1" customWidth="1"/>
    <col min="5637" max="5639" width="11.453125" style="1"/>
    <col min="5640" max="5640" width="12.08984375" style="1" bestFit="1" customWidth="1"/>
    <col min="5641" max="5875" width="11.453125" style="1"/>
    <col min="5876" max="5876" width="4.08984375" style="1" customWidth="1"/>
    <col min="5877" max="5877" width="11.453125" style="1"/>
    <col min="5878" max="5878" width="29.08984375" style="1" customWidth="1"/>
    <col min="5879" max="5879" width="12.08984375" style="1" bestFit="1" customWidth="1"/>
    <col min="5880" max="5882" width="12" style="1" bestFit="1" customWidth="1"/>
    <col min="5883" max="5884" width="12.36328125" style="1" bestFit="1" customWidth="1"/>
    <col min="5885" max="5891" width="11.453125" style="1"/>
    <col min="5892" max="5892" width="11.90625" style="1" bestFit="1" customWidth="1"/>
    <col min="5893" max="5895" width="11.453125" style="1"/>
    <col min="5896" max="5896" width="12.08984375" style="1" bestFit="1" customWidth="1"/>
    <col min="5897" max="6131" width="11.453125" style="1"/>
    <col min="6132" max="6132" width="4.08984375" style="1" customWidth="1"/>
    <col min="6133" max="6133" width="11.453125" style="1"/>
    <col min="6134" max="6134" width="29.08984375" style="1" customWidth="1"/>
    <col min="6135" max="6135" width="12.08984375" style="1" bestFit="1" customWidth="1"/>
    <col min="6136" max="6138" width="12" style="1" bestFit="1" customWidth="1"/>
    <col min="6139" max="6140" width="12.36328125" style="1" bestFit="1" customWidth="1"/>
    <col min="6141" max="6147" width="11.453125" style="1"/>
    <col min="6148" max="6148" width="11.90625" style="1" bestFit="1" customWidth="1"/>
    <col min="6149" max="6151" width="11.453125" style="1"/>
    <col min="6152" max="6152" width="12.08984375" style="1" bestFit="1" customWidth="1"/>
    <col min="6153" max="6387" width="11.453125" style="1"/>
    <col min="6388" max="6388" width="4.08984375" style="1" customWidth="1"/>
    <col min="6389" max="6389" width="11.453125" style="1"/>
    <col min="6390" max="6390" width="29.08984375" style="1" customWidth="1"/>
    <col min="6391" max="6391" width="12.08984375" style="1" bestFit="1" customWidth="1"/>
    <col min="6392" max="6394" width="12" style="1" bestFit="1" customWidth="1"/>
    <col min="6395" max="6396" width="12.36328125" style="1" bestFit="1" customWidth="1"/>
    <col min="6397" max="6403" width="11.453125" style="1"/>
    <col min="6404" max="6404" width="11.90625" style="1" bestFit="1" customWidth="1"/>
    <col min="6405" max="6407" width="11.453125" style="1"/>
    <col min="6408" max="6408" width="12.08984375" style="1" bestFit="1" customWidth="1"/>
    <col min="6409" max="6643" width="11.453125" style="1"/>
    <col min="6644" max="6644" width="4.08984375" style="1" customWidth="1"/>
    <col min="6645" max="6645" width="11.453125" style="1"/>
    <col min="6646" max="6646" width="29.08984375" style="1" customWidth="1"/>
    <col min="6647" max="6647" width="12.08984375" style="1" bestFit="1" customWidth="1"/>
    <col min="6648" max="6650" width="12" style="1" bestFit="1" customWidth="1"/>
    <col min="6651" max="6652" width="12.36328125" style="1" bestFit="1" customWidth="1"/>
    <col min="6653" max="6659" width="11.453125" style="1"/>
    <col min="6660" max="6660" width="11.90625" style="1" bestFit="1" customWidth="1"/>
    <col min="6661" max="6663" width="11.453125" style="1"/>
    <col min="6664" max="6664" width="12.08984375" style="1" bestFit="1" customWidth="1"/>
    <col min="6665" max="6899" width="11.453125" style="1"/>
    <col min="6900" max="6900" width="4.08984375" style="1" customWidth="1"/>
    <col min="6901" max="6901" width="11.453125" style="1"/>
    <col min="6902" max="6902" width="29.08984375" style="1" customWidth="1"/>
    <col min="6903" max="6903" width="12.08984375" style="1" bestFit="1" customWidth="1"/>
    <col min="6904" max="6906" width="12" style="1" bestFit="1" customWidth="1"/>
    <col min="6907" max="6908" width="12.36328125" style="1" bestFit="1" customWidth="1"/>
    <col min="6909" max="6915" width="11.453125" style="1"/>
    <col min="6916" max="6916" width="11.90625" style="1" bestFit="1" customWidth="1"/>
    <col min="6917" max="6919" width="11.453125" style="1"/>
    <col min="6920" max="6920" width="12.08984375" style="1" bestFit="1" customWidth="1"/>
    <col min="6921" max="7155" width="11.453125" style="1"/>
    <col min="7156" max="7156" width="4.08984375" style="1" customWidth="1"/>
    <col min="7157" max="7157" width="11.453125" style="1"/>
    <col min="7158" max="7158" width="29.08984375" style="1" customWidth="1"/>
    <col min="7159" max="7159" width="12.08984375" style="1" bestFit="1" customWidth="1"/>
    <col min="7160" max="7162" width="12" style="1" bestFit="1" customWidth="1"/>
    <col min="7163" max="7164" width="12.36328125" style="1" bestFit="1" customWidth="1"/>
    <col min="7165" max="7171" width="11.453125" style="1"/>
    <col min="7172" max="7172" width="11.90625" style="1" bestFit="1" customWidth="1"/>
    <col min="7173" max="7175" width="11.453125" style="1"/>
    <col min="7176" max="7176" width="12.08984375" style="1" bestFit="1" customWidth="1"/>
    <col min="7177" max="7411" width="11.453125" style="1"/>
    <col min="7412" max="7412" width="4.08984375" style="1" customWidth="1"/>
    <col min="7413" max="7413" width="11.453125" style="1"/>
    <col min="7414" max="7414" width="29.08984375" style="1" customWidth="1"/>
    <col min="7415" max="7415" width="12.08984375" style="1" bestFit="1" customWidth="1"/>
    <col min="7416" max="7418" width="12" style="1" bestFit="1" customWidth="1"/>
    <col min="7419" max="7420" width="12.36328125" style="1" bestFit="1" customWidth="1"/>
    <col min="7421" max="7427" width="11.453125" style="1"/>
    <col min="7428" max="7428" width="11.90625" style="1" bestFit="1" customWidth="1"/>
    <col min="7429" max="7431" width="11.453125" style="1"/>
    <col min="7432" max="7432" width="12.08984375" style="1" bestFit="1" customWidth="1"/>
    <col min="7433" max="7667" width="11.453125" style="1"/>
    <col min="7668" max="7668" width="4.08984375" style="1" customWidth="1"/>
    <col min="7669" max="7669" width="11.453125" style="1"/>
    <col min="7670" max="7670" width="29.08984375" style="1" customWidth="1"/>
    <col min="7671" max="7671" width="12.08984375" style="1" bestFit="1" customWidth="1"/>
    <col min="7672" max="7674" width="12" style="1" bestFit="1" customWidth="1"/>
    <col min="7675" max="7676" width="12.36328125" style="1" bestFit="1" customWidth="1"/>
    <col min="7677" max="7683" width="11.453125" style="1"/>
    <col min="7684" max="7684" width="11.90625" style="1" bestFit="1" customWidth="1"/>
    <col min="7685" max="7687" width="11.453125" style="1"/>
    <col min="7688" max="7688" width="12.08984375" style="1" bestFit="1" customWidth="1"/>
    <col min="7689" max="7923" width="11.453125" style="1"/>
    <col min="7924" max="7924" width="4.08984375" style="1" customWidth="1"/>
    <col min="7925" max="7925" width="11.453125" style="1"/>
    <col min="7926" max="7926" width="29.08984375" style="1" customWidth="1"/>
    <col min="7927" max="7927" width="12.08984375" style="1" bestFit="1" customWidth="1"/>
    <col min="7928" max="7930" width="12" style="1" bestFit="1" customWidth="1"/>
    <col min="7931" max="7932" width="12.36328125" style="1" bestFit="1" customWidth="1"/>
    <col min="7933" max="7939" width="11.453125" style="1"/>
    <col min="7940" max="7940" width="11.90625" style="1" bestFit="1" customWidth="1"/>
    <col min="7941" max="7943" width="11.453125" style="1"/>
    <col min="7944" max="7944" width="12.08984375" style="1" bestFit="1" customWidth="1"/>
    <col min="7945" max="8179" width="11.453125" style="1"/>
    <col min="8180" max="8180" width="4.08984375" style="1" customWidth="1"/>
    <col min="8181" max="8181" width="11.453125" style="1"/>
    <col min="8182" max="8182" width="29.08984375" style="1" customWidth="1"/>
    <col min="8183" max="8183" width="12.08984375" style="1" bestFit="1" customWidth="1"/>
    <col min="8184" max="8186" width="12" style="1" bestFit="1" customWidth="1"/>
    <col min="8187" max="8188" width="12.36328125" style="1" bestFit="1" customWidth="1"/>
    <col min="8189" max="8195" width="11.453125" style="1"/>
    <col min="8196" max="8196" width="11.90625" style="1" bestFit="1" customWidth="1"/>
    <col min="8197" max="8199" width="11.453125" style="1"/>
    <col min="8200" max="8200" width="12.08984375" style="1" bestFit="1" customWidth="1"/>
    <col min="8201" max="8435" width="11.453125" style="1"/>
    <col min="8436" max="8436" width="4.08984375" style="1" customWidth="1"/>
    <col min="8437" max="8437" width="11.453125" style="1"/>
    <col min="8438" max="8438" width="29.08984375" style="1" customWidth="1"/>
    <col min="8439" max="8439" width="12.08984375" style="1" bestFit="1" customWidth="1"/>
    <col min="8440" max="8442" width="12" style="1" bestFit="1" customWidth="1"/>
    <col min="8443" max="8444" width="12.36328125" style="1" bestFit="1" customWidth="1"/>
    <col min="8445" max="8451" width="11.453125" style="1"/>
    <col min="8452" max="8452" width="11.90625" style="1" bestFit="1" customWidth="1"/>
    <col min="8453" max="8455" width="11.453125" style="1"/>
    <col min="8456" max="8456" width="12.08984375" style="1" bestFit="1" customWidth="1"/>
    <col min="8457" max="8691" width="11.453125" style="1"/>
    <col min="8692" max="8692" width="4.08984375" style="1" customWidth="1"/>
    <col min="8693" max="8693" width="11.453125" style="1"/>
    <col min="8694" max="8694" width="29.08984375" style="1" customWidth="1"/>
    <col min="8695" max="8695" width="12.08984375" style="1" bestFit="1" customWidth="1"/>
    <col min="8696" max="8698" width="12" style="1" bestFit="1" customWidth="1"/>
    <col min="8699" max="8700" width="12.36328125" style="1" bestFit="1" customWidth="1"/>
    <col min="8701" max="8707" width="11.453125" style="1"/>
    <col min="8708" max="8708" width="11.90625" style="1" bestFit="1" customWidth="1"/>
    <col min="8709" max="8711" width="11.453125" style="1"/>
    <col min="8712" max="8712" width="12.08984375" style="1" bestFit="1" customWidth="1"/>
    <col min="8713" max="8947" width="11.453125" style="1"/>
    <col min="8948" max="8948" width="4.08984375" style="1" customWidth="1"/>
    <col min="8949" max="8949" width="11.453125" style="1"/>
    <col min="8950" max="8950" width="29.08984375" style="1" customWidth="1"/>
    <col min="8951" max="8951" width="12.08984375" style="1" bestFit="1" customWidth="1"/>
    <col min="8952" max="8954" width="12" style="1" bestFit="1" customWidth="1"/>
    <col min="8955" max="8956" width="12.36328125" style="1" bestFit="1" customWidth="1"/>
    <col min="8957" max="8963" width="11.453125" style="1"/>
    <col min="8964" max="8964" width="11.90625" style="1" bestFit="1" customWidth="1"/>
    <col min="8965" max="8967" width="11.453125" style="1"/>
    <col min="8968" max="8968" width="12.08984375" style="1" bestFit="1" customWidth="1"/>
    <col min="8969" max="9203" width="11.453125" style="1"/>
    <col min="9204" max="9204" width="4.08984375" style="1" customWidth="1"/>
    <col min="9205" max="9205" width="11.453125" style="1"/>
    <col min="9206" max="9206" width="29.08984375" style="1" customWidth="1"/>
    <col min="9207" max="9207" width="12.08984375" style="1" bestFit="1" customWidth="1"/>
    <col min="9208" max="9210" width="12" style="1" bestFit="1" customWidth="1"/>
    <col min="9211" max="9212" width="12.36328125" style="1" bestFit="1" customWidth="1"/>
    <col min="9213" max="9219" width="11.453125" style="1"/>
    <col min="9220" max="9220" width="11.90625" style="1" bestFit="1" customWidth="1"/>
    <col min="9221" max="9223" width="11.453125" style="1"/>
    <col min="9224" max="9224" width="12.08984375" style="1" bestFit="1" customWidth="1"/>
    <col min="9225" max="9459" width="11.453125" style="1"/>
    <col min="9460" max="9460" width="4.08984375" style="1" customWidth="1"/>
    <col min="9461" max="9461" width="11.453125" style="1"/>
    <col min="9462" max="9462" width="29.08984375" style="1" customWidth="1"/>
    <col min="9463" max="9463" width="12.08984375" style="1" bestFit="1" customWidth="1"/>
    <col min="9464" max="9466" width="12" style="1" bestFit="1" customWidth="1"/>
    <col min="9467" max="9468" width="12.36328125" style="1" bestFit="1" customWidth="1"/>
    <col min="9469" max="9475" width="11.453125" style="1"/>
    <col min="9476" max="9476" width="11.90625" style="1" bestFit="1" customWidth="1"/>
    <col min="9477" max="9479" width="11.453125" style="1"/>
    <col min="9480" max="9480" width="12.08984375" style="1" bestFit="1" customWidth="1"/>
    <col min="9481" max="9715" width="11.453125" style="1"/>
    <col min="9716" max="9716" width="4.08984375" style="1" customWidth="1"/>
    <col min="9717" max="9717" width="11.453125" style="1"/>
    <col min="9718" max="9718" width="29.08984375" style="1" customWidth="1"/>
    <col min="9719" max="9719" width="12.08984375" style="1" bestFit="1" customWidth="1"/>
    <col min="9720" max="9722" width="12" style="1" bestFit="1" customWidth="1"/>
    <col min="9723" max="9724" width="12.36328125" style="1" bestFit="1" customWidth="1"/>
    <col min="9725" max="9731" width="11.453125" style="1"/>
    <col min="9732" max="9732" width="11.90625" style="1" bestFit="1" customWidth="1"/>
    <col min="9733" max="9735" width="11.453125" style="1"/>
    <col min="9736" max="9736" width="12.08984375" style="1" bestFit="1" customWidth="1"/>
    <col min="9737" max="9971" width="11.453125" style="1"/>
    <col min="9972" max="9972" width="4.08984375" style="1" customWidth="1"/>
    <col min="9973" max="9973" width="11.453125" style="1"/>
    <col min="9974" max="9974" width="29.08984375" style="1" customWidth="1"/>
    <col min="9975" max="9975" width="12.08984375" style="1" bestFit="1" customWidth="1"/>
    <col min="9976" max="9978" width="12" style="1" bestFit="1" customWidth="1"/>
    <col min="9979" max="9980" width="12.36328125" style="1" bestFit="1" customWidth="1"/>
    <col min="9981" max="9987" width="11.453125" style="1"/>
    <col min="9988" max="9988" width="11.90625" style="1" bestFit="1" customWidth="1"/>
    <col min="9989" max="9991" width="11.453125" style="1"/>
    <col min="9992" max="9992" width="12.08984375" style="1" bestFit="1" customWidth="1"/>
    <col min="9993" max="10227" width="11.453125" style="1"/>
    <col min="10228" max="10228" width="4.08984375" style="1" customWidth="1"/>
    <col min="10229" max="10229" width="11.453125" style="1"/>
    <col min="10230" max="10230" width="29.08984375" style="1" customWidth="1"/>
    <col min="10231" max="10231" width="12.08984375" style="1" bestFit="1" customWidth="1"/>
    <col min="10232" max="10234" width="12" style="1" bestFit="1" customWidth="1"/>
    <col min="10235" max="10236" width="12.36328125" style="1" bestFit="1" customWidth="1"/>
    <col min="10237" max="10243" width="11.453125" style="1"/>
    <col min="10244" max="10244" width="11.90625" style="1" bestFit="1" customWidth="1"/>
    <col min="10245" max="10247" width="11.453125" style="1"/>
    <col min="10248" max="10248" width="12.08984375" style="1" bestFit="1" customWidth="1"/>
    <col min="10249" max="10483" width="11.453125" style="1"/>
    <col min="10484" max="10484" width="4.08984375" style="1" customWidth="1"/>
    <col min="10485" max="10485" width="11.453125" style="1"/>
    <col min="10486" max="10486" width="29.08984375" style="1" customWidth="1"/>
    <col min="10487" max="10487" width="12.08984375" style="1" bestFit="1" customWidth="1"/>
    <col min="10488" max="10490" width="12" style="1" bestFit="1" customWidth="1"/>
    <col min="10491" max="10492" width="12.36328125" style="1" bestFit="1" customWidth="1"/>
    <col min="10493" max="10499" width="11.453125" style="1"/>
    <col min="10500" max="10500" width="11.90625" style="1" bestFit="1" customWidth="1"/>
    <col min="10501" max="10503" width="11.453125" style="1"/>
    <col min="10504" max="10504" width="12.08984375" style="1" bestFit="1" customWidth="1"/>
    <col min="10505" max="10739" width="11.453125" style="1"/>
    <col min="10740" max="10740" width="4.08984375" style="1" customWidth="1"/>
    <col min="10741" max="10741" width="11.453125" style="1"/>
    <col min="10742" max="10742" width="29.08984375" style="1" customWidth="1"/>
    <col min="10743" max="10743" width="12.08984375" style="1" bestFit="1" customWidth="1"/>
    <col min="10744" max="10746" width="12" style="1" bestFit="1" customWidth="1"/>
    <col min="10747" max="10748" width="12.36328125" style="1" bestFit="1" customWidth="1"/>
    <col min="10749" max="10755" width="11.453125" style="1"/>
    <col min="10756" max="10756" width="11.90625" style="1" bestFit="1" customWidth="1"/>
    <col min="10757" max="10759" width="11.453125" style="1"/>
    <col min="10760" max="10760" width="12.08984375" style="1" bestFit="1" customWidth="1"/>
    <col min="10761" max="10995" width="11.453125" style="1"/>
    <col min="10996" max="10996" width="4.08984375" style="1" customWidth="1"/>
    <col min="10997" max="10997" width="11.453125" style="1"/>
    <col min="10998" max="10998" width="29.08984375" style="1" customWidth="1"/>
    <col min="10999" max="10999" width="12.08984375" style="1" bestFit="1" customWidth="1"/>
    <col min="11000" max="11002" width="12" style="1" bestFit="1" customWidth="1"/>
    <col min="11003" max="11004" width="12.36328125" style="1" bestFit="1" customWidth="1"/>
    <col min="11005" max="11011" width="11.453125" style="1"/>
    <col min="11012" max="11012" width="11.90625" style="1" bestFit="1" customWidth="1"/>
    <col min="11013" max="11015" width="11.453125" style="1"/>
    <col min="11016" max="11016" width="12.08984375" style="1" bestFit="1" customWidth="1"/>
    <col min="11017" max="11251" width="11.453125" style="1"/>
    <col min="11252" max="11252" width="4.08984375" style="1" customWidth="1"/>
    <col min="11253" max="11253" width="11.453125" style="1"/>
    <col min="11254" max="11254" width="29.08984375" style="1" customWidth="1"/>
    <col min="11255" max="11255" width="12.08984375" style="1" bestFit="1" customWidth="1"/>
    <col min="11256" max="11258" width="12" style="1" bestFit="1" customWidth="1"/>
    <col min="11259" max="11260" width="12.36328125" style="1" bestFit="1" customWidth="1"/>
    <col min="11261" max="11267" width="11.453125" style="1"/>
    <col min="11268" max="11268" width="11.90625" style="1" bestFit="1" customWidth="1"/>
    <col min="11269" max="11271" width="11.453125" style="1"/>
    <col min="11272" max="11272" width="12.08984375" style="1" bestFit="1" customWidth="1"/>
    <col min="11273" max="11507" width="11.453125" style="1"/>
    <col min="11508" max="11508" width="4.08984375" style="1" customWidth="1"/>
    <col min="11509" max="11509" width="11.453125" style="1"/>
    <col min="11510" max="11510" width="29.08984375" style="1" customWidth="1"/>
    <col min="11511" max="11511" width="12.08984375" style="1" bestFit="1" customWidth="1"/>
    <col min="11512" max="11514" width="12" style="1" bestFit="1" customWidth="1"/>
    <col min="11515" max="11516" width="12.36328125" style="1" bestFit="1" customWidth="1"/>
    <col min="11517" max="11523" width="11.453125" style="1"/>
    <col min="11524" max="11524" width="11.90625" style="1" bestFit="1" customWidth="1"/>
    <col min="11525" max="11527" width="11.453125" style="1"/>
    <col min="11528" max="11528" width="12.08984375" style="1" bestFit="1" customWidth="1"/>
    <col min="11529" max="11763" width="11.453125" style="1"/>
    <col min="11764" max="11764" width="4.08984375" style="1" customWidth="1"/>
    <col min="11765" max="11765" width="11.453125" style="1"/>
    <col min="11766" max="11766" width="29.08984375" style="1" customWidth="1"/>
    <col min="11767" max="11767" width="12.08984375" style="1" bestFit="1" customWidth="1"/>
    <col min="11768" max="11770" width="12" style="1" bestFit="1" customWidth="1"/>
    <col min="11771" max="11772" width="12.36328125" style="1" bestFit="1" customWidth="1"/>
    <col min="11773" max="11779" width="11.453125" style="1"/>
    <col min="11780" max="11780" width="11.90625" style="1" bestFit="1" customWidth="1"/>
    <col min="11781" max="11783" width="11.453125" style="1"/>
    <col min="11784" max="11784" width="12.08984375" style="1" bestFit="1" customWidth="1"/>
    <col min="11785" max="12019" width="11.453125" style="1"/>
    <col min="12020" max="12020" width="4.08984375" style="1" customWidth="1"/>
    <col min="12021" max="12021" width="11.453125" style="1"/>
    <col min="12022" max="12022" width="29.08984375" style="1" customWidth="1"/>
    <col min="12023" max="12023" width="12.08984375" style="1" bestFit="1" customWidth="1"/>
    <col min="12024" max="12026" width="12" style="1" bestFit="1" customWidth="1"/>
    <col min="12027" max="12028" width="12.36328125" style="1" bestFit="1" customWidth="1"/>
    <col min="12029" max="12035" width="11.453125" style="1"/>
    <col min="12036" max="12036" width="11.90625" style="1" bestFit="1" customWidth="1"/>
    <col min="12037" max="12039" width="11.453125" style="1"/>
    <col min="12040" max="12040" width="12.08984375" style="1" bestFit="1" customWidth="1"/>
    <col min="12041" max="12275" width="11.453125" style="1"/>
    <col min="12276" max="12276" width="4.08984375" style="1" customWidth="1"/>
    <col min="12277" max="12277" width="11.453125" style="1"/>
    <col min="12278" max="12278" width="29.08984375" style="1" customWidth="1"/>
    <col min="12279" max="12279" width="12.08984375" style="1" bestFit="1" customWidth="1"/>
    <col min="12280" max="12282" width="12" style="1" bestFit="1" customWidth="1"/>
    <col min="12283" max="12284" width="12.36328125" style="1" bestFit="1" customWidth="1"/>
    <col min="12285" max="12291" width="11.453125" style="1"/>
    <col min="12292" max="12292" width="11.90625" style="1" bestFit="1" customWidth="1"/>
    <col min="12293" max="12295" width="11.453125" style="1"/>
    <col min="12296" max="12296" width="12.08984375" style="1" bestFit="1" customWidth="1"/>
    <col min="12297" max="12531" width="11.453125" style="1"/>
    <col min="12532" max="12532" width="4.08984375" style="1" customWidth="1"/>
    <col min="12533" max="12533" width="11.453125" style="1"/>
    <col min="12534" max="12534" width="29.08984375" style="1" customWidth="1"/>
    <col min="12535" max="12535" width="12.08984375" style="1" bestFit="1" customWidth="1"/>
    <col min="12536" max="12538" width="12" style="1" bestFit="1" customWidth="1"/>
    <col min="12539" max="12540" width="12.36328125" style="1" bestFit="1" customWidth="1"/>
    <col min="12541" max="12547" width="11.453125" style="1"/>
    <col min="12548" max="12548" width="11.90625" style="1" bestFit="1" customWidth="1"/>
    <col min="12549" max="12551" width="11.453125" style="1"/>
    <col min="12552" max="12552" width="12.08984375" style="1" bestFit="1" customWidth="1"/>
    <col min="12553" max="12787" width="11.453125" style="1"/>
    <col min="12788" max="12788" width="4.08984375" style="1" customWidth="1"/>
    <col min="12789" max="12789" width="11.453125" style="1"/>
    <col min="12790" max="12790" width="29.08984375" style="1" customWidth="1"/>
    <col min="12791" max="12791" width="12.08984375" style="1" bestFit="1" customWidth="1"/>
    <col min="12792" max="12794" width="12" style="1" bestFit="1" customWidth="1"/>
    <col min="12795" max="12796" width="12.36328125" style="1" bestFit="1" customWidth="1"/>
    <col min="12797" max="12803" width="11.453125" style="1"/>
    <col min="12804" max="12804" width="11.90625" style="1" bestFit="1" customWidth="1"/>
    <col min="12805" max="12807" width="11.453125" style="1"/>
    <col min="12808" max="12808" width="12.08984375" style="1" bestFit="1" customWidth="1"/>
    <col min="12809" max="13043" width="11.453125" style="1"/>
    <col min="13044" max="13044" width="4.08984375" style="1" customWidth="1"/>
    <col min="13045" max="13045" width="11.453125" style="1"/>
    <col min="13046" max="13046" width="29.08984375" style="1" customWidth="1"/>
    <col min="13047" max="13047" width="12.08984375" style="1" bestFit="1" customWidth="1"/>
    <col min="13048" max="13050" width="12" style="1" bestFit="1" customWidth="1"/>
    <col min="13051" max="13052" width="12.36328125" style="1" bestFit="1" customWidth="1"/>
    <col min="13053" max="13059" width="11.453125" style="1"/>
    <col min="13060" max="13060" width="11.90625" style="1" bestFit="1" customWidth="1"/>
    <col min="13061" max="13063" width="11.453125" style="1"/>
    <col min="13064" max="13064" width="12.08984375" style="1" bestFit="1" customWidth="1"/>
    <col min="13065" max="13299" width="11.453125" style="1"/>
    <col min="13300" max="13300" width="4.08984375" style="1" customWidth="1"/>
    <col min="13301" max="13301" width="11.453125" style="1"/>
    <col min="13302" max="13302" width="29.08984375" style="1" customWidth="1"/>
    <col min="13303" max="13303" width="12.08984375" style="1" bestFit="1" customWidth="1"/>
    <col min="13304" max="13306" width="12" style="1" bestFit="1" customWidth="1"/>
    <col min="13307" max="13308" width="12.36328125" style="1" bestFit="1" customWidth="1"/>
    <col min="13309" max="13315" width="11.453125" style="1"/>
    <col min="13316" max="13316" width="11.90625" style="1" bestFit="1" customWidth="1"/>
    <col min="13317" max="13319" width="11.453125" style="1"/>
    <col min="13320" max="13320" width="12.08984375" style="1" bestFit="1" customWidth="1"/>
    <col min="13321" max="13555" width="11.453125" style="1"/>
    <col min="13556" max="13556" width="4.08984375" style="1" customWidth="1"/>
    <col min="13557" max="13557" width="11.453125" style="1"/>
    <col min="13558" max="13558" width="29.08984375" style="1" customWidth="1"/>
    <col min="13559" max="13559" width="12.08984375" style="1" bestFit="1" customWidth="1"/>
    <col min="13560" max="13562" width="12" style="1" bestFit="1" customWidth="1"/>
    <col min="13563" max="13564" width="12.36328125" style="1" bestFit="1" customWidth="1"/>
    <col min="13565" max="13571" width="11.453125" style="1"/>
    <col min="13572" max="13572" width="11.90625" style="1" bestFit="1" customWidth="1"/>
    <col min="13573" max="13575" width="11.453125" style="1"/>
    <col min="13576" max="13576" width="12.08984375" style="1" bestFit="1" customWidth="1"/>
    <col min="13577" max="13811" width="11.453125" style="1"/>
    <col min="13812" max="13812" width="4.08984375" style="1" customWidth="1"/>
    <col min="13813" max="13813" width="11.453125" style="1"/>
    <col min="13814" max="13814" width="29.08984375" style="1" customWidth="1"/>
    <col min="13815" max="13815" width="12.08984375" style="1" bestFit="1" customWidth="1"/>
    <col min="13816" max="13818" width="12" style="1" bestFit="1" customWidth="1"/>
    <col min="13819" max="13820" width="12.36328125" style="1" bestFit="1" customWidth="1"/>
    <col min="13821" max="13827" width="11.453125" style="1"/>
    <col min="13828" max="13828" width="11.90625" style="1" bestFit="1" customWidth="1"/>
    <col min="13829" max="13831" width="11.453125" style="1"/>
    <col min="13832" max="13832" width="12.08984375" style="1" bestFit="1" customWidth="1"/>
    <col min="13833" max="14067" width="11.453125" style="1"/>
    <col min="14068" max="14068" width="4.08984375" style="1" customWidth="1"/>
    <col min="14069" max="14069" width="11.453125" style="1"/>
    <col min="14070" max="14070" width="29.08984375" style="1" customWidth="1"/>
    <col min="14071" max="14071" width="12.08984375" style="1" bestFit="1" customWidth="1"/>
    <col min="14072" max="14074" width="12" style="1" bestFit="1" customWidth="1"/>
    <col min="14075" max="14076" width="12.36328125" style="1" bestFit="1" customWidth="1"/>
    <col min="14077" max="14083" width="11.453125" style="1"/>
    <col min="14084" max="14084" width="11.90625" style="1" bestFit="1" customWidth="1"/>
    <col min="14085" max="14087" width="11.453125" style="1"/>
    <col min="14088" max="14088" width="12.08984375" style="1" bestFit="1" customWidth="1"/>
    <col min="14089" max="14323" width="11.453125" style="1"/>
    <col min="14324" max="14324" width="4.08984375" style="1" customWidth="1"/>
    <col min="14325" max="14325" width="11.453125" style="1"/>
    <col min="14326" max="14326" width="29.08984375" style="1" customWidth="1"/>
    <col min="14327" max="14327" width="12.08984375" style="1" bestFit="1" customWidth="1"/>
    <col min="14328" max="14330" width="12" style="1" bestFit="1" customWidth="1"/>
    <col min="14331" max="14332" width="12.36328125" style="1" bestFit="1" customWidth="1"/>
    <col min="14333" max="14339" width="11.453125" style="1"/>
    <col min="14340" max="14340" width="11.90625" style="1" bestFit="1" customWidth="1"/>
    <col min="14341" max="14343" width="11.453125" style="1"/>
    <col min="14344" max="14344" width="12.08984375" style="1" bestFit="1" customWidth="1"/>
    <col min="14345" max="14579" width="11.453125" style="1"/>
    <col min="14580" max="14580" width="4.08984375" style="1" customWidth="1"/>
    <col min="14581" max="14581" width="11.453125" style="1"/>
    <col min="14582" max="14582" width="29.08984375" style="1" customWidth="1"/>
    <col min="14583" max="14583" width="12.08984375" style="1" bestFit="1" customWidth="1"/>
    <col min="14584" max="14586" width="12" style="1" bestFit="1" customWidth="1"/>
    <col min="14587" max="14588" width="12.36328125" style="1" bestFit="1" customWidth="1"/>
    <col min="14589" max="14595" width="11.453125" style="1"/>
    <col min="14596" max="14596" width="11.90625" style="1" bestFit="1" customWidth="1"/>
    <col min="14597" max="14599" width="11.453125" style="1"/>
    <col min="14600" max="14600" width="12.08984375" style="1" bestFit="1" customWidth="1"/>
    <col min="14601" max="14835" width="11.453125" style="1"/>
    <col min="14836" max="14836" width="4.08984375" style="1" customWidth="1"/>
    <col min="14837" max="14837" width="11.453125" style="1"/>
    <col min="14838" max="14838" width="29.08984375" style="1" customWidth="1"/>
    <col min="14839" max="14839" width="12.08984375" style="1" bestFit="1" customWidth="1"/>
    <col min="14840" max="14842" width="12" style="1" bestFit="1" customWidth="1"/>
    <col min="14843" max="14844" width="12.36328125" style="1" bestFit="1" customWidth="1"/>
    <col min="14845" max="14851" width="11.453125" style="1"/>
    <col min="14852" max="14852" width="11.90625" style="1" bestFit="1" customWidth="1"/>
    <col min="14853" max="14855" width="11.453125" style="1"/>
    <col min="14856" max="14856" width="12.08984375" style="1" bestFit="1" customWidth="1"/>
    <col min="14857" max="15091" width="11.453125" style="1"/>
    <col min="15092" max="15092" width="4.08984375" style="1" customWidth="1"/>
    <col min="15093" max="15093" width="11.453125" style="1"/>
    <col min="15094" max="15094" width="29.08984375" style="1" customWidth="1"/>
    <col min="15095" max="15095" width="12.08984375" style="1" bestFit="1" customWidth="1"/>
    <col min="15096" max="15098" width="12" style="1" bestFit="1" customWidth="1"/>
    <col min="15099" max="15100" width="12.36328125" style="1" bestFit="1" customWidth="1"/>
    <col min="15101" max="15107" width="11.453125" style="1"/>
    <col min="15108" max="15108" width="11.90625" style="1" bestFit="1" customWidth="1"/>
    <col min="15109" max="15111" width="11.453125" style="1"/>
    <col min="15112" max="15112" width="12.08984375" style="1" bestFit="1" customWidth="1"/>
    <col min="15113" max="15347" width="11.453125" style="1"/>
    <col min="15348" max="15348" width="4.08984375" style="1" customWidth="1"/>
    <col min="15349" max="15349" width="11.453125" style="1"/>
    <col min="15350" max="15350" width="29.08984375" style="1" customWidth="1"/>
    <col min="15351" max="15351" width="12.08984375" style="1" bestFit="1" customWidth="1"/>
    <col min="15352" max="15354" width="12" style="1" bestFit="1" customWidth="1"/>
    <col min="15355" max="15356" width="12.36328125" style="1" bestFit="1" customWidth="1"/>
    <col min="15357" max="15363" width="11.453125" style="1"/>
    <col min="15364" max="15364" width="11.90625" style="1" bestFit="1" customWidth="1"/>
    <col min="15365" max="15367" width="11.453125" style="1"/>
    <col min="15368" max="15368" width="12.08984375" style="1" bestFit="1" customWidth="1"/>
    <col min="15369" max="15603" width="11.453125" style="1"/>
    <col min="15604" max="15604" width="4.08984375" style="1" customWidth="1"/>
    <col min="15605" max="15605" width="11.453125" style="1"/>
    <col min="15606" max="15606" width="29.08984375" style="1" customWidth="1"/>
    <col min="15607" max="15607" width="12.08984375" style="1" bestFit="1" customWidth="1"/>
    <col min="15608" max="15610" width="12" style="1" bestFit="1" customWidth="1"/>
    <col min="15611" max="15612" width="12.36328125" style="1" bestFit="1" customWidth="1"/>
    <col min="15613" max="15619" width="11.453125" style="1"/>
    <col min="15620" max="15620" width="11.90625" style="1" bestFit="1" customWidth="1"/>
    <col min="15621" max="15623" width="11.453125" style="1"/>
    <col min="15624" max="15624" width="12.08984375" style="1" bestFit="1" customWidth="1"/>
    <col min="15625" max="15859" width="11.453125" style="1"/>
    <col min="15860" max="15860" width="4.08984375" style="1" customWidth="1"/>
    <col min="15861" max="15861" width="11.453125" style="1"/>
    <col min="15862" max="15862" width="29.08984375" style="1" customWidth="1"/>
    <col min="15863" max="15863" width="12.08984375" style="1" bestFit="1" customWidth="1"/>
    <col min="15864" max="15866" width="12" style="1" bestFit="1" customWidth="1"/>
    <col min="15867" max="15868" width="12.36328125" style="1" bestFit="1" customWidth="1"/>
    <col min="15869" max="15875" width="11.453125" style="1"/>
    <col min="15876" max="15876" width="11.90625" style="1" bestFit="1" customWidth="1"/>
    <col min="15877" max="15879" width="11.453125" style="1"/>
    <col min="15880" max="15880" width="12.08984375" style="1" bestFit="1" customWidth="1"/>
    <col min="15881" max="16115" width="11.453125" style="1"/>
    <col min="16116" max="16116" width="4.08984375" style="1" customWidth="1"/>
    <col min="16117" max="16117" width="11.453125" style="1"/>
    <col min="16118" max="16118" width="29.08984375" style="1" customWidth="1"/>
    <col min="16119" max="16119" width="12.08984375" style="1" bestFit="1" customWidth="1"/>
    <col min="16120" max="16122" width="12" style="1" bestFit="1" customWidth="1"/>
    <col min="16123" max="16124" width="12.36328125" style="1" bestFit="1" customWidth="1"/>
    <col min="16125" max="16131" width="11.453125" style="1"/>
    <col min="16132" max="16132" width="11.90625" style="1" bestFit="1" customWidth="1"/>
    <col min="16133" max="16135" width="11.453125" style="1"/>
    <col min="16136" max="16136" width="12.08984375" style="1" bestFit="1" customWidth="1"/>
    <col min="16137" max="16384" width="11.453125" style="1"/>
  </cols>
  <sheetData>
    <row r="1" spans="1:79" ht="15" thickBot="1" x14ac:dyDescent="0.4"/>
    <row r="2" spans="1:79" ht="15" thickBot="1" x14ac:dyDescent="0.4">
      <c r="B2" s="172"/>
      <c r="C2" s="140" t="s">
        <v>115</v>
      </c>
      <c r="D2" s="140" t="s">
        <v>28</v>
      </c>
      <c r="E2" s="141" t="s">
        <v>29</v>
      </c>
      <c r="F2" s="140" t="s">
        <v>30</v>
      </c>
      <c r="G2" s="141" t="s">
        <v>31</v>
      </c>
      <c r="H2" s="140" t="s">
        <v>32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</row>
    <row r="3" spans="1:79" ht="15" thickBot="1" x14ac:dyDescent="0.4"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</row>
    <row r="4" spans="1:79" ht="15" thickBot="1" x14ac:dyDescent="0.4">
      <c r="B4" s="171" t="s">
        <v>113</v>
      </c>
      <c r="C4" s="145">
        <v>0</v>
      </c>
      <c r="D4" s="146">
        <v>950000</v>
      </c>
      <c r="E4" s="146">
        <v>2200000</v>
      </c>
      <c r="F4" s="146">
        <v>3500000</v>
      </c>
      <c r="G4" s="146">
        <v>6000000</v>
      </c>
      <c r="H4" s="146">
        <v>10000000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</row>
    <row r="5" spans="1:79" ht="15" thickBot="1" x14ac:dyDescent="0.4">
      <c r="B5" s="167" t="s">
        <v>114</v>
      </c>
      <c r="C5" s="148">
        <f t="shared" ref="C5" si="0">+SUM(C6:C8)</f>
        <v>0</v>
      </c>
      <c r="D5" s="148">
        <f>+SUM(D6:D10)</f>
        <v>678500</v>
      </c>
      <c r="E5" s="148">
        <f t="shared" ref="E5:H5" si="1">+SUM(E6:E10)</f>
        <v>1656000</v>
      </c>
      <c r="F5" s="148">
        <f t="shared" si="1"/>
        <v>2818000</v>
      </c>
      <c r="G5" s="148">
        <f t="shared" si="1"/>
        <v>4137000</v>
      </c>
      <c r="H5" s="148">
        <f t="shared" si="1"/>
        <v>7505000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50"/>
    </row>
    <row r="6" spans="1:79" x14ac:dyDescent="0.35">
      <c r="B6" s="168" t="s">
        <v>33</v>
      </c>
      <c r="C6" s="148">
        <v>0</v>
      </c>
      <c r="D6" s="149">
        <v>570000</v>
      </c>
      <c r="E6" s="149">
        <v>1500000</v>
      </c>
      <c r="F6" s="149">
        <v>2600000</v>
      </c>
      <c r="G6" s="149">
        <v>3800000</v>
      </c>
      <c r="H6" s="149">
        <v>7000000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50"/>
    </row>
    <row r="7" spans="1:79" x14ac:dyDescent="0.35">
      <c r="B7" s="168" t="s">
        <v>34</v>
      </c>
      <c r="C7" s="149">
        <v>0</v>
      </c>
      <c r="D7" s="149">
        <v>100000</v>
      </c>
      <c r="E7" s="147">
        <v>100000</v>
      </c>
      <c r="F7" s="147">
        <v>130000</v>
      </c>
      <c r="G7" s="147">
        <v>170000</v>
      </c>
      <c r="H7" s="147">
        <v>210000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50"/>
    </row>
    <row r="8" spans="1:79" x14ac:dyDescent="0.35">
      <c r="B8" s="168" t="s">
        <v>35</v>
      </c>
      <c r="C8" s="149">
        <v>0</v>
      </c>
      <c r="D8" s="149">
        <v>60000</v>
      </c>
      <c r="E8" s="149">
        <v>80000</v>
      </c>
      <c r="F8" s="149">
        <v>83000</v>
      </c>
      <c r="G8" s="149">
        <v>87000</v>
      </c>
      <c r="H8" s="149">
        <v>95000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50"/>
    </row>
    <row r="9" spans="1:79" x14ac:dyDescent="0.35">
      <c r="B9" s="168" t="s">
        <v>111</v>
      </c>
      <c r="C9" s="149">
        <v>0</v>
      </c>
      <c r="D9" s="149">
        <f>0.03*D4</f>
        <v>28500</v>
      </c>
      <c r="E9" s="149">
        <f>0.03*E4</f>
        <v>66000</v>
      </c>
      <c r="F9" s="149">
        <f>0.03*F4</f>
        <v>105000</v>
      </c>
      <c r="G9" s="149">
        <f>0.03*G4</f>
        <v>180000</v>
      </c>
      <c r="H9" s="149">
        <f>0.03*H4</f>
        <v>300000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50"/>
    </row>
    <row r="10" spans="1:79" ht="15" thickBot="1" x14ac:dyDescent="0.4">
      <c r="B10" s="169" t="s">
        <v>112</v>
      </c>
      <c r="C10" s="149">
        <v>0</v>
      </c>
      <c r="D10" s="149">
        <f>+C18/5</f>
        <v>-80000</v>
      </c>
      <c r="E10" s="149">
        <f>+SUM($C$18:D18)/5</f>
        <v>-90000</v>
      </c>
      <c r="F10" s="149">
        <f>+SUM($C$18:E18)/5</f>
        <v>-100000</v>
      </c>
      <c r="G10" s="149">
        <f>+SUM($C$18:F18)/5</f>
        <v>-100000</v>
      </c>
      <c r="H10" s="149">
        <f>+SUM($C$18:G18)/5</f>
        <v>-100000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50"/>
    </row>
    <row r="11" spans="1:79" ht="15" thickBot="1" x14ac:dyDescent="0.4">
      <c r="A11" s="61"/>
      <c r="B11" s="152" t="s">
        <v>36</v>
      </c>
      <c r="C11" s="153">
        <f>+C5</f>
        <v>0</v>
      </c>
      <c r="D11" s="153">
        <f>+SUM(D6:D10)</f>
        <v>678500</v>
      </c>
      <c r="E11" s="153">
        <f t="shared" ref="E11:H11" si="2">+SUM(E6:E10)</f>
        <v>1656000</v>
      </c>
      <c r="F11" s="153">
        <f t="shared" si="2"/>
        <v>2818000</v>
      </c>
      <c r="G11" s="153">
        <f t="shared" si="2"/>
        <v>4137000</v>
      </c>
      <c r="H11" s="150">
        <f t="shared" si="2"/>
        <v>7505000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</row>
    <row r="12" spans="1:79" x14ac:dyDescent="0.35">
      <c r="B12" s="175" t="s">
        <v>116</v>
      </c>
      <c r="C12" s="146"/>
      <c r="D12" s="146">
        <f>+D4-D11</f>
        <v>271500</v>
      </c>
      <c r="E12" s="146">
        <f>+E4-E11</f>
        <v>544000</v>
      </c>
      <c r="F12" s="146">
        <f>+F4-F11</f>
        <v>682000</v>
      </c>
      <c r="G12" s="146">
        <f>+G4-G11</f>
        <v>1863000</v>
      </c>
      <c r="H12" s="146">
        <f>+H4-H11</f>
        <v>2495000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</row>
    <row r="13" spans="1:79" ht="15.75" customHeight="1" thickBot="1" x14ac:dyDescent="0.4">
      <c r="B13" s="176" t="s">
        <v>37</v>
      </c>
      <c r="C13" s="154"/>
      <c r="D13" s="155">
        <f>IF(+D4-D11&gt;0,(D4-D11)*35%,0)</f>
        <v>95025</v>
      </c>
      <c r="E13" s="155">
        <f t="shared" ref="E13:H13" si="3">IF(+E4-E11&gt;0,(E4-E11)*35%,0)</f>
        <v>190400</v>
      </c>
      <c r="F13" s="155">
        <f t="shared" si="3"/>
        <v>238699.99999999997</v>
      </c>
      <c r="G13" s="155">
        <f t="shared" si="3"/>
        <v>652050</v>
      </c>
      <c r="H13" s="155">
        <f t="shared" si="3"/>
        <v>873250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</row>
    <row r="14" spans="1:79" ht="15" thickBot="1" x14ac:dyDescent="0.4">
      <c r="B14" s="170" t="s">
        <v>119</v>
      </c>
      <c r="C14" s="143">
        <f>+C12-SUM(C13:C13)</f>
        <v>0</v>
      </c>
      <c r="D14" s="150">
        <f>+D12-D13</f>
        <v>176475</v>
      </c>
      <c r="E14" s="150">
        <f t="shared" ref="E14:H14" si="4">+E12-E13</f>
        <v>353600</v>
      </c>
      <c r="F14" s="150">
        <f t="shared" si="4"/>
        <v>443300</v>
      </c>
      <c r="G14" s="150">
        <f t="shared" si="4"/>
        <v>1210950</v>
      </c>
      <c r="H14" s="150">
        <f t="shared" si="4"/>
        <v>1621750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</row>
    <row r="15" spans="1:79" ht="15" thickBot="1" x14ac:dyDescent="0.4"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</row>
    <row r="16" spans="1:79" ht="15" thickBot="1" x14ac:dyDescent="0.4">
      <c r="B16" s="152" t="s">
        <v>27</v>
      </c>
      <c r="C16" s="140" t="s">
        <v>115</v>
      </c>
      <c r="D16" s="140" t="s">
        <v>28</v>
      </c>
      <c r="E16" s="141" t="s">
        <v>29</v>
      </c>
      <c r="F16" s="140" t="s">
        <v>30</v>
      </c>
      <c r="G16" s="141" t="s">
        <v>31</v>
      </c>
      <c r="H16" s="140" t="s">
        <v>32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</row>
    <row r="17" spans="2:79" ht="15" thickBot="1" x14ac:dyDescent="0.4">
      <c r="B17" s="170" t="s">
        <v>119</v>
      </c>
      <c r="C17" s="143">
        <f>+C14</f>
        <v>0</v>
      </c>
      <c r="D17" s="143">
        <f t="shared" ref="D17:H17" si="5">+D14</f>
        <v>176475</v>
      </c>
      <c r="E17" s="143">
        <f t="shared" si="5"/>
        <v>353600</v>
      </c>
      <c r="F17" s="143">
        <f t="shared" si="5"/>
        <v>443300</v>
      </c>
      <c r="G17" s="143">
        <f t="shared" si="5"/>
        <v>1210950</v>
      </c>
      <c r="H17" s="143">
        <f t="shared" si="5"/>
        <v>1621750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</row>
    <row r="18" spans="2:79" ht="15" thickBot="1" x14ac:dyDescent="0.4">
      <c r="B18" s="142" t="s">
        <v>117</v>
      </c>
      <c r="C18" s="144">
        <v>-400000</v>
      </c>
      <c r="D18" s="144">
        <v>-50000</v>
      </c>
      <c r="E18" s="144">
        <v>-50000</v>
      </c>
      <c r="F18" s="144"/>
      <c r="G18" s="144"/>
      <c r="H18" s="144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</row>
    <row r="19" spans="2:79" ht="15" thickBot="1" x14ac:dyDescent="0.4">
      <c r="B19" s="177" t="s">
        <v>118</v>
      </c>
      <c r="C19" s="143"/>
      <c r="D19" s="144">
        <f>-D39</f>
        <v>-47500</v>
      </c>
      <c r="E19" s="144">
        <f t="shared" ref="E19:H19" si="6">-E39</f>
        <v>-62500</v>
      </c>
      <c r="F19" s="144">
        <f t="shared" si="6"/>
        <v>-65000</v>
      </c>
      <c r="G19" s="144">
        <f t="shared" si="6"/>
        <v>-125000</v>
      </c>
      <c r="H19" s="144">
        <f t="shared" si="6"/>
        <v>-200000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</row>
    <row r="20" spans="2:79" ht="15" thickBot="1" x14ac:dyDescent="0.4">
      <c r="B20" s="177" t="s">
        <v>120</v>
      </c>
      <c r="C20" s="143"/>
      <c r="D20" s="144">
        <f>-D10</f>
        <v>80000</v>
      </c>
      <c r="E20" s="144">
        <f t="shared" ref="E20:H20" si="7">-E10</f>
        <v>90000</v>
      </c>
      <c r="F20" s="144">
        <f t="shared" si="7"/>
        <v>100000</v>
      </c>
      <c r="G20" s="144">
        <f t="shared" si="7"/>
        <v>100000</v>
      </c>
      <c r="H20" s="144">
        <f t="shared" si="7"/>
        <v>100000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</row>
    <row r="21" spans="2:79" ht="15.75" customHeight="1" thickBot="1" x14ac:dyDescent="0.4">
      <c r="B21" s="172" t="s">
        <v>38</v>
      </c>
      <c r="C21" s="150">
        <f>+SUM(C17:C20)</f>
        <v>-400000</v>
      </c>
      <c r="D21" s="150">
        <f t="shared" ref="D21:H21" si="8">+SUM(D17:D20)</f>
        <v>158975</v>
      </c>
      <c r="E21" s="150">
        <f t="shared" si="8"/>
        <v>331100</v>
      </c>
      <c r="F21" s="150">
        <f t="shared" si="8"/>
        <v>478300</v>
      </c>
      <c r="G21" s="150">
        <f t="shared" si="8"/>
        <v>1185950</v>
      </c>
      <c r="H21" s="150">
        <f t="shared" si="8"/>
        <v>1521750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</row>
    <row r="22" spans="2:79" ht="15" thickBot="1" x14ac:dyDescent="0.4">
      <c r="B22" s="173" t="s">
        <v>110</v>
      </c>
      <c r="C22" s="119">
        <f>-MIN(C21:H21)</f>
        <v>400000</v>
      </c>
    </row>
    <row r="25" spans="2:79" x14ac:dyDescent="0.35">
      <c r="B25" s="174" t="s">
        <v>39</v>
      </c>
      <c r="C25" s="174"/>
    </row>
    <row r="26" spans="2:79" x14ac:dyDescent="0.35">
      <c r="C26" s="156" t="s">
        <v>19</v>
      </c>
    </row>
    <row r="27" spans="2:79" x14ac:dyDescent="0.35">
      <c r="B27" s="157" t="s">
        <v>40</v>
      </c>
      <c r="C27" s="158">
        <f>+C14</f>
        <v>0</v>
      </c>
    </row>
    <row r="28" spans="2:79" ht="15" thickBot="1" x14ac:dyDescent="0.4">
      <c r="B28" s="159"/>
    </row>
    <row r="29" spans="2:79" ht="15" thickBot="1" x14ac:dyDescent="0.4">
      <c r="B29" s="160" t="s">
        <v>128</v>
      </c>
      <c r="C29" s="161">
        <f>+NPV(40%,D21:H21)+C21</f>
        <v>648447.96067114931</v>
      </c>
    </row>
    <row r="30" spans="2:79" ht="15" thickBot="1" x14ac:dyDescent="0.4">
      <c r="B30" s="162" t="s">
        <v>41</v>
      </c>
      <c r="C30" s="163">
        <f>IRR(C21:H21)</f>
        <v>0.89601491350019358</v>
      </c>
    </row>
    <row r="32" spans="2:79" hidden="1" x14ac:dyDescent="0.35">
      <c r="C32" s="156" t="s">
        <v>19</v>
      </c>
    </row>
    <row r="33" spans="2:8" ht="15" hidden="1" thickBot="1" x14ac:dyDescent="0.4">
      <c r="B33" s="164" t="s">
        <v>42</v>
      </c>
      <c r="C33" s="165">
        <f>+C27</f>
        <v>0</v>
      </c>
    </row>
    <row r="34" spans="2:8" ht="15" hidden="1" thickBot="1" x14ac:dyDescent="0.4">
      <c r="B34" s="160" t="s">
        <v>43</v>
      </c>
      <c r="C34" s="166" t="e">
        <f>+IF(#REF!&gt;0,-C33/#REF!,IF(#REF!&gt;0,1-#REF!/#REF!,IF(#REF!&gt;0,2-#REF!/#REF!,IF(#REF!&gt;0,3-#REF!/#REF!,IF(#REF!&gt;0,4-#REF!/#REF!)))))</f>
        <v>#REF!</v>
      </c>
    </row>
    <row r="37" spans="2:8" ht="15" thickBot="1" x14ac:dyDescent="0.4"/>
    <row r="38" spans="2:8" ht="15" thickBot="1" x14ac:dyDescent="0.4">
      <c r="B38" s="177" t="s">
        <v>122</v>
      </c>
      <c r="C38" s="178">
        <v>0.05</v>
      </c>
      <c r="D38" s="144">
        <f>+D4*$C$38</f>
        <v>47500</v>
      </c>
      <c r="E38" s="144">
        <f>+E4*$C$38</f>
        <v>110000</v>
      </c>
      <c r="F38" s="144">
        <f>+F4*$C$38</f>
        <v>175000</v>
      </c>
      <c r="G38" s="144">
        <f>+G4*$C$38</f>
        <v>300000</v>
      </c>
      <c r="H38" s="144">
        <f>+H4*$C$38</f>
        <v>500000</v>
      </c>
    </row>
    <row r="39" spans="2:8" ht="15" thickBot="1" x14ac:dyDescent="0.4">
      <c r="B39" s="177" t="s">
        <v>121</v>
      </c>
      <c r="C39" s="178"/>
      <c r="D39" s="144">
        <f>+D38</f>
        <v>47500</v>
      </c>
      <c r="E39" s="144">
        <f>+E38-D38</f>
        <v>62500</v>
      </c>
      <c r="F39" s="144">
        <f t="shared" ref="F39:H39" si="9">+F38-E38</f>
        <v>65000</v>
      </c>
      <c r="G39" s="144">
        <f t="shared" si="9"/>
        <v>125000</v>
      </c>
      <c r="H39" s="144">
        <f t="shared" si="9"/>
        <v>200000</v>
      </c>
    </row>
    <row r="41" spans="2:8" ht="15" thickBot="1" x14ac:dyDescent="0.4">
      <c r="B41" s="179" t="s">
        <v>123</v>
      </c>
    </row>
    <row r="42" spans="2:8" ht="15" thickBot="1" x14ac:dyDescent="0.4">
      <c r="C42" s="140" t="s">
        <v>115</v>
      </c>
      <c r="D42" s="140" t="s">
        <v>28</v>
      </c>
      <c r="E42" s="140" t="s">
        <v>29</v>
      </c>
    </row>
    <row r="43" spans="2:8" ht="15" thickBot="1" x14ac:dyDescent="0.4">
      <c r="B43" s="177" t="s">
        <v>22</v>
      </c>
      <c r="C43" s="144">
        <v>180000</v>
      </c>
      <c r="D43" s="144"/>
      <c r="E43" s="144"/>
    </row>
    <row r="44" spans="2:8" ht="15" thickBot="1" x14ac:dyDescent="0.4">
      <c r="B44" s="177" t="s">
        <v>60</v>
      </c>
      <c r="C44" s="144">
        <v>75000</v>
      </c>
      <c r="D44" s="144"/>
      <c r="E44" s="144"/>
    </row>
    <row r="45" spans="2:8" ht="15" thickBot="1" x14ac:dyDescent="0.4">
      <c r="B45" s="177" t="s">
        <v>23</v>
      </c>
      <c r="C45" s="144">
        <f>400000-C43-C44-C46</f>
        <v>85000</v>
      </c>
      <c r="D45" s="144"/>
      <c r="E45" s="144"/>
    </row>
    <row r="46" spans="2:8" ht="15" thickBot="1" x14ac:dyDescent="0.4">
      <c r="B46" s="177" t="s">
        <v>124</v>
      </c>
      <c r="C46" s="144">
        <v>60000</v>
      </c>
      <c r="D46" s="144">
        <v>50000</v>
      </c>
      <c r="E46" s="144">
        <v>50000</v>
      </c>
    </row>
    <row r="48" spans="2:8" ht="15" thickBot="1" x14ac:dyDescent="0.4">
      <c r="B48" s="1" t="s">
        <v>125</v>
      </c>
    </row>
    <row r="49" spans="2:8" ht="15" thickBot="1" x14ac:dyDescent="0.4">
      <c r="C49" s="140" t="s">
        <v>115</v>
      </c>
      <c r="D49" s="140" t="s">
        <v>28</v>
      </c>
      <c r="E49" s="141" t="s">
        <v>29</v>
      </c>
      <c r="F49" s="140" t="s">
        <v>30</v>
      </c>
      <c r="G49" s="141" t="s">
        <v>31</v>
      </c>
      <c r="H49" s="140" t="s">
        <v>32</v>
      </c>
    </row>
    <row r="50" spans="2:8" x14ac:dyDescent="0.35">
      <c r="B50" s="145" t="s">
        <v>126</v>
      </c>
      <c r="C50" s="145">
        <v>0</v>
      </c>
      <c r="D50" s="146">
        <v>950000</v>
      </c>
      <c r="E50" s="146">
        <v>2200000</v>
      </c>
      <c r="F50" s="146">
        <v>3500000</v>
      </c>
      <c r="G50" s="146">
        <v>6000000</v>
      </c>
      <c r="H50" s="146">
        <v>10000000</v>
      </c>
    </row>
    <row r="52" spans="2:8" ht="15" thickBot="1" x14ac:dyDescent="0.4">
      <c r="C52" s="179" t="s">
        <v>126</v>
      </c>
    </row>
    <row r="53" spans="2:8" ht="15" thickBot="1" x14ac:dyDescent="0.4">
      <c r="C53" s="140" t="s">
        <v>115</v>
      </c>
      <c r="D53" s="144">
        <v>0</v>
      </c>
    </row>
    <row r="54" spans="2:8" ht="15" thickBot="1" x14ac:dyDescent="0.4">
      <c r="C54" s="140" t="s">
        <v>28</v>
      </c>
      <c r="D54" s="144">
        <v>950000</v>
      </c>
    </row>
    <row r="55" spans="2:8" ht="15" thickBot="1" x14ac:dyDescent="0.4">
      <c r="C55" s="140" t="s">
        <v>29</v>
      </c>
      <c r="D55" s="144">
        <v>2200000</v>
      </c>
    </row>
    <row r="56" spans="2:8" ht="15" thickBot="1" x14ac:dyDescent="0.4">
      <c r="C56" s="140" t="s">
        <v>30</v>
      </c>
      <c r="D56" s="144">
        <v>3500000</v>
      </c>
    </row>
    <row r="57" spans="2:8" ht="15" thickBot="1" x14ac:dyDescent="0.4">
      <c r="C57" s="140" t="s">
        <v>31</v>
      </c>
      <c r="D57" s="144">
        <v>6000000</v>
      </c>
    </row>
    <row r="58" spans="2:8" ht="15" thickBot="1" x14ac:dyDescent="0.4">
      <c r="C58" s="140" t="s">
        <v>32</v>
      </c>
      <c r="D58" s="144">
        <v>10000000</v>
      </c>
    </row>
    <row r="60" spans="2:8" ht="15" thickBot="1" x14ac:dyDescent="0.4"/>
    <row r="61" spans="2:8" ht="15" thickBot="1" x14ac:dyDescent="0.4">
      <c r="B61" s="185" t="s">
        <v>114</v>
      </c>
      <c r="C61" s="180" t="s">
        <v>115</v>
      </c>
      <c r="D61" s="140" t="s">
        <v>28</v>
      </c>
      <c r="E61" s="141" t="s">
        <v>29</v>
      </c>
      <c r="F61" s="140" t="s">
        <v>30</v>
      </c>
      <c r="G61" s="141" t="s">
        <v>31</v>
      </c>
      <c r="H61" s="140" t="s">
        <v>32</v>
      </c>
    </row>
    <row r="62" spans="2:8" x14ac:dyDescent="0.35">
      <c r="B62" s="184" t="s">
        <v>33</v>
      </c>
      <c r="C62" s="148">
        <v>0</v>
      </c>
      <c r="D62" s="149">
        <v>570000</v>
      </c>
      <c r="E62" s="149">
        <v>1500000</v>
      </c>
      <c r="F62" s="149">
        <v>2600000</v>
      </c>
      <c r="G62" s="149">
        <v>3800000</v>
      </c>
      <c r="H62" s="149">
        <v>7000000</v>
      </c>
    </row>
    <row r="63" spans="2:8" x14ac:dyDescent="0.35">
      <c r="B63" s="181" t="s">
        <v>34</v>
      </c>
      <c r="C63" s="149">
        <v>0</v>
      </c>
      <c r="D63" s="149">
        <v>100000</v>
      </c>
      <c r="E63" s="147">
        <v>100000</v>
      </c>
      <c r="F63" s="147">
        <v>130000</v>
      </c>
      <c r="G63" s="147">
        <v>170000</v>
      </c>
      <c r="H63" s="147">
        <v>210000</v>
      </c>
    </row>
    <row r="64" spans="2:8" x14ac:dyDescent="0.35">
      <c r="B64" s="181" t="s">
        <v>35</v>
      </c>
      <c r="C64" s="149">
        <v>0</v>
      </c>
      <c r="D64" s="149">
        <v>60000</v>
      </c>
      <c r="E64" s="149">
        <v>80000</v>
      </c>
      <c r="F64" s="149">
        <v>83000</v>
      </c>
      <c r="G64" s="149">
        <v>87000</v>
      </c>
      <c r="H64" s="149">
        <v>95000</v>
      </c>
    </row>
    <row r="65" spans="2:8" x14ac:dyDescent="0.35">
      <c r="B65" s="181" t="s">
        <v>111</v>
      </c>
      <c r="C65" s="149">
        <v>0</v>
      </c>
      <c r="D65" s="149">
        <v>28500</v>
      </c>
      <c r="E65" s="149">
        <v>66000</v>
      </c>
      <c r="F65" s="149">
        <v>105000</v>
      </c>
      <c r="G65" s="149">
        <v>180000</v>
      </c>
      <c r="H65" s="149">
        <v>300000</v>
      </c>
    </row>
    <row r="66" spans="2:8" ht="15" thickBot="1" x14ac:dyDescent="0.4">
      <c r="B66" s="182" t="s">
        <v>112</v>
      </c>
      <c r="C66" s="149">
        <v>0</v>
      </c>
      <c r="D66" s="149">
        <v>-80000</v>
      </c>
      <c r="E66" s="149">
        <v>-90000</v>
      </c>
      <c r="F66" s="149">
        <v>-100000</v>
      </c>
      <c r="G66" s="149">
        <v>-100000</v>
      </c>
      <c r="H66" s="149">
        <v>-100000</v>
      </c>
    </row>
    <row r="67" spans="2:8" ht="15" thickBot="1" x14ac:dyDescent="0.4">
      <c r="B67" s="183" t="s">
        <v>127</v>
      </c>
      <c r="C67" s="151">
        <v>0</v>
      </c>
      <c r="D67" s="153">
        <v>678500</v>
      </c>
      <c r="E67" s="153">
        <v>1656000</v>
      </c>
      <c r="F67" s="153">
        <v>2818000</v>
      </c>
      <c r="G67" s="153">
        <v>4137000</v>
      </c>
      <c r="H67" s="150">
        <v>7505000</v>
      </c>
    </row>
  </sheetData>
  <conditionalFormatting sqref="C33">
    <cfRule type="colorScale" priority="1">
      <colorScale>
        <cfvo type="num" val="0"/>
        <cfvo type="num" val="0"/>
        <color rgb="FFFF0000"/>
        <color theme="0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Supuestos</vt:lpstr>
      <vt:lpstr>Proyección Ventas</vt:lpstr>
      <vt:lpstr>Inversión</vt:lpstr>
      <vt:lpstr>Cs Prod</vt:lpstr>
      <vt:lpstr>Cs Adm</vt:lpstr>
      <vt:lpstr>Caso Biosano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Tinchoben</dc:creator>
  <cp:lastModifiedBy>Florencia Paolini</cp:lastModifiedBy>
  <dcterms:created xsi:type="dcterms:W3CDTF">2015-03-16T20:51:02Z</dcterms:created>
  <dcterms:modified xsi:type="dcterms:W3CDTF">2019-06-06T21:39:14Z</dcterms:modified>
</cp:coreProperties>
</file>