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BSPro-kicost" sheetId="1" r:id="rId1"/>
  </sheets>
  <definedNames>
    <definedName name="BoardQty" localSheetId="0">'OBSPro-kicost'!$H$1</definedName>
    <definedName name="EUR_USD" localSheetId="0">'OBSPro-kicost'!$C$54</definedName>
    <definedName name="PURCHASE_DESCRIPTION" localSheetId="0">'OBSPro-kicost'!$H$55</definedName>
    <definedName name="TotalCost" localSheetId="0">'OBSPro-kicost'!$H$3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3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N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6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6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6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6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E6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6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6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6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  <comment ref="I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J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K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L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M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N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I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K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$1.03      $1.03
    10   $0.87      $8.65
   100   $0.57     $57.24
  1000   $0.61    $606.50</t>
        </r>
      </text>
    </comment>
    <comment ref="I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K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$0.06      $0.06
    10   $0.01      $0.06
   100   $0.00      $0.31
  1000   $0.00      $2.90</t>
        </r>
      </text>
    </comment>
    <comment ref="I1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K1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$0.06      $0.06
    10   $0.01      $0.06
   100   $0.00      $0.28
  1000   $0.00      $2.70</t>
        </r>
      </text>
    </comment>
    <comment ref="I1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K1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$0.04      $0.04
    10   $0.00      $0.04
   100   $0.00      $0.21
  1000   $0.00      $1.40</t>
        </r>
      </text>
    </comment>
    <comment ref="I1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K1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$0.06      $0.06
    10   $0.01      $0.06
   100   $0.00      $0.31
  1000   $0.00      $2.90</t>
        </r>
      </text>
    </comment>
    <comment ref="I1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K1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$0.01      $0.11
   100   $0.01      $0.53
  1000   $0.00      $3.60</t>
        </r>
      </text>
    </comment>
    <comment ref="I1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K1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$0.17      $0.17
    10   $0.13      $1.31
   100   $0.10      $9.72
  1000   $0.09     $90.20</t>
        </r>
      </text>
    </comment>
    <comment ref="I2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K2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$0.16      $0.16
    10   $0.13      $1.31
   100   $0.10      $9.98
  1000   $0.09     $93.30</t>
        </r>
      </text>
    </comment>
    <comment ref="I2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K2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$0.04      $0.44
   100   $0.02      $1.79
  1000   $0.01     $14.20</t>
        </r>
      </text>
    </comment>
    <comment ref="I2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K2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$1.54      $1.54
    10   $1.30     $12.98
   100   $1.17    $116.71
  1000   $1.02  $1,017.90</t>
        </r>
      </text>
    </comment>
    <comment ref="I2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K2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$1.54      $1.54
    10   $1.30     $12.98
   100   $1.17    $116.71
  1000   $1.02  $1,017.90</t>
        </r>
      </text>
    </comment>
    <comment ref="I2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K2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$0.18      $0.18
    10   $0.02      $0.18
   100   $0.01      $1.37
  1000   $0.01     $10.70</t>
        </r>
      </text>
    </comment>
    <comment ref="I2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K2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$0.22      $0.22
    10   $0.02      $0.22
   100   $0.01      $1.44
  1000   $0.01      $9.80</t>
        </r>
      </text>
    </comment>
    <comment ref="I4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K4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$2.10      $2.10
    10   $1.85     $18.52
   100   $1.52    $151.55
  1000   $1.41  $1,410.50</t>
        </r>
      </text>
    </comment>
    <comment ref="I4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K4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$2.45      $2.45
    10   $2.45     $24.48
   100   $2.36    $235.71
  1000   $2.36  $2,357.10</t>
        </r>
      </text>
    </comment>
    <comment ref="I4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K4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$0.72      $0.72
    10   $0.71      $7.08
   100   $0.71     $70.84
  1000   $0.71    $708.40</t>
        </r>
      </text>
    </comment>
    <comment ref="I4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K4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$21.00     $21.00
    10  $15.73    $157.30
   100  $10.32  $1,032.00
  1000  $10.32 $10,320.00</t>
        </r>
      </text>
    </comment>
    <comment ref="I5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K5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$0.12      $0.12
    10   $0.10      $0.97
   100   $0.07      $7.28
  1000   $0.07     $69.60</t>
        </r>
      </text>
    </comment>
    <comment ref="I5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K5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$0.16      $0.16
    10   $0.08      $0.82
   100   $0.06      $5.76
  1000   $0.05     $46.40</t>
        </r>
      </text>
    </comment>
    <comment ref="G54" authorId="0">
      <text>
        <r>
          <rPr>
            <sz val="8"/>
            <color indexed="81"/>
            <rFont val="Tahoma"/>
            <family val="2"/>
          </rPr>
          <t>This is the total of your cart across all distributors.</t>
        </r>
      </text>
    </comment>
    <comment ref="J54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G55" authorId="0">
      <text>
        <r>
          <rPr>
            <sz val="8"/>
            <color indexed="81"/>
            <rFont val="Tahoma"/>
            <family val="2"/>
          </rPr>
          <t>This description will be added to all purchased parts label and may be used to distinguish the component of different projects.</t>
        </r>
      </text>
    </comment>
  </commentList>
</comments>
</file>

<file path=xl/sharedStrings.xml><?xml version="1.0" encoding="utf-8"?>
<sst xmlns="http://schemas.openxmlformats.org/spreadsheetml/2006/main" count="220" uniqueCount="162">
  <si>
    <t>Global Part Info</t>
  </si>
  <si>
    <t>Refs</t>
  </si>
  <si>
    <t>Value</t>
  </si>
  <si>
    <t>Footprint</t>
  </si>
  <si>
    <t>Manf</t>
  </si>
  <si>
    <t>Manf#</t>
  </si>
  <si>
    <t>Qty</t>
  </si>
  <si>
    <t>Unit$</t>
  </si>
  <si>
    <t>Ext$</t>
  </si>
  <si>
    <t>AE1</t>
  </si>
  <si>
    <t>Antenna_Chip</t>
  </si>
  <si>
    <t>RainSun</t>
  </si>
  <si>
    <t>GPS1003</t>
  </si>
  <si>
    <t>BT1</t>
  </si>
  <si>
    <t>LiPo</t>
  </si>
  <si>
    <t>C1,C2</t>
  </si>
  <si>
    <t>10u</t>
  </si>
  <si>
    <t>C_0603_1608Metric</t>
  </si>
  <si>
    <t>Samsung Electro-Mechanics</t>
  </si>
  <si>
    <t>CL10A106KP8NNNC</t>
  </si>
  <si>
    <t>C3-C8,C33,C34</t>
  </si>
  <si>
    <t>22u</t>
  </si>
  <si>
    <t>C_1206_3216Metric</t>
  </si>
  <si>
    <t>CL31A226KPHNNNE</t>
  </si>
  <si>
    <t>C9,C14</t>
  </si>
  <si>
    <t>1u</t>
  </si>
  <si>
    <t>CL10A105KB8NNNC</t>
  </si>
  <si>
    <t>C10,C11,C13,C16,C17,C19,C20</t>
  </si>
  <si>
    <t>100n</t>
  </si>
  <si>
    <t>YAGEO</t>
  </si>
  <si>
    <t>CC0603KRX7R9BB104</t>
  </si>
  <si>
    <t>C12</t>
  </si>
  <si>
    <t>C15,C18</t>
  </si>
  <si>
    <t>18p</t>
  </si>
  <si>
    <t>C21-C24,C29-C32</t>
  </si>
  <si>
    <t>10n</t>
  </si>
  <si>
    <t>C25-C28</t>
  </si>
  <si>
    <t>1n</t>
  </si>
  <si>
    <t>D1,D2</t>
  </si>
  <si>
    <t>LED</t>
  </si>
  <si>
    <t>LED_0603_1608Metric</t>
  </si>
  <si>
    <t>Hubei KENTO Elec</t>
  </si>
  <si>
    <t>KT-0603R</t>
  </si>
  <si>
    <t>D3,D4</t>
  </si>
  <si>
    <t>D_Small</t>
  </si>
  <si>
    <t>J1</t>
  </si>
  <si>
    <t>USB</t>
  </si>
  <si>
    <t>Korean Hroparts Elec</t>
  </si>
  <si>
    <t>TYPE-C-31-M-12</t>
  </si>
  <si>
    <t>J2</t>
  </si>
  <si>
    <t>MicroSD</t>
  </si>
  <si>
    <t>TF-01A</t>
  </si>
  <si>
    <t>J3</t>
  </si>
  <si>
    <t>BTN_DISP</t>
  </si>
  <si>
    <t>J4</t>
  </si>
  <si>
    <t>SWIM</t>
  </si>
  <si>
    <t>MINTRON</t>
  </si>
  <si>
    <t>MTP125-1104S1</t>
  </si>
  <si>
    <t>L1</t>
  </si>
  <si>
    <t>L_Vishay_IFSC-1515AH_4x4x1.8mm</t>
  </si>
  <si>
    <t>Sunlord</t>
  </si>
  <si>
    <t>WPN4020H1R0MT</t>
  </si>
  <si>
    <t>LS1,LS2</t>
  </si>
  <si>
    <t>TX1</t>
  </si>
  <si>
    <t>INGHAi</t>
  </si>
  <si>
    <t>GU1409A-40TR</t>
  </si>
  <si>
    <t>LS3,LS4</t>
  </si>
  <si>
    <t>RX1</t>
  </si>
  <si>
    <t>Q1-Q4</t>
  </si>
  <si>
    <t>AP2302B</t>
  </si>
  <si>
    <t>ALLPOWER</t>
  </si>
  <si>
    <t>Q5,Q6</t>
  </si>
  <si>
    <t>S8050</t>
  </si>
  <si>
    <t>Jiangsu Changjing Electronics Technology Co., Ltd.</t>
  </si>
  <si>
    <t>S8050 J3Y</t>
  </si>
  <si>
    <t>R1,R2</t>
  </si>
  <si>
    <t>5.1k</t>
  </si>
  <si>
    <t>R3</t>
  </si>
  <si>
    <t>2</t>
  </si>
  <si>
    <t>R_0603_1608Metric</t>
  </si>
  <si>
    <t>UNI-ROYAL(Uniroyal Elec)</t>
  </si>
  <si>
    <t>0603WAF200KT5E</t>
  </si>
  <si>
    <t>R4,R6</t>
  </si>
  <si>
    <t>1k</t>
  </si>
  <si>
    <t>0603WAF1001T5E</t>
  </si>
  <si>
    <t>R5</t>
  </si>
  <si>
    <t>0.5</t>
  </si>
  <si>
    <t>0603WAF500LT5E</t>
  </si>
  <si>
    <t>R7,R9,R11,R17,R19-R21,R30,R31</t>
  </si>
  <si>
    <t>10k</t>
  </si>
  <si>
    <t>R8,R25-R29,R45,R47</t>
  </si>
  <si>
    <t>4.7k</t>
  </si>
  <si>
    <t>R10,R18</t>
  </si>
  <si>
    <t>1M</t>
  </si>
  <si>
    <t>R12-R15</t>
  </si>
  <si>
    <t>220</t>
  </si>
  <si>
    <t>R16,R36,R37</t>
  </si>
  <si>
    <t>R22-R24</t>
  </si>
  <si>
    <t>1.66k</t>
  </si>
  <si>
    <t>R32,R33</t>
  </si>
  <si>
    <t>56k</t>
  </si>
  <si>
    <t>R34,R35</t>
  </si>
  <si>
    <t>6.2k</t>
  </si>
  <si>
    <t>R38,R39,R42,R43,R48,R49</t>
  </si>
  <si>
    <t>75k</t>
  </si>
  <si>
    <t>R40,R41</t>
  </si>
  <si>
    <t>7.5k</t>
  </si>
  <si>
    <t>R44,R46</t>
  </si>
  <si>
    <t>120k</t>
  </si>
  <si>
    <t>R50,R51</t>
  </si>
  <si>
    <t>3.3M</t>
  </si>
  <si>
    <t>R52,R53</t>
  </si>
  <si>
    <t>TBD</t>
  </si>
  <si>
    <t>U1</t>
  </si>
  <si>
    <t>IP5306</t>
  </si>
  <si>
    <t>U2</t>
  </si>
  <si>
    <t>CP2102N</t>
  </si>
  <si>
    <t>QFN-28-1EP_5x5mm_P0.5mm_EP3.35x3.35mm</t>
  </si>
  <si>
    <t>SILICON LABS</t>
  </si>
  <si>
    <t>CP2102-GMR</t>
  </si>
  <si>
    <t>U3</t>
  </si>
  <si>
    <t>ESP32-WROOM-32</t>
  </si>
  <si>
    <t>Espressif Systems</t>
  </si>
  <si>
    <t>U4</t>
  </si>
  <si>
    <t>STM8S003F3P</t>
  </si>
  <si>
    <t>TSSOP-20_4.4x6.5mm_P0.65mm</t>
  </si>
  <si>
    <t>STMicroelectronics</t>
  </si>
  <si>
    <t>STM8S003F3P6</t>
  </si>
  <si>
    <t>U5</t>
  </si>
  <si>
    <t>MAX-M8C</t>
  </si>
  <si>
    <t>ublox_MAX</t>
  </si>
  <si>
    <t>U-Blox</t>
  </si>
  <si>
    <t>MAX-M8C-0</t>
  </si>
  <si>
    <t>U6,U7</t>
  </si>
  <si>
    <t>LM324</t>
  </si>
  <si>
    <t>LM324DT</t>
  </si>
  <si>
    <t>U8</t>
  </si>
  <si>
    <t>AZ1117-3.3</t>
  </si>
  <si>
    <t>Y1</t>
  </si>
  <si>
    <t>Crystal</t>
  </si>
  <si>
    <t>Yangxing Tech</t>
  </si>
  <si>
    <t>X49SM8MSD2SC</t>
  </si>
  <si>
    <t>JLC</t>
  </si>
  <si>
    <t>Avail</t>
  </si>
  <si>
    <t>Purch</t>
  </si>
  <si>
    <t>MOQ</t>
  </si>
  <si>
    <t>Cat#</t>
  </si>
  <si>
    <t>NonStk</t>
  </si>
  <si>
    <t>Total Purchase:</t>
  </si>
  <si>
    <t>Purchase description:</t>
  </si>
  <si>
    <t>EUR(€)/USD($):</t>
  </si>
  <si>
    <t>Prj:</t>
  </si>
  <si>
    <t>OBSPro.xml</t>
  </si>
  <si>
    <t>Co.:</t>
  </si>
  <si>
    <t>Prj date:</t>
  </si>
  <si>
    <t>Thu 24 Nov 2022 03:08:04 PM CET</t>
  </si>
  <si>
    <t>Board Qty:</t>
  </si>
  <si>
    <t>Total Cost:</t>
  </si>
  <si>
    <t>Unit Cost:</t>
  </si>
  <si>
    <t>$ date:</t>
  </si>
  <si>
    <t>2022-11-24 15:08:06</t>
  </si>
  <si>
    <t>KiCost® v1.1.12</t>
  </si>
</sst>
</file>

<file path=xl/styles.xml><?xml version="1.0" encoding="utf-8"?>
<styleSheet xmlns="http://schemas.openxmlformats.org/spreadsheetml/2006/main">
  <numFmts count="2">
    <numFmt numFmtId="164" formatCode="€#,##0.00"/>
    <numFmt numFmtId="164" formatCode="€#,##0.00"/>
    <numFmt numFmtId="165" formatCode="€#,##0.000"/>
    <numFmt numFmtId="164" formatCode="€#,##0.00"/>
  </numFmts>
  <fonts count="10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164" fontId="3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vertical="top" wrapText="1"/>
    </xf>
  </cellXfs>
  <cellStyles count="1">
    <cellStyle name="Normal" xfId="0" builtinId="0"/>
  </cellStyles>
  <dxfs count="4"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AAAAAA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7"/>
  <sheetViews>
    <sheetView tabSelected="1" workbookViewId="0">
      <pane xSplit="8" ySplit="6" topLeftCell="I7" activePane="bottomRight" state="frozen"/>
      <selection pane="topRight" activeCell="I1" sqref="I1"/>
      <selection pane="bottomLeft" activeCell="A7" sqref="A7"/>
      <selection pane="bottomRight"/>
    </sheetView>
  </sheetViews>
  <sheetFormatPr defaultRowHeight="15" outlineLevelCol="3"/>
  <cols>
    <col min="1" max="1" width="30.7109375" customWidth="1"/>
    <col min="2" max="2" width="15.7109375" customWidth="1"/>
    <col min="3" max="3" width="31.7109375" customWidth="1" outlineLevel="2"/>
    <col min="4" max="4" width="30.7109375" customWidth="1" outlineLevel="1"/>
    <col min="5" max="5" width="18.7109375" customWidth="1" outlineLevel="1"/>
    <col min="6" max="6" width="9.140625" outlineLevel="1"/>
    <col min="7" max="7" width="22.7109375" customWidth="1"/>
    <col min="8" max="8" width="16.7109375" customWidth="1"/>
    <col min="9" max="9" width="9.140625" outlineLevel="1"/>
    <col min="10" max="10" width="9.140625" outlineLevel="2"/>
    <col min="11" max="11" width="10.7109375" customWidth="1" outlineLevel="2"/>
    <col min="12" max="12" width="0" hidden="1" customWidth="1" outlineLevel="3" collapsed="1"/>
    <col min="13" max="13" width="16.7109375" customWidth="1"/>
    <col min="14" max="14" width="16.7109375" customWidth="1" outlineLevel="2"/>
  </cols>
  <sheetData>
    <row r="1" spans="1:14">
      <c r="A1" s="1" t="s">
        <v>151</v>
      </c>
      <c r="B1" s="2" t="s">
        <v>152</v>
      </c>
      <c r="G1" s="3" t="s">
        <v>156</v>
      </c>
      <c r="H1" s="3">
        <v>100</v>
      </c>
    </row>
    <row r="2" spans="1:14">
      <c r="A2" s="1" t="s">
        <v>153</v>
      </c>
      <c r="B2" s="2"/>
      <c r="G2" s="1" t="s">
        <v>158</v>
      </c>
      <c r="H2" s="4">
        <f>TotalCost/BoardQty</f>
        <v>20.0326</v>
      </c>
    </row>
    <row r="3" spans="1:14">
      <c r="A3" s="1" t="s">
        <v>154</v>
      </c>
      <c r="B3" s="2" t="s">
        <v>155</v>
      </c>
      <c r="G3" s="1" t="s">
        <v>157</v>
      </c>
      <c r="H3" s="5">
        <f>SUM(H7:H52)</f>
        <v>2003.2639</v>
      </c>
      <c r="M3" s="5">
        <f>SUM(M7:M52)</f>
        <v>2003.2639</v>
      </c>
      <c r="N3" s="6" t="str">
        <f>(COUNTA(M7:M52)&amp;" of "&amp;ROWS(M7:M52)&amp;" parts found")</f>
        <v>19 of 46 parts found</v>
      </c>
    </row>
    <row r="4" spans="1:14">
      <c r="A4" s="1" t="s">
        <v>159</v>
      </c>
      <c r="B4" s="2" t="s">
        <v>160</v>
      </c>
    </row>
    <row r="5" spans="1:14">
      <c r="A5" s="7" t="s">
        <v>0</v>
      </c>
      <c r="B5" s="7"/>
      <c r="C5" s="7"/>
      <c r="D5" s="7"/>
      <c r="E5" s="7"/>
      <c r="F5" s="7"/>
      <c r="G5" s="7"/>
      <c r="H5" s="7"/>
      <c r="I5" s="8" t="s">
        <v>142</v>
      </c>
      <c r="J5" s="8"/>
      <c r="K5" s="8"/>
      <c r="L5" s="8"/>
      <c r="M5" s="8"/>
      <c r="N5" s="8"/>
    </row>
    <row r="6" spans="1:14">
      <c r="A6" s="9" t="s">
        <v>1</v>
      </c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143</v>
      </c>
      <c r="J6" s="9" t="s">
        <v>144</v>
      </c>
      <c r="K6" s="9" t="s">
        <v>7</v>
      </c>
      <c r="L6" s="9" t="s">
        <v>145</v>
      </c>
      <c r="M6" s="9" t="s">
        <v>8</v>
      </c>
      <c r="N6" s="9" t="s">
        <v>146</v>
      </c>
    </row>
    <row r="7" spans="1:14">
      <c r="A7" s="10" t="s">
        <v>9</v>
      </c>
      <c r="B7" s="10" t="s">
        <v>10</v>
      </c>
      <c r="D7" s="10" t="s">
        <v>11</v>
      </c>
      <c r="E7" s="10" t="s">
        <v>12</v>
      </c>
      <c r="F7" s="10">
        <f>CEILING(BoardQty*1.0,1)</f>
        <v>100</v>
      </c>
      <c r="G7" s="11">
        <f>IF(MIN(K7)&lt;&gt;0,MIN(K7),"")</f>
        <v>0.5543825665859564</v>
      </c>
      <c r="H7" s="12">
        <f>IF(AND(ISNUMBER(F7),ISNUMBER(G7)),F7*G7,"")</f>
        <v>55.4383</v>
      </c>
      <c r="I7" s="13" t="s">
        <v>147</v>
      </c>
      <c r="J7" s="10"/>
      <c r="K7" s="11">
        <f>IFERROR(IF(OR(J7&gt;=L7,F7&gt;=L7),EUR_USD*LOOKUP(IF(J7="",F7,J7),{0,1,10,100,1000},{0.0,1.0297,0.8651,0.5724,0.6065}),"MOQ="&amp;L7),"")</f>
        <v>0.5543825665859564</v>
      </c>
      <c r="L7" s="10">
        <v>1</v>
      </c>
      <c r="M7" s="12">
        <f>IFERROR(IF(J7="",F7,J7)*K7,"")</f>
        <v>55.4383</v>
      </c>
      <c r="N7" s="10" t="s">
        <v>12</v>
      </c>
    </row>
    <row r="8" spans="1:14">
      <c r="A8" s="10" t="s">
        <v>13</v>
      </c>
      <c r="B8" s="10" t="s">
        <v>14</v>
      </c>
      <c r="F8" s="10">
        <f>CEILING(BoardQty*1,1)</f>
        <v>100</v>
      </c>
      <c r="G8" s="11">
        <f>IF(MIN(K8)&lt;&gt;0,MIN(K8),"")</f>
        <v/>
      </c>
      <c r="H8" s="12">
        <f>IF(AND(ISNUMBER(F8),ISNUMBER(G8)),F8*G8,"")</f>
        <v/>
      </c>
    </row>
    <row r="9" spans="1:14">
      <c r="A9" s="10" t="s">
        <v>15</v>
      </c>
      <c r="B9" s="10" t="s">
        <v>16</v>
      </c>
      <c r="C9" s="10" t="s">
        <v>17</v>
      </c>
      <c r="D9" s="10" t="s">
        <v>18</v>
      </c>
      <c r="E9" s="10" t="s">
        <v>19</v>
      </c>
      <c r="F9" s="10">
        <f>CEILING(BoardQty*2.0,1)</f>
        <v>200</v>
      </c>
      <c r="G9" s="11">
        <f>IF(MIN(K9)&lt;&gt;0,MIN(K9),"")</f>
        <v>0.003002421307506053</v>
      </c>
      <c r="H9" s="12">
        <f>IF(AND(ISNUMBER(F9),ISNUMBER(G9)),F9*G9,"")</f>
        <v>0.6005</v>
      </c>
      <c r="I9" s="13" t="s">
        <v>147</v>
      </c>
      <c r="J9" s="10"/>
      <c r="K9" s="11">
        <f>IFERROR(IF(OR(J9&gt;=L9,F9&gt;=L9),EUR_USD*LOOKUP(IF(J9="",F9,J9),{0,1,10,100,1000},{0.0,0.062,0.0062,0.0031,0.0029}),"MOQ="&amp;L9),"")</f>
        <v>0.003002421307506053</v>
      </c>
      <c r="L9" s="10">
        <v>1</v>
      </c>
      <c r="M9" s="12">
        <f>IFERROR(IF(J9="",F9,J9)*K9,"")</f>
        <v>0.6005</v>
      </c>
      <c r="N9" s="10" t="s">
        <v>19</v>
      </c>
    </row>
    <row r="10" spans="1:14">
      <c r="A10" s="10" t="s">
        <v>20</v>
      </c>
      <c r="B10" s="10" t="s">
        <v>21</v>
      </c>
      <c r="C10" s="10" t="s">
        <v>22</v>
      </c>
      <c r="D10" s="10" t="s">
        <v>18</v>
      </c>
      <c r="E10" s="10" t="s">
        <v>23</v>
      </c>
      <c r="F10" s="10">
        <f>CEILING(BoardQty*8.0,1)</f>
        <v>800</v>
      </c>
      <c r="G10" s="11">
        <f>IF(MIN(K10)&lt;&gt;0,MIN(K10),"")</f>
        <v/>
      </c>
      <c r="H10" s="12">
        <f>IF(AND(ISNUMBER(F10),ISNUMBER(G10)),F10*G10,"")</f>
        <v/>
      </c>
    </row>
    <row r="11" spans="1:14">
      <c r="A11" s="10" t="s">
        <v>24</v>
      </c>
      <c r="B11" s="10" t="s">
        <v>25</v>
      </c>
      <c r="D11" s="10" t="s">
        <v>18</v>
      </c>
      <c r="E11" s="10" t="s">
        <v>26</v>
      </c>
      <c r="F11" s="10">
        <f>CEILING(BoardQty*2.0,1)</f>
        <v>200</v>
      </c>
      <c r="G11" s="11">
        <f>IF(MIN(K11)&lt;&gt;0,MIN(K11),"")</f>
        <v>0.002711864406779661</v>
      </c>
      <c r="H11" s="12">
        <f>IF(AND(ISNUMBER(F11),ISNUMBER(G11)),F11*G11,"")</f>
        <v>0.5424</v>
      </c>
      <c r="I11" s="13" t="s">
        <v>147</v>
      </c>
      <c r="J11" s="10"/>
      <c r="K11" s="11">
        <f>IFERROR(IF(OR(J11&gt;=L11,F11&gt;=L11),EUR_USD*LOOKUP(IF(J11="",F11,J11),{0,1,10,100,1000},{0.0,0.056,0.0056,0.0028,0.0027}),"MOQ="&amp;L11),"")</f>
        <v>0.002711864406779661</v>
      </c>
      <c r="L11" s="10">
        <v>1</v>
      </c>
      <c r="M11" s="12">
        <f>IFERROR(IF(J11="",F11,J11)*K11,"")</f>
        <v>0.5424</v>
      </c>
      <c r="N11" s="10" t="s">
        <v>26</v>
      </c>
    </row>
    <row r="12" spans="1:14">
      <c r="A12" s="10" t="s">
        <v>27</v>
      </c>
      <c r="B12" s="10" t="s">
        <v>28</v>
      </c>
      <c r="D12" s="10" t="s">
        <v>29</v>
      </c>
      <c r="E12" s="10" t="s">
        <v>30</v>
      </c>
      <c r="F12" s="10">
        <f>CEILING(BoardQty*7.0,1)</f>
        <v>700</v>
      </c>
      <c r="G12" s="11">
        <f>IF(MIN(K12)&lt;&gt;0,MIN(K12),"")</f>
        <v>0.002033898305084746</v>
      </c>
      <c r="H12" s="12">
        <f>IF(AND(ISNUMBER(F12),ISNUMBER(G12)),F12*G12,"")</f>
        <v>1.4237</v>
      </c>
      <c r="I12" s="13" t="s">
        <v>147</v>
      </c>
      <c r="J12" s="10"/>
      <c r="K12" s="11">
        <f>IFERROR(IF(OR(J12&gt;=L12,F12&gt;=L12),EUR_USD*LOOKUP(IF(J12="",F12,J12),{0,1,10,100,1000},{0.0,0.042,0.0042,0.0021,0.0014}),"MOQ="&amp;L12),"")</f>
        <v>0.002033898305084746</v>
      </c>
      <c r="L12" s="10">
        <v>1</v>
      </c>
      <c r="M12" s="12">
        <f>IFERROR(IF(J12="",F12,J12)*K12,"")</f>
        <v>1.4237</v>
      </c>
      <c r="N12" s="10" t="s">
        <v>30</v>
      </c>
    </row>
    <row r="13" spans="1:14">
      <c r="A13" s="10" t="s">
        <v>31</v>
      </c>
      <c r="B13" s="10" t="s">
        <v>16</v>
      </c>
      <c r="D13" s="10" t="s">
        <v>18</v>
      </c>
      <c r="E13" s="10" t="s">
        <v>19</v>
      </c>
      <c r="F13" s="10">
        <f>CEILING(BoardQty*1.0,1)</f>
        <v>100</v>
      </c>
      <c r="G13" s="11">
        <f>IF(MIN(K13)&lt;&gt;0,MIN(K13),"")</f>
        <v>0.003002421307506053</v>
      </c>
      <c r="H13" s="12">
        <f>IF(AND(ISNUMBER(F13),ISNUMBER(G13)),F13*G13,"")</f>
        <v>0.3002</v>
      </c>
      <c r="I13" s="13" t="s">
        <v>147</v>
      </c>
      <c r="J13" s="10"/>
      <c r="K13" s="11">
        <f>IFERROR(IF(OR(J13&gt;=L13,F13&gt;=L13),EUR_USD*LOOKUP(IF(J13="",F13,J13),{0,1,10,100,1000},{0.0,0.062,0.0062,0.0031,0.0029}),"MOQ="&amp;L13),"")</f>
        <v>0.003002421307506053</v>
      </c>
      <c r="L13" s="10">
        <v>1</v>
      </c>
      <c r="M13" s="12">
        <f>IFERROR(IF(J13="",F13,J13)*K13,"")</f>
        <v>0.3002</v>
      </c>
      <c r="N13" s="10" t="s">
        <v>19</v>
      </c>
    </row>
    <row r="14" spans="1:14">
      <c r="A14" s="10" t="s">
        <v>32</v>
      </c>
      <c r="B14" s="10" t="s">
        <v>33</v>
      </c>
      <c r="F14" s="10">
        <f>CEILING(BoardQty*2,1)</f>
        <v>200</v>
      </c>
      <c r="G14" s="11">
        <f>IF(MIN(K14)&lt;&gt;0,MIN(K14),"")</f>
        <v/>
      </c>
      <c r="H14" s="12">
        <f>IF(AND(ISNUMBER(F14),ISNUMBER(G14)),F14*G14,"")</f>
        <v/>
      </c>
    </row>
    <row r="15" spans="1:14">
      <c r="A15" s="10" t="s">
        <v>34</v>
      </c>
      <c r="B15" s="10" t="s">
        <v>35</v>
      </c>
      <c r="F15" s="10">
        <f>CEILING(BoardQty*8,1)</f>
        <v>800</v>
      </c>
      <c r="G15" s="11">
        <f>IF(MIN(K15)&lt;&gt;0,MIN(K15),"")</f>
        <v/>
      </c>
      <c r="H15" s="12">
        <f>IF(AND(ISNUMBER(F15),ISNUMBER(G15)),F15*G15,"")</f>
        <v/>
      </c>
    </row>
    <row r="16" spans="1:14">
      <c r="A16" s="10" t="s">
        <v>36</v>
      </c>
      <c r="B16" s="10" t="s">
        <v>37</v>
      </c>
      <c r="F16" s="10">
        <f>CEILING(BoardQty*4,1)</f>
        <v>400</v>
      </c>
      <c r="G16" s="11">
        <f>IF(MIN(K16)&lt;&gt;0,MIN(K16),"")</f>
        <v/>
      </c>
      <c r="H16" s="12">
        <f>IF(AND(ISNUMBER(F16),ISNUMBER(G16)),F16*G16,"")</f>
        <v/>
      </c>
    </row>
    <row r="17" spans="1:14">
      <c r="A17" s="10" t="s">
        <v>38</v>
      </c>
      <c r="B17" s="10" t="s">
        <v>39</v>
      </c>
      <c r="C17" s="10" t="s">
        <v>40</v>
      </c>
      <c r="D17" s="10" t="s">
        <v>41</v>
      </c>
      <c r="E17" s="10" t="s">
        <v>42</v>
      </c>
      <c r="F17" s="10">
        <f>CEILING(BoardQty*2.0,1)</f>
        <v>200</v>
      </c>
      <c r="G17" s="11">
        <f>IF(MIN(K17)&lt;&gt;0,MIN(K17),"")</f>
        <v>0.00513317191283293</v>
      </c>
      <c r="H17" s="12">
        <f>IF(AND(ISNUMBER(F17),ISNUMBER(G17)),F17*G17,"")</f>
        <v>1.0266</v>
      </c>
      <c r="I17" s="13" t="s">
        <v>147</v>
      </c>
      <c r="J17" s="10"/>
      <c r="K17" s="11">
        <f>IFERROR(IF(OR(J17&gt;=L17,F17&gt;=L17),EUR_USD*LOOKUP(IF(J17="",F17,J17),{0,1,10,100,1000},{0.0,0.106,0.0106,0.0053,0.0036}),"MOQ="&amp;L17),"")</f>
        <v>0.00513317191283293</v>
      </c>
      <c r="L17" s="10">
        <v>1</v>
      </c>
      <c r="M17" s="12">
        <f>IFERROR(IF(J17="",F17,J17)*K17,"")</f>
        <v>1.0266</v>
      </c>
      <c r="N17" s="10" t="s">
        <v>42</v>
      </c>
    </row>
    <row r="18" spans="1:14">
      <c r="A18" s="10" t="s">
        <v>43</v>
      </c>
      <c r="B18" s="10" t="s">
        <v>44</v>
      </c>
      <c r="F18" s="10">
        <f>CEILING(BoardQty*2,1)</f>
        <v>200</v>
      </c>
      <c r="G18" s="11">
        <f>IF(MIN(K18)&lt;&gt;0,MIN(K18),"")</f>
        <v/>
      </c>
      <c r="H18" s="12">
        <f>IF(AND(ISNUMBER(F18),ISNUMBER(G18)),F18*G18,"")</f>
        <v/>
      </c>
    </row>
    <row r="19" spans="1:14">
      <c r="A19" s="10" t="s">
        <v>45</v>
      </c>
      <c r="B19" s="10" t="s">
        <v>46</v>
      </c>
      <c r="D19" s="10" t="s">
        <v>47</v>
      </c>
      <c r="E19" s="10" t="s">
        <v>48</v>
      </c>
      <c r="F19" s="10">
        <f>CEILING(BoardQty*1.0,1)</f>
        <v>100</v>
      </c>
      <c r="G19" s="11">
        <f>IF(MIN(K19)&lt;&gt;0,MIN(K19),"")</f>
        <v>0.09414043583535109</v>
      </c>
      <c r="H19" s="12">
        <f>IF(AND(ISNUMBER(F19),ISNUMBER(G19)),F19*G19,"")</f>
        <v>9.414</v>
      </c>
      <c r="I19" s="13" t="s">
        <v>147</v>
      </c>
      <c r="J19" s="10"/>
      <c r="K19" s="11">
        <f>IFERROR(IF(OR(J19&gt;=L19,F19&gt;=L19),EUR_USD*LOOKUP(IF(J19="",F19,J19),{0,1,10,100,1000},{0.0,0.1675,0.1309,0.0972,0.0902}),"MOQ="&amp;L19),"")</f>
        <v>0.09414043583535109</v>
      </c>
      <c r="L19" s="10">
        <v>1</v>
      </c>
      <c r="M19" s="12">
        <f>IFERROR(IF(J19="",F19,J19)*K19,"")</f>
        <v>9.414</v>
      </c>
      <c r="N19" s="10" t="s">
        <v>48</v>
      </c>
    </row>
    <row r="20" spans="1:14">
      <c r="A20" s="10" t="s">
        <v>49</v>
      </c>
      <c r="B20" s="10" t="s">
        <v>50</v>
      </c>
      <c r="C20" s="10" t="s">
        <v>51</v>
      </c>
      <c r="D20" s="10" t="s">
        <v>47</v>
      </c>
      <c r="E20" s="10" t="s">
        <v>51</v>
      </c>
      <c r="F20" s="10">
        <f>CEILING(BoardQty*1.0,1)</f>
        <v>100</v>
      </c>
      <c r="G20" s="11">
        <f>IF(MIN(K20)&lt;&gt;0,MIN(K20),"")</f>
        <v>0.09665859564164649</v>
      </c>
      <c r="H20" s="12">
        <f>IF(AND(ISNUMBER(F20),ISNUMBER(G20)),F20*G20,"")</f>
        <v>9.6659</v>
      </c>
      <c r="I20" s="13" t="s">
        <v>147</v>
      </c>
      <c r="J20" s="10"/>
      <c r="K20" s="11">
        <f>IFERROR(IF(OR(J20&gt;=L20,F20&gt;=L20),EUR_USD*LOOKUP(IF(J20="",F20,J20),{0,1,10,100,1000},{0.0,0.1646,0.131,0.0998,0.0933}),"MOQ="&amp;L20),"")</f>
        <v>0.09665859564164649</v>
      </c>
      <c r="L20" s="10">
        <v>1</v>
      </c>
      <c r="M20" s="12">
        <f>IFERROR(IF(J20="",F20,J20)*K20,"")</f>
        <v>9.6659</v>
      </c>
      <c r="N20" s="10" t="s">
        <v>51</v>
      </c>
    </row>
    <row r="21" spans="1:14">
      <c r="A21" s="10" t="s">
        <v>52</v>
      </c>
      <c r="B21" s="10" t="s">
        <v>53</v>
      </c>
      <c r="F21" s="10">
        <f>CEILING(BoardQty*1,1)</f>
        <v>100</v>
      </c>
      <c r="G21" s="11">
        <f>IF(MIN(K21)&lt;&gt;0,MIN(K21),"")</f>
        <v/>
      </c>
      <c r="H21" s="12">
        <f>IF(AND(ISNUMBER(F21),ISNUMBER(G21)),F21*G21,"")</f>
        <v/>
      </c>
    </row>
    <row r="22" spans="1:14">
      <c r="A22" s="10" t="s">
        <v>54</v>
      </c>
      <c r="B22" s="10" t="s">
        <v>55</v>
      </c>
      <c r="D22" s="10" t="s">
        <v>56</v>
      </c>
      <c r="E22" s="10" t="s">
        <v>57</v>
      </c>
      <c r="F22" s="10">
        <f>CEILING(BoardQty*1.0,1)</f>
        <v>100</v>
      </c>
      <c r="G22" s="11">
        <f>IF(MIN(K22)&lt;&gt;0,MIN(K22),"")</f>
        <v>0.017336561743341403</v>
      </c>
      <c r="H22" s="12">
        <f>IF(AND(ISNUMBER(F22),ISNUMBER(G22)),F22*G22,"")</f>
        <v>1.7337</v>
      </c>
      <c r="I22" s="13" t="s">
        <v>147</v>
      </c>
      <c r="J22" s="10"/>
      <c r="K22" s="11">
        <f>IFERROR(IF(OR(J22&gt;=L22,F22&gt;=L22),EUR_USD*LOOKUP(IF(J22="",F22,J22),{0,1,10,100,1000},{0.0,0.1105,0.0442,0.0179,0.0142}),"MOQ="&amp;L22),"")</f>
        <v>0.017336561743341403</v>
      </c>
      <c r="L22" s="10">
        <v>1</v>
      </c>
      <c r="M22" s="12">
        <f>IFERROR(IF(J22="",F22,J22)*K22,"")</f>
        <v>1.7337</v>
      </c>
      <c r="N22" s="10" t="s">
        <v>57</v>
      </c>
    </row>
    <row r="23" spans="1:14">
      <c r="A23" s="10" t="s">
        <v>58</v>
      </c>
      <c r="B23" s="10" t="s">
        <v>25</v>
      </c>
      <c r="C23" s="10" t="s">
        <v>59</v>
      </c>
      <c r="D23" s="10" t="s">
        <v>60</v>
      </c>
      <c r="E23" s="10" t="s">
        <v>61</v>
      </c>
      <c r="F23" s="10">
        <f>CEILING(BoardQty*1.0,1)</f>
        <v>100</v>
      </c>
      <c r="G23" s="11">
        <f>IF(MIN(K23)&lt;&gt;0,MIN(K23),"")</f>
        <v/>
      </c>
      <c r="H23" s="12">
        <f>IF(AND(ISNUMBER(F23),ISNUMBER(G23)),F23*G23,"")</f>
        <v/>
      </c>
    </row>
    <row r="24" spans="1:14">
      <c r="A24" s="10" t="s">
        <v>62</v>
      </c>
      <c r="B24" s="10" t="s">
        <v>63</v>
      </c>
      <c r="D24" s="10" t="s">
        <v>64</v>
      </c>
      <c r="E24" s="10" t="s">
        <v>65</v>
      </c>
      <c r="F24" s="10">
        <f>CEILING(BoardQty*2.0,1)</f>
        <v>200</v>
      </c>
      <c r="G24" s="11">
        <f>IF(MIN(K24)&lt;&gt;0,MIN(K24),"")</f>
        <v>1.130363196125908</v>
      </c>
      <c r="H24" s="12">
        <f>IF(AND(ISNUMBER(F24),ISNUMBER(G24)),F24*G24,"")</f>
        <v>226.0726</v>
      </c>
      <c r="I24" s="13" t="s">
        <v>147</v>
      </c>
      <c r="J24" s="10"/>
      <c r="K24" s="11">
        <f>IFERROR(IF(OR(J24&gt;=L24,F24&gt;=L24),EUR_USD*LOOKUP(IF(J24="",F24,J24),{0,1,10,100,1000},{0.0,1.5383,1.2985,1.1671,1.0179}),"MOQ="&amp;L24),"")</f>
        <v>1.130363196125908</v>
      </c>
      <c r="L24" s="10">
        <v>1</v>
      </c>
      <c r="M24" s="12">
        <f>IFERROR(IF(J24="",F24,J24)*K24,"")</f>
        <v>226.0726</v>
      </c>
      <c r="N24" s="10" t="s">
        <v>65</v>
      </c>
    </row>
    <row r="25" spans="1:14">
      <c r="A25" s="10" t="s">
        <v>66</v>
      </c>
      <c r="B25" s="10" t="s">
        <v>67</v>
      </c>
      <c r="D25" s="10" t="s">
        <v>64</v>
      </c>
      <c r="E25" s="10" t="s">
        <v>65</v>
      </c>
      <c r="F25" s="10">
        <f>CEILING(BoardQty*2.0,1)</f>
        <v>200</v>
      </c>
      <c r="G25" s="11">
        <f>IF(MIN(K25)&lt;&gt;0,MIN(K25),"")</f>
        <v>1.130363196125908</v>
      </c>
      <c r="H25" s="12">
        <f>IF(AND(ISNUMBER(F25),ISNUMBER(G25)),F25*G25,"")</f>
        <v>226.0726</v>
      </c>
      <c r="I25" s="13" t="s">
        <v>147</v>
      </c>
      <c r="J25" s="10"/>
      <c r="K25" s="11">
        <f>IFERROR(IF(OR(J25&gt;=L25,F25&gt;=L25),EUR_USD*LOOKUP(IF(J25="",F25,J25),{0,1,10,100,1000},{0.0,1.5383,1.2985,1.1671,1.0179}),"MOQ="&amp;L25),"")</f>
        <v>1.130363196125908</v>
      </c>
      <c r="L25" s="10">
        <v>1</v>
      </c>
      <c r="M25" s="12">
        <f>IFERROR(IF(J25="",F25,J25)*K25,"")</f>
        <v>226.0726</v>
      </c>
      <c r="N25" s="10" t="s">
        <v>65</v>
      </c>
    </row>
    <row r="26" spans="1:14">
      <c r="A26" s="10" t="s">
        <v>68</v>
      </c>
      <c r="B26" s="10" t="s">
        <v>69</v>
      </c>
      <c r="D26" s="10" t="s">
        <v>70</v>
      </c>
      <c r="E26" s="10" t="s">
        <v>69</v>
      </c>
      <c r="F26" s="10">
        <f>CEILING(BoardQty*4.0,1)</f>
        <v>400</v>
      </c>
      <c r="G26" s="11">
        <f>IF(MIN(K26)&lt;&gt;0,MIN(K26),"")</f>
        <v>0.013268765133171913</v>
      </c>
      <c r="H26" s="12">
        <f>IF(AND(ISNUMBER(F26),ISNUMBER(G26)),F26*G26,"")</f>
        <v>5.3075</v>
      </c>
      <c r="I26" s="13" t="s">
        <v>147</v>
      </c>
      <c r="J26" s="10"/>
      <c r="K26" s="11">
        <f>IFERROR(IF(OR(J26&gt;=L26,F26&gt;=L26),EUR_USD*LOOKUP(IF(J26="",F26,J26),{0,1,10,100,1000},{0.0,0.176,0.0176,0.0137,0.0107}),"MOQ="&amp;L26),"")</f>
        <v>0.013268765133171913</v>
      </c>
      <c r="L26" s="10">
        <v>1</v>
      </c>
      <c r="M26" s="12">
        <f>IFERROR(IF(J26="",F26,J26)*K26,"")</f>
        <v>5.3075</v>
      </c>
      <c r="N26" s="10" t="s">
        <v>69</v>
      </c>
    </row>
    <row r="27" spans="1:14" ht="30" customHeight="1">
      <c r="A27" s="10" t="s">
        <v>71</v>
      </c>
      <c r="B27" s="10" t="s">
        <v>72</v>
      </c>
      <c r="D27" s="10" t="s">
        <v>73</v>
      </c>
      <c r="E27" s="10" t="s">
        <v>74</v>
      </c>
      <c r="F27" s="10">
        <f>CEILING(BoardQty*2.0,1)</f>
        <v>200</v>
      </c>
      <c r="G27" s="11">
        <f>IF(MIN(K27)&lt;&gt;0,MIN(K27),"")</f>
        <v>0.013946731234866828</v>
      </c>
      <c r="H27" s="12">
        <f>IF(AND(ISNUMBER(F27),ISNUMBER(G27)),F27*G27,"")</f>
        <v>2.7893</v>
      </c>
      <c r="I27" s="13" t="s">
        <v>147</v>
      </c>
      <c r="J27" s="10"/>
      <c r="K27" s="11">
        <f>IFERROR(IF(OR(J27&gt;=L27,F27&gt;=L27),EUR_USD*LOOKUP(IF(J27="",F27,J27),{0,1,10,100,1000},{0.0,0.216,0.0216,0.0144,0.0098}),"MOQ="&amp;L27),"")</f>
        <v>0.013946731234866828</v>
      </c>
      <c r="L27" s="10">
        <v>1</v>
      </c>
      <c r="M27" s="12">
        <f>IFERROR(IF(J27="",F27,J27)*K27,"")</f>
        <v>2.7893</v>
      </c>
      <c r="N27" s="10" t="s">
        <v>74</v>
      </c>
    </row>
    <row r="28" spans="1:14">
      <c r="A28" s="10" t="s">
        <v>75</v>
      </c>
      <c r="B28" s="10" t="s">
        <v>76</v>
      </c>
      <c r="F28" s="10">
        <f>CEILING(BoardQty*2,1)</f>
        <v>200</v>
      </c>
      <c r="G28" s="11">
        <f>IF(MIN(K28)&lt;&gt;0,MIN(K28),"")</f>
        <v/>
      </c>
      <c r="H28" s="12">
        <f>IF(AND(ISNUMBER(F28),ISNUMBER(G28)),F28*G28,"")</f>
        <v/>
      </c>
    </row>
    <row r="29" spans="1:14">
      <c r="A29" s="10" t="s">
        <v>77</v>
      </c>
      <c r="B29" s="10" t="s">
        <v>78</v>
      </c>
      <c r="C29" s="10" t="s">
        <v>79</v>
      </c>
      <c r="D29" s="10" t="s">
        <v>80</v>
      </c>
      <c r="E29" s="10" t="s">
        <v>81</v>
      </c>
      <c r="F29" s="10">
        <f>CEILING(BoardQty*1.0,1)</f>
        <v>100</v>
      </c>
      <c r="G29" s="11">
        <f>IF(MIN(K29)&lt;&gt;0,MIN(K29),"")</f>
        <v/>
      </c>
      <c r="H29" s="12">
        <f>IF(AND(ISNUMBER(F29),ISNUMBER(G29)),F29*G29,"")</f>
        <v/>
      </c>
    </row>
    <row r="30" spans="1:14">
      <c r="A30" s="10" t="s">
        <v>82</v>
      </c>
      <c r="B30" s="10" t="s">
        <v>83</v>
      </c>
      <c r="C30" s="10" t="s">
        <v>79</v>
      </c>
      <c r="D30" s="10" t="s">
        <v>80</v>
      </c>
      <c r="E30" s="10" t="s">
        <v>84</v>
      </c>
      <c r="F30" s="10">
        <f>CEILING(BoardQty*2.0,1)</f>
        <v>200</v>
      </c>
      <c r="G30" s="11">
        <f>IF(MIN(K30)&lt;&gt;0,MIN(K30),"")</f>
        <v/>
      </c>
      <c r="H30" s="12">
        <f>IF(AND(ISNUMBER(F30),ISNUMBER(G30)),F30*G30,"")</f>
        <v/>
      </c>
    </row>
    <row r="31" spans="1:14">
      <c r="A31" s="10" t="s">
        <v>85</v>
      </c>
      <c r="B31" s="10" t="s">
        <v>86</v>
      </c>
      <c r="C31" s="10" t="s">
        <v>79</v>
      </c>
      <c r="D31" s="10" t="s">
        <v>80</v>
      </c>
      <c r="E31" s="10" t="s">
        <v>87</v>
      </c>
      <c r="F31" s="10">
        <f>CEILING(BoardQty*1.0,1)</f>
        <v>100</v>
      </c>
      <c r="G31" s="11">
        <f>IF(MIN(K31)&lt;&gt;0,MIN(K31),"")</f>
        <v/>
      </c>
      <c r="H31" s="12">
        <f>IF(AND(ISNUMBER(F31),ISNUMBER(G31)),F31*G31,"")</f>
        <v/>
      </c>
    </row>
    <row r="32" spans="1:14">
      <c r="A32" s="10" t="s">
        <v>88</v>
      </c>
      <c r="B32" s="10" t="s">
        <v>89</v>
      </c>
      <c r="F32" s="10">
        <f>CEILING(BoardQty*9,1)</f>
        <v>900</v>
      </c>
      <c r="G32" s="11">
        <f>IF(MIN(K32)&lt;&gt;0,MIN(K32),"")</f>
        <v/>
      </c>
      <c r="H32" s="12">
        <f>IF(AND(ISNUMBER(F32),ISNUMBER(G32)),F32*G32,"")</f>
        <v/>
      </c>
    </row>
    <row r="33" spans="1:14">
      <c r="A33" s="10" t="s">
        <v>90</v>
      </c>
      <c r="B33" s="10" t="s">
        <v>91</v>
      </c>
      <c r="F33" s="10">
        <f>CEILING(BoardQty*8,1)</f>
        <v>800</v>
      </c>
      <c r="G33" s="11">
        <f>IF(MIN(K33)&lt;&gt;0,MIN(K33),"")</f>
        <v/>
      </c>
      <c r="H33" s="12">
        <f>IF(AND(ISNUMBER(F33),ISNUMBER(G33)),F33*G33,"")</f>
        <v/>
      </c>
    </row>
    <row r="34" spans="1:14">
      <c r="A34" s="10" t="s">
        <v>92</v>
      </c>
      <c r="B34" s="10" t="s">
        <v>93</v>
      </c>
      <c r="F34" s="10">
        <f>CEILING(BoardQty*2,1)</f>
        <v>200</v>
      </c>
      <c r="G34" s="11">
        <f>IF(MIN(K34)&lt;&gt;0,MIN(K34),"")</f>
        <v/>
      </c>
      <c r="H34" s="12">
        <f>IF(AND(ISNUMBER(F34),ISNUMBER(G34)),F34*G34,"")</f>
        <v/>
      </c>
    </row>
    <row r="35" spans="1:14">
      <c r="A35" s="10" t="s">
        <v>94</v>
      </c>
      <c r="B35" s="10" t="s">
        <v>95</v>
      </c>
      <c r="F35" s="10">
        <f>CEILING(BoardQty*4,1)</f>
        <v>400</v>
      </c>
      <c r="G35" s="11">
        <f>IF(MIN(K35)&lt;&gt;0,MIN(K35),"")</f>
        <v/>
      </c>
      <c r="H35" s="12">
        <f>IF(AND(ISNUMBER(F35),ISNUMBER(G35)),F35*G35,"")</f>
        <v/>
      </c>
    </row>
    <row r="36" spans="1:14">
      <c r="A36" s="10" t="s">
        <v>96</v>
      </c>
      <c r="B36" s="10" t="s">
        <v>83</v>
      </c>
      <c r="F36" s="10">
        <f>CEILING(BoardQty*3,1)</f>
        <v>300</v>
      </c>
      <c r="G36" s="11">
        <f>IF(MIN(K36)&lt;&gt;0,MIN(K36),"")</f>
        <v/>
      </c>
      <c r="H36" s="12">
        <f>IF(AND(ISNUMBER(F36),ISNUMBER(G36)),F36*G36,"")</f>
        <v/>
      </c>
    </row>
    <row r="37" spans="1:14">
      <c r="A37" s="10" t="s">
        <v>97</v>
      </c>
      <c r="B37" s="10" t="s">
        <v>98</v>
      </c>
      <c r="F37" s="10">
        <f>CEILING(BoardQty*3,1)</f>
        <v>300</v>
      </c>
      <c r="G37" s="11">
        <f>IF(MIN(K37)&lt;&gt;0,MIN(K37),"")</f>
        <v/>
      </c>
      <c r="H37" s="12">
        <f>IF(AND(ISNUMBER(F37),ISNUMBER(G37)),F37*G37,"")</f>
        <v/>
      </c>
    </row>
    <row r="38" spans="1:14">
      <c r="A38" s="10" t="s">
        <v>99</v>
      </c>
      <c r="B38" s="10" t="s">
        <v>100</v>
      </c>
      <c r="F38" s="10">
        <f>CEILING(BoardQty*2,1)</f>
        <v>200</v>
      </c>
      <c r="G38" s="11">
        <f>IF(MIN(K38)&lt;&gt;0,MIN(K38),"")</f>
        <v/>
      </c>
      <c r="H38" s="12">
        <f>IF(AND(ISNUMBER(F38),ISNUMBER(G38)),F38*G38,"")</f>
        <v/>
      </c>
    </row>
    <row r="39" spans="1:14">
      <c r="A39" s="10" t="s">
        <v>101</v>
      </c>
      <c r="B39" s="10" t="s">
        <v>102</v>
      </c>
      <c r="F39" s="10">
        <f>CEILING(BoardQty*2,1)</f>
        <v>200</v>
      </c>
      <c r="G39" s="11">
        <f>IF(MIN(K39)&lt;&gt;0,MIN(K39),"")</f>
        <v/>
      </c>
      <c r="H39" s="12">
        <f>IF(AND(ISNUMBER(F39),ISNUMBER(G39)),F39*G39,"")</f>
        <v/>
      </c>
    </row>
    <row r="40" spans="1:14">
      <c r="A40" s="10" t="s">
        <v>103</v>
      </c>
      <c r="B40" s="10" t="s">
        <v>104</v>
      </c>
      <c r="F40" s="10">
        <f>CEILING(BoardQty*6,1)</f>
        <v>600</v>
      </c>
      <c r="G40" s="11">
        <f>IF(MIN(K40)&lt;&gt;0,MIN(K40),"")</f>
        <v/>
      </c>
      <c r="H40" s="12">
        <f>IF(AND(ISNUMBER(F40),ISNUMBER(G40)),F40*G40,"")</f>
        <v/>
      </c>
    </row>
    <row r="41" spans="1:14">
      <c r="A41" s="10" t="s">
        <v>105</v>
      </c>
      <c r="B41" s="10" t="s">
        <v>106</v>
      </c>
      <c r="F41" s="10">
        <f>CEILING(BoardQty*2,1)</f>
        <v>200</v>
      </c>
      <c r="G41" s="11">
        <f>IF(MIN(K41)&lt;&gt;0,MIN(K41),"")</f>
        <v/>
      </c>
      <c r="H41" s="12">
        <f>IF(AND(ISNUMBER(F41),ISNUMBER(G41)),F41*G41,"")</f>
        <v/>
      </c>
    </row>
    <row r="42" spans="1:14">
      <c r="A42" s="10" t="s">
        <v>107</v>
      </c>
      <c r="B42" s="10" t="s">
        <v>108</v>
      </c>
      <c r="F42" s="10">
        <f>CEILING(BoardQty*2,1)</f>
        <v>200</v>
      </c>
      <c r="G42" s="11">
        <f>IF(MIN(K42)&lt;&gt;0,MIN(K42),"")</f>
        <v/>
      </c>
      <c r="H42" s="12">
        <f>IF(AND(ISNUMBER(F42),ISNUMBER(G42)),F42*G42,"")</f>
        <v/>
      </c>
    </row>
    <row r="43" spans="1:14">
      <c r="A43" s="10" t="s">
        <v>109</v>
      </c>
      <c r="B43" s="10" t="s">
        <v>110</v>
      </c>
      <c r="F43" s="10">
        <f>CEILING(BoardQty*2,1)</f>
        <v>200</v>
      </c>
      <c r="G43" s="11">
        <f>IF(MIN(K43)&lt;&gt;0,MIN(K43),"")</f>
        <v/>
      </c>
      <c r="H43" s="12">
        <f>IF(AND(ISNUMBER(F43),ISNUMBER(G43)),F43*G43,"")</f>
        <v/>
      </c>
    </row>
    <row r="44" spans="1:14">
      <c r="A44" s="10" t="s">
        <v>111</v>
      </c>
      <c r="B44" s="10" t="s">
        <v>112</v>
      </c>
      <c r="F44" s="10">
        <f>CEILING(BoardQty*2,1)</f>
        <v>200</v>
      </c>
      <c r="G44" s="11">
        <f>IF(MIN(K44)&lt;&gt;0,MIN(K44),"")</f>
        <v/>
      </c>
      <c r="H44" s="12">
        <f>IF(AND(ISNUMBER(F44),ISNUMBER(G44)),F44*G44,"")</f>
        <v/>
      </c>
    </row>
    <row r="45" spans="1:14">
      <c r="A45" s="10" t="s">
        <v>113</v>
      </c>
      <c r="B45" s="10" t="s">
        <v>114</v>
      </c>
      <c r="F45" s="10">
        <f>CEILING(BoardQty*1,1)</f>
        <v>100</v>
      </c>
      <c r="G45" s="11">
        <f>IF(MIN(K45)&lt;&gt;0,MIN(K45),"")</f>
        <v/>
      </c>
      <c r="H45" s="12">
        <f>IF(AND(ISNUMBER(F45),ISNUMBER(G45)),F45*G45,"")</f>
        <v/>
      </c>
    </row>
    <row r="46" spans="1:14" ht="30" customHeight="1">
      <c r="A46" s="10" t="s">
        <v>115</v>
      </c>
      <c r="B46" s="10" t="s">
        <v>116</v>
      </c>
      <c r="C46" s="10" t="s">
        <v>117</v>
      </c>
      <c r="D46" s="10" t="s">
        <v>118</v>
      </c>
      <c r="E46" s="10" t="s">
        <v>119</v>
      </c>
      <c r="F46" s="10">
        <f>CEILING(BoardQty*1.0,1)</f>
        <v>100</v>
      </c>
      <c r="G46" s="11">
        <f>IF(MIN(K46)&lt;&gt;0,MIN(K46),"")</f>
        <v>1.4677966101694917</v>
      </c>
      <c r="H46" s="12">
        <f>IF(AND(ISNUMBER(F46),ISNUMBER(G46)),F46*G46,"")</f>
        <v>146.7797</v>
      </c>
      <c r="I46" s="13" t="s">
        <v>147</v>
      </c>
      <c r="J46" s="10"/>
      <c r="K46" s="11">
        <f>IFERROR(IF(OR(J46&gt;=L46,F46&gt;=L46),EUR_USD*LOOKUP(IF(J46="",F46,J46),{0,1,10,100,1000},{0.0,2.1016,1.8524,1.5155,1.4105}),"MOQ="&amp;L46),"")</f>
        <v>1.4677966101694917</v>
      </c>
      <c r="L46" s="10">
        <v>1</v>
      </c>
      <c r="M46" s="12">
        <f>IFERROR(IF(J46="",F46,J46)*K46,"")</f>
        <v>146.7797</v>
      </c>
      <c r="N46" s="10" t="s">
        <v>119</v>
      </c>
    </row>
    <row r="47" spans="1:14">
      <c r="A47" s="10" t="s">
        <v>120</v>
      </c>
      <c r="B47" s="10" t="s">
        <v>121</v>
      </c>
      <c r="C47" s="10" t="s">
        <v>121</v>
      </c>
      <c r="D47" s="10" t="s">
        <v>122</v>
      </c>
      <c r="E47" s="10" t="s">
        <v>121</v>
      </c>
      <c r="F47" s="10">
        <f>CEILING(BoardQty*1.0,1)</f>
        <v>100</v>
      </c>
      <c r="G47" s="11">
        <f>IF(MIN(K47)&lt;&gt;0,MIN(K47),"")</f>
        <v>2.282905569007264</v>
      </c>
      <c r="H47" s="12">
        <f>IF(AND(ISNUMBER(F47),ISNUMBER(G47)),F47*G47,"")</f>
        <v>228.2906</v>
      </c>
      <c r="I47" s="13" t="s">
        <v>147</v>
      </c>
      <c r="J47" s="10"/>
      <c r="K47" s="11">
        <f>IFERROR(IF(OR(J47&gt;=L47,F47&gt;=L47),EUR_USD*LOOKUP(IF(J47="",F47,J47),{0,1,10,100,1000},{0.0,2.448,2.448,2.3571,2.3571}),"MOQ="&amp;L47),"")</f>
        <v>2.282905569007264</v>
      </c>
      <c r="L47" s="10">
        <v>1</v>
      </c>
      <c r="M47" s="12">
        <f>IFERROR(IF(J47="",F47,J47)*K47,"")</f>
        <v>228.2906</v>
      </c>
      <c r="N47" s="10" t="s">
        <v>121</v>
      </c>
    </row>
    <row r="48" spans="1:14">
      <c r="A48" s="10" t="s">
        <v>123</v>
      </c>
      <c r="B48" s="10" t="s">
        <v>124</v>
      </c>
      <c r="C48" s="10" t="s">
        <v>125</v>
      </c>
      <c r="D48" s="10" t="s">
        <v>126</v>
      </c>
      <c r="E48" s="10" t="s">
        <v>127</v>
      </c>
      <c r="F48" s="10">
        <f>CEILING(BoardQty*1.0,1)</f>
        <v>100</v>
      </c>
      <c r="G48" s="11">
        <f>IF(MIN(K48)&lt;&gt;0,MIN(K48),"")</f>
        <v>0.6861016949152543</v>
      </c>
      <c r="H48" s="12">
        <f>IF(AND(ISNUMBER(F48),ISNUMBER(G48)),F48*G48,"")</f>
        <v>68.6102</v>
      </c>
      <c r="I48" s="13" t="s">
        <v>147</v>
      </c>
      <c r="J48" s="10"/>
      <c r="K48" s="11">
        <f>IFERROR(IF(OR(J48&gt;=L48,F48&gt;=L48),EUR_USD*LOOKUP(IF(J48="",F48,J48),{0,1,10,100,1000},{0.0,0.7209,0.7084,0.7084,0.7084}),"MOQ="&amp;L48),"")</f>
        <v>0.6861016949152543</v>
      </c>
      <c r="L48" s="10">
        <v>1</v>
      </c>
      <c r="M48" s="12">
        <f>IFERROR(IF(J48="",F48,J48)*K48,"")</f>
        <v>68.6102</v>
      </c>
      <c r="N48" s="10" t="s">
        <v>127</v>
      </c>
    </row>
    <row r="49" spans="1:14">
      <c r="A49" s="10" t="s">
        <v>128</v>
      </c>
      <c r="B49" s="10" t="s">
        <v>129</v>
      </c>
      <c r="C49" s="10" t="s">
        <v>130</v>
      </c>
      <c r="D49" s="10" t="s">
        <v>131</v>
      </c>
      <c r="E49" s="10" t="s">
        <v>132</v>
      </c>
      <c r="F49" s="10">
        <f>CEILING(BoardQty*1.0,1)</f>
        <v>100</v>
      </c>
      <c r="G49" s="11">
        <f>IF(MIN(K49)&lt;&gt;0,MIN(K49),"")</f>
        <v>9.995157384987893</v>
      </c>
      <c r="H49" s="12">
        <f>IF(AND(ISNUMBER(F49),ISNUMBER(G49)),F49*G49,"")</f>
        <v>999.5157</v>
      </c>
      <c r="I49" s="13" t="s">
        <v>147</v>
      </c>
      <c r="J49" s="10"/>
      <c r="K49" s="11">
        <f>IFERROR(IF(OR(J49&gt;=L49,F49&gt;=L49),EUR_USD*LOOKUP(IF(J49="",F49,J49),{0,1,10,100,1000},{0.0,21.0,15.73,10.32,10.32}),"MOQ="&amp;L49),"")</f>
        <v>9.995157384987893</v>
      </c>
      <c r="L49" s="10">
        <v>1</v>
      </c>
      <c r="M49" s="12">
        <f>IFERROR(IF(J49="",F49,J49)*K49,"")</f>
        <v>999.5157</v>
      </c>
      <c r="N49" s="10" t="s">
        <v>132</v>
      </c>
    </row>
    <row r="50" spans="1:14">
      <c r="A50" s="10" t="s">
        <v>133</v>
      </c>
      <c r="B50" s="10" t="s">
        <v>134</v>
      </c>
      <c r="D50" s="10" t="s">
        <v>126</v>
      </c>
      <c r="E50" s="10" t="s">
        <v>135</v>
      </c>
      <c r="F50" s="10">
        <f>CEILING(BoardQty*2.0,1)</f>
        <v>200</v>
      </c>
      <c r="G50" s="11">
        <f>IF(MIN(K50)&lt;&gt;0,MIN(K50),"")</f>
        <v>0.07050847457627119</v>
      </c>
      <c r="H50" s="12">
        <f>IF(AND(ISNUMBER(F50),ISNUMBER(G50)),F50*G50,"")</f>
        <v>14.1017</v>
      </c>
      <c r="I50" s="13" t="s">
        <v>147</v>
      </c>
      <c r="J50" s="10"/>
      <c r="K50" s="11">
        <f>IFERROR(IF(OR(J50&gt;=L50,F50&gt;=L50),EUR_USD*LOOKUP(IF(J50="",F50,J50),{0,1,10,100,1000},{0.0,0.1235,0.0971,0.0728,0.0696}),"MOQ="&amp;L50),"")</f>
        <v>0.07050847457627119</v>
      </c>
      <c r="L50" s="10">
        <v>1</v>
      </c>
      <c r="M50" s="12">
        <f>IFERROR(IF(J50="",F50,J50)*K50,"")</f>
        <v>14.1017</v>
      </c>
      <c r="N50" s="10" t="s">
        <v>135</v>
      </c>
    </row>
    <row r="51" spans="1:14">
      <c r="A51" s="10" t="s">
        <v>136</v>
      </c>
      <c r="B51" s="10" t="s">
        <v>137</v>
      </c>
      <c r="F51" s="10">
        <f>CEILING(BoardQty*1,1)</f>
        <v>100</v>
      </c>
      <c r="G51" s="11">
        <f>IF(MIN(K51)&lt;&gt;0,MIN(K51),"")</f>
        <v/>
      </c>
      <c r="H51" s="12">
        <f>IF(AND(ISNUMBER(F51),ISNUMBER(G51)),F51*G51,"")</f>
        <v/>
      </c>
    </row>
    <row r="52" spans="1:14">
      <c r="A52" s="10" t="s">
        <v>138</v>
      </c>
      <c r="B52" s="10" t="s">
        <v>139</v>
      </c>
      <c r="D52" s="10" t="s">
        <v>140</v>
      </c>
      <c r="E52" s="10" t="s">
        <v>141</v>
      </c>
      <c r="F52" s="10">
        <f>CEILING(BoardQty*1.0,1)</f>
        <v>100</v>
      </c>
      <c r="G52" s="11">
        <f>IF(MIN(K52)&lt;&gt;0,MIN(K52),"")</f>
        <v>0.05578692493946731</v>
      </c>
      <c r="H52" s="12">
        <f>IF(AND(ISNUMBER(F52),ISNUMBER(G52)),F52*G52,"")</f>
        <v>5.5787</v>
      </c>
      <c r="I52" s="13" t="s">
        <v>147</v>
      </c>
      <c r="J52" s="10"/>
      <c r="K52" s="11">
        <f>IFERROR(IF(OR(J52&gt;=L52,F52&gt;=L52),EUR_USD*LOOKUP(IF(J52="",F52,J52),{0,1,10,100,1000},{0.0,0.164,0.082,0.0576,0.0464}),"MOQ="&amp;L52),"")</f>
        <v>0.05578692493946731</v>
      </c>
      <c r="L52" s="10">
        <v>1</v>
      </c>
      <c r="M52" s="12">
        <f>IFERROR(IF(J52="",F52,J52)*K52,"")</f>
        <v>5.5787</v>
      </c>
      <c r="N52" s="10" t="s">
        <v>141</v>
      </c>
    </row>
    <row r="54" spans="1:14">
      <c r="B54" s="14" t="s">
        <v>150</v>
      </c>
      <c r="C54">
        <v>0.9685230024213075</v>
      </c>
      <c r="G54" s="1" t="s">
        <v>148</v>
      </c>
      <c r="H54" s="5">
        <f>SUM(M54)</f>
        <v>0</v>
      </c>
      <c r="J54" s="6">
        <f>IFERROR(IF(COUNTIF(J7:J52,"&gt;0")&gt;0,COUNTIF(J7:J52,"&gt;0")&amp;" of "&amp;(ROWS(L7:L52)-COUNTBLANK(L7:L52))&amp;" parts purchased",""),"")</f>
        <v/>
      </c>
      <c r="M54" s="5">
        <f>SUMIF(J7:J52,"&gt;0",M7:M52)</f>
        <v>0</v>
      </c>
    </row>
    <row r="55" spans="1:14">
      <c r="G55" s="14" t="s">
        <v>149</v>
      </c>
      <c r="J55" s="15">
        <f>CONCATENATE(J102,J103,J104,J105,J106,J107,J108,J109,J110,J111,J112,J113,J114,J115,J116,J117,J118,J119,J120,J121,J122,J123,J124,J125,J126,J127,J128,J129,J130,J131,J132,J133,J134,J135,J136,J137,J138,J139,J140,J141,J142,J143,J144,J145,J146,J147)</f>
        <v/>
      </c>
    </row>
    <row r="56" spans="1:14">
      <c r="A56" s="2" t="s">
        <v>161</v>
      </c>
    </row>
    <row r="102" spans="10:10" ht="30" hidden="1" customHeight="1">
      <c r="J102" t="str">
        <f t="array" ref="J102:J147">IF(ISNUMBER(J7:J52)*(J7:J52&gt;=L7:L52)*(N7:N52&lt;&gt;""),N7:N52&amp;","&amp;TEXT(ROUNDUP(J7:J52/IF(ISNUMBER(L7:L52),L7:L52,1),0)*L7:L52,"##0")&amp;","&amp;SUBSTITUTE(SUBSTITUTE(IF(PURCHASE_DESCRIPTION&lt;&gt;"",PURCHASE_DESCRIPTION&amp;":","")&amp;A7:A52,",",";"),"
"," ")&amp;CHAR(10),"")</f>
        <v/>
      </c>
    </row>
    <row r="103" spans="10:10" ht="30" hidden="1" customHeight="1">
      <c r="J103">
        <v>0</v>
      </c>
    </row>
    <row r="104" spans="10:10" ht="30" hidden="1" customHeight="1">
      <c r="J104">
        <v>0</v>
      </c>
    </row>
    <row r="105" spans="10:10" ht="30" hidden="1" customHeight="1">
      <c r="J105">
        <v>0</v>
      </c>
    </row>
    <row r="106" spans="10:10" ht="30" hidden="1" customHeight="1">
      <c r="J106">
        <v>0</v>
      </c>
    </row>
    <row r="107" spans="10:10" ht="30" hidden="1" customHeight="1">
      <c r="J107">
        <v>0</v>
      </c>
    </row>
    <row r="108" spans="10:10" ht="30" hidden="1" customHeight="1">
      <c r="J108">
        <v>0</v>
      </c>
    </row>
    <row r="109" spans="10:10" ht="30" hidden="1" customHeight="1">
      <c r="J109">
        <v>0</v>
      </c>
    </row>
    <row r="110" spans="10:10" ht="30" hidden="1" customHeight="1">
      <c r="J110">
        <v>0</v>
      </c>
    </row>
    <row r="111" spans="10:10" ht="30" hidden="1" customHeight="1">
      <c r="J111">
        <v>0</v>
      </c>
    </row>
    <row r="112" spans="10:10" ht="30" hidden="1" customHeight="1">
      <c r="J112">
        <v>0</v>
      </c>
    </row>
    <row r="113" spans="10:10" ht="30" hidden="1" customHeight="1">
      <c r="J113">
        <v>0</v>
      </c>
    </row>
    <row r="114" spans="10:10" ht="30" hidden="1" customHeight="1">
      <c r="J114">
        <v>0</v>
      </c>
    </row>
    <row r="115" spans="10:10" ht="30" hidden="1" customHeight="1">
      <c r="J115">
        <v>0</v>
      </c>
    </row>
    <row r="116" spans="10:10" ht="30" hidden="1" customHeight="1">
      <c r="J116">
        <v>0</v>
      </c>
    </row>
    <row r="117" spans="10:10" ht="30" hidden="1" customHeight="1">
      <c r="J117">
        <v>0</v>
      </c>
    </row>
    <row r="118" spans="10:10" ht="30" hidden="1" customHeight="1">
      <c r="J118">
        <v>0</v>
      </c>
    </row>
    <row r="119" spans="10:10" ht="30" hidden="1" customHeight="1">
      <c r="J119">
        <v>0</v>
      </c>
    </row>
    <row r="120" spans="10:10" ht="30" hidden="1" customHeight="1">
      <c r="J120">
        <v>0</v>
      </c>
    </row>
    <row r="121" spans="10:10" ht="30" hidden="1" customHeight="1">
      <c r="J121">
        <v>0</v>
      </c>
    </row>
    <row r="122" spans="10:10" ht="30" hidden="1" customHeight="1">
      <c r="J122">
        <v>0</v>
      </c>
    </row>
    <row r="123" spans="10:10" ht="30" hidden="1" customHeight="1">
      <c r="J123">
        <v>0</v>
      </c>
    </row>
    <row r="124" spans="10:10" ht="30" hidden="1" customHeight="1">
      <c r="J124">
        <v>0</v>
      </c>
    </row>
    <row r="125" spans="10:10" ht="30" hidden="1" customHeight="1">
      <c r="J125">
        <v>0</v>
      </c>
    </row>
    <row r="126" spans="10:10" ht="30" hidden="1" customHeight="1">
      <c r="J126">
        <v>0</v>
      </c>
    </row>
    <row r="127" spans="10:10" ht="30" hidden="1" customHeight="1">
      <c r="J127">
        <v>0</v>
      </c>
    </row>
    <row r="128" spans="10:10" ht="30" hidden="1" customHeight="1">
      <c r="J128">
        <v>0</v>
      </c>
    </row>
    <row r="129" spans="10:10" ht="30" hidden="1" customHeight="1">
      <c r="J129">
        <v>0</v>
      </c>
    </row>
    <row r="130" spans="10:10" ht="30" hidden="1" customHeight="1">
      <c r="J130">
        <v>0</v>
      </c>
    </row>
    <row r="131" spans="10:10" ht="30" hidden="1" customHeight="1">
      <c r="J131">
        <v>0</v>
      </c>
    </row>
    <row r="132" spans="10:10" ht="30" hidden="1" customHeight="1">
      <c r="J132">
        <v>0</v>
      </c>
    </row>
    <row r="133" spans="10:10" ht="30" hidden="1" customHeight="1">
      <c r="J133">
        <v>0</v>
      </c>
    </row>
    <row r="134" spans="10:10" ht="30" hidden="1" customHeight="1">
      <c r="J134">
        <v>0</v>
      </c>
    </row>
    <row r="135" spans="10:10" ht="30" hidden="1" customHeight="1">
      <c r="J135">
        <v>0</v>
      </c>
    </row>
    <row r="136" spans="10:10" ht="30" hidden="1" customHeight="1">
      <c r="J136">
        <v>0</v>
      </c>
    </row>
    <row r="137" spans="10:10" ht="30" hidden="1" customHeight="1">
      <c r="J137">
        <v>0</v>
      </c>
    </row>
    <row r="138" spans="10:10" ht="30" hidden="1" customHeight="1">
      <c r="J138">
        <v>0</v>
      </c>
    </row>
    <row r="139" spans="10:10" ht="30" hidden="1" customHeight="1">
      <c r="J139">
        <v>0</v>
      </c>
    </row>
    <row r="140" spans="10:10" ht="30" hidden="1" customHeight="1">
      <c r="J140">
        <v>0</v>
      </c>
    </row>
    <row r="141" spans="10:10" ht="30" hidden="1" customHeight="1">
      <c r="J141">
        <v>0</v>
      </c>
    </row>
    <row r="142" spans="10:10" ht="30" hidden="1" customHeight="1">
      <c r="J142">
        <v>0</v>
      </c>
    </row>
    <row r="143" spans="10:10" ht="30" hidden="1" customHeight="1">
      <c r="J143">
        <v>0</v>
      </c>
    </row>
    <row r="144" spans="10:10" ht="30" hidden="1" customHeight="1">
      <c r="J144">
        <v>0</v>
      </c>
    </row>
    <row r="145" spans="10:10" ht="30" hidden="1" customHeight="1">
      <c r="J145">
        <v>0</v>
      </c>
    </row>
    <row r="146" spans="10:10" ht="30" hidden="1" customHeight="1">
      <c r="J146">
        <v>0</v>
      </c>
    </row>
    <row r="147" spans="10:10" ht="30" hidden="1" customHeight="1">
      <c r="J147">
        <v>0</v>
      </c>
    </row>
  </sheetData>
  <mergeCells count="3">
    <mergeCell ref="A5:H5"/>
    <mergeCell ref="I5:N5"/>
    <mergeCell ref="J55:M101"/>
  </mergeCells>
  <conditionalFormatting sqref="F10">
    <cfRule type="expression" dxfId="2" priority="51">
      <formula>AND(ISBLANK(E10),ISBLANK(M10))</formula>
    </cfRule>
    <cfRule type="expression" dxfId="1" priority="52">
      <formula>IF(SUM(I10)=0,1,0)</formula>
    </cfRule>
    <cfRule type="cellIs" dxfId="0" priority="53" operator="greaterThan">
      <formula>SUM(I10)</formula>
    </cfRule>
    <cfRule type="cellIs" dxfId="3" priority="54" operator="greaterThan">
      <formula>SUM(IF(ISNUMBER(K10),J10,0))</formula>
    </cfRule>
  </conditionalFormatting>
  <conditionalFormatting sqref="F11">
    <cfRule type="expression" dxfId="2" priority="55">
      <formula>AND(ISBLANK(E11),ISBLANK(M11))</formula>
    </cfRule>
    <cfRule type="expression" dxfId="1" priority="56">
      <formula>IF(SUM(I11)=0,1,0)</formula>
    </cfRule>
    <cfRule type="cellIs" dxfId="0" priority="57" operator="greaterThan">
      <formula>SUM(I11)</formula>
    </cfRule>
    <cfRule type="cellIs" dxfId="3" priority="58" operator="greaterThan">
      <formula>SUM(IF(ISNUMBER(K11),J11,0))</formula>
    </cfRule>
  </conditionalFormatting>
  <conditionalFormatting sqref="F12">
    <cfRule type="expression" dxfId="2" priority="59">
      <formula>AND(ISBLANK(E12),ISBLANK(M12))</formula>
    </cfRule>
    <cfRule type="expression" dxfId="1" priority="60">
      <formula>IF(SUM(I12)=0,1,0)</formula>
    </cfRule>
    <cfRule type="cellIs" dxfId="0" priority="61" operator="greaterThan">
      <formula>SUM(I12)</formula>
    </cfRule>
    <cfRule type="cellIs" dxfId="3" priority="62" operator="greaterThan">
      <formula>SUM(IF(ISNUMBER(K12),J12,0))</formula>
    </cfRule>
  </conditionalFormatting>
  <conditionalFormatting sqref="F13">
    <cfRule type="expression" dxfId="2" priority="63">
      <formula>AND(ISBLANK(E13),ISBLANK(M13))</formula>
    </cfRule>
    <cfRule type="expression" dxfId="1" priority="64">
      <formula>IF(SUM(I13)=0,1,0)</formula>
    </cfRule>
    <cfRule type="cellIs" dxfId="0" priority="65" operator="greaterThan">
      <formula>SUM(I13)</formula>
    </cfRule>
    <cfRule type="cellIs" dxfId="3" priority="66" operator="greaterThan">
      <formula>SUM(IF(ISNUMBER(K13),J13,0))</formula>
    </cfRule>
  </conditionalFormatting>
  <conditionalFormatting sqref="F14">
    <cfRule type="expression" dxfId="2" priority="67">
      <formula>AND(ISBLANK(E14),ISBLANK(M14))</formula>
    </cfRule>
    <cfRule type="expression" dxfId="1" priority="68">
      <formula>IF(SUM(I14)=0,1,0)</formula>
    </cfRule>
    <cfRule type="cellIs" dxfId="0" priority="69" operator="greaterThan">
      <formula>SUM(I14)</formula>
    </cfRule>
    <cfRule type="cellIs" dxfId="3" priority="70" operator="greaterThan">
      <formula>SUM(IF(ISNUMBER(K14),J14,0))</formula>
    </cfRule>
  </conditionalFormatting>
  <conditionalFormatting sqref="F15">
    <cfRule type="expression" dxfId="2" priority="71">
      <formula>AND(ISBLANK(E15),ISBLANK(M15))</formula>
    </cfRule>
    <cfRule type="expression" dxfId="1" priority="72">
      <formula>IF(SUM(I15)=0,1,0)</formula>
    </cfRule>
    <cfRule type="cellIs" dxfId="0" priority="73" operator="greaterThan">
      <formula>SUM(I15)</formula>
    </cfRule>
    <cfRule type="cellIs" dxfId="3" priority="74" operator="greaterThan">
      <formula>SUM(IF(ISNUMBER(K15),J15,0))</formula>
    </cfRule>
  </conditionalFormatting>
  <conditionalFormatting sqref="F16">
    <cfRule type="expression" dxfId="2" priority="75">
      <formula>AND(ISBLANK(E16),ISBLANK(M16))</formula>
    </cfRule>
    <cfRule type="expression" dxfId="1" priority="76">
      <formula>IF(SUM(I16)=0,1,0)</formula>
    </cfRule>
    <cfRule type="cellIs" dxfId="0" priority="77" operator="greaterThan">
      <formula>SUM(I16)</formula>
    </cfRule>
    <cfRule type="cellIs" dxfId="3" priority="78" operator="greaterThan">
      <formula>SUM(IF(ISNUMBER(K16),J16,0))</formula>
    </cfRule>
  </conditionalFormatting>
  <conditionalFormatting sqref="F17">
    <cfRule type="expression" dxfId="2" priority="79">
      <formula>AND(ISBLANK(E17),ISBLANK(M17))</formula>
    </cfRule>
    <cfRule type="expression" dxfId="1" priority="80">
      <formula>IF(SUM(I17)=0,1,0)</formula>
    </cfRule>
    <cfRule type="cellIs" dxfId="0" priority="81" operator="greaterThan">
      <formula>SUM(I17)</formula>
    </cfRule>
    <cfRule type="cellIs" dxfId="3" priority="82" operator="greaterThan">
      <formula>SUM(IF(ISNUMBER(K17),J17,0))</formula>
    </cfRule>
  </conditionalFormatting>
  <conditionalFormatting sqref="F18">
    <cfRule type="expression" dxfId="2" priority="83">
      <formula>AND(ISBLANK(E18),ISBLANK(M18))</formula>
    </cfRule>
    <cfRule type="expression" dxfId="1" priority="84">
      <formula>IF(SUM(I18)=0,1,0)</formula>
    </cfRule>
    <cfRule type="cellIs" dxfId="0" priority="85" operator="greaterThan">
      <formula>SUM(I18)</formula>
    </cfRule>
    <cfRule type="cellIs" dxfId="3" priority="86" operator="greaterThan">
      <formula>SUM(IF(ISNUMBER(K18),J18,0))</formula>
    </cfRule>
  </conditionalFormatting>
  <conditionalFormatting sqref="F19">
    <cfRule type="expression" dxfId="2" priority="87">
      <formula>AND(ISBLANK(E19),ISBLANK(M19))</formula>
    </cfRule>
    <cfRule type="expression" dxfId="1" priority="88">
      <formula>IF(SUM(I19)=0,1,0)</formula>
    </cfRule>
    <cfRule type="cellIs" dxfId="0" priority="89" operator="greaterThan">
      <formula>SUM(I19)</formula>
    </cfRule>
    <cfRule type="cellIs" dxfId="3" priority="90" operator="greaterThan">
      <formula>SUM(IF(ISNUMBER(K19),J19,0))</formula>
    </cfRule>
  </conditionalFormatting>
  <conditionalFormatting sqref="F20">
    <cfRule type="expression" dxfId="2" priority="91">
      <formula>AND(ISBLANK(E20),ISBLANK(M20))</formula>
    </cfRule>
    <cfRule type="expression" dxfId="1" priority="92">
      <formula>IF(SUM(I20)=0,1,0)</formula>
    </cfRule>
    <cfRule type="cellIs" dxfId="0" priority="93" operator="greaterThan">
      <formula>SUM(I20)</formula>
    </cfRule>
    <cfRule type="cellIs" dxfId="3" priority="94" operator="greaterThan">
      <formula>SUM(IF(ISNUMBER(K20),J20,0))</formula>
    </cfRule>
  </conditionalFormatting>
  <conditionalFormatting sqref="F21">
    <cfRule type="expression" dxfId="2" priority="95">
      <formula>AND(ISBLANK(E21),ISBLANK(M21))</formula>
    </cfRule>
    <cfRule type="expression" dxfId="1" priority="96">
      <formula>IF(SUM(I21)=0,1,0)</formula>
    </cfRule>
    <cfRule type="cellIs" dxfId="0" priority="97" operator="greaterThan">
      <formula>SUM(I21)</formula>
    </cfRule>
    <cfRule type="cellIs" dxfId="3" priority="98" operator="greaterThan">
      <formula>SUM(IF(ISNUMBER(K21),J21,0))</formula>
    </cfRule>
  </conditionalFormatting>
  <conditionalFormatting sqref="F22">
    <cfRule type="expression" dxfId="2" priority="99">
      <formula>AND(ISBLANK(E22),ISBLANK(M22))</formula>
    </cfRule>
    <cfRule type="expression" dxfId="1" priority="100">
      <formula>IF(SUM(I22)=0,1,0)</formula>
    </cfRule>
    <cfRule type="cellIs" dxfId="0" priority="101" operator="greaterThan">
      <formula>SUM(I22)</formula>
    </cfRule>
    <cfRule type="cellIs" dxfId="3" priority="102" operator="greaterThan">
      <formula>SUM(IF(ISNUMBER(K22),J22,0))</formula>
    </cfRule>
  </conditionalFormatting>
  <conditionalFormatting sqref="F23">
    <cfRule type="expression" dxfId="2" priority="103">
      <formula>AND(ISBLANK(E23),ISBLANK(M23))</formula>
    </cfRule>
    <cfRule type="expression" dxfId="1" priority="104">
      <formula>IF(SUM(I23)=0,1,0)</formula>
    </cfRule>
    <cfRule type="cellIs" dxfId="0" priority="105" operator="greaterThan">
      <formula>SUM(I23)</formula>
    </cfRule>
    <cfRule type="cellIs" dxfId="3" priority="106" operator="greaterThan">
      <formula>SUM(IF(ISNUMBER(K23),J23,0))</formula>
    </cfRule>
  </conditionalFormatting>
  <conditionalFormatting sqref="F24">
    <cfRule type="expression" dxfId="2" priority="107">
      <formula>AND(ISBLANK(E24),ISBLANK(M24))</formula>
    </cfRule>
    <cfRule type="expression" dxfId="1" priority="108">
      <formula>IF(SUM(I24)=0,1,0)</formula>
    </cfRule>
    <cfRule type="cellIs" dxfId="0" priority="109" operator="greaterThan">
      <formula>SUM(I24)</formula>
    </cfRule>
    <cfRule type="cellIs" dxfId="3" priority="110" operator="greaterThan">
      <formula>SUM(IF(ISNUMBER(K24),J24,0))</formula>
    </cfRule>
  </conditionalFormatting>
  <conditionalFormatting sqref="F25">
    <cfRule type="expression" dxfId="2" priority="111">
      <formula>AND(ISBLANK(E25),ISBLANK(M25))</formula>
    </cfRule>
    <cfRule type="expression" dxfId="1" priority="112">
      <formula>IF(SUM(I25)=0,1,0)</formula>
    </cfRule>
    <cfRule type="cellIs" dxfId="0" priority="113" operator="greaterThan">
      <formula>SUM(I25)</formula>
    </cfRule>
    <cfRule type="cellIs" dxfId="3" priority="114" operator="greaterThan">
      <formula>SUM(IF(ISNUMBER(K25),J25,0))</formula>
    </cfRule>
  </conditionalFormatting>
  <conditionalFormatting sqref="F26">
    <cfRule type="expression" dxfId="2" priority="115">
      <formula>AND(ISBLANK(E26),ISBLANK(M26))</formula>
    </cfRule>
    <cfRule type="expression" dxfId="1" priority="116">
      <formula>IF(SUM(I26)=0,1,0)</formula>
    </cfRule>
    <cfRule type="cellIs" dxfId="0" priority="117" operator="greaterThan">
      <formula>SUM(I26)</formula>
    </cfRule>
    <cfRule type="cellIs" dxfId="3" priority="118" operator="greaterThan">
      <formula>SUM(IF(ISNUMBER(K26),J26,0))</formula>
    </cfRule>
  </conditionalFormatting>
  <conditionalFormatting sqref="F27">
    <cfRule type="expression" dxfId="2" priority="119">
      <formula>AND(ISBLANK(E27),ISBLANK(M27))</formula>
    </cfRule>
    <cfRule type="expression" dxfId="1" priority="120">
      <formula>IF(SUM(I27)=0,1,0)</formula>
    </cfRule>
    <cfRule type="cellIs" dxfId="0" priority="121" operator="greaterThan">
      <formula>SUM(I27)</formula>
    </cfRule>
    <cfRule type="cellIs" dxfId="3" priority="122" operator="greaterThan">
      <formula>SUM(IF(ISNUMBER(K27),J27,0))</formula>
    </cfRule>
  </conditionalFormatting>
  <conditionalFormatting sqref="F28">
    <cfRule type="expression" dxfId="2" priority="123">
      <formula>AND(ISBLANK(E28),ISBLANK(M28))</formula>
    </cfRule>
    <cfRule type="expression" dxfId="1" priority="124">
      <formula>IF(SUM(I28)=0,1,0)</formula>
    </cfRule>
    <cfRule type="cellIs" dxfId="0" priority="125" operator="greaterThan">
      <formula>SUM(I28)</formula>
    </cfRule>
    <cfRule type="cellIs" dxfId="3" priority="126" operator="greaterThan">
      <formula>SUM(IF(ISNUMBER(K28),J28,0))</formula>
    </cfRule>
  </conditionalFormatting>
  <conditionalFormatting sqref="F29">
    <cfRule type="expression" dxfId="2" priority="127">
      <formula>AND(ISBLANK(E29),ISBLANK(M29))</formula>
    </cfRule>
    <cfRule type="expression" dxfId="1" priority="128">
      <formula>IF(SUM(I29)=0,1,0)</formula>
    </cfRule>
    <cfRule type="cellIs" dxfId="0" priority="129" operator="greaterThan">
      <formula>SUM(I29)</formula>
    </cfRule>
    <cfRule type="cellIs" dxfId="3" priority="130" operator="greaterThan">
      <formula>SUM(IF(ISNUMBER(K29),J29,0))</formula>
    </cfRule>
  </conditionalFormatting>
  <conditionalFormatting sqref="F30">
    <cfRule type="expression" dxfId="2" priority="131">
      <formula>AND(ISBLANK(E30),ISBLANK(M30))</formula>
    </cfRule>
    <cfRule type="expression" dxfId="1" priority="132">
      <formula>IF(SUM(I30)=0,1,0)</formula>
    </cfRule>
    <cfRule type="cellIs" dxfId="0" priority="133" operator="greaterThan">
      <formula>SUM(I30)</formula>
    </cfRule>
    <cfRule type="cellIs" dxfId="3" priority="134" operator="greaterThan">
      <formula>SUM(IF(ISNUMBER(K30),J30,0))</formula>
    </cfRule>
  </conditionalFormatting>
  <conditionalFormatting sqref="F31">
    <cfRule type="expression" dxfId="2" priority="135">
      <formula>AND(ISBLANK(E31),ISBLANK(M31))</formula>
    </cfRule>
    <cfRule type="expression" dxfId="1" priority="136">
      <formula>IF(SUM(I31)=0,1,0)</formula>
    </cfRule>
    <cfRule type="cellIs" dxfId="0" priority="137" operator="greaterThan">
      <formula>SUM(I31)</formula>
    </cfRule>
    <cfRule type="cellIs" dxfId="3" priority="138" operator="greaterThan">
      <formula>SUM(IF(ISNUMBER(K31),J31,0))</formula>
    </cfRule>
  </conditionalFormatting>
  <conditionalFormatting sqref="F32">
    <cfRule type="expression" dxfId="2" priority="139">
      <formula>AND(ISBLANK(E32),ISBLANK(M32))</formula>
    </cfRule>
    <cfRule type="expression" dxfId="1" priority="140">
      <formula>IF(SUM(I32)=0,1,0)</formula>
    </cfRule>
    <cfRule type="cellIs" dxfId="0" priority="141" operator="greaterThan">
      <formula>SUM(I32)</formula>
    </cfRule>
    <cfRule type="cellIs" dxfId="3" priority="142" operator="greaterThan">
      <formula>SUM(IF(ISNUMBER(K32),J32,0))</formula>
    </cfRule>
  </conditionalFormatting>
  <conditionalFormatting sqref="F33">
    <cfRule type="expression" dxfId="2" priority="143">
      <formula>AND(ISBLANK(E33),ISBLANK(M33))</formula>
    </cfRule>
    <cfRule type="expression" dxfId="1" priority="144">
      <formula>IF(SUM(I33)=0,1,0)</formula>
    </cfRule>
    <cfRule type="cellIs" dxfId="0" priority="145" operator="greaterThan">
      <formula>SUM(I33)</formula>
    </cfRule>
    <cfRule type="cellIs" dxfId="3" priority="146" operator="greaterThan">
      <formula>SUM(IF(ISNUMBER(K33),J33,0))</formula>
    </cfRule>
  </conditionalFormatting>
  <conditionalFormatting sqref="F34">
    <cfRule type="expression" dxfId="2" priority="147">
      <formula>AND(ISBLANK(E34),ISBLANK(M34))</formula>
    </cfRule>
    <cfRule type="expression" dxfId="1" priority="148">
      <formula>IF(SUM(I34)=0,1,0)</formula>
    </cfRule>
    <cfRule type="cellIs" dxfId="0" priority="149" operator="greaterThan">
      <formula>SUM(I34)</formula>
    </cfRule>
    <cfRule type="cellIs" dxfId="3" priority="150" operator="greaterThan">
      <formula>SUM(IF(ISNUMBER(K34),J34,0))</formula>
    </cfRule>
  </conditionalFormatting>
  <conditionalFormatting sqref="F35">
    <cfRule type="expression" dxfId="2" priority="151">
      <formula>AND(ISBLANK(E35),ISBLANK(M35))</formula>
    </cfRule>
    <cfRule type="expression" dxfId="1" priority="152">
      <formula>IF(SUM(I35)=0,1,0)</formula>
    </cfRule>
    <cfRule type="cellIs" dxfId="0" priority="153" operator="greaterThan">
      <formula>SUM(I35)</formula>
    </cfRule>
    <cfRule type="cellIs" dxfId="3" priority="154" operator="greaterThan">
      <formula>SUM(IF(ISNUMBER(K35),J35,0))</formula>
    </cfRule>
  </conditionalFormatting>
  <conditionalFormatting sqref="F36">
    <cfRule type="expression" dxfId="2" priority="155">
      <formula>AND(ISBLANK(E36),ISBLANK(M36))</formula>
    </cfRule>
    <cfRule type="expression" dxfId="1" priority="156">
      <formula>IF(SUM(I36)=0,1,0)</formula>
    </cfRule>
    <cfRule type="cellIs" dxfId="0" priority="157" operator="greaterThan">
      <formula>SUM(I36)</formula>
    </cfRule>
    <cfRule type="cellIs" dxfId="3" priority="158" operator="greaterThan">
      <formula>SUM(IF(ISNUMBER(K36),J36,0))</formula>
    </cfRule>
  </conditionalFormatting>
  <conditionalFormatting sqref="F37">
    <cfRule type="expression" dxfId="2" priority="159">
      <formula>AND(ISBLANK(E37),ISBLANK(M37))</formula>
    </cfRule>
    <cfRule type="expression" dxfId="1" priority="160">
      <formula>IF(SUM(I37)=0,1,0)</formula>
    </cfRule>
    <cfRule type="cellIs" dxfId="0" priority="161" operator="greaterThan">
      <formula>SUM(I37)</formula>
    </cfRule>
    <cfRule type="cellIs" dxfId="3" priority="162" operator="greaterThan">
      <formula>SUM(IF(ISNUMBER(K37),J37,0))</formula>
    </cfRule>
  </conditionalFormatting>
  <conditionalFormatting sqref="F38">
    <cfRule type="expression" dxfId="2" priority="163">
      <formula>AND(ISBLANK(E38),ISBLANK(M38))</formula>
    </cfRule>
    <cfRule type="expression" dxfId="1" priority="164">
      <formula>IF(SUM(I38)=0,1,0)</formula>
    </cfRule>
    <cfRule type="cellIs" dxfId="0" priority="165" operator="greaterThan">
      <formula>SUM(I38)</formula>
    </cfRule>
    <cfRule type="cellIs" dxfId="3" priority="166" operator="greaterThan">
      <formula>SUM(IF(ISNUMBER(K38),J38,0))</formula>
    </cfRule>
  </conditionalFormatting>
  <conditionalFormatting sqref="F39">
    <cfRule type="expression" dxfId="2" priority="167">
      <formula>AND(ISBLANK(E39),ISBLANK(M39))</formula>
    </cfRule>
    <cfRule type="expression" dxfId="1" priority="168">
      <formula>IF(SUM(I39)=0,1,0)</formula>
    </cfRule>
    <cfRule type="cellIs" dxfId="0" priority="169" operator="greaterThan">
      <formula>SUM(I39)</formula>
    </cfRule>
    <cfRule type="cellIs" dxfId="3" priority="170" operator="greaterThan">
      <formula>SUM(IF(ISNUMBER(K39),J39,0))</formula>
    </cfRule>
  </conditionalFormatting>
  <conditionalFormatting sqref="F40">
    <cfRule type="expression" dxfId="2" priority="171">
      <formula>AND(ISBLANK(E40),ISBLANK(M40))</formula>
    </cfRule>
    <cfRule type="expression" dxfId="1" priority="172">
      <formula>IF(SUM(I40)=0,1,0)</formula>
    </cfRule>
    <cfRule type="cellIs" dxfId="0" priority="173" operator="greaterThan">
      <formula>SUM(I40)</formula>
    </cfRule>
    <cfRule type="cellIs" dxfId="3" priority="174" operator="greaterThan">
      <formula>SUM(IF(ISNUMBER(K40),J40,0))</formula>
    </cfRule>
  </conditionalFormatting>
  <conditionalFormatting sqref="F41">
    <cfRule type="expression" dxfId="2" priority="175">
      <formula>AND(ISBLANK(E41),ISBLANK(M41))</formula>
    </cfRule>
    <cfRule type="expression" dxfId="1" priority="176">
      <formula>IF(SUM(I41)=0,1,0)</formula>
    </cfRule>
    <cfRule type="cellIs" dxfId="0" priority="177" operator="greaterThan">
      <formula>SUM(I41)</formula>
    </cfRule>
    <cfRule type="cellIs" dxfId="3" priority="178" operator="greaterThan">
      <formula>SUM(IF(ISNUMBER(K41),J41,0))</formula>
    </cfRule>
  </conditionalFormatting>
  <conditionalFormatting sqref="F42">
    <cfRule type="expression" dxfId="2" priority="179">
      <formula>AND(ISBLANK(E42),ISBLANK(M42))</formula>
    </cfRule>
    <cfRule type="expression" dxfId="1" priority="180">
      <formula>IF(SUM(I42)=0,1,0)</formula>
    </cfRule>
    <cfRule type="cellIs" dxfId="0" priority="181" operator="greaterThan">
      <formula>SUM(I42)</formula>
    </cfRule>
    <cfRule type="cellIs" dxfId="3" priority="182" operator="greaterThan">
      <formula>SUM(IF(ISNUMBER(K42),J42,0))</formula>
    </cfRule>
  </conditionalFormatting>
  <conditionalFormatting sqref="F43">
    <cfRule type="expression" dxfId="2" priority="183">
      <formula>AND(ISBLANK(E43),ISBLANK(M43))</formula>
    </cfRule>
    <cfRule type="expression" dxfId="1" priority="184">
      <formula>IF(SUM(I43)=0,1,0)</formula>
    </cfRule>
    <cfRule type="cellIs" dxfId="0" priority="185" operator="greaterThan">
      <formula>SUM(I43)</formula>
    </cfRule>
    <cfRule type="cellIs" dxfId="3" priority="186" operator="greaterThan">
      <formula>SUM(IF(ISNUMBER(K43),J43,0))</formula>
    </cfRule>
  </conditionalFormatting>
  <conditionalFormatting sqref="F44">
    <cfRule type="expression" dxfId="2" priority="187">
      <formula>AND(ISBLANK(E44),ISBLANK(M44))</formula>
    </cfRule>
    <cfRule type="expression" dxfId="1" priority="188">
      <formula>IF(SUM(I44)=0,1,0)</formula>
    </cfRule>
    <cfRule type="cellIs" dxfId="0" priority="189" operator="greaterThan">
      <formula>SUM(I44)</formula>
    </cfRule>
    <cfRule type="cellIs" dxfId="3" priority="190" operator="greaterThan">
      <formula>SUM(IF(ISNUMBER(K44),J44,0))</formula>
    </cfRule>
  </conditionalFormatting>
  <conditionalFormatting sqref="F45">
    <cfRule type="expression" dxfId="2" priority="191">
      <formula>AND(ISBLANK(E45),ISBLANK(M45))</formula>
    </cfRule>
    <cfRule type="expression" dxfId="1" priority="192">
      <formula>IF(SUM(I45)=0,1,0)</formula>
    </cfRule>
    <cfRule type="cellIs" dxfId="0" priority="193" operator="greaterThan">
      <formula>SUM(I45)</formula>
    </cfRule>
    <cfRule type="cellIs" dxfId="3" priority="194" operator="greaterThan">
      <formula>SUM(IF(ISNUMBER(K45),J45,0))</formula>
    </cfRule>
  </conditionalFormatting>
  <conditionalFormatting sqref="F46">
    <cfRule type="expression" dxfId="2" priority="195">
      <formula>AND(ISBLANK(E46),ISBLANK(M46))</formula>
    </cfRule>
    <cfRule type="expression" dxfId="1" priority="196">
      <formula>IF(SUM(I46)=0,1,0)</formula>
    </cfRule>
    <cfRule type="cellIs" dxfId="0" priority="197" operator="greaterThan">
      <formula>SUM(I46)</formula>
    </cfRule>
    <cfRule type="cellIs" dxfId="3" priority="198" operator="greaterThan">
      <formula>SUM(IF(ISNUMBER(K46),J46,0))</formula>
    </cfRule>
  </conditionalFormatting>
  <conditionalFormatting sqref="F47">
    <cfRule type="expression" dxfId="2" priority="199">
      <formula>AND(ISBLANK(E47),ISBLANK(M47))</formula>
    </cfRule>
    <cfRule type="expression" dxfId="1" priority="200">
      <formula>IF(SUM(I47)=0,1,0)</formula>
    </cfRule>
    <cfRule type="cellIs" dxfId="0" priority="201" operator="greaterThan">
      <formula>SUM(I47)</formula>
    </cfRule>
    <cfRule type="cellIs" dxfId="3" priority="202" operator="greaterThan">
      <formula>SUM(IF(ISNUMBER(K47),J47,0))</formula>
    </cfRule>
  </conditionalFormatting>
  <conditionalFormatting sqref="F48">
    <cfRule type="expression" dxfId="2" priority="203">
      <formula>AND(ISBLANK(E48),ISBLANK(M48))</formula>
    </cfRule>
    <cfRule type="expression" dxfId="1" priority="204">
      <formula>IF(SUM(I48)=0,1,0)</formula>
    </cfRule>
    <cfRule type="cellIs" dxfId="0" priority="205" operator="greaterThan">
      <formula>SUM(I48)</formula>
    </cfRule>
    <cfRule type="cellIs" dxfId="3" priority="206" operator="greaterThan">
      <formula>SUM(IF(ISNUMBER(K48),J48,0))</formula>
    </cfRule>
  </conditionalFormatting>
  <conditionalFormatting sqref="F49">
    <cfRule type="expression" dxfId="2" priority="207">
      <formula>AND(ISBLANK(E49),ISBLANK(M49))</formula>
    </cfRule>
    <cfRule type="expression" dxfId="1" priority="208">
      <formula>IF(SUM(I49)=0,1,0)</formula>
    </cfRule>
    <cfRule type="cellIs" dxfId="0" priority="209" operator="greaterThan">
      <formula>SUM(I49)</formula>
    </cfRule>
    <cfRule type="cellIs" dxfId="3" priority="210" operator="greaterThan">
      <formula>SUM(IF(ISNUMBER(K49),J49,0))</formula>
    </cfRule>
  </conditionalFormatting>
  <conditionalFormatting sqref="F50">
    <cfRule type="expression" dxfId="2" priority="211">
      <formula>AND(ISBLANK(E50),ISBLANK(M50))</formula>
    </cfRule>
    <cfRule type="expression" dxfId="1" priority="212">
      <formula>IF(SUM(I50)=0,1,0)</formula>
    </cfRule>
    <cfRule type="cellIs" dxfId="0" priority="213" operator="greaterThan">
      <formula>SUM(I50)</formula>
    </cfRule>
    <cfRule type="cellIs" dxfId="3" priority="214" operator="greaterThan">
      <formula>SUM(IF(ISNUMBER(K50),J50,0))</formula>
    </cfRule>
  </conditionalFormatting>
  <conditionalFormatting sqref="F51">
    <cfRule type="expression" dxfId="2" priority="215">
      <formula>AND(ISBLANK(E51),ISBLANK(M51))</formula>
    </cfRule>
    <cfRule type="expression" dxfId="1" priority="216">
      <formula>IF(SUM(I51)=0,1,0)</formula>
    </cfRule>
    <cfRule type="cellIs" dxfId="0" priority="217" operator="greaterThan">
      <formula>SUM(I51)</formula>
    </cfRule>
    <cfRule type="cellIs" dxfId="3" priority="218" operator="greaterThan">
      <formula>SUM(IF(ISNUMBER(K51),J51,0))</formula>
    </cfRule>
  </conditionalFormatting>
  <conditionalFormatting sqref="F52">
    <cfRule type="expression" dxfId="2" priority="219">
      <formula>AND(ISBLANK(E52),ISBLANK(M52))</formula>
    </cfRule>
    <cfRule type="expression" dxfId="1" priority="220">
      <formula>IF(SUM(I52)=0,1,0)</formula>
    </cfRule>
    <cfRule type="cellIs" dxfId="0" priority="221" operator="greaterThan">
      <formula>SUM(I52)</formula>
    </cfRule>
    <cfRule type="cellIs" dxfId="3" priority="222" operator="greaterThan">
      <formula>SUM(IF(ISNUMBER(K52),J52,0))</formula>
    </cfRule>
  </conditionalFormatting>
  <conditionalFormatting sqref="F7">
    <cfRule type="expression" dxfId="2" priority="39">
      <formula>AND(ISBLANK(E7),ISBLANK(M7))</formula>
    </cfRule>
    <cfRule type="expression" dxfId="1" priority="40">
      <formula>IF(SUM(I7)=0,1,0)</formula>
    </cfRule>
    <cfRule type="cellIs" dxfId="0" priority="41" operator="greaterThan">
      <formula>SUM(I7)</formula>
    </cfRule>
    <cfRule type="cellIs" dxfId="3" priority="42" operator="greaterThan">
      <formula>SUM(IF(ISNUMBER(K7),J7,0))</formula>
    </cfRule>
  </conditionalFormatting>
  <conditionalFormatting sqref="F8">
    <cfRule type="expression" dxfId="2" priority="43">
      <formula>AND(ISBLANK(E8),ISBLANK(M8))</formula>
    </cfRule>
    <cfRule type="expression" dxfId="1" priority="44">
      <formula>IF(SUM(I8)=0,1,0)</formula>
    </cfRule>
    <cfRule type="cellIs" dxfId="0" priority="45" operator="greaterThan">
      <formula>SUM(I8)</formula>
    </cfRule>
    <cfRule type="cellIs" dxfId="3" priority="46" operator="greaterThan">
      <formula>SUM(IF(ISNUMBER(K8),J8,0))</formula>
    </cfRule>
  </conditionalFormatting>
  <conditionalFormatting sqref="F9">
    <cfRule type="expression" dxfId="2" priority="47">
      <formula>AND(ISBLANK(E9),ISBLANK(M9))</formula>
    </cfRule>
    <cfRule type="expression" dxfId="1" priority="48">
      <formula>IF(SUM(I9)=0,1,0)</formula>
    </cfRule>
    <cfRule type="cellIs" dxfId="0" priority="49" operator="greaterThan">
      <formula>SUM(I9)</formula>
    </cfRule>
    <cfRule type="cellIs" dxfId="3" priority="50" operator="greaterThan">
      <formula>SUM(IF(ISNUMBER(K9),J9,0))</formula>
    </cfRule>
  </conditionalFormatting>
  <conditionalFormatting sqref="I11">
    <cfRule type="cellIs" dxfId="0" priority="5" operator="lessThan">
      <formula>F11</formula>
    </cfRule>
  </conditionalFormatting>
  <conditionalFormatting sqref="I12">
    <cfRule type="cellIs" dxfId="0" priority="7" operator="lessThan">
      <formula>F12</formula>
    </cfRule>
  </conditionalFormatting>
  <conditionalFormatting sqref="I13">
    <cfRule type="cellIs" dxfId="0" priority="9" operator="lessThan">
      <formula>F13</formula>
    </cfRule>
  </conditionalFormatting>
  <conditionalFormatting sqref="I17">
    <cfRule type="cellIs" dxfId="0" priority="11" operator="lessThan">
      <formula>F17</formula>
    </cfRule>
  </conditionalFormatting>
  <conditionalFormatting sqref="I19">
    <cfRule type="cellIs" dxfId="0" priority="13" operator="lessThan">
      <formula>F19</formula>
    </cfRule>
  </conditionalFormatting>
  <conditionalFormatting sqref="I20">
    <cfRule type="cellIs" dxfId="0" priority="15" operator="lessThan">
      <formula>F20</formula>
    </cfRule>
  </conditionalFormatting>
  <conditionalFormatting sqref="I22">
    <cfRule type="cellIs" dxfId="0" priority="17" operator="lessThan">
      <formula>F22</formula>
    </cfRule>
  </conditionalFormatting>
  <conditionalFormatting sqref="I24">
    <cfRule type="cellIs" dxfId="0" priority="19" operator="lessThan">
      <formula>F24</formula>
    </cfRule>
  </conditionalFormatting>
  <conditionalFormatting sqref="I25">
    <cfRule type="cellIs" dxfId="0" priority="21" operator="lessThan">
      <formula>F25</formula>
    </cfRule>
  </conditionalFormatting>
  <conditionalFormatting sqref="I26">
    <cfRule type="cellIs" dxfId="0" priority="23" operator="lessThan">
      <formula>F26</formula>
    </cfRule>
  </conditionalFormatting>
  <conditionalFormatting sqref="I27">
    <cfRule type="cellIs" dxfId="0" priority="25" operator="lessThan">
      <formula>F27</formula>
    </cfRule>
  </conditionalFormatting>
  <conditionalFormatting sqref="I46">
    <cfRule type="cellIs" dxfId="0" priority="27" operator="lessThan">
      <formula>F46</formula>
    </cfRule>
  </conditionalFormatting>
  <conditionalFormatting sqref="I47">
    <cfRule type="cellIs" dxfId="0" priority="29" operator="lessThan">
      <formula>F47</formula>
    </cfRule>
  </conditionalFormatting>
  <conditionalFormatting sqref="I48">
    <cfRule type="cellIs" dxfId="0" priority="31" operator="lessThan">
      <formula>F48</formula>
    </cfRule>
  </conditionalFormatting>
  <conditionalFormatting sqref="I49">
    <cfRule type="cellIs" dxfId="0" priority="33" operator="lessThan">
      <formula>F49</formula>
    </cfRule>
  </conditionalFormatting>
  <conditionalFormatting sqref="I50">
    <cfRule type="cellIs" dxfId="0" priority="35" operator="lessThan">
      <formula>F50</formula>
    </cfRule>
  </conditionalFormatting>
  <conditionalFormatting sqref="I52">
    <cfRule type="cellIs" dxfId="0" priority="37" operator="lessThan">
      <formula>F52</formula>
    </cfRule>
  </conditionalFormatting>
  <conditionalFormatting sqref="I7">
    <cfRule type="cellIs" dxfId="0" priority="1" operator="lessThan">
      <formula>F7</formula>
    </cfRule>
  </conditionalFormatting>
  <conditionalFormatting sqref="I9">
    <cfRule type="cellIs" dxfId="0" priority="3" operator="lessThan">
      <formula>F9</formula>
    </cfRule>
  </conditionalFormatting>
  <conditionalFormatting sqref="J11">
    <cfRule type="expression" dxfId="1" priority="6">
      <formula>AND(NOT(ISBLANK(J11)),OR(I11="NonStk",J11&gt;I11))</formula>
    </cfRule>
  </conditionalFormatting>
  <conditionalFormatting sqref="J12">
    <cfRule type="expression" dxfId="1" priority="8">
      <formula>AND(NOT(ISBLANK(J12)),OR(I12="NonStk",J12&gt;I12))</formula>
    </cfRule>
  </conditionalFormatting>
  <conditionalFormatting sqref="J13">
    <cfRule type="expression" dxfId="1" priority="10">
      <formula>AND(NOT(ISBLANK(J13)),OR(I13="NonStk",J13&gt;I13))</formula>
    </cfRule>
  </conditionalFormatting>
  <conditionalFormatting sqref="J17">
    <cfRule type="expression" dxfId="1" priority="12">
      <formula>AND(NOT(ISBLANK(J17)),OR(I17="NonStk",J17&gt;I17))</formula>
    </cfRule>
  </conditionalFormatting>
  <conditionalFormatting sqref="J19">
    <cfRule type="expression" dxfId="1" priority="14">
      <formula>AND(NOT(ISBLANK(J19)),OR(I19="NonStk",J19&gt;I19))</formula>
    </cfRule>
  </conditionalFormatting>
  <conditionalFormatting sqref="J20">
    <cfRule type="expression" dxfId="1" priority="16">
      <formula>AND(NOT(ISBLANK(J20)),OR(I20="NonStk",J20&gt;I20))</formula>
    </cfRule>
  </conditionalFormatting>
  <conditionalFormatting sqref="J22">
    <cfRule type="expression" dxfId="1" priority="18">
      <formula>AND(NOT(ISBLANK(J22)),OR(I22="NonStk",J22&gt;I22))</formula>
    </cfRule>
  </conditionalFormatting>
  <conditionalFormatting sqref="J24">
    <cfRule type="expression" dxfId="1" priority="20">
      <formula>AND(NOT(ISBLANK(J24)),OR(I24="NonStk",J24&gt;I24))</formula>
    </cfRule>
  </conditionalFormatting>
  <conditionalFormatting sqref="J25">
    <cfRule type="expression" dxfId="1" priority="22">
      <formula>AND(NOT(ISBLANK(J25)),OR(I25="NonStk",J25&gt;I25))</formula>
    </cfRule>
  </conditionalFormatting>
  <conditionalFormatting sqref="J26">
    <cfRule type="expression" dxfId="1" priority="24">
      <formula>AND(NOT(ISBLANK(J26)),OR(I26="NonStk",J26&gt;I26))</formula>
    </cfRule>
  </conditionalFormatting>
  <conditionalFormatting sqref="J27">
    <cfRule type="expression" dxfId="1" priority="26">
      <formula>AND(NOT(ISBLANK(J27)),OR(I27="NonStk",J27&gt;I27))</formula>
    </cfRule>
  </conditionalFormatting>
  <conditionalFormatting sqref="J46">
    <cfRule type="expression" dxfId="1" priority="28">
      <formula>AND(NOT(ISBLANK(J46)),OR(I46="NonStk",J46&gt;I46))</formula>
    </cfRule>
  </conditionalFormatting>
  <conditionalFormatting sqref="J47">
    <cfRule type="expression" dxfId="1" priority="30">
      <formula>AND(NOT(ISBLANK(J47)),OR(I47="NonStk",J47&gt;I47))</formula>
    </cfRule>
  </conditionalFormatting>
  <conditionalFormatting sqref="J48">
    <cfRule type="expression" dxfId="1" priority="32">
      <formula>AND(NOT(ISBLANK(J48)),OR(I48="NonStk",J48&gt;I48))</formula>
    </cfRule>
  </conditionalFormatting>
  <conditionalFormatting sqref="J49">
    <cfRule type="expression" dxfId="1" priority="34">
      <formula>AND(NOT(ISBLANK(J49)),OR(I49="NonStk",J49&gt;I49))</formula>
    </cfRule>
  </conditionalFormatting>
  <conditionalFormatting sqref="J50">
    <cfRule type="expression" dxfId="1" priority="36">
      <formula>AND(NOT(ISBLANK(J50)),OR(I50="NonStk",J50&gt;I50))</formula>
    </cfRule>
  </conditionalFormatting>
  <conditionalFormatting sqref="J52">
    <cfRule type="expression" dxfId="1" priority="38">
      <formula>AND(NOT(ISBLANK(J52)),OR(I52="NonStk",J52&gt;I52))</formula>
    </cfRule>
  </conditionalFormatting>
  <conditionalFormatting sqref="J7">
    <cfRule type="expression" dxfId="1" priority="2">
      <formula>AND(NOT(ISBLANK(J7)),OR(I7="NonStk",J7&gt;I7))</formula>
    </cfRule>
  </conditionalFormatting>
  <conditionalFormatting sqref="J9">
    <cfRule type="expression" dxfId="1" priority="4">
      <formula>AND(NOT(ISBLANK(J9)),OR(I9="NonStk",J9&gt;I9))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OBSPro-kicost</vt:lpstr>
      <vt:lpstr>'OBSPro-kicost'!BoardQty</vt:lpstr>
      <vt:lpstr>'OBSPro-kicost'!EUR_USD</vt:lpstr>
      <vt:lpstr>'OBSPro-kicost'!PURCHASE_DESCRIPTION</vt:lpstr>
      <vt:lpstr>'OBSPro-kicost'!TotalCost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2022-11-24T14:08:06Z</dcterms:created>
  <dcterms:modified xsi:type="dcterms:W3CDTF">2022-11-24T14:08:06Z</dcterms:modified>
</cp:coreProperties>
</file>