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BSPro-kicost" sheetId="1" r:id="rId1"/>
  </sheets>
  <definedNames>
    <definedName name="BoardQty" localSheetId="0">'OBSPro-kicost'!$H$1</definedName>
    <definedName name="EUR_USD" localSheetId="0">'OBSPro-kicost'!$C$52</definedName>
    <definedName name="PURCHASE_DESCRIPTION" localSheetId="0">'OBSPro-kicost'!$H$53</definedName>
    <definedName name="TotalCost" localSheetId="0">'OBSPro-kicost'!$H$3</definedName>
  </definedName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G3" authorId="0">
      <text>
        <r>
          <rPr>
            <sz val="8"/>
            <color indexed="81"/>
            <rFont val="Tahoma"/>
            <family val="2"/>
          </rPr>
          <t>Use the minimum extend price across distributors not taking account available quantities.</t>
        </r>
      </text>
    </comment>
    <comment ref="N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6" authorId="0">
      <text>
        <r>
          <rPr>
            <sz val="8"/>
            <color indexed="81"/>
            <rFont val="Tahoma"/>
            <family val="2"/>
          </rPr>
          <t>Schematic identifier for each part.</t>
        </r>
      </text>
    </comment>
    <comment ref="B6" authorId="0">
      <text>
        <r>
          <rPr>
            <sz val="8"/>
            <color indexed="81"/>
            <rFont val="Tahoma"/>
            <family val="2"/>
          </rPr>
          <t>Value of each part.</t>
        </r>
      </text>
    </comment>
    <comment ref="C6" authorId="0">
      <text>
        <r>
          <rPr>
            <sz val="8"/>
            <color indexed="81"/>
            <rFont val="Tahoma"/>
            <family val="2"/>
          </rPr>
          <t>PCB footprint for each part.</t>
        </r>
      </text>
    </comment>
    <comment ref="D6" authorId="0">
      <text>
        <r>
          <rPr>
            <sz val="8"/>
            <color indexed="81"/>
            <rFont val="Tahoma"/>
            <family val="2"/>
          </rPr>
          <t>Manufacturer of each part.</t>
        </r>
      </text>
    </comment>
    <comment ref="E6" authorId="0">
      <text>
        <r>
          <rPr>
            <sz val="8"/>
            <color indexed="81"/>
            <rFont val="Tahoma"/>
            <family val="2"/>
          </rPr>
          <t>Manufacturer number for each part and link to it's datasheet (Ctrl-click).
Purple -&gt; Obsolete part detected by one of the distributors.</t>
        </r>
      </text>
    </comment>
    <comment ref="F6" authorId="0">
      <text>
        <r>
          <rPr>
            <sz val="8"/>
            <color indexed="81"/>
            <rFont val="Tahoma"/>
            <family val="2"/>
          </rPr>
          <t>Total number of each part needed.
Gray -&gt; No manf# provided.
Red -&gt; No parts available.
Orange -&gt; Not enough parts available.
Yellow -&gt; Parts available, but haven't purchased enough.</t>
        </r>
      </text>
    </comment>
    <comment ref="G6" authorId="0">
      <text>
        <r>
          <rPr>
            <sz val="8"/>
            <color indexed="81"/>
            <rFont val="Tahoma"/>
            <family val="2"/>
          </rPr>
          <t>Minimum unit price for each part across all distributors.</t>
        </r>
      </text>
    </comment>
    <comment ref="H6" authorId="0">
      <text>
        <r>
          <rPr>
            <sz val="8"/>
            <color indexed="81"/>
            <rFont val="Tahoma"/>
            <family val="2"/>
          </rPr>
          <t>Minimum extended price for each part across all distributors.</t>
        </r>
      </text>
    </comment>
    <comment ref="I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J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K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L6" authorId="0">
      <text>
        <r>
          <rPr>
            <sz val="8"/>
            <color indexed="81"/>
            <rFont val="Tahoma"/>
            <family val="2"/>
          </rPr>
          <t>Minimum Order Quantity. You must buy at least this ammount of components.</t>
        </r>
      </text>
    </comment>
    <comment ref="M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N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I7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K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$1.03      $1.03
    10   $0.87      $8.65
   100   $0.57     $57.24
  1000   $0.61    $606.50</t>
        </r>
      </text>
    </comment>
    <comment ref="I9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K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$0.06      $0.06
    10   $0.01      $0.06
   100   $0.00      $0.31
  1000   $0.00      $2.90</t>
        </r>
      </text>
    </comment>
    <comment ref="I10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K1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$0.02      $0.02
   150   $0.02      $2.79</t>
        </r>
      </text>
    </comment>
    <comment ref="I11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K1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$0.06      $0.06
    10   $0.01      $0.06
   100   $0.00      $0.28
  1000   $0.00      $2.70</t>
        </r>
      </text>
    </comment>
    <comment ref="I12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K1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$0.00      $0.00
   200   $0.00      $0.32
   800   $0.00      $1.04
  1600   $0.00      $1.92
  9600   $0.00     $10.56</t>
        </r>
      </text>
    </comment>
    <comment ref="I13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K1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$0.01      $0.01
   200   $0.01      $1.16
   800   $0.01      $4.08
  1600   $0.00      $7.52
  9600   $0.00     $42.24
 20000   $0.00     $84.00</t>
        </r>
      </text>
    </comment>
    <comment ref="I14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K1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$0.00      $0.00</t>
        </r>
      </text>
    </comment>
    <comment ref="I15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K1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$0.00      $0.00
   200   $0.00      $0.40
   800   $0.00      $1.36
  1600   $0.00      $2.40
  9600   $0.00     $12.48</t>
        </r>
      </text>
    </comment>
    <comment ref="I16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K1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$0.11      $0.11
    10   $0.01      $0.11
   100   $0.01      $0.53
  1000   $0.00      $3.60</t>
        </r>
      </text>
    </comment>
    <comment ref="I17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K1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$0.01      $0.01
    50   $0.01      $0.56
   150   $0.01      $1.46
   500   $0.01      $4.40
  2500   $0.01     $20.25
  5000   $0.01     $38.50</t>
        </r>
      </text>
    </comment>
    <comment ref="I18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K1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$0.17      $0.17
    10   $0.13      $1.31
   100   $0.10      $9.72
  1000   $0.09     $90.20</t>
        </r>
      </text>
    </comment>
    <comment ref="I19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K1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$0.16      $0.16
    10   $0.13      $1.31
   100   $0.10      $9.98
  1000   $0.09     $93.30</t>
        </r>
      </text>
    </comment>
    <comment ref="I21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K2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$0.11      $0.11
    10   $0.04      $0.44
   100   $0.02      $1.79
  1000   $0.01     $14.20</t>
        </r>
      </text>
    </comment>
    <comment ref="I22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K2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$0.08      $0.08
    50   $0.07      $3.36
   150   $0.06      $9.00
   500   $0.05     $27.30
  3000   $0.05    $151.20
  6000   $0.05    $289.80</t>
        </r>
      </text>
    </comment>
    <comment ref="I23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K2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$1.54      $1.54
    10   $1.30     $12.98
   100   $1.17    $116.71
  1000   $1.02  $1,017.90</t>
        </r>
      </text>
    </comment>
    <comment ref="I24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K2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$1.54      $1.54
    10   $1.30     $12.98
   100   $1.17    $116.71
  1000   $1.02  $1,017.90</t>
        </r>
      </text>
    </comment>
    <comment ref="I25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K2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$0.18      $0.18
    10   $0.02      $0.18
   100   $0.01      $1.37
  1000   $0.01     $10.70</t>
        </r>
      </text>
    </comment>
    <comment ref="I26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K2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$0.22      $0.22
    10   $0.02      $0.22
   100   $0.01      $1.44
  1000   $0.01      $9.80</t>
        </r>
      </text>
    </comment>
    <comment ref="I27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K2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$0.00      $0.00
   200   $0.00      $0.14
  1000   $0.00      $0.60
 10000   $0.00      $5.00</t>
        </r>
      </text>
    </comment>
    <comment ref="I28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K2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$0.00      $0.00
   200   $0.00      $0.22
  1000   $0.00      $0.90</t>
        </r>
      </text>
    </comment>
    <comment ref="I29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K2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$0.00      $0.00
   200   $0.00      $0.08</t>
        </r>
      </text>
    </comment>
    <comment ref="I30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K3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$0.00      $0.00
   200   $0.00      $0.74
  1000   $0.00      $3.30
  2000   $0.00      $6.40
 10000   $0.00     $29.00
 20000   $0.00     $56.00</t>
        </r>
      </text>
    </comment>
    <comment ref="I31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K3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$0.00      $0.00
   200   $0.00      $0.22
  1000   $0.00      $0.90
  2000   $0.00      $1.60</t>
        </r>
      </text>
    </comment>
    <comment ref="I32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K3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$0.00      $0.00
   200   $0.00      $0.14
  1000   $0.00      $0.60
  2000   $0.00      $1.00</t>
        </r>
      </text>
    </comment>
    <comment ref="I33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K3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$0.00      $0.00
   200   $0.00      $0.14
  1000   $0.00      $0.60
 10000   $0.00      $5.00</t>
        </r>
      </text>
    </comment>
    <comment ref="I34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K3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$0.00      $0.00
   200   $0.00      $0.14
  1000   $0.00      $0.60
 10000   $0.00      $5.00</t>
        </r>
      </text>
    </comment>
    <comment ref="I35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K3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$0.00      $0.00
   200   $0.00      $0.14
  1000   $0.00      $0.60
 10000   $0.00      $5.00</t>
        </r>
      </text>
    </comment>
    <comment ref="I36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K3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$0.00      $0.00
   200   $0.00      $0.14
  1000   $0.00      $0.60
  2000   $0.00      $1.00
 10000   $0.00      $4.00</t>
        </r>
      </text>
    </comment>
    <comment ref="I37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K3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$0.00      $0.00
   200   $0.00      $0.14
  1000   $0.00      $0.60
 10000   $0.00      $5.00</t>
        </r>
      </text>
    </comment>
    <comment ref="I38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K3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$0.00      $0.00
   200   $0.00      $0.14
  1000   $0.00      $0.60
 10000   $0.00      $5.00</t>
        </r>
      </text>
    </comment>
    <comment ref="I39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K3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$0.00      $0.00
   200   $0.00      $0.14
  1000   $0.00      $0.60
 10000   $0.00      $5.00</t>
        </r>
      </text>
    </comment>
    <comment ref="I40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K4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$0.00      $0.00
   200   $0.00      $0.14
  1000   $0.00      $0.60
 10000   $0.00      $5.00</t>
        </r>
      </text>
    </comment>
    <comment ref="I41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K4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$0.00      $0.00
   200   $0.00      $0.14
  1000   $0.00      $0.60
  2000   $0.00      $1.00</t>
        </r>
      </text>
    </comment>
    <comment ref="I43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K4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$0.29      $0.29
    10   $0.23      $2.29
    30   $0.20      $5.99
   100   $0.17     $17.34
   500   $0.17     $83.10
   800   $0.16    $129.52
  1600   $0.16    $256.80
  4000   $0.16    $636.80</t>
        </r>
      </text>
    </comment>
    <comment ref="I44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K4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$2.10      $2.10
    10   $1.85     $18.52
   100   $1.52    $151.55
  1000   $1.41  $1,410.50</t>
        </r>
      </text>
    </comment>
    <comment ref="I45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K4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$2.45      $2.45
    10   $2.45     $24.48
   100   $2.36    $235.71
  1000   $2.36  $2,357.10</t>
        </r>
      </text>
    </comment>
    <comment ref="I46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K4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$0.72      $0.72
    10   $0.71      $7.08
   100   $0.71     $70.84
  1000   $0.71    $708.40</t>
        </r>
      </text>
    </comment>
    <comment ref="I47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K4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$21.00     $21.00
    10  $15.73    $157.30
   100  $10.32  $1,032.00
  1000  $10.32 $10,320.00</t>
        </r>
      </text>
    </comment>
    <comment ref="I48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K4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$0.12      $0.12
    10   $0.10      $0.97
   100   $0.07      $7.28
  1000   $0.07     $69.60</t>
        </r>
      </text>
    </comment>
    <comment ref="I49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K4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$0.13      $0.13
    20   $0.11      $2.15
    60   $0.10      $5.74
   200   $0.08     $16.20
  1000   $0.07     $74.40
  2000   $0.07    $141.00</t>
        </r>
      </text>
    </comment>
    <comment ref="I50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K5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$0.16      $0.16
    10   $0.08      $0.82
   100   $0.06      $5.76
  1000   $0.05     $46.40</t>
        </r>
      </text>
    </comment>
    <comment ref="G52" authorId="0">
      <text>
        <r>
          <rPr>
            <sz val="8"/>
            <color indexed="81"/>
            <rFont val="Tahoma"/>
            <family val="2"/>
          </rPr>
          <t>This is the total of your cart across all distributors.</t>
        </r>
      </text>
    </comment>
    <comment ref="J52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G53" authorId="0">
      <text>
        <r>
          <rPr>
            <sz val="8"/>
            <color indexed="81"/>
            <rFont val="Tahoma"/>
            <family val="2"/>
          </rPr>
          <t>This description will be added to all purchased parts label and may be used to distinguish the component of different projects.</t>
        </r>
      </text>
    </comment>
  </commentList>
</comments>
</file>

<file path=xl/sharedStrings.xml><?xml version="1.0" encoding="utf-8"?>
<sst xmlns="http://schemas.openxmlformats.org/spreadsheetml/2006/main" count="314" uniqueCount="184">
  <si>
    <t>Global Part Info</t>
  </si>
  <si>
    <t>Refs</t>
  </si>
  <si>
    <t>Value</t>
  </si>
  <si>
    <t>Footprint</t>
  </si>
  <si>
    <t>Manf</t>
  </si>
  <si>
    <t>Manf#</t>
  </si>
  <si>
    <t>Qty</t>
  </si>
  <si>
    <t>Unit$</t>
  </si>
  <si>
    <t>Ext$</t>
  </si>
  <si>
    <t>AE1</t>
  </si>
  <si>
    <t>Antenna_Chip</t>
  </si>
  <si>
    <t>RainSun</t>
  </si>
  <si>
    <t>GPS1003</t>
  </si>
  <si>
    <t>BT1</t>
  </si>
  <si>
    <t>LiPo</t>
  </si>
  <si>
    <t>C1,C2,C12</t>
  </si>
  <si>
    <t>10u</t>
  </si>
  <si>
    <t>C_0603_1608Metric</t>
  </si>
  <si>
    <t>Samsung Electro-Mechanics</t>
  </si>
  <si>
    <t>CL10A106KP8NNNC</t>
  </si>
  <si>
    <t>C3-C8,C33,C34</t>
  </si>
  <si>
    <t>22u</t>
  </si>
  <si>
    <t>C_1206_3216Metric</t>
  </si>
  <si>
    <t>CL31A226KPHNNNE</t>
  </si>
  <si>
    <t>C9,C14</t>
  </si>
  <si>
    <t>1u</t>
  </si>
  <si>
    <t>CL10A105KB8NNNC</t>
  </si>
  <si>
    <t>C10,C11,C13,C16,C17,C19,C20</t>
  </si>
  <si>
    <t>100n</t>
  </si>
  <si>
    <t>YAGEO</t>
  </si>
  <si>
    <t>CC0603KRX7R9BB104</t>
  </si>
  <si>
    <t>C15,C18</t>
  </si>
  <si>
    <t>18p</t>
  </si>
  <si>
    <t>CL10C180JB8NNNC</t>
  </si>
  <si>
    <t>C21-C24,C29-C32</t>
  </si>
  <si>
    <t>10n</t>
  </si>
  <si>
    <t>FH (Guangdong Fenghua Advanced Tech)</t>
  </si>
  <si>
    <t>0603B103K500NT</t>
  </si>
  <si>
    <t>C25-C28</t>
  </si>
  <si>
    <t>1n</t>
  </si>
  <si>
    <t>CL10B102KB8NNNC</t>
  </si>
  <si>
    <t>D1,D2</t>
  </si>
  <si>
    <t>LED</t>
  </si>
  <si>
    <t>LED_0603_1608Metric</t>
  </si>
  <si>
    <t>Hubei KENTO Elec</t>
  </si>
  <si>
    <t>KT-0603R</t>
  </si>
  <si>
    <t>D3,D4</t>
  </si>
  <si>
    <t>D_Small</t>
  </si>
  <si>
    <t>D_SMA</t>
  </si>
  <si>
    <t>MDD（Microdiode Electronics）</t>
  </si>
  <si>
    <t>SS14</t>
  </si>
  <si>
    <t>J1</t>
  </si>
  <si>
    <t>USB</t>
  </si>
  <si>
    <t>Korean Hroparts Elec</t>
  </si>
  <si>
    <t>TYPE-C-31-M-12</t>
  </si>
  <si>
    <t>J2</t>
  </si>
  <si>
    <t>MicroSD</t>
  </si>
  <si>
    <t>TF-01A</t>
  </si>
  <si>
    <t>J3</t>
  </si>
  <si>
    <t>BTN_DISP</t>
  </si>
  <si>
    <t>J4</t>
  </si>
  <si>
    <t>SWIM</t>
  </si>
  <si>
    <t>MINTRON</t>
  </si>
  <si>
    <t>MTP125-1104S1</t>
  </si>
  <si>
    <t>L1</t>
  </si>
  <si>
    <t>L_Vishay_IFSC-1515AH_4x4x1.8mm</t>
  </si>
  <si>
    <t>Sunlord</t>
  </si>
  <si>
    <t>WPN4020H1R0MT</t>
  </si>
  <si>
    <t>LS1,LS2</t>
  </si>
  <si>
    <t>TX1</t>
  </si>
  <si>
    <t>INGHAi</t>
  </si>
  <si>
    <t>GU1409A-40TR</t>
  </si>
  <si>
    <t>LS3,LS4</t>
  </si>
  <si>
    <t>RX1</t>
  </si>
  <si>
    <t>Q1-Q4</t>
  </si>
  <si>
    <t>AP2302B</t>
  </si>
  <si>
    <t>SOT-23</t>
  </si>
  <si>
    <t>ALLPOWER</t>
  </si>
  <si>
    <t>Q5,Q6</t>
  </si>
  <si>
    <t>S8050</t>
  </si>
  <si>
    <t>Jiangsu Changjing Electronics Technology Co., Ltd.</t>
  </si>
  <si>
    <t>S8050 J3Y</t>
  </si>
  <si>
    <t>R1,R2</t>
  </si>
  <si>
    <t>5.1k</t>
  </si>
  <si>
    <t>R_0603_1608Metric</t>
  </si>
  <si>
    <t>UNI-ROYAL(Uniroyal Elec)</t>
  </si>
  <si>
    <t>0603WAF5101T5E</t>
  </si>
  <si>
    <t>R3</t>
  </si>
  <si>
    <t>2</t>
  </si>
  <si>
    <t>0603WAF200KT5E</t>
  </si>
  <si>
    <t>R4,R6,R16,R36,R37</t>
  </si>
  <si>
    <t>1k</t>
  </si>
  <si>
    <t>0603WAF1001T5E</t>
  </si>
  <si>
    <t>R5</t>
  </si>
  <si>
    <t>0.5</t>
  </si>
  <si>
    <t>0603WAF500LT5E</t>
  </si>
  <si>
    <t>R7,R9,R11,R17,R19-R21,R30,R31</t>
  </si>
  <si>
    <t>10k</t>
  </si>
  <si>
    <t>0603WAF510KT5E</t>
  </si>
  <si>
    <t>R8,R25-R29,R45,R47</t>
  </si>
  <si>
    <t>4.7k</t>
  </si>
  <si>
    <t>0603WAF4701T5E</t>
  </si>
  <si>
    <t>R10,R18</t>
  </si>
  <si>
    <t>1M</t>
  </si>
  <si>
    <t>0603WAF1004T5E</t>
  </si>
  <si>
    <t>R12-R15</t>
  </si>
  <si>
    <t>220</t>
  </si>
  <si>
    <t>0603WAF2200T5E</t>
  </si>
  <si>
    <t>R22-R24</t>
  </si>
  <si>
    <t>1.1k</t>
  </si>
  <si>
    <t>0603WAF1101T5E</t>
  </si>
  <si>
    <t>R32,R33</t>
  </si>
  <si>
    <t>56k</t>
  </si>
  <si>
    <t>0603WAF5602T5E</t>
  </si>
  <si>
    <t>R34,R35</t>
  </si>
  <si>
    <t>6.2k</t>
  </si>
  <si>
    <t>0603WAF6201T5E</t>
  </si>
  <si>
    <t>R38,R39,R42,R43,R48,R49</t>
  </si>
  <si>
    <t>75k</t>
  </si>
  <si>
    <t>0603WAF7502T5E</t>
  </si>
  <si>
    <t>R40,R41</t>
  </si>
  <si>
    <t>7.5k</t>
  </si>
  <si>
    <t>0603WAF7501T5E</t>
  </si>
  <si>
    <t>R44,R46</t>
  </si>
  <si>
    <t>120k</t>
  </si>
  <si>
    <t>0603WAF1203T5E</t>
  </si>
  <si>
    <t>R50,R51</t>
  </si>
  <si>
    <t>3.3M</t>
  </si>
  <si>
    <t>0603WAJ0335T5E</t>
  </si>
  <si>
    <t>R52,R53</t>
  </si>
  <si>
    <t>TBD</t>
  </si>
  <si>
    <t>U1</t>
  </si>
  <si>
    <t>IP5306</t>
  </si>
  <si>
    <t>HSOP-8-1EP_3.9x4.9mm_P1.27mm_EP2.3x2.3mm</t>
  </si>
  <si>
    <t>INJOINIC</t>
  </si>
  <si>
    <t>U2</t>
  </si>
  <si>
    <t>CP2102N</t>
  </si>
  <si>
    <t>QFN-28-1EP_5x5mm_P0.5mm_EP3.35x3.35mm</t>
  </si>
  <si>
    <t>SILICON LABS</t>
  </si>
  <si>
    <t>CP2102-GMR</t>
  </si>
  <si>
    <t>U3</t>
  </si>
  <si>
    <t>ESP32-WROOM-32</t>
  </si>
  <si>
    <t>Espressif Systems</t>
  </si>
  <si>
    <t>U4</t>
  </si>
  <si>
    <t>STM8S003F3P</t>
  </si>
  <si>
    <t>TSSOP-20_4.4x6.5mm_P0.65mm</t>
  </si>
  <si>
    <t>STMicroelectronics</t>
  </si>
  <si>
    <t>STM8S003F3P6</t>
  </si>
  <si>
    <t>U5</t>
  </si>
  <si>
    <t>MAX-M8C</t>
  </si>
  <si>
    <t>ublox_MAX</t>
  </si>
  <si>
    <t>U-Blox</t>
  </si>
  <si>
    <t>MAX-M8C-0</t>
  </si>
  <si>
    <t>U6,U7</t>
  </si>
  <si>
    <t>LM324</t>
  </si>
  <si>
    <t>SOIC-14_3.9x8.7mm_P1.27mm</t>
  </si>
  <si>
    <t>LM324DT</t>
  </si>
  <si>
    <t>U8</t>
  </si>
  <si>
    <t>AZ1117-3.3</t>
  </si>
  <si>
    <t>Y1</t>
  </si>
  <si>
    <t>Crystal</t>
  </si>
  <si>
    <t>Yangxing Tech</t>
  </si>
  <si>
    <t>X49SM8MSD2SC</t>
  </si>
  <si>
    <t>JLC</t>
  </si>
  <si>
    <t>Avail</t>
  </si>
  <si>
    <t>Purch</t>
  </si>
  <si>
    <t>MOQ</t>
  </si>
  <si>
    <t>Cat#</t>
  </si>
  <si>
    <t>NonStk</t>
  </si>
  <si>
    <t>#NO_CATALOG0001</t>
  </si>
  <si>
    <t>Total Purchase:</t>
  </si>
  <si>
    <t>Purchase description:</t>
  </si>
  <si>
    <t>EUR(€)/USD($):</t>
  </si>
  <si>
    <t>Prj:</t>
  </si>
  <si>
    <t>OBSPro.xml</t>
  </si>
  <si>
    <t>Co.:</t>
  </si>
  <si>
    <t>Prj date:</t>
  </si>
  <si>
    <t>Thu 24 Nov 2022 04:52:06 PM CET</t>
  </si>
  <si>
    <t>Board Qty:</t>
  </si>
  <si>
    <t>Total Cost:</t>
  </si>
  <si>
    <t>Unit Cost:</t>
  </si>
  <si>
    <t>$ date:</t>
  </si>
  <si>
    <t>2022-11-24 16:52:09</t>
  </si>
  <si>
    <t>KiCost® v1.1.12</t>
  </si>
</sst>
</file>

<file path=xl/styles.xml><?xml version="1.0" encoding="utf-8"?>
<styleSheet xmlns="http://schemas.openxmlformats.org/spreadsheetml/2006/main">
  <numFmts count="2">
    <numFmt numFmtId="164" formatCode="€#,##0.00"/>
    <numFmt numFmtId="164" formatCode="€#,##0.00"/>
    <numFmt numFmtId="165" formatCode="€#,##0.000"/>
    <numFmt numFmtId="164" formatCode="€#,##0.00"/>
  </numFmts>
  <fonts count="10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3"/>
      <color rgb="FF008000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909090"/>
      <name val="Calibri"/>
      <family val="2"/>
      <scheme val="minor"/>
    </font>
    <font>
      <sz val="8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303030"/>
        <bgColor indexed="64"/>
      </patternFill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right"/>
    </xf>
    <xf numFmtId="164" fontId="3" fillId="0" borderId="0" xfId="0" applyNumberFormat="1" applyFont="1" applyAlignment="1">
      <alignment vertical="center"/>
    </xf>
    <xf numFmtId="164" fontId="4" fillId="0" borderId="0" xfId="0" applyNumberFormat="1" applyFont="1" applyAlignment="1">
      <alignment vertical="center"/>
    </xf>
    <xf numFmtId="0" fontId="5" fillId="0" borderId="0" xfId="0" applyFont="1" applyAlignment="1">
      <alignment vertical="center"/>
    </xf>
    <xf numFmtId="0" fontId="6" fillId="2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top" wrapText="1"/>
    </xf>
    <xf numFmtId="0" fontId="0" fillId="0" borderId="0" xfId="0" applyAlignment="1">
      <alignment vertical="center" wrapText="1"/>
    </xf>
    <xf numFmtId="165" fontId="0" fillId="0" borderId="0" xfId="0" applyNumberFormat="1" applyAlignment="1">
      <alignment vertical="center"/>
    </xf>
    <xf numFmtId="164" fontId="0" fillId="0" borderId="0" xfId="0" applyNumberFormat="1" applyAlignment="1">
      <alignment vertical="center"/>
    </xf>
    <xf numFmtId="0" fontId="8" fillId="0" borderId="0" xfId="0" applyFont="1" applyAlignment="1">
      <alignment horizontal="right" vertical="center"/>
    </xf>
    <xf numFmtId="0" fontId="0" fillId="0" borderId="0" xfId="0" applyAlignment="1">
      <alignment horizontal="right"/>
    </xf>
    <xf numFmtId="0" fontId="0" fillId="0" borderId="0" xfId="0" applyAlignment="1">
      <alignment vertical="top" wrapText="1"/>
    </xf>
  </cellXfs>
  <cellStyles count="1">
    <cellStyle name="Normal" xfId="0" builtinId="0"/>
  </cellStyles>
  <dxfs count="4"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41"/>
  <sheetViews>
    <sheetView tabSelected="1" workbookViewId="0">
      <pane xSplit="8" ySplit="6" topLeftCell="I7" activePane="bottomRight" state="frozen"/>
      <selection pane="topRight" activeCell="I1" sqref="I1"/>
      <selection pane="bottomLeft" activeCell="A7" sqref="A7"/>
      <selection pane="bottomRight"/>
    </sheetView>
  </sheetViews>
  <sheetFormatPr defaultRowHeight="15" outlineLevelCol="3"/>
  <cols>
    <col min="1" max="1" width="30.7109375" customWidth="1"/>
    <col min="2" max="2" width="15.7109375" customWidth="1"/>
    <col min="3" max="3" width="33.7109375" customWidth="1" outlineLevel="2"/>
    <col min="4" max="4" width="31.7109375" customWidth="1" outlineLevel="1"/>
    <col min="5" max="5" width="18.7109375" customWidth="1" outlineLevel="1"/>
    <col min="6" max="6" width="9.140625" outlineLevel="1"/>
    <col min="7" max="7" width="22.7109375" customWidth="1"/>
    <col min="8" max="8" width="16.7109375" customWidth="1"/>
    <col min="9" max="9" width="9.140625" outlineLevel="1"/>
    <col min="10" max="10" width="9.140625" outlineLevel="2"/>
    <col min="11" max="11" width="10.7109375" customWidth="1" outlineLevel="2"/>
    <col min="12" max="12" width="0" hidden="1" customWidth="1" outlineLevel="3" collapsed="1"/>
    <col min="13" max="13" width="16.7109375" customWidth="1"/>
    <col min="14" max="14" width="16.7109375" customWidth="1" outlineLevel="2"/>
  </cols>
  <sheetData>
    <row r="1" spans="1:14">
      <c r="A1" s="1" t="s">
        <v>173</v>
      </c>
      <c r="B1" s="2" t="s">
        <v>174</v>
      </c>
      <c r="G1" s="3" t="s">
        <v>178</v>
      </c>
      <c r="H1" s="3">
        <v>100</v>
      </c>
    </row>
    <row r="2" spans="1:14">
      <c r="A2" s="1" t="s">
        <v>175</v>
      </c>
      <c r="B2" s="2"/>
      <c r="G2" s="1" t="s">
        <v>180</v>
      </c>
      <c r="H2" s="4">
        <f>TotalCost/BoardQty</f>
        <v>20.4129</v>
      </c>
    </row>
    <row r="3" spans="1:14">
      <c r="A3" s="1" t="s">
        <v>176</v>
      </c>
      <c r="B3" s="2" t="s">
        <v>177</v>
      </c>
      <c r="G3" s="1" t="s">
        <v>179</v>
      </c>
      <c r="H3" s="5">
        <f>SUM(H7:H50)</f>
        <v>2041.2945</v>
      </c>
      <c r="M3" s="5">
        <f>SUM(M7:M50)</f>
        <v>2041.2945</v>
      </c>
      <c r="N3" s="6" t="str">
        <f>(COUNTA(M7:M50)&amp;" of "&amp;ROWS(M7:M50)&amp;" parts found")</f>
        <v>41 of 44 parts found</v>
      </c>
    </row>
    <row r="4" spans="1:14">
      <c r="A4" s="1" t="s">
        <v>181</v>
      </c>
      <c r="B4" s="2" t="s">
        <v>182</v>
      </c>
    </row>
    <row r="5" spans="1:14">
      <c r="A5" s="7" t="s">
        <v>0</v>
      </c>
      <c r="B5" s="7"/>
      <c r="C5" s="7"/>
      <c r="D5" s="7"/>
      <c r="E5" s="7"/>
      <c r="F5" s="7"/>
      <c r="G5" s="7"/>
      <c r="H5" s="7"/>
      <c r="I5" s="8" t="s">
        <v>163</v>
      </c>
      <c r="J5" s="8"/>
      <c r="K5" s="8"/>
      <c r="L5" s="8"/>
      <c r="M5" s="8"/>
      <c r="N5" s="8"/>
    </row>
    <row r="6" spans="1:14">
      <c r="A6" s="9" t="s">
        <v>1</v>
      </c>
      <c r="B6" s="9" t="s">
        <v>2</v>
      </c>
      <c r="C6" s="9" t="s">
        <v>3</v>
      </c>
      <c r="D6" s="9" t="s">
        <v>4</v>
      </c>
      <c r="E6" s="9" t="s">
        <v>5</v>
      </c>
      <c r="F6" s="9" t="s">
        <v>6</v>
      </c>
      <c r="G6" s="9" t="s">
        <v>7</v>
      </c>
      <c r="H6" s="9" t="s">
        <v>8</v>
      </c>
      <c r="I6" s="9" t="s">
        <v>164</v>
      </c>
      <c r="J6" s="9" t="s">
        <v>165</v>
      </c>
      <c r="K6" s="9" t="s">
        <v>7</v>
      </c>
      <c r="L6" s="9" t="s">
        <v>166</v>
      </c>
      <c r="M6" s="9" t="s">
        <v>8</v>
      </c>
      <c r="N6" s="9" t="s">
        <v>167</v>
      </c>
    </row>
    <row r="7" spans="1:14">
      <c r="A7" s="10" t="s">
        <v>9</v>
      </c>
      <c r="B7" s="10" t="s">
        <v>10</v>
      </c>
      <c r="D7" s="10" t="s">
        <v>11</v>
      </c>
      <c r="E7" s="10" t="s">
        <v>12</v>
      </c>
      <c r="F7" s="10">
        <f>CEILING(BoardQty*1.0,1)</f>
        <v>100</v>
      </c>
      <c r="G7" s="11">
        <f>IF(MIN(K7)&lt;&gt;0,MIN(K7),"")</f>
        <v>0.5496974935177183</v>
      </c>
      <c r="H7" s="12">
        <f>IF(AND(ISNUMBER(F7),ISNUMBER(G7)),F7*G7,"")</f>
        <v>54.9697</v>
      </c>
      <c r="I7" s="13" t="s">
        <v>168</v>
      </c>
      <c r="J7" s="10"/>
      <c r="K7" s="11">
        <f>IFERROR(IF(OR(J7&gt;=L7,F7&gt;=L7),EUR_USD*LOOKUP(IF(J7="",F7,J7),{0,1,10,100,1000},{0.0,1.0297,0.8651,0.5724,0.6065}),"MOQ="&amp;L7),"")</f>
        <v>0.5496974935177183</v>
      </c>
      <c r="L7" s="10">
        <v>1</v>
      </c>
      <c r="M7" s="12">
        <f>IFERROR(IF(J7="",F7,J7)*K7,"")</f>
        <v>54.9697</v>
      </c>
      <c r="N7" s="10" t="s">
        <v>12</v>
      </c>
    </row>
    <row r="8" spans="1:14">
      <c r="A8" s="10" t="s">
        <v>13</v>
      </c>
      <c r="B8" s="10" t="s">
        <v>14</v>
      </c>
      <c r="F8" s="10">
        <f>CEILING(BoardQty*1,1)</f>
        <v>100</v>
      </c>
      <c r="G8" s="11">
        <f>IF(MIN(K8)&lt;&gt;0,MIN(K8),"")</f>
        <v/>
      </c>
      <c r="H8" s="12">
        <f>IF(AND(ISNUMBER(F8),ISNUMBER(G8)),F8*G8,"")</f>
        <v/>
      </c>
    </row>
    <row r="9" spans="1:14">
      <c r="A9" s="10" t="s">
        <v>15</v>
      </c>
      <c r="B9" s="10" t="s">
        <v>16</v>
      </c>
      <c r="C9" s="10" t="s">
        <v>17</v>
      </c>
      <c r="D9" s="10" t="s">
        <v>18</v>
      </c>
      <c r="E9" s="10" t="s">
        <v>19</v>
      </c>
      <c r="F9" s="10">
        <f>CEILING(BoardQty*3.0,1)</f>
        <v>300</v>
      </c>
      <c r="G9" s="11">
        <f>IF(MIN(K9)&lt;&gt;0,MIN(K9),"")</f>
        <v>0.0029770479208681457</v>
      </c>
      <c r="H9" s="12">
        <f>IF(AND(ISNUMBER(F9),ISNUMBER(G9)),F9*G9,"")</f>
        <v>0.8931</v>
      </c>
      <c r="I9" s="13" t="s">
        <v>168</v>
      </c>
      <c r="J9" s="10"/>
      <c r="K9" s="11">
        <f>IFERROR(IF(OR(J9&gt;=L9,F9&gt;=L9),EUR_USD*LOOKUP(IF(J9="",F9,J9),{0,1,10,100,1000},{0.0,0.062,0.0062,0.0031,0.0029}),"MOQ="&amp;L9),"")</f>
        <v>0.0029770479208681457</v>
      </c>
      <c r="L9" s="10">
        <v>1</v>
      </c>
      <c r="M9" s="12">
        <f>IFERROR(IF(J9="",F9,J9)*K9,"")</f>
        <v>0.8931</v>
      </c>
      <c r="N9" s="10" t="s">
        <v>19</v>
      </c>
    </row>
    <row r="10" spans="1:14">
      <c r="A10" s="10" t="s">
        <v>20</v>
      </c>
      <c r="B10" s="10" t="s">
        <v>21</v>
      </c>
      <c r="C10" s="10" t="s">
        <v>22</v>
      </c>
      <c r="D10" s="10" t="s">
        <v>18</v>
      </c>
      <c r="E10" s="10" t="s">
        <v>23</v>
      </c>
      <c r="F10" s="10">
        <f>CEILING(BoardQty*8.0,1)</f>
        <v>800</v>
      </c>
      <c r="G10" s="11">
        <f>IF(MIN(K10)&lt;&gt;0,MIN(K10),"")</f>
        <v>0.017862287525208874</v>
      </c>
      <c r="H10" s="12">
        <f>IF(AND(ISNUMBER(F10),ISNUMBER(G10)),F10*G10,"")</f>
        <v>14.2898</v>
      </c>
      <c r="I10" s="13" t="s">
        <v>168</v>
      </c>
      <c r="J10" s="10"/>
      <c r="K10" s="11">
        <f>IFERROR(IF(OR(J10&gt;=L10,F10&gt;=L10),EUR_USD*LOOKUP(IF(J10="",F10,J10),{0,1,150},{0.0,0.0192,0.0186}),"MOQ="&amp;L10),"")</f>
        <v>0.017862287525208874</v>
      </c>
      <c r="L10" s="10">
        <v>1</v>
      </c>
      <c r="M10" s="12">
        <f>IFERROR(IF(J10="",F10,J10)*K10,"")</f>
        <v>14.2898</v>
      </c>
      <c r="N10" s="10" t="s">
        <v>23</v>
      </c>
    </row>
    <row r="11" spans="1:14">
      <c r="A11" s="10" t="s">
        <v>24</v>
      </c>
      <c r="B11" s="10" t="s">
        <v>25</v>
      </c>
      <c r="C11" s="10" t="s">
        <v>17</v>
      </c>
      <c r="D11" s="10" t="s">
        <v>18</v>
      </c>
      <c r="E11" s="10" t="s">
        <v>26</v>
      </c>
      <c r="F11" s="10">
        <f>CEILING(BoardQty*2.0,1)</f>
        <v>200</v>
      </c>
      <c r="G11" s="11">
        <f>IF(MIN(K11)&lt;&gt;0,MIN(K11),"")</f>
        <v>0.0026889465091712284</v>
      </c>
      <c r="H11" s="12">
        <f>IF(AND(ISNUMBER(F11),ISNUMBER(G11)),F11*G11,"")</f>
        <v>0.5378</v>
      </c>
      <c r="I11" s="13" t="s">
        <v>168</v>
      </c>
      <c r="J11" s="10"/>
      <c r="K11" s="11">
        <f>IFERROR(IF(OR(J11&gt;=L11,F11&gt;=L11),EUR_USD*LOOKUP(IF(J11="",F11,J11),{0,1,10,100,1000},{0.0,0.056,0.0056,0.0028,0.0027}),"MOQ="&amp;L11),"")</f>
        <v>0.0026889465091712284</v>
      </c>
      <c r="L11" s="10">
        <v>1</v>
      </c>
      <c r="M11" s="12">
        <f>IFERROR(IF(J11="",F11,J11)*K11,"")</f>
        <v>0.5378</v>
      </c>
      <c r="N11" s="10" t="s">
        <v>26</v>
      </c>
    </row>
    <row r="12" spans="1:14">
      <c r="A12" s="10" t="s">
        <v>27</v>
      </c>
      <c r="B12" s="10" t="s">
        <v>28</v>
      </c>
      <c r="C12" s="10" t="s">
        <v>17</v>
      </c>
      <c r="D12" s="10" t="s">
        <v>29</v>
      </c>
      <c r="E12" s="10" t="s">
        <v>30</v>
      </c>
      <c r="F12" s="10">
        <f>CEILING(BoardQty*7.0,1)</f>
        <v>700</v>
      </c>
      <c r="G12" s="11">
        <f>IF(MIN(K12)&lt;&gt;0,MIN(K12),"")</f>
        <v>0.0015365408623835592</v>
      </c>
      <c r="H12" s="12">
        <f>IF(AND(ISNUMBER(F12),ISNUMBER(G12)),F12*G12,"")</f>
        <v>1.0756</v>
      </c>
      <c r="I12" s="13" t="s">
        <v>168</v>
      </c>
      <c r="J12" s="10"/>
      <c r="K12" s="11">
        <f>IFERROR(IF(OR(J12&gt;=L12,F12&gt;=L12),EUR_USD*LOOKUP(IF(J12="",F12,J12),{0,1,200,800,1600,9600},{0.0,0.002,0.0016,0.0013,0.0012,0.0011}),"MOQ="&amp;L12),"")</f>
        <v>0.0015365408623835592</v>
      </c>
      <c r="L12" s="10">
        <v>1</v>
      </c>
      <c r="M12" s="12">
        <f>IFERROR(IF(J12="",F12,J12)*K12,"")</f>
        <v>1.0756</v>
      </c>
      <c r="N12" s="10" t="s">
        <v>30</v>
      </c>
    </row>
    <row r="13" spans="1:14">
      <c r="A13" s="10" t="s">
        <v>31</v>
      </c>
      <c r="B13" s="10" t="s">
        <v>32</v>
      </c>
      <c r="C13" s="10" t="s">
        <v>17</v>
      </c>
      <c r="D13" s="10" t="s">
        <v>18</v>
      </c>
      <c r="E13" s="10" t="s">
        <v>33</v>
      </c>
      <c r="F13" s="10">
        <f>CEILING(BoardQty*2.0,1)</f>
        <v>200</v>
      </c>
      <c r="G13" s="11">
        <f>IF(MIN(K13)&lt;&gt;0,MIN(K13),"")</f>
        <v>0.005569960626140401</v>
      </c>
      <c r="H13" s="12">
        <f>IF(AND(ISNUMBER(F13),ISNUMBER(G13)),F13*G13,"")</f>
        <v>1.114</v>
      </c>
      <c r="I13" s="13" t="s">
        <v>168</v>
      </c>
      <c r="J13" s="10"/>
      <c r="K13" s="11">
        <f>IFERROR(IF(OR(J13&gt;=L13,F13&gt;=L13),EUR_USD*LOOKUP(IF(J13="",F13,J13),{0,1,200,800,1600,9600,20000},{0.0,0.0069,0.0058,0.0051,0.0047,0.0044,0.0042}),"MOQ="&amp;L13),"")</f>
        <v>0.005569960626140401</v>
      </c>
      <c r="L13" s="10">
        <v>1</v>
      </c>
      <c r="M13" s="12">
        <f>IFERROR(IF(J13="",F13,J13)*K13,"")</f>
        <v>1.114</v>
      </c>
      <c r="N13" s="10" t="s">
        <v>33</v>
      </c>
    </row>
    <row r="14" spans="1:14" ht="30" customHeight="1">
      <c r="A14" s="10" t="s">
        <v>34</v>
      </c>
      <c r="B14" s="10" t="s">
        <v>35</v>
      </c>
      <c r="C14" s="10" t="s">
        <v>17</v>
      </c>
      <c r="D14" s="10" t="s">
        <v>36</v>
      </c>
      <c r="E14" s="10" t="s">
        <v>37</v>
      </c>
      <c r="F14" s="10">
        <f>CEILING(BoardQty*8.0,1)</f>
        <v>800</v>
      </c>
      <c r="G14" s="11">
        <f>IF(MIN(K14)&lt;&gt;0,MIN(K14),"")</f>
        <v>0.0011524056467876692</v>
      </c>
      <c r="H14" s="12">
        <f>IF(AND(ISNUMBER(F14),ISNUMBER(G14)),F14*G14,"")</f>
        <v>0.9219</v>
      </c>
      <c r="I14" s="13" t="s">
        <v>168</v>
      </c>
      <c r="J14" s="10"/>
      <c r="K14" s="11">
        <f>IFERROR(IF(OR(J14&gt;=L14,F14&gt;=L14),EUR_USD*LOOKUP(IF(J14="",F14,J14),{0,1},{0.0,0.0012}),"MOQ="&amp;L14),"")</f>
        <v>0.0011524056467876692</v>
      </c>
      <c r="L14" s="10">
        <v>1</v>
      </c>
      <c r="M14" s="12">
        <f>IFERROR(IF(J14="",F14,J14)*K14,"")</f>
        <v>0.9219</v>
      </c>
      <c r="N14" s="10" t="s">
        <v>37</v>
      </c>
    </row>
    <row r="15" spans="1:14">
      <c r="A15" s="10" t="s">
        <v>38</v>
      </c>
      <c r="B15" s="10" t="s">
        <v>39</v>
      </c>
      <c r="C15" s="10" t="s">
        <v>17</v>
      </c>
      <c r="D15" s="10" t="s">
        <v>18</v>
      </c>
      <c r="E15" s="10" t="s">
        <v>40</v>
      </c>
      <c r="F15" s="10">
        <f>CEILING(BoardQty*4.0,1)</f>
        <v>400</v>
      </c>
      <c r="G15" s="11">
        <f>IF(MIN(K15)&lt;&gt;0,MIN(K15),"")</f>
        <v>0.001920676077979449</v>
      </c>
      <c r="H15" s="12">
        <f>IF(AND(ISNUMBER(F15),ISNUMBER(G15)),F15*G15,"")</f>
        <v>0.7683</v>
      </c>
      <c r="I15" s="13" t="s">
        <v>168</v>
      </c>
      <c r="J15" s="10"/>
      <c r="K15" s="11">
        <f>IFERROR(IF(OR(J15&gt;=L15,F15&gt;=L15),EUR_USD*LOOKUP(IF(J15="",F15,J15),{0,1,200,800,1600,9600},{0.0,0.0026,0.002,0.0017,0.0015,0.0013}),"MOQ="&amp;L15),"")</f>
        <v>0.001920676077979449</v>
      </c>
      <c r="L15" s="10">
        <v>1</v>
      </c>
      <c r="M15" s="12">
        <f>IFERROR(IF(J15="",F15,J15)*K15,"")</f>
        <v>0.7683</v>
      </c>
      <c r="N15" s="10" t="s">
        <v>40</v>
      </c>
    </row>
    <row r="16" spans="1:14">
      <c r="A16" s="10" t="s">
        <v>41</v>
      </c>
      <c r="B16" s="10" t="s">
        <v>42</v>
      </c>
      <c r="C16" s="10" t="s">
        <v>43</v>
      </c>
      <c r="D16" s="10" t="s">
        <v>44</v>
      </c>
      <c r="E16" s="10" t="s">
        <v>45</v>
      </c>
      <c r="F16" s="10">
        <f>CEILING(BoardQty*2.0,1)</f>
        <v>200</v>
      </c>
      <c r="G16" s="11">
        <f>IF(MIN(K16)&lt;&gt;0,MIN(K16),"")</f>
        <v>0.00508979160664554</v>
      </c>
      <c r="H16" s="12">
        <f>IF(AND(ISNUMBER(F16),ISNUMBER(G16)),F16*G16,"")</f>
        <v>1.018</v>
      </c>
      <c r="I16" s="13" t="s">
        <v>168</v>
      </c>
      <c r="J16" s="10"/>
      <c r="K16" s="11">
        <f>IFERROR(IF(OR(J16&gt;=L16,F16&gt;=L16),EUR_USD*LOOKUP(IF(J16="",F16,J16),{0,1,10,100,1000},{0.0,0.106,0.0106,0.0053,0.0036}),"MOQ="&amp;L16),"")</f>
        <v>0.00508979160664554</v>
      </c>
      <c r="L16" s="10">
        <v>1</v>
      </c>
      <c r="M16" s="12">
        <f>IFERROR(IF(J16="",F16,J16)*K16,"")</f>
        <v>1.018</v>
      </c>
      <c r="N16" s="10" t="s">
        <v>45</v>
      </c>
    </row>
    <row r="17" spans="1:14">
      <c r="A17" s="10" t="s">
        <v>46</v>
      </c>
      <c r="B17" s="10" t="s">
        <v>47</v>
      </c>
      <c r="C17" s="10" t="s">
        <v>48</v>
      </c>
      <c r="D17" s="10" t="s">
        <v>49</v>
      </c>
      <c r="E17" s="10" t="s">
        <v>50</v>
      </c>
      <c r="F17" s="10">
        <f>CEILING(BoardQty*2.0,1)</f>
        <v>200</v>
      </c>
      <c r="G17" s="11">
        <f>IF(MIN(K17)&lt;&gt;0,MIN(K17),"")</f>
        <v>0.009315278978200328</v>
      </c>
      <c r="H17" s="12">
        <f>IF(AND(ISNUMBER(F17),ISNUMBER(G17)),F17*G17,"")</f>
        <v>1.8631</v>
      </c>
      <c r="I17" s="13" t="s">
        <v>168</v>
      </c>
      <c r="J17" s="10"/>
      <c r="K17" s="11">
        <f>IFERROR(IF(OR(J17&gt;=L17,F17&gt;=L17),EUR_USD*LOOKUP(IF(J17="",F17,J17),{0,1,50,150,500,2500,5000},{0.0,0.0137,0.0111,0.0097,0.0088,0.0081,0.0077}),"MOQ="&amp;L17),"")</f>
        <v>0.009315278978200328</v>
      </c>
      <c r="L17" s="10">
        <v>1</v>
      </c>
      <c r="M17" s="12">
        <f>IFERROR(IF(J17="",F17,J17)*K17,"")</f>
        <v>1.8631</v>
      </c>
      <c r="N17" s="10" t="s">
        <v>50</v>
      </c>
    </row>
    <row r="18" spans="1:14">
      <c r="A18" s="10" t="s">
        <v>51</v>
      </c>
      <c r="B18" s="10" t="s">
        <v>52</v>
      </c>
      <c r="D18" s="10" t="s">
        <v>53</v>
      </c>
      <c r="E18" s="10" t="s">
        <v>54</v>
      </c>
      <c r="F18" s="10">
        <f>CEILING(BoardQty*1.0,1)</f>
        <v>100</v>
      </c>
      <c r="G18" s="11">
        <f>IF(MIN(K18)&lt;&gt;0,MIN(K18),"")</f>
        <v>0.09334485738980121</v>
      </c>
      <c r="H18" s="12">
        <f>IF(AND(ISNUMBER(F18),ISNUMBER(G18)),F18*G18,"")</f>
        <v>9.3345</v>
      </c>
      <c r="I18" s="13" t="s">
        <v>168</v>
      </c>
      <c r="J18" s="10"/>
      <c r="K18" s="11">
        <f>IFERROR(IF(OR(J18&gt;=L18,F18&gt;=L18),EUR_USD*LOOKUP(IF(J18="",F18,J18),{0,1,10,100,1000},{0.0,0.1675,0.1309,0.0972,0.0902}),"MOQ="&amp;L18),"")</f>
        <v>0.09334485738980121</v>
      </c>
      <c r="L18" s="10">
        <v>1</v>
      </c>
      <c r="M18" s="12">
        <f>IFERROR(IF(J18="",F18,J18)*K18,"")</f>
        <v>9.3345</v>
      </c>
      <c r="N18" s="10" t="s">
        <v>54</v>
      </c>
    </row>
    <row r="19" spans="1:14">
      <c r="A19" s="10" t="s">
        <v>55</v>
      </c>
      <c r="B19" s="10" t="s">
        <v>56</v>
      </c>
      <c r="C19" s="10" t="s">
        <v>57</v>
      </c>
      <c r="D19" s="10" t="s">
        <v>53</v>
      </c>
      <c r="E19" s="10" t="s">
        <v>57</v>
      </c>
      <c r="F19" s="10">
        <f>CEILING(BoardQty*1.0,1)</f>
        <v>100</v>
      </c>
      <c r="G19" s="11">
        <f>IF(MIN(K19)&lt;&gt;0,MIN(K19),"")</f>
        <v>0.0958417362911745</v>
      </c>
      <c r="H19" s="12">
        <f>IF(AND(ISNUMBER(F19),ISNUMBER(G19)),F19*G19,"")</f>
        <v>9.5842</v>
      </c>
      <c r="I19" s="13" t="s">
        <v>168</v>
      </c>
      <c r="J19" s="10"/>
      <c r="K19" s="11">
        <f>IFERROR(IF(OR(J19&gt;=L19,F19&gt;=L19),EUR_USD*LOOKUP(IF(J19="",F19,J19),{0,1,10,100,1000},{0.0,0.1646,0.131,0.0998,0.0933}),"MOQ="&amp;L19),"")</f>
        <v>0.0958417362911745</v>
      </c>
      <c r="L19" s="10">
        <v>1</v>
      </c>
      <c r="M19" s="12">
        <f>IFERROR(IF(J19="",F19,J19)*K19,"")</f>
        <v>9.5842</v>
      </c>
      <c r="N19" s="10" t="s">
        <v>57</v>
      </c>
    </row>
    <row r="20" spans="1:14">
      <c r="A20" s="10" t="s">
        <v>58</v>
      </c>
      <c r="B20" s="10" t="s">
        <v>59</v>
      </c>
      <c r="F20" s="10">
        <f>CEILING(BoardQty*1,1)</f>
        <v>100</v>
      </c>
      <c r="G20" s="11">
        <f>IF(MIN(K20)&lt;&gt;0,MIN(K20),"")</f>
        <v/>
      </c>
      <c r="H20" s="12">
        <f>IF(AND(ISNUMBER(F20),ISNUMBER(G20)),F20*G20,"")</f>
        <v/>
      </c>
    </row>
    <row r="21" spans="1:14">
      <c r="A21" s="10" t="s">
        <v>60</v>
      </c>
      <c r="B21" s="10" t="s">
        <v>61</v>
      </c>
      <c r="D21" s="10" t="s">
        <v>62</v>
      </c>
      <c r="E21" s="10" t="s">
        <v>63</v>
      </c>
      <c r="F21" s="10">
        <f>CEILING(BoardQty*1.0,1)</f>
        <v>100</v>
      </c>
      <c r="G21" s="11">
        <f>IF(MIN(K21)&lt;&gt;0,MIN(K21),"")</f>
        <v>0.017190050897916066</v>
      </c>
      <c r="H21" s="12">
        <f>IF(AND(ISNUMBER(F21),ISNUMBER(G21)),F21*G21,"")</f>
        <v>1.719</v>
      </c>
      <c r="I21" s="13" t="s">
        <v>168</v>
      </c>
      <c r="J21" s="10"/>
      <c r="K21" s="11">
        <f>IFERROR(IF(OR(J21&gt;=L21,F21&gt;=L21),EUR_USD*LOOKUP(IF(J21="",F21,J21),{0,1,10,100,1000},{0.0,0.1105,0.0442,0.0179,0.0142}),"MOQ="&amp;L21),"")</f>
        <v>0.017190050897916066</v>
      </c>
      <c r="L21" s="10">
        <v>1</v>
      </c>
      <c r="M21" s="12">
        <f>IFERROR(IF(J21="",F21,J21)*K21,"")</f>
        <v>1.719</v>
      </c>
      <c r="N21" s="10" t="s">
        <v>63</v>
      </c>
    </row>
    <row r="22" spans="1:14">
      <c r="A22" s="10" t="s">
        <v>64</v>
      </c>
      <c r="B22" s="10" t="s">
        <v>25</v>
      </c>
      <c r="C22" s="10" t="s">
        <v>65</v>
      </c>
      <c r="D22" s="10" t="s">
        <v>66</v>
      </c>
      <c r="E22" s="10" t="s">
        <v>67</v>
      </c>
      <c r="F22" s="10">
        <f>CEILING(BoardQty*1.0,1)</f>
        <v>100</v>
      </c>
      <c r="G22" s="11">
        <f>IF(MIN(K22)&lt;&gt;0,MIN(K22),"")</f>
        <v>0.06453471622010948</v>
      </c>
      <c r="H22" s="12">
        <f>IF(AND(ISNUMBER(F22),ISNUMBER(G22)),F22*G22,"")</f>
        <v>6.4535</v>
      </c>
      <c r="I22" s="13" t="s">
        <v>168</v>
      </c>
      <c r="J22" s="10"/>
      <c r="K22" s="11">
        <f>IFERROR(IF(OR(J22&gt;=L22,F22&gt;=L22),EUR_USD*LOOKUP(IF(J22="",F22,J22),{0,1,50,150,500,3000,6000},{0.0,0.0815,0.0672,0.06,0.0546,0.0504,0.0483}),"MOQ="&amp;L22),"")</f>
        <v>0.06453471622010948</v>
      </c>
      <c r="L22" s="10">
        <v>1</v>
      </c>
      <c r="M22" s="12">
        <f>IFERROR(IF(J22="",F22,J22)*K22,"")</f>
        <v>6.4535</v>
      </c>
      <c r="N22" s="10" t="s">
        <v>67</v>
      </c>
    </row>
    <row r="23" spans="1:14">
      <c r="A23" s="10" t="s">
        <v>68</v>
      </c>
      <c r="B23" s="10" t="s">
        <v>69</v>
      </c>
      <c r="D23" s="10" t="s">
        <v>70</v>
      </c>
      <c r="E23" s="10" t="s">
        <v>71</v>
      </c>
      <c r="F23" s="10">
        <f>CEILING(BoardQty*2.0,1)</f>
        <v>200</v>
      </c>
      <c r="G23" s="11">
        <f>IF(MIN(K23)&lt;&gt;0,MIN(K23),"")</f>
        <v>1.1208105253049074</v>
      </c>
      <c r="H23" s="12">
        <f>IF(AND(ISNUMBER(F23),ISNUMBER(G23)),F23*G23,"")</f>
        <v>224.1621</v>
      </c>
      <c r="I23" s="13" t="s">
        <v>168</v>
      </c>
      <c r="J23" s="10"/>
      <c r="K23" s="11">
        <f>IFERROR(IF(OR(J23&gt;=L23,F23&gt;=L23),EUR_USD*LOOKUP(IF(J23="",F23,J23),{0,1,10,100,1000},{0.0,1.5383,1.2985,1.1671,1.0179}),"MOQ="&amp;L23),"")</f>
        <v>1.1208105253049074</v>
      </c>
      <c r="L23" s="10">
        <v>1</v>
      </c>
      <c r="M23" s="12">
        <f>IFERROR(IF(J23="",F23,J23)*K23,"")</f>
        <v>224.1621</v>
      </c>
      <c r="N23" s="10" t="s">
        <v>71</v>
      </c>
    </row>
    <row r="24" spans="1:14">
      <c r="A24" s="10" t="s">
        <v>72</v>
      </c>
      <c r="B24" s="10" t="s">
        <v>73</v>
      </c>
      <c r="D24" s="10" t="s">
        <v>70</v>
      </c>
      <c r="E24" s="10" t="s">
        <v>71</v>
      </c>
      <c r="F24" s="10">
        <f>CEILING(BoardQty*2.0,1)</f>
        <v>200</v>
      </c>
      <c r="G24" s="11">
        <f>IF(MIN(K24)&lt;&gt;0,MIN(K24),"")</f>
        <v>1.1208105253049074</v>
      </c>
      <c r="H24" s="12">
        <f>IF(AND(ISNUMBER(F24),ISNUMBER(G24)),F24*G24,"")</f>
        <v>224.1621</v>
      </c>
      <c r="I24" s="13" t="s">
        <v>168</v>
      </c>
      <c r="J24" s="10"/>
      <c r="K24" s="11">
        <f>IFERROR(IF(OR(J24&gt;=L24,F24&gt;=L24),EUR_USD*LOOKUP(IF(J24="",F24,J24),{0,1,10,100,1000},{0.0,1.5383,1.2985,1.1671,1.0179}),"MOQ="&amp;L24),"")</f>
        <v>1.1208105253049074</v>
      </c>
      <c r="L24" s="10">
        <v>1</v>
      </c>
      <c r="M24" s="12">
        <f>IFERROR(IF(J24="",F24,J24)*K24,"")</f>
        <v>224.1621</v>
      </c>
      <c r="N24" s="10" t="s">
        <v>71</v>
      </c>
    </row>
    <row r="25" spans="1:14">
      <c r="A25" s="10" t="s">
        <v>74</v>
      </c>
      <c r="B25" s="10" t="s">
        <v>75</v>
      </c>
      <c r="C25" s="10" t="s">
        <v>76</v>
      </c>
      <c r="D25" s="10" t="s">
        <v>77</v>
      </c>
      <c r="E25" s="10" t="s">
        <v>75</v>
      </c>
      <c r="F25" s="10">
        <f>CEILING(BoardQty*4.0,1)</f>
        <v>400</v>
      </c>
      <c r="G25" s="11">
        <f>IF(MIN(K25)&lt;&gt;0,MIN(K25),"")</f>
        <v>0.013156631134159226</v>
      </c>
      <c r="H25" s="12">
        <f>IF(AND(ISNUMBER(F25),ISNUMBER(G25)),F25*G25,"")</f>
        <v>5.2627</v>
      </c>
      <c r="I25" s="13" t="s">
        <v>168</v>
      </c>
      <c r="J25" s="10"/>
      <c r="K25" s="11">
        <f>IFERROR(IF(OR(J25&gt;=L25,F25&gt;=L25),EUR_USD*LOOKUP(IF(J25="",F25,J25),{0,1,10,100,1000},{0.0,0.176,0.0176,0.0137,0.0107}),"MOQ="&amp;L25),"")</f>
        <v>0.013156631134159226</v>
      </c>
      <c r="L25" s="10">
        <v>1</v>
      </c>
      <c r="M25" s="12">
        <f>IFERROR(IF(J25="",F25,J25)*K25,"")</f>
        <v>5.2627</v>
      </c>
      <c r="N25" s="10" t="s">
        <v>75</v>
      </c>
    </row>
    <row r="26" spans="1:14" ht="30" customHeight="1">
      <c r="A26" s="10" t="s">
        <v>78</v>
      </c>
      <c r="B26" s="10" t="s">
        <v>79</v>
      </c>
      <c r="C26" s="10" t="s">
        <v>76</v>
      </c>
      <c r="D26" s="10" t="s">
        <v>80</v>
      </c>
      <c r="E26" s="10" t="s">
        <v>81</v>
      </c>
      <c r="F26" s="10">
        <f>CEILING(BoardQty*2.0,1)</f>
        <v>200</v>
      </c>
      <c r="G26" s="11">
        <f>IF(MIN(K26)&lt;&gt;0,MIN(K26),"")</f>
        <v>0.013828867761452032</v>
      </c>
      <c r="H26" s="12">
        <f>IF(AND(ISNUMBER(F26),ISNUMBER(G26)),F26*G26,"")</f>
        <v>2.7658</v>
      </c>
      <c r="I26" s="13" t="s">
        <v>168</v>
      </c>
      <c r="J26" s="10"/>
      <c r="K26" s="11">
        <f>IFERROR(IF(OR(J26&gt;=L26,F26&gt;=L26),EUR_USD*LOOKUP(IF(J26="",F26,J26),{0,1,10,100,1000},{0.0,0.216,0.0216,0.0144,0.0098}),"MOQ="&amp;L26),"")</f>
        <v>0.013828867761452032</v>
      </c>
      <c r="L26" s="10">
        <v>1</v>
      </c>
      <c r="M26" s="12">
        <f>IFERROR(IF(J26="",F26,J26)*K26,"")</f>
        <v>2.7658</v>
      </c>
      <c r="N26" s="10" t="s">
        <v>81</v>
      </c>
    </row>
    <row r="27" spans="1:14">
      <c r="A27" s="10" t="s">
        <v>82</v>
      </c>
      <c r="B27" s="10" t="s">
        <v>83</v>
      </c>
      <c r="C27" s="10" t="s">
        <v>84</v>
      </c>
      <c r="D27" s="10" t="s">
        <v>85</v>
      </c>
      <c r="E27" s="10" t="s">
        <v>86</v>
      </c>
      <c r="F27" s="10">
        <f>CEILING(BoardQty*2.0,1)</f>
        <v>200</v>
      </c>
      <c r="G27" s="11">
        <f>IF(MIN(K27)&lt;&gt;0,MIN(K27),"")</f>
        <v>0.0006722366272928071</v>
      </c>
      <c r="H27" s="12">
        <f>IF(AND(ISNUMBER(F27),ISNUMBER(G27)),F27*G27,"")</f>
        <v>0.1344</v>
      </c>
      <c r="I27" s="13" t="s">
        <v>168</v>
      </c>
      <c r="J27" s="10"/>
      <c r="K27" s="11">
        <f>IFERROR(IF(OR(J27&gt;=L27,F27&gt;=L27),EUR_USD*LOOKUP(IF(J27="",F27,J27),{0,1,200,1000,10000},{0.0,0.0009,0.0007,0.0006,0.0005}),"MOQ="&amp;L27),"")</f>
        <v>0.0006722366272928071</v>
      </c>
      <c r="L27" s="10">
        <v>1</v>
      </c>
      <c r="M27" s="12">
        <f>IFERROR(IF(J27="",F27,J27)*K27,"")</f>
        <v>0.1344</v>
      </c>
      <c r="N27" s="10" t="s">
        <v>86</v>
      </c>
    </row>
    <row r="28" spans="1:14">
      <c r="A28" s="10" t="s">
        <v>87</v>
      </c>
      <c r="B28" s="10" t="s">
        <v>88</v>
      </c>
      <c r="C28" s="10" t="s">
        <v>84</v>
      </c>
      <c r="D28" s="10" t="s">
        <v>85</v>
      </c>
      <c r="E28" s="10" t="s">
        <v>89</v>
      </c>
      <c r="F28" s="10">
        <f>CEILING(BoardQty*1.0,1)</f>
        <v>100</v>
      </c>
      <c r="G28" s="11">
        <f>IF(MIN(K28)&lt;&gt;0,MIN(K28),"")</f>
        <v>0.0013444732545856142</v>
      </c>
      <c r="H28" s="12">
        <f>IF(AND(ISNUMBER(F28),ISNUMBER(G28)),F28*G28,"")</f>
        <v>0.1344</v>
      </c>
      <c r="I28" s="13" t="s">
        <v>168</v>
      </c>
      <c r="J28" s="10"/>
      <c r="K28" s="11">
        <f>IFERROR(IF(OR(J28&gt;=L28,F28&gt;=L28),EUR_USD*LOOKUP(IF(J28="",F28,J28),{0,1,200,1000},{0.0,0.0014,0.0011,0.0009}),"MOQ="&amp;L28),"")</f>
        <v>0.0013444732545856142</v>
      </c>
      <c r="L28" s="10">
        <v>1</v>
      </c>
      <c r="M28" s="12">
        <f>IFERROR(IF(J28="",F28,J28)*K28,"")</f>
        <v>0.1344</v>
      </c>
      <c r="N28" s="10" t="s">
        <v>89</v>
      </c>
    </row>
    <row r="29" spans="1:14">
      <c r="A29" s="10" t="s">
        <v>90</v>
      </c>
      <c r="B29" s="10" t="s">
        <v>91</v>
      </c>
      <c r="C29" s="10" t="s">
        <v>84</v>
      </c>
      <c r="D29" s="10" t="s">
        <v>85</v>
      </c>
      <c r="E29" s="10" t="s">
        <v>92</v>
      </c>
      <c r="F29" s="10">
        <f>CEILING(BoardQty*5.0,1)</f>
        <v>500</v>
      </c>
      <c r="G29" s="11">
        <f>IF(MIN(K29)&lt;&gt;0,MIN(K29),"")</f>
        <v>0.0003841352155958898</v>
      </c>
      <c r="H29" s="12">
        <f>IF(AND(ISNUMBER(F29),ISNUMBER(G29)),F29*G29,"")</f>
        <v>0.1921</v>
      </c>
      <c r="I29" s="13" t="s">
        <v>168</v>
      </c>
      <c r="J29" s="10"/>
      <c r="K29" s="11">
        <f>IFERROR(IF(OR(J29&gt;=L29,F29&gt;=L29),EUR_USD*LOOKUP(IF(J29="",F29,J29),{0,1,200},{0.0,0.0005,0.0004}),"MOQ="&amp;L29),"")</f>
        <v>0.0003841352155958898</v>
      </c>
      <c r="L29" s="10">
        <v>1</v>
      </c>
      <c r="M29" s="12">
        <f>IFERROR(IF(J29="",F29,J29)*K29,"")</f>
        <v>0.1921</v>
      </c>
      <c r="N29" s="10" t="s">
        <v>92</v>
      </c>
    </row>
    <row r="30" spans="1:14">
      <c r="A30" s="10" t="s">
        <v>93</v>
      </c>
      <c r="B30" s="10" t="s">
        <v>94</v>
      </c>
      <c r="C30" s="10" t="s">
        <v>84</v>
      </c>
      <c r="D30" s="10" t="s">
        <v>85</v>
      </c>
      <c r="E30" s="10" t="s">
        <v>95</v>
      </c>
      <c r="F30" s="10">
        <f>CEILING(BoardQty*1.0,1)</f>
        <v>100</v>
      </c>
      <c r="G30" s="11">
        <f>IF(MIN(K30)&lt;&gt;0,MIN(K30),"")</f>
        <v>0.004225487371554788</v>
      </c>
      <c r="H30" s="12">
        <f>IF(AND(ISNUMBER(F30),ISNUMBER(G30)),F30*G30,"")</f>
        <v>0.4225</v>
      </c>
      <c r="I30" s="13" t="s">
        <v>168</v>
      </c>
      <c r="J30" s="10"/>
      <c r="K30" s="11">
        <f>IFERROR(IF(OR(J30&gt;=L30,F30&gt;=L30),EUR_USD*LOOKUP(IF(J30="",F30,J30),{0,1,200,1000,2000,10000,20000},{0.0,0.0044,0.0037,0.0033,0.0032,0.0029,0.0028}),"MOQ="&amp;L30),"")</f>
        <v>0.004225487371554788</v>
      </c>
      <c r="L30" s="10">
        <v>1</v>
      </c>
      <c r="M30" s="12">
        <f>IFERROR(IF(J30="",F30,J30)*K30,"")</f>
        <v>0.4225</v>
      </c>
      <c r="N30" s="10" t="s">
        <v>95</v>
      </c>
    </row>
    <row r="31" spans="1:14">
      <c r="A31" s="10" t="s">
        <v>96</v>
      </c>
      <c r="B31" s="10" t="s">
        <v>97</v>
      </c>
      <c r="C31" s="10" t="s">
        <v>84</v>
      </c>
      <c r="D31" s="10" t="s">
        <v>85</v>
      </c>
      <c r="E31" s="10" t="s">
        <v>98</v>
      </c>
      <c r="F31" s="10">
        <f>CEILING(BoardQty*9.0,1)</f>
        <v>900</v>
      </c>
      <c r="G31" s="11">
        <f>IF(MIN(K31)&lt;&gt;0,MIN(K31),"")</f>
        <v>0.001056371842888697</v>
      </c>
      <c r="H31" s="12">
        <f>IF(AND(ISNUMBER(F31),ISNUMBER(G31)),F31*G31,"")</f>
        <v>0.9507</v>
      </c>
      <c r="I31" s="13" t="s">
        <v>168</v>
      </c>
      <c r="J31" s="10"/>
      <c r="K31" s="11">
        <f>IFERROR(IF(OR(J31&gt;=L31,F31&gt;=L31),EUR_USD*LOOKUP(IF(J31="",F31,J31),{0,1,200,1000,2000},{0.0,0.0014,0.0011,0.0009,0.0008}),"MOQ="&amp;L31),"")</f>
        <v>0.001056371842888697</v>
      </c>
      <c r="L31" s="10">
        <v>1</v>
      </c>
      <c r="M31" s="12">
        <f>IFERROR(IF(J31="",F31,J31)*K31,"")</f>
        <v>0.9507</v>
      </c>
      <c r="N31" s="10" t="s">
        <v>98</v>
      </c>
    </row>
    <row r="32" spans="1:14">
      <c r="A32" s="10" t="s">
        <v>99</v>
      </c>
      <c r="B32" s="10" t="s">
        <v>100</v>
      </c>
      <c r="C32" s="10" t="s">
        <v>84</v>
      </c>
      <c r="D32" s="10" t="s">
        <v>85</v>
      </c>
      <c r="E32" s="10" t="s">
        <v>101</v>
      </c>
      <c r="F32" s="10">
        <f>CEILING(BoardQty*8.0,1)</f>
        <v>800</v>
      </c>
      <c r="G32" s="11">
        <f>IF(MIN(K32)&lt;&gt;0,MIN(K32),"")</f>
        <v>0.0006722366272928071</v>
      </c>
      <c r="H32" s="12">
        <f>IF(AND(ISNUMBER(F32),ISNUMBER(G32)),F32*G32,"")</f>
        <v>0.5378</v>
      </c>
      <c r="I32" s="13" t="s">
        <v>168</v>
      </c>
      <c r="J32" s="10"/>
      <c r="K32" s="11">
        <f>IFERROR(IF(OR(J32&gt;=L32,F32&gt;=L32),EUR_USD*LOOKUP(IF(J32="",F32,J32),{0,1,200,1000,2000},{0.0,0.0009,0.0007,0.0006,0.0005}),"MOQ="&amp;L32),"")</f>
        <v>0.0006722366272928071</v>
      </c>
      <c r="L32" s="10">
        <v>1</v>
      </c>
      <c r="M32" s="12">
        <f>IFERROR(IF(J32="",F32,J32)*K32,"")</f>
        <v>0.5378</v>
      </c>
      <c r="N32" s="10" t="s">
        <v>101</v>
      </c>
    </row>
    <row r="33" spans="1:14">
      <c r="A33" s="10" t="s">
        <v>102</v>
      </c>
      <c r="B33" s="10" t="s">
        <v>103</v>
      </c>
      <c r="C33" s="10" t="s">
        <v>84</v>
      </c>
      <c r="D33" s="10" t="s">
        <v>85</v>
      </c>
      <c r="E33" s="10" t="s">
        <v>104</v>
      </c>
      <c r="F33" s="10">
        <f>CEILING(BoardQty*2.0,1)</f>
        <v>200</v>
      </c>
      <c r="G33" s="11">
        <f>IF(MIN(K33)&lt;&gt;0,MIN(K33),"")</f>
        <v>0.0006722366272928071</v>
      </c>
      <c r="H33" s="12">
        <f>IF(AND(ISNUMBER(F33),ISNUMBER(G33)),F33*G33,"")</f>
        <v>0.1344</v>
      </c>
      <c r="I33" s="13" t="s">
        <v>168</v>
      </c>
      <c r="J33" s="10"/>
      <c r="K33" s="11">
        <f>IFERROR(IF(OR(J33&gt;=L33,F33&gt;=L33),EUR_USD*LOOKUP(IF(J33="",F33,J33),{0,1,200,1000,10000},{0.0,0.0009,0.0007,0.0006,0.0005}),"MOQ="&amp;L33),"")</f>
        <v>0.0006722366272928071</v>
      </c>
      <c r="L33" s="10">
        <v>1</v>
      </c>
      <c r="M33" s="12">
        <f>IFERROR(IF(J33="",F33,J33)*K33,"")</f>
        <v>0.1344</v>
      </c>
      <c r="N33" s="10" t="s">
        <v>104</v>
      </c>
    </row>
    <row r="34" spans="1:14">
      <c r="A34" s="10" t="s">
        <v>105</v>
      </c>
      <c r="B34" s="10" t="s">
        <v>106</v>
      </c>
      <c r="C34" s="10" t="s">
        <v>84</v>
      </c>
      <c r="D34" s="10" t="s">
        <v>85</v>
      </c>
      <c r="E34" s="10" t="s">
        <v>107</v>
      </c>
      <c r="F34" s="10">
        <f>CEILING(BoardQty*4.0,1)</f>
        <v>400</v>
      </c>
      <c r="G34" s="11">
        <f>IF(MIN(K34)&lt;&gt;0,MIN(K34),"")</f>
        <v>0.0006722366272928071</v>
      </c>
      <c r="H34" s="12">
        <f>IF(AND(ISNUMBER(F34),ISNUMBER(G34)),F34*G34,"")</f>
        <v>0.2689</v>
      </c>
      <c r="I34" s="13" t="s">
        <v>168</v>
      </c>
      <c r="J34" s="10"/>
      <c r="K34" s="11">
        <f>IFERROR(IF(OR(J34&gt;=L34,F34&gt;=L34),EUR_USD*LOOKUP(IF(J34="",F34,J34),{0,1,200,1000,10000},{0.0,0.001,0.0007,0.0006,0.0005}),"MOQ="&amp;L34),"")</f>
        <v>0.0006722366272928071</v>
      </c>
      <c r="L34" s="10">
        <v>1</v>
      </c>
      <c r="M34" s="12">
        <f>IFERROR(IF(J34="",F34,J34)*K34,"")</f>
        <v>0.2689</v>
      </c>
      <c r="N34" s="10" t="s">
        <v>107</v>
      </c>
    </row>
    <row r="35" spans="1:14">
      <c r="A35" s="10" t="s">
        <v>108</v>
      </c>
      <c r="B35" s="10" t="s">
        <v>109</v>
      </c>
      <c r="C35" s="10" t="s">
        <v>84</v>
      </c>
      <c r="D35" s="10" t="s">
        <v>85</v>
      </c>
      <c r="E35" s="10" t="s">
        <v>110</v>
      </c>
      <c r="F35" s="10">
        <f>CEILING(BoardQty*3.0,1)</f>
        <v>300</v>
      </c>
      <c r="G35" s="11">
        <f>IF(MIN(K35)&lt;&gt;0,MIN(K35),"")</f>
        <v>0.0006722366272928071</v>
      </c>
      <c r="H35" s="12">
        <f>IF(AND(ISNUMBER(F35),ISNUMBER(G35)),F35*G35,"")</f>
        <v>0.2017</v>
      </c>
      <c r="I35" s="13" t="s">
        <v>168</v>
      </c>
      <c r="J35" s="10"/>
      <c r="K35" s="11">
        <f>IFERROR(IF(OR(J35&gt;=L35,F35&gt;=L35),EUR_USD*LOOKUP(IF(J35="",F35,J35),{0,1,200,1000,10000},{0.0,0.0009,0.0007,0.0006,0.0005}),"MOQ="&amp;L35),"")</f>
        <v>0.0006722366272928071</v>
      </c>
      <c r="L35" s="10">
        <v>1</v>
      </c>
      <c r="M35" s="12">
        <f>IFERROR(IF(J35="",F35,J35)*K35,"")</f>
        <v>0.2017</v>
      </c>
      <c r="N35" s="10" t="s">
        <v>110</v>
      </c>
    </row>
    <row r="36" spans="1:14">
      <c r="A36" s="10" t="s">
        <v>111</v>
      </c>
      <c r="B36" s="10" t="s">
        <v>112</v>
      </c>
      <c r="C36" s="10" t="s">
        <v>84</v>
      </c>
      <c r="D36" s="10" t="s">
        <v>85</v>
      </c>
      <c r="E36" s="10" t="s">
        <v>113</v>
      </c>
      <c r="F36" s="10">
        <f>CEILING(BoardQty*2.0,1)</f>
        <v>200</v>
      </c>
      <c r="G36" s="11">
        <f>IF(MIN(K36)&lt;&gt;0,MIN(K36),"")</f>
        <v>0.0006722366272928071</v>
      </c>
      <c r="H36" s="12">
        <f>IF(AND(ISNUMBER(F36),ISNUMBER(G36)),F36*G36,"")</f>
        <v>0.1344</v>
      </c>
      <c r="I36" s="13" t="s">
        <v>168</v>
      </c>
      <c r="J36" s="10"/>
      <c r="K36" s="11">
        <f>IFERROR(IF(OR(J36&gt;=L36,F36&gt;=L36),EUR_USD*LOOKUP(IF(J36="",F36,J36),{0,1,200,1000,2000,10000},{0.0,0.0009,0.0007,0.0006,0.0005,0.0004}),"MOQ="&amp;L36),"")</f>
        <v>0.0006722366272928071</v>
      </c>
      <c r="L36" s="10">
        <v>1</v>
      </c>
      <c r="M36" s="12">
        <f>IFERROR(IF(J36="",F36,J36)*K36,"")</f>
        <v>0.1344</v>
      </c>
      <c r="N36" s="10" t="s">
        <v>113</v>
      </c>
    </row>
    <row r="37" spans="1:14">
      <c r="A37" s="10" t="s">
        <v>114</v>
      </c>
      <c r="B37" s="10" t="s">
        <v>115</v>
      </c>
      <c r="C37" s="10" t="s">
        <v>84</v>
      </c>
      <c r="D37" s="10" t="s">
        <v>85</v>
      </c>
      <c r="E37" s="10" t="s">
        <v>116</v>
      </c>
      <c r="F37" s="10">
        <f>CEILING(BoardQty*2.0,1)</f>
        <v>200</v>
      </c>
      <c r="G37" s="11">
        <f>IF(MIN(K37)&lt;&gt;0,MIN(K37),"")</f>
        <v>0.0006722366272928071</v>
      </c>
      <c r="H37" s="12">
        <f>IF(AND(ISNUMBER(F37),ISNUMBER(G37)),F37*G37,"")</f>
        <v>0.1344</v>
      </c>
      <c r="I37" s="13" t="s">
        <v>168</v>
      </c>
      <c r="J37" s="10"/>
      <c r="K37" s="11">
        <f>IFERROR(IF(OR(J37&gt;=L37,F37&gt;=L37),EUR_USD*LOOKUP(IF(J37="",F37,J37),{0,1,200,1000,10000},{0.0,0.0009,0.0007,0.0006,0.0005}),"MOQ="&amp;L37),"")</f>
        <v>0.0006722366272928071</v>
      </c>
      <c r="L37" s="10">
        <v>1</v>
      </c>
      <c r="M37" s="12">
        <f>IFERROR(IF(J37="",F37,J37)*K37,"")</f>
        <v>0.1344</v>
      </c>
      <c r="N37" s="10" t="s">
        <v>116</v>
      </c>
    </row>
    <row r="38" spans="1:14">
      <c r="A38" s="10" t="s">
        <v>117</v>
      </c>
      <c r="B38" s="10" t="s">
        <v>118</v>
      </c>
      <c r="C38" s="10" t="s">
        <v>84</v>
      </c>
      <c r="D38" s="10" t="s">
        <v>85</v>
      </c>
      <c r="E38" s="10" t="s">
        <v>119</v>
      </c>
      <c r="F38" s="10">
        <f>CEILING(BoardQty*6.0,1)</f>
        <v>600</v>
      </c>
      <c r="G38" s="11">
        <f>IF(MIN(K38)&lt;&gt;0,MIN(K38),"")</f>
        <v>0.0006722366272928071</v>
      </c>
      <c r="H38" s="12">
        <f>IF(AND(ISNUMBER(F38),ISNUMBER(G38)),F38*G38,"")</f>
        <v>0.4033</v>
      </c>
      <c r="I38" s="13" t="s">
        <v>168</v>
      </c>
      <c r="J38" s="10"/>
      <c r="K38" s="11">
        <f>IFERROR(IF(OR(J38&gt;=L38,F38&gt;=L38),EUR_USD*LOOKUP(IF(J38="",F38,J38),{0,1,200,1000,10000},{0.0,0.001,0.0007,0.0006,0.0005}),"MOQ="&amp;L38),"")</f>
        <v>0.0006722366272928071</v>
      </c>
      <c r="L38" s="10">
        <v>1</v>
      </c>
      <c r="M38" s="12">
        <f>IFERROR(IF(J38="",F38,J38)*K38,"")</f>
        <v>0.4033</v>
      </c>
      <c r="N38" s="10" t="s">
        <v>119</v>
      </c>
    </row>
    <row r="39" spans="1:14">
      <c r="A39" s="10" t="s">
        <v>120</v>
      </c>
      <c r="B39" s="10" t="s">
        <v>121</v>
      </c>
      <c r="C39" s="10" t="s">
        <v>84</v>
      </c>
      <c r="D39" s="10" t="s">
        <v>85</v>
      </c>
      <c r="E39" s="10" t="s">
        <v>122</v>
      </c>
      <c r="F39" s="10">
        <f>CEILING(BoardQty*2.0,1)</f>
        <v>200</v>
      </c>
      <c r="G39" s="11">
        <f>IF(MIN(K39)&lt;&gt;0,MIN(K39),"")</f>
        <v>0.0006722366272928071</v>
      </c>
      <c r="H39" s="12">
        <f>IF(AND(ISNUMBER(F39),ISNUMBER(G39)),F39*G39,"")</f>
        <v>0.1344</v>
      </c>
      <c r="I39" s="13" t="s">
        <v>168</v>
      </c>
      <c r="J39" s="10"/>
      <c r="K39" s="11">
        <f>IFERROR(IF(OR(J39&gt;=L39,F39&gt;=L39),EUR_USD*LOOKUP(IF(J39="",F39,J39),{0,1,200,1000,10000},{0.0,0.0009,0.0007,0.0006,0.0005}),"MOQ="&amp;L39),"")</f>
        <v>0.0006722366272928071</v>
      </c>
      <c r="L39" s="10">
        <v>1</v>
      </c>
      <c r="M39" s="12">
        <f>IFERROR(IF(J39="",F39,J39)*K39,"")</f>
        <v>0.1344</v>
      </c>
      <c r="N39" s="10" t="s">
        <v>122</v>
      </c>
    </row>
    <row r="40" spans="1:14">
      <c r="A40" s="10" t="s">
        <v>123</v>
      </c>
      <c r="B40" s="10" t="s">
        <v>124</v>
      </c>
      <c r="C40" s="10" t="s">
        <v>84</v>
      </c>
      <c r="D40" s="10" t="s">
        <v>85</v>
      </c>
      <c r="E40" s="10" t="s">
        <v>125</v>
      </c>
      <c r="F40" s="10">
        <f>CEILING(BoardQty*2.0,1)</f>
        <v>200</v>
      </c>
      <c r="G40" s="11">
        <f>IF(MIN(K40)&lt;&gt;0,MIN(K40),"")</f>
        <v>0.0006722366272928071</v>
      </c>
      <c r="H40" s="12">
        <f>IF(AND(ISNUMBER(F40),ISNUMBER(G40)),F40*G40,"")</f>
        <v>0.1344</v>
      </c>
      <c r="I40" s="13" t="s">
        <v>168</v>
      </c>
      <c r="J40" s="10"/>
      <c r="K40" s="11">
        <f>IFERROR(IF(OR(J40&gt;=L40,F40&gt;=L40),EUR_USD*LOOKUP(IF(J40="",F40,J40),{0,1,200,1000,10000},{0.0,0.001,0.0007,0.0006,0.0005}),"MOQ="&amp;L40),"")</f>
        <v>0.0006722366272928071</v>
      </c>
      <c r="L40" s="10">
        <v>1</v>
      </c>
      <c r="M40" s="12">
        <f>IFERROR(IF(J40="",F40,J40)*K40,"")</f>
        <v>0.1344</v>
      </c>
      <c r="N40" s="10" t="s">
        <v>125</v>
      </c>
    </row>
    <row r="41" spans="1:14">
      <c r="A41" s="10" t="s">
        <v>126</v>
      </c>
      <c r="B41" s="10" t="s">
        <v>127</v>
      </c>
      <c r="C41" s="10" t="s">
        <v>84</v>
      </c>
      <c r="D41" s="10" t="s">
        <v>85</v>
      </c>
      <c r="E41" s="10" t="s">
        <v>128</v>
      </c>
      <c r="F41" s="10">
        <f>CEILING(BoardQty*2.0,1)</f>
        <v>200</v>
      </c>
      <c r="G41" s="11">
        <f>IF(MIN(K41)&lt;&gt;0,MIN(K41),"")</f>
        <v>0.0006722366272928071</v>
      </c>
      <c r="H41" s="12">
        <f>IF(AND(ISNUMBER(F41),ISNUMBER(G41)),F41*G41,"")</f>
        <v>0.1344</v>
      </c>
      <c r="I41" s="13" t="s">
        <v>168</v>
      </c>
      <c r="J41" s="10"/>
      <c r="K41" s="11">
        <f>IFERROR(IF(OR(J41&gt;=L41,F41&gt;=L41),EUR_USD*LOOKUP(IF(J41="",F41,J41),{0,1,200,1000,2000},{0.0,0.0009,0.0007,0.0006,0.0005}),"MOQ="&amp;L41),"")</f>
        <v>0.0006722366272928071</v>
      </c>
      <c r="L41" s="10">
        <v>1</v>
      </c>
      <c r="M41" s="12">
        <f>IFERROR(IF(J41="",F41,J41)*K41,"")</f>
        <v>0.1344</v>
      </c>
      <c r="N41" s="10" t="s">
        <v>128</v>
      </c>
    </row>
    <row r="42" spans="1:14">
      <c r="A42" s="10" t="s">
        <v>129</v>
      </c>
      <c r="B42" s="10" t="s">
        <v>130</v>
      </c>
      <c r="F42" s="10">
        <f>CEILING(BoardQty*2,1)</f>
        <v>200</v>
      </c>
      <c r="G42" s="11">
        <f>IF(MIN(K42)&lt;&gt;0,MIN(K42),"")</f>
        <v/>
      </c>
      <c r="H42" s="12">
        <f>IF(AND(ISNUMBER(F42),ISNUMBER(G42)),F42*G42,"")</f>
        <v/>
      </c>
    </row>
    <row r="43" spans="1:14" ht="45" customHeight="1">
      <c r="A43" s="10" t="s">
        <v>131</v>
      </c>
      <c r="B43" s="10" t="s">
        <v>132</v>
      </c>
      <c r="C43" s="10" t="s">
        <v>133</v>
      </c>
      <c r="D43" s="10" t="s">
        <v>134</v>
      </c>
      <c r="E43" s="10" t="s">
        <v>132</v>
      </c>
      <c r="F43" s="10">
        <f>CEILING(BoardQty*1.0,1)</f>
        <v>100</v>
      </c>
      <c r="G43" s="11">
        <f>IF(MIN(K43)&lt;&gt;0,MIN(K43),"")</f>
        <v>0.16652261596081822</v>
      </c>
      <c r="H43" s="12">
        <f>IF(AND(ISNUMBER(F43),ISNUMBER(G43)),F43*G43,"")</f>
        <v>16.6523</v>
      </c>
      <c r="I43" s="13" t="s">
        <v>168</v>
      </c>
      <c r="J43" s="10"/>
      <c r="K43" s="11">
        <f>IFERROR(IF(OR(J43&gt;=L43,F43&gt;=L43),EUR_USD*LOOKUP(IF(J43="",F43,J43),{0,1,10,30,100,500,800,1600,4000},{0.0,0.2895,0.2292,0.1998,0.1734,0.1662,0.1619,0.1605,0.1592}),"MOQ="&amp;L43),"")</f>
        <v>0.16652261596081822</v>
      </c>
      <c r="L43" s="10">
        <v>1</v>
      </c>
      <c r="M43" s="12">
        <f>IFERROR(IF(J43="",F43,J43)*K43,"")</f>
        <v>16.6523</v>
      </c>
      <c r="N43" s="10" t="s">
        <v>132</v>
      </c>
    </row>
    <row r="44" spans="1:14" ht="30" customHeight="1">
      <c r="A44" s="10" t="s">
        <v>135</v>
      </c>
      <c r="B44" s="10" t="s">
        <v>136</v>
      </c>
      <c r="C44" s="10" t="s">
        <v>137</v>
      </c>
      <c r="D44" s="10" t="s">
        <v>138</v>
      </c>
      <c r="E44" s="10" t="s">
        <v>139</v>
      </c>
      <c r="F44" s="10">
        <f>CEILING(BoardQty*1.0,1)</f>
        <v>100</v>
      </c>
      <c r="G44" s="11">
        <f>IF(MIN(K44)&lt;&gt;0,MIN(K44),"")</f>
        <v>1.4553922980889276</v>
      </c>
      <c r="H44" s="12">
        <f>IF(AND(ISNUMBER(F44),ISNUMBER(G44)),F44*G44,"")</f>
        <v>145.5392</v>
      </c>
      <c r="I44" s="13" t="s">
        <v>168</v>
      </c>
      <c r="J44" s="10"/>
      <c r="K44" s="11">
        <f>IFERROR(IF(OR(J44&gt;=L44,F44&gt;=L44),EUR_USD*LOOKUP(IF(J44="",F44,J44),{0,1,10,100,1000},{0.0,2.1016,1.8524,1.5155,1.4105}),"MOQ="&amp;L44),"")</f>
        <v>1.4553922980889276</v>
      </c>
      <c r="L44" s="10">
        <v>1</v>
      </c>
      <c r="M44" s="12">
        <f>IFERROR(IF(J44="",F44,J44)*K44,"")</f>
        <v>145.5392</v>
      </c>
      <c r="N44" s="10" t="s">
        <v>139</v>
      </c>
    </row>
    <row r="45" spans="1:14">
      <c r="A45" s="10" t="s">
        <v>140</v>
      </c>
      <c r="B45" s="10" t="s">
        <v>141</v>
      </c>
      <c r="C45" s="10" t="s">
        <v>141</v>
      </c>
      <c r="D45" s="10" t="s">
        <v>142</v>
      </c>
      <c r="E45" s="10" t="s">
        <v>141</v>
      </c>
      <c r="F45" s="10">
        <f>CEILING(BoardQty*1.0,1)</f>
        <v>100</v>
      </c>
      <c r="G45" s="11">
        <f>IF(MIN(K45)&lt;&gt;0,MIN(K45),"")</f>
        <v>2.2636127917026796</v>
      </c>
      <c r="H45" s="12">
        <f>IF(AND(ISNUMBER(F45),ISNUMBER(G45)),F45*G45,"")</f>
        <v>226.3613</v>
      </c>
      <c r="I45" s="13" t="s">
        <v>168</v>
      </c>
      <c r="J45" s="10"/>
      <c r="K45" s="11">
        <f>IFERROR(IF(OR(J45&gt;=L45,F45&gt;=L45),EUR_USD*LOOKUP(IF(J45="",F45,J45),{0,1,10,100,1000},{0.0,2.448,2.448,2.3571,2.3571}),"MOQ="&amp;L45),"")</f>
        <v>2.2636127917026796</v>
      </c>
      <c r="L45" s="10">
        <v>1</v>
      </c>
      <c r="M45" s="12">
        <f>IFERROR(IF(J45="",F45,J45)*K45,"")</f>
        <v>226.3613</v>
      </c>
      <c r="N45" s="10" t="s">
        <v>141</v>
      </c>
    </row>
    <row r="46" spans="1:14">
      <c r="A46" s="10" t="s">
        <v>143</v>
      </c>
      <c r="B46" s="10" t="s">
        <v>144</v>
      </c>
      <c r="C46" s="10" t="s">
        <v>145</v>
      </c>
      <c r="D46" s="10" t="s">
        <v>146</v>
      </c>
      <c r="E46" s="10" t="s">
        <v>147</v>
      </c>
      <c r="F46" s="10">
        <f>CEILING(BoardQty*1.0,1)</f>
        <v>100</v>
      </c>
      <c r="G46" s="11">
        <f>IF(MIN(K46)&lt;&gt;0,MIN(K46),"")</f>
        <v>0.6803034668203208</v>
      </c>
      <c r="H46" s="12">
        <f>IF(AND(ISNUMBER(F46),ISNUMBER(G46)),F46*G46,"")</f>
        <v>68.0303</v>
      </c>
      <c r="I46" s="13" t="s">
        <v>168</v>
      </c>
      <c r="J46" s="10"/>
      <c r="K46" s="11">
        <f>IFERROR(IF(OR(J46&gt;=L46,F46&gt;=L46),EUR_USD*LOOKUP(IF(J46="",F46,J46),{0,1,10,100,1000},{0.0,0.7209,0.7084,0.7084,0.7084}),"MOQ="&amp;L46),"")</f>
        <v>0.6803034668203208</v>
      </c>
      <c r="L46" s="10">
        <v>1</v>
      </c>
      <c r="M46" s="12">
        <f>IFERROR(IF(J46="",F46,J46)*K46,"")</f>
        <v>68.0303</v>
      </c>
      <c r="N46" s="10" t="s">
        <v>147</v>
      </c>
    </row>
    <row r="47" spans="1:14">
      <c r="A47" s="10" t="s">
        <v>148</v>
      </c>
      <c r="B47" s="10" t="s">
        <v>149</v>
      </c>
      <c r="C47" s="10" t="s">
        <v>150</v>
      </c>
      <c r="D47" s="10" t="s">
        <v>151</v>
      </c>
      <c r="E47" s="10" t="s">
        <v>152</v>
      </c>
      <c r="F47" s="10">
        <f>CEILING(BoardQty*1.0,1)</f>
        <v>100</v>
      </c>
      <c r="G47" s="11">
        <f>IF(MIN(K47)&lt;&gt;0,MIN(K47),"")</f>
        <v>9.910688562373958</v>
      </c>
      <c r="H47" s="12">
        <f>IF(AND(ISNUMBER(F47),ISNUMBER(G47)),F47*G47,"")</f>
        <v>991.0689</v>
      </c>
      <c r="I47" s="13" t="s">
        <v>168</v>
      </c>
      <c r="J47" s="10"/>
      <c r="K47" s="11">
        <f>IFERROR(IF(OR(J47&gt;=L47,F47&gt;=L47),EUR_USD*LOOKUP(IF(J47="",F47,J47),{0,1,10,100,1000},{0.0,21.0,15.73,10.32,10.32}),"MOQ="&amp;L47),"")</f>
        <v>9.910688562373958</v>
      </c>
      <c r="L47" s="10">
        <v>1</v>
      </c>
      <c r="M47" s="12">
        <f>IFERROR(IF(J47="",F47,J47)*K47,"")</f>
        <v>991.0689</v>
      </c>
      <c r="N47" s="10" t="s">
        <v>152</v>
      </c>
    </row>
    <row r="48" spans="1:14">
      <c r="A48" s="10" t="s">
        <v>153</v>
      </c>
      <c r="B48" s="10" t="s">
        <v>154</v>
      </c>
      <c r="C48" s="10" t="s">
        <v>155</v>
      </c>
      <c r="D48" s="10" t="s">
        <v>146</v>
      </c>
      <c r="E48" s="10" t="s">
        <v>156</v>
      </c>
      <c r="F48" s="10">
        <f>CEILING(BoardQty*2.0,1)</f>
        <v>200</v>
      </c>
      <c r="G48" s="11">
        <f>IF(MIN(K48)&lt;&gt;0,MIN(K48),"")</f>
        <v>0.06991260923845194</v>
      </c>
      <c r="H48" s="12">
        <f>IF(AND(ISNUMBER(F48),ISNUMBER(G48)),F48*G48,"")</f>
        <v>13.9825</v>
      </c>
      <c r="I48" s="13" t="s">
        <v>168</v>
      </c>
      <c r="J48" s="10"/>
      <c r="K48" s="11">
        <f>IFERROR(IF(OR(J48&gt;=L48,F48&gt;=L48),EUR_USD*LOOKUP(IF(J48="",F48,J48),{0,1,10,100,1000},{0.0,0.1235,0.0971,0.0728,0.0696}),"MOQ="&amp;L48),"")</f>
        <v>0.06991260923845194</v>
      </c>
      <c r="L48" s="10">
        <v>1</v>
      </c>
      <c r="M48" s="12">
        <f>IFERROR(IF(J48="",F48,J48)*K48,"")</f>
        <v>13.9825</v>
      </c>
      <c r="N48" s="10" t="s">
        <v>156</v>
      </c>
    </row>
    <row r="49" spans="1:14">
      <c r="A49" s="10" t="s">
        <v>157</v>
      </c>
      <c r="B49" s="10" t="s">
        <v>158</v>
      </c>
      <c r="F49" s="10">
        <f>CEILING(BoardQty*1,1)</f>
        <v>100</v>
      </c>
      <c r="G49" s="11">
        <f>IF(MIN(K49)&lt;&gt;0,MIN(K49),"")</f>
        <v>0.09180831652741767</v>
      </c>
      <c r="H49" s="12">
        <f>IF(AND(ISNUMBER(F49),ISNUMBER(G49)),F49*G49,"")</f>
        <v>9.1808</v>
      </c>
      <c r="I49" s="13" t="s">
        <v>168</v>
      </c>
      <c r="J49" s="10"/>
      <c r="K49" s="11">
        <f>IFERROR(IF(OR(J49&gt;=L49,F49&gt;=L49),EUR_USD*LOOKUP(IF(J49="",F49,J49),{0,1,20,60,200,1000,2000},{0.0,0.1347,0.1073,0.0956,0.081,0.0744,0.0705}),"MOQ="&amp;L49),"")</f>
        <v>0.09180831652741767</v>
      </c>
      <c r="L49" s="10">
        <v>1</v>
      </c>
      <c r="M49" s="12">
        <f>IFERROR(IF(J49="",F49,J49)*K49,"")</f>
        <v>9.1808</v>
      </c>
      <c r="N49" s="10" t="s">
        <v>169</v>
      </c>
    </row>
    <row r="50" spans="1:14">
      <c r="A50" s="10" t="s">
        <v>159</v>
      </c>
      <c r="B50" s="10" t="s">
        <v>160</v>
      </c>
      <c r="D50" s="10" t="s">
        <v>161</v>
      </c>
      <c r="E50" s="10" t="s">
        <v>162</v>
      </c>
      <c r="F50" s="10">
        <f>CEILING(BoardQty*1.0,1)</f>
        <v>100</v>
      </c>
      <c r="G50" s="11">
        <f>IF(MIN(K50)&lt;&gt;0,MIN(K50),"")</f>
        <v>0.055315471045808126</v>
      </c>
      <c r="H50" s="12">
        <f>IF(AND(ISNUMBER(F50),ISNUMBER(G50)),F50*G50,"")</f>
        <v>5.5315</v>
      </c>
      <c r="I50" s="13" t="s">
        <v>168</v>
      </c>
      <c r="J50" s="10"/>
      <c r="K50" s="11">
        <f>IFERROR(IF(OR(J50&gt;=L50,F50&gt;=L50),EUR_USD*LOOKUP(IF(J50="",F50,J50),{0,1,10,100,1000},{0.0,0.164,0.082,0.0576,0.0464}),"MOQ="&amp;L50),"")</f>
        <v>0.055315471045808126</v>
      </c>
      <c r="L50" s="10">
        <v>1</v>
      </c>
      <c r="M50" s="12">
        <f>IFERROR(IF(J50="",F50,J50)*K50,"")</f>
        <v>5.5315</v>
      </c>
      <c r="N50" s="10" t="s">
        <v>162</v>
      </c>
    </row>
    <row r="52" spans="1:14">
      <c r="B52" s="14" t="s">
        <v>172</v>
      </c>
      <c r="C52">
        <v>0.9603380389897245</v>
      </c>
      <c r="G52" s="1" t="s">
        <v>170</v>
      </c>
      <c r="H52" s="5">
        <f>SUM(M52)</f>
        <v>0</v>
      </c>
      <c r="J52" s="6">
        <f>IFERROR(IF(COUNTIF(J7:J50,"&gt;0")&gt;0,COUNTIF(J7:J50,"&gt;0")&amp;" of "&amp;(ROWS(L7:L50)-COUNTBLANK(L7:L50))&amp;" parts purchased",""),"")</f>
        <v/>
      </c>
      <c r="M52" s="5">
        <f>SUMIF(J7:J50,"&gt;0",M7:M50)</f>
        <v>0</v>
      </c>
    </row>
    <row r="53" spans="1:14">
      <c r="G53" s="14" t="s">
        <v>171</v>
      </c>
      <c r="J53" s="15">
        <f>CONCATENATE(J98,J99,J100,J101,J102,J103,J104,J105,J106,J107,J108,J109,J110,J111,J112,J113,J114,J115,J116,J117,J118,J119,J120,J121,J122,J123,J124,J125,J126,J127,J128,J129,J130,J131,J132,J133,J134,J135,J136,J137,J138,J139,J140,J141)</f>
        <v/>
      </c>
    </row>
    <row r="54" spans="1:14">
      <c r="A54" s="2" t="s">
        <v>183</v>
      </c>
    </row>
    <row r="98" spans="10:10" ht="30" hidden="1" customHeight="1">
      <c r="J98" t="str">
        <f t="array" ref="J98:J141">IF(ISNUMBER(J7:J50)*(J7:J50&gt;=L7:L50)*(N7:N50&lt;&gt;""),N7:N50&amp;","&amp;TEXT(ROUNDUP(J7:J50/IF(ISNUMBER(L7:L50),L7:L50,1),0)*L7:L50,"##0")&amp;","&amp;SUBSTITUTE(SUBSTITUTE(IF(PURCHASE_DESCRIPTION&lt;&gt;"",PURCHASE_DESCRIPTION&amp;":","")&amp;A7:A50,",",";"),"
"," ")&amp;CHAR(10),"")</f>
        <v/>
      </c>
    </row>
    <row r="99" spans="10:10" ht="30" hidden="1" customHeight="1">
      <c r="J99">
        <v>0</v>
      </c>
    </row>
    <row r="100" spans="10:10" ht="30" hidden="1" customHeight="1">
      <c r="J100">
        <v>0</v>
      </c>
    </row>
    <row r="101" spans="10:10" ht="30" hidden="1" customHeight="1">
      <c r="J101">
        <v>0</v>
      </c>
    </row>
    <row r="102" spans="10:10" ht="30" hidden="1" customHeight="1">
      <c r="J102">
        <v>0</v>
      </c>
    </row>
    <row r="103" spans="10:10" ht="30" hidden="1" customHeight="1">
      <c r="J103">
        <v>0</v>
      </c>
    </row>
    <row r="104" spans="10:10" ht="30" hidden="1" customHeight="1">
      <c r="J104">
        <v>0</v>
      </c>
    </row>
    <row r="105" spans="10:10" ht="30" hidden="1" customHeight="1">
      <c r="J105">
        <v>0</v>
      </c>
    </row>
    <row r="106" spans="10:10" ht="30" hidden="1" customHeight="1">
      <c r="J106">
        <v>0</v>
      </c>
    </row>
    <row r="107" spans="10:10" ht="30" hidden="1" customHeight="1">
      <c r="J107">
        <v>0</v>
      </c>
    </row>
    <row r="108" spans="10:10" ht="30" hidden="1" customHeight="1">
      <c r="J108">
        <v>0</v>
      </c>
    </row>
    <row r="109" spans="10:10" ht="30" hidden="1" customHeight="1">
      <c r="J109">
        <v>0</v>
      </c>
    </row>
    <row r="110" spans="10:10" ht="30" hidden="1" customHeight="1">
      <c r="J110">
        <v>0</v>
      </c>
    </row>
    <row r="111" spans="10:10" ht="30" hidden="1" customHeight="1">
      <c r="J111">
        <v>0</v>
      </c>
    </row>
    <row r="112" spans="10:10" ht="30" hidden="1" customHeight="1">
      <c r="J112">
        <v>0</v>
      </c>
    </row>
    <row r="113" spans="10:10" ht="30" hidden="1" customHeight="1">
      <c r="J113">
        <v>0</v>
      </c>
    </row>
    <row r="114" spans="10:10" ht="30" hidden="1" customHeight="1">
      <c r="J114">
        <v>0</v>
      </c>
    </row>
    <row r="115" spans="10:10" ht="30" hidden="1" customHeight="1">
      <c r="J115">
        <v>0</v>
      </c>
    </row>
    <row r="116" spans="10:10" ht="30" hidden="1" customHeight="1">
      <c r="J116">
        <v>0</v>
      </c>
    </row>
    <row r="117" spans="10:10" ht="30" hidden="1" customHeight="1">
      <c r="J117">
        <v>0</v>
      </c>
    </row>
    <row r="118" spans="10:10" ht="30" hidden="1" customHeight="1">
      <c r="J118">
        <v>0</v>
      </c>
    </row>
    <row r="119" spans="10:10" ht="30" hidden="1" customHeight="1">
      <c r="J119">
        <v>0</v>
      </c>
    </row>
    <row r="120" spans="10:10" ht="30" hidden="1" customHeight="1">
      <c r="J120">
        <v>0</v>
      </c>
    </row>
    <row r="121" spans="10:10" ht="30" hidden="1" customHeight="1">
      <c r="J121">
        <v>0</v>
      </c>
    </row>
    <row r="122" spans="10:10" ht="30" hidden="1" customHeight="1">
      <c r="J122">
        <v>0</v>
      </c>
    </row>
    <row r="123" spans="10:10" ht="30" hidden="1" customHeight="1">
      <c r="J123">
        <v>0</v>
      </c>
    </row>
    <row r="124" spans="10:10" ht="30" hidden="1" customHeight="1">
      <c r="J124">
        <v>0</v>
      </c>
    </row>
    <row r="125" spans="10:10" ht="30" hidden="1" customHeight="1">
      <c r="J125">
        <v>0</v>
      </c>
    </row>
    <row r="126" spans="10:10" ht="30" hidden="1" customHeight="1">
      <c r="J126">
        <v>0</v>
      </c>
    </row>
    <row r="127" spans="10:10" ht="30" hidden="1" customHeight="1">
      <c r="J127">
        <v>0</v>
      </c>
    </row>
    <row r="128" spans="10:10" ht="30" hidden="1" customHeight="1">
      <c r="J128">
        <v>0</v>
      </c>
    </row>
    <row r="129" spans="10:10" ht="30" hidden="1" customHeight="1">
      <c r="J129">
        <v>0</v>
      </c>
    </row>
    <row r="130" spans="10:10" ht="30" hidden="1" customHeight="1">
      <c r="J130">
        <v>0</v>
      </c>
    </row>
    <row r="131" spans="10:10" ht="30" hidden="1" customHeight="1">
      <c r="J131">
        <v>0</v>
      </c>
    </row>
    <row r="132" spans="10:10" ht="30" hidden="1" customHeight="1">
      <c r="J132">
        <v>0</v>
      </c>
    </row>
    <row r="133" spans="10:10" ht="30" hidden="1" customHeight="1">
      <c r="J133">
        <v>0</v>
      </c>
    </row>
    <row r="134" spans="10:10" ht="30" hidden="1" customHeight="1">
      <c r="J134">
        <v>0</v>
      </c>
    </row>
    <row r="135" spans="10:10" ht="30" hidden="1" customHeight="1">
      <c r="J135">
        <v>0</v>
      </c>
    </row>
    <row r="136" spans="10:10" ht="30" hidden="1" customHeight="1">
      <c r="J136">
        <v>0</v>
      </c>
    </row>
    <row r="137" spans="10:10" ht="30" hidden="1" customHeight="1">
      <c r="J137">
        <v>0</v>
      </c>
    </row>
    <row r="138" spans="10:10" ht="30" hidden="1" customHeight="1">
      <c r="J138">
        <v>0</v>
      </c>
    </row>
    <row r="139" spans="10:10" ht="30" hidden="1" customHeight="1">
      <c r="J139">
        <v>0</v>
      </c>
    </row>
    <row r="140" spans="10:10" ht="30" hidden="1" customHeight="1">
      <c r="J140">
        <v>0</v>
      </c>
    </row>
    <row r="141" spans="10:10" ht="30" hidden="1" customHeight="1">
      <c r="J141">
        <v>0</v>
      </c>
    </row>
  </sheetData>
  <mergeCells count="3">
    <mergeCell ref="A5:H5"/>
    <mergeCell ref="I5:N5"/>
    <mergeCell ref="J53:M97"/>
  </mergeCells>
  <conditionalFormatting sqref="F10">
    <cfRule type="expression" dxfId="2" priority="95">
      <formula>AND(ISBLANK(E10),ISBLANK(M10))</formula>
    </cfRule>
    <cfRule type="expression" dxfId="1" priority="96">
      <formula>IF(SUM(I10)=0,1,0)</formula>
    </cfRule>
    <cfRule type="cellIs" dxfId="0" priority="97" operator="greaterThan">
      <formula>SUM(I10)</formula>
    </cfRule>
    <cfRule type="cellIs" dxfId="3" priority="98" operator="greaterThan">
      <formula>SUM(IF(ISNUMBER(K10),J10,0))</formula>
    </cfRule>
  </conditionalFormatting>
  <conditionalFormatting sqref="F11">
    <cfRule type="expression" dxfId="2" priority="99">
      <formula>AND(ISBLANK(E11),ISBLANK(M11))</formula>
    </cfRule>
    <cfRule type="expression" dxfId="1" priority="100">
      <formula>IF(SUM(I11)=0,1,0)</formula>
    </cfRule>
    <cfRule type="cellIs" dxfId="0" priority="101" operator="greaterThan">
      <formula>SUM(I11)</formula>
    </cfRule>
    <cfRule type="cellIs" dxfId="3" priority="102" operator="greaterThan">
      <formula>SUM(IF(ISNUMBER(K11),J11,0))</formula>
    </cfRule>
  </conditionalFormatting>
  <conditionalFormatting sqref="F12">
    <cfRule type="expression" dxfId="2" priority="103">
      <formula>AND(ISBLANK(E12),ISBLANK(M12))</formula>
    </cfRule>
    <cfRule type="expression" dxfId="1" priority="104">
      <formula>IF(SUM(I12)=0,1,0)</formula>
    </cfRule>
    <cfRule type="cellIs" dxfId="0" priority="105" operator="greaterThan">
      <formula>SUM(I12)</formula>
    </cfRule>
    <cfRule type="cellIs" dxfId="3" priority="106" operator="greaterThan">
      <formula>SUM(IF(ISNUMBER(K12),J12,0))</formula>
    </cfRule>
  </conditionalFormatting>
  <conditionalFormatting sqref="F13">
    <cfRule type="expression" dxfId="2" priority="107">
      <formula>AND(ISBLANK(E13),ISBLANK(M13))</formula>
    </cfRule>
    <cfRule type="expression" dxfId="1" priority="108">
      <formula>IF(SUM(I13)=0,1,0)</formula>
    </cfRule>
    <cfRule type="cellIs" dxfId="0" priority="109" operator="greaterThan">
      <formula>SUM(I13)</formula>
    </cfRule>
    <cfRule type="cellIs" dxfId="3" priority="110" operator="greaterThan">
      <formula>SUM(IF(ISNUMBER(K13),J13,0))</formula>
    </cfRule>
  </conditionalFormatting>
  <conditionalFormatting sqref="F14">
    <cfRule type="expression" dxfId="2" priority="111">
      <formula>AND(ISBLANK(E14),ISBLANK(M14))</formula>
    </cfRule>
    <cfRule type="expression" dxfId="1" priority="112">
      <formula>IF(SUM(I14)=0,1,0)</formula>
    </cfRule>
    <cfRule type="cellIs" dxfId="0" priority="113" operator="greaterThan">
      <formula>SUM(I14)</formula>
    </cfRule>
    <cfRule type="cellIs" dxfId="3" priority="114" operator="greaterThan">
      <formula>SUM(IF(ISNUMBER(K14),J14,0))</formula>
    </cfRule>
  </conditionalFormatting>
  <conditionalFormatting sqref="F15">
    <cfRule type="expression" dxfId="2" priority="115">
      <formula>AND(ISBLANK(E15),ISBLANK(M15))</formula>
    </cfRule>
    <cfRule type="expression" dxfId="1" priority="116">
      <formula>IF(SUM(I15)=0,1,0)</formula>
    </cfRule>
    <cfRule type="cellIs" dxfId="0" priority="117" operator="greaterThan">
      <formula>SUM(I15)</formula>
    </cfRule>
    <cfRule type="cellIs" dxfId="3" priority="118" operator="greaterThan">
      <formula>SUM(IF(ISNUMBER(K15),J15,0))</formula>
    </cfRule>
  </conditionalFormatting>
  <conditionalFormatting sqref="F16">
    <cfRule type="expression" dxfId="2" priority="119">
      <formula>AND(ISBLANK(E16),ISBLANK(M16))</formula>
    </cfRule>
    <cfRule type="expression" dxfId="1" priority="120">
      <formula>IF(SUM(I16)=0,1,0)</formula>
    </cfRule>
    <cfRule type="cellIs" dxfId="0" priority="121" operator="greaterThan">
      <formula>SUM(I16)</formula>
    </cfRule>
    <cfRule type="cellIs" dxfId="3" priority="122" operator="greaterThan">
      <formula>SUM(IF(ISNUMBER(K16),J16,0))</formula>
    </cfRule>
  </conditionalFormatting>
  <conditionalFormatting sqref="F17">
    <cfRule type="expression" dxfId="2" priority="123">
      <formula>AND(ISBLANK(E17),ISBLANK(M17))</formula>
    </cfRule>
    <cfRule type="expression" dxfId="1" priority="124">
      <formula>IF(SUM(I17)=0,1,0)</formula>
    </cfRule>
    <cfRule type="cellIs" dxfId="0" priority="125" operator="greaterThan">
      <formula>SUM(I17)</formula>
    </cfRule>
    <cfRule type="cellIs" dxfId="3" priority="126" operator="greaterThan">
      <formula>SUM(IF(ISNUMBER(K17),J17,0))</formula>
    </cfRule>
  </conditionalFormatting>
  <conditionalFormatting sqref="F18">
    <cfRule type="expression" dxfId="2" priority="127">
      <formula>AND(ISBLANK(E18),ISBLANK(M18))</formula>
    </cfRule>
    <cfRule type="expression" dxfId="1" priority="128">
      <formula>IF(SUM(I18)=0,1,0)</formula>
    </cfRule>
    <cfRule type="cellIs" dxfId="0" priority="129" operator="greaterThan">
      <formula>SUM(I18)</formula>
    </cfRule>
    <cfRule type="cellIs" dxfId="3" priority="130" operator="greaterThan">
      <formula>SUM(IF(ISNUMBER(K18),J18,0))</formula>
    </cfRule>
  </conditionalFormatting>
  <conditionalFormatting sqref="F19">
    <cfRule type="expression" dxfId="2" priority="131">
      <formula>AND(ISBLANK(E19),ISBLANK(M19))</formula>
    </cfRule>
    <cfRule type="expression" dxfId="1" priority="132">
      <formula>IF(SUM(I19)=0,1,0)</formula>
    </cfRule>
    <cfRule type="cellIs" dxfId="0" priority="133" operator="greaterThan">
      <formula>SUM(I19)</formula>
    </cfRule>
    <cfRule type="cellIs" dxfId="3" priority="134" operator="greaterThan">
      <formula>SUM(IF(ISNUMBER(K19),J19,0))</formula>
    </cfRule>
  </conditionalFormatting>
  <conditionalFormatting sqref="F20">
    <cfRule type="expression" dxfId="2" priority="135">
      <formula>AND(ISBLANK(E20),ISBLANK(M20))</formula>
    </cfRule>
    <cfRule type="expression" dxfId="1" priority="136">
      <formula>IF(SUM(I20)=0,1,0)</formula>
    </cfRule>
    <cfRule type="cellIs" dxfId="0" priority="137" operator="greaterThan">
      <formula>SUM(I20)</formula>
    </cfRule>
    <cfRule type="cellIs" dxfId="3" priority="138" operator="greaterThan">
      <formula>SUM(IF(ISNUMBER(K20),J20,0))</formula>
    </cfRule>
  </conditionalFormatting>
  <conditionalFormatting sqref="F21">
    <cfRule type="expression" dxfId="2" priority="139">
      <formula>AND(ISBLANK(E21),ISBLANK(M21))</formula>
    </cfRule>
    <cfRule type="expression" dxfId="1" priority="140">
      <formula>IF(SUM(I21)=0,1,0)</formula>
    </cfRule>
    <cfRule type="cellIs" dxfId="0" priority="141" operator="greaterThan">
      <formula>SUM(I21)</formula>
    </cfRule>
    <cfRule type="cellIs" dxfId="3" priority="142" operator="greaterThan">
      <formula>SUM(IF(ISNUMBER(K21),J21,0))</formula>
    </cfRule>
  </conditionalFormatting>
  <conditionalFormatting sqref="F22">
    <cfRule type="expression" dxfId="2" priority="143">
      <formula>AND(ISBLANK(E22),ISBLANK(M22))</formula>
    </cfRule>
    <cfRule type="expression" dxfId="1" priority="144">
      <formula>IF(SUM(I22)=0,1,0)</formula>
    </cfRule>
    <cfRule type="cellIs" dxfId="0" priority="145" operator="greaterThan">
      <formula>SUM(I22)</formula>
    </cfRule>
    <cfRule type="cellIs" dxfId="3" priority="146" operator="greaterThan">
      <formula>SUM(IF(ISNUMBER(K22),J22,0))</formula>
    </cfRule>
  </conditionalFormatting>
  <conditionalFormatting sqref="F23">
    <cfRule type="expression" dxfId="2" priority="147">
      <formula>AND(ISBLANK(E23),ISBLANK(M23))</formula>
    </cfRule>
    <cfRule type="expression" dxfId="1" priority="148">
      <formula>IF(SUM(I23)=0,1,0)</formula>
    </cfRule>
    <cfRule type="cellIs" dxfId="0" priority="149" operator="greaterThan">
      <formula>SUM(I23)</formula>
    </cfRule>
    <cfRule type="cellIs" dxfId="3" priority="150" operator="greaterThan">
      <formula>SUM(IF(ISNUMBER(K23),J23,0))</formula>
    </cfRule>
  </conditionalFormatting>
  <conditionalFormatting sqref="F24">
    <cfRule type="expression" dxfId="2" priority="151">
      <formula>AND(ISBLANK(E24),ISBLANK(M24))</formula>
    </cfRule>
    <cfRule type="expression" dxfId="1" priority="152">
      <formula>IF(SUM(I24)=0,1,0)</formula>
    </cfRule>
    <cfRule type="cellIs" dxfId="0" priority="153" operator="greaterThan">
      <formula>SUM(I24)</formula>
    </cfRule>
    <cfRule type="cellIs" dxfId="3" priority="154" operator="greaterThan">
      <formula>SUM(IF(ISNUMBER(K24),J24,0))</formula>
    </cfRule>
  </conditionalFormatting>
  <conditionalFormatting sqref="F25">
    <cfRule type="expression" dxfId="2" priority="155">
      <formula>AND(ISBLANK(E25),ISBLANK(M25))</formula>
    </cfRule>
    <cfRule type="expression" dxfId="1" priority="156">
      <formula>IF(SUM(I25)=0,1,0)</formula>
    </cfRule>
    <cfRule type="cellIs" dxfId="0" priority="157" operator="greaterThan">
      <formula>SUM(I25)</formula>
    </cfRule>
    <cfRule type="cellIs" dxfId="3" priority="158" operator="greaterThan">
      <formula>SUM(IF(ISNUMBER(K25),J25,0))</formula>
    </cfRule>
  </conditionalFormatting>
  <conditionalFormatting sqref="F26">
    <cfRule type="expression" dxfId="2" priority="159">
      <formula>AND(ISBLANK(E26),ISBLANK(M26))</formula>
    </cfRule>
    <cfRule type="expression" dxfId="1" priority="160">
      <formula>IF(SUM(I26)=0,1,0)</formula>
    </cfRule>
    <cfRule type="cellIs" dxfId="0" priority="161" operator="greaterThan">
      <formula>SUM(I26)</formula>
    </cfRule>
    <cfRule type="cellIs" dxfId="3" priority="162" operator="greaterThan">
      <formula>SUM(IF(ISNUMBER(K26),J26,0))</formula>
    </cfRule>
  </conditionalFormatting>
  <conditionalFormatting sqref="F27">
    <cfRule type="expression" dxfId="2" priority="163">
      <formula>AND(ISBLANK(E27),ISBLANK(M27))</formula>
    </cfRule>
    <cfRule type="expression" dxfId="1" priority="164">
      <formula>IF(SUM(I27)=0,1,0)</formula>
    </cfRule>
    <cfRule type="cellIs" dxfId="0" priority="165" operator="greaterThan">
      <formula>SUM(I27)</formula>
    </cfRule>
    <cfRule type="cellIs" dxfId="3" priority="166" operator="greaterThan">
      <formula>SUM(IF(ISNUMBER(K27),J27,0))</formula>
    </cfRule>
  </conditionalFormatting>
  <conditionalFormatting sqref="F28">
    <cfRule type="expression" dxfId="2" priority="167">
      <formula>AND(ISBLANK(E28),ISBLANK(M28))</formula>
    </cfRule>
    <cfRule type="expression" dxfId="1" priority="168">
      <formula>IF(SUM(I28)=0,1,0)</formula>
    </cfRule>
    <cfRule type="cellIs" dxfId="0" priority="169" operator="greaterThan">
      <formula>SUM(I28)</formula>
    </cfRule>
    <cfRule type="cellIs" dxfId="3" priority="170" operator="greaterThan">
      <formula>SUM(IF(ISNUMBER(K28),J28,0))</formula>
    </cfRule>
  </conditionalFormatting>
  <conditionalFormatting sqref="F29">
    <cfRule type="expression" dxfId="2" priority="171">
      <formula>AND(ISBLANK(E29),ISBLANK(M29))</formula>
    </cfRule>
    <cfRule type="expression" dxfId="1" priority="172">
      <formula>IF(SUM(I29)=0,1,0)</formula>
    </cfRule>
    <cfRule type="cellIs" dxfId="0" priority="173" operator="greaterThan">
      <formula>SUM(I29)</formula>
    </cfRule>
    <cfRule type="cellIs" dxfId="3" priority="174" operator="greaterThan">
      <formula>SUM(IF(ISNUMBER(K29),J29,0))</formula>
    </cfRule>
  </conditionalFormatting>
  <conditionalFormatting sqref="F30">
    <cfRule type="expression" dxfId="2" priority="175">
      <formula>AND(ISBLANK(E30),ISBLANK(M30))</formula>
    </cfRule>
    <cfRule type="expression" dxfId="1" priority="176">
      <formula>IF(SUM(I30)=0,1,0)</formula>
    </cfRule>
    <cfRule type="cellIs" dxfId="0" priority="177" operator="greaterThan">
      <formula>SUM(I30)</formula>
    </cfRule>
    <cfRule type="cellIs" dxfId="3" priority="178" operator="greaterThan">
      <formula>SUM(IF(ISNUMBER(K30),J30,0))</formula>
    </cfRule>
  </conditionalFormatting>
  <conditionalFormatting sqref="F31">
    <cfRule type="expression" dxfId="2" priority="179">
      <formula>AND(ISBLANK(E31),ISBLANK(M31))</formula>
    </cfRule>
    <cfRule type="expression" dxfId="1" priority="180">
      <formula>IF(SUM(I31)=0,1,0)</formula>
    </cfRule>
    <cfRule type="cellIs" dxfId="0" priority="181" operator="greaterThan">
      <formula>SUM(I31)</formula>
    </cfRule>
    <cfRule type="cellIs" dxfId="3" priority="182" operator="greaterThan">
      <formula>SUM(IF(ISNUMBER(K31),J31,0))</formula>
    </cfRule>
  </conditionalFormatting>
  <conditionalFormatting sqref="F32">
    <cfRule type="expression" dxfId="2" priority="183">
      <formula>AND(ISBLANK(E32),ISBLANK(M32))</formula>
    </cfRule>
    <cfRule type="expression" dxfId="1" priority="184">
      <formula>IF(SUM(I32)=0,1,0)</formula>
    </cfRule>
    <cfRule type="cellIs" dxfId="0" priority="185" operator="greaterThan">
      <formula>SUM(I32)</formula>
    </cfRule>
    <cfRule type="cellIs" dxfId="3" priority="186" operator="greaterThan">
      <formula>SUM(IF(ISNUMBER(K32),J32,0))</formula>
    </cfRule>
  </conditionalFormatting>
  <conditionalFormatting sqref="F33">
    <cfRule type="expression" dxfId="2" priority="187">
      <formula>AND(ISBLANK(E33),ISBLANK(M33))</formula>
    </cfRule>
    <cfRule type="expression" dxfId="1" priority="188">
      <formula>IF(SUM(I33)=0,1,0)</formula>
    </cfRule>
    <cfRule type="cellIs" dxfId="0" priority="189" operator="greaterThan">
      <formula>SUM(I33)</formula>
    </cfRule>
    <cfRule type="cellIs" dxfId="3" priority="190" operator="greaterThan">
      <formula>SUM(IF(ISNUMBER(K33),J33,0))</formula>
    </cfRule>
  </conditionalFormatting>
  <conditionalFormatting sqref="F34">
    <cfRule type="expression" dxfId="2" priority="191">
      <formula>AND(ISBLANK(E34),ISBLANK(M34))</formula>
    </cfRule>
    <cfRule type="expression" dxfId="1" priority="192">
      <formula>IF(SUM(I34)=0,1,0)</formula>
    </cfRule>
    <cfRule type="cellIs" dxfId="0" priority="193" operator="greaterThan">
      <formula>SUM(I34)</formula>
    </cfRule>
    <cfRule type="cellIs" dxfId="3" priority="194" operator="greaterThan">
      <formula>SUM(IF(ISNUMBER(K34),J34,0))</formula>
    </cfRule>
  </conditionalFormatting>
  <conditionalFormatting sqref="F35">
    <cfRule type="expression" dxfId="2" priority="195">
      <formula>AND(ISBLANK(E35),ISBLANK(M35))</formula>
    </cfRule>
    <cfRule type="expression" dxfId="1" priority="196">
      <formula>IF(SUM(I35)=0,1,0)</formula>
    </cfRule>
    <cfRule type="cellIs" dxfId="0" priority="197" operator="greaterThan">
      <formula>SUM(I35)</formula>
    </cfRule>
    <cfRule type="cellIs" dxfId="3" priority="198" operator="greaterThan">
      <formula>SUM(IF(ISNUMBER(K35),J35,0))</formula>
    </cfRule>
  </conditionalFormatting>
  <conditionalFormatting sqref="F36">
    <cfRule type="expression" dxfId="2" priority="199">
      <formula>AND(ISBLANK(E36),ISBLANK(M36))</formula>
    </cfRule>
    <cfRule type="expression" dxfId="1" priority="200">
      <formula>IF(SUM(I36)=0,1,0)</formula>
    </cfRule>
    <cfRule type="cellIs" dxfId="0" priority="201" operator="greaterThan">
      <formula>SUM(I36)</formula>
    </cfRule>
    <cfRule type="cellIs" dxfId="3" priority="202" operator="greaterThan">
      <formula>SUM(IF(ISNUMBER(K36),J36,0))</formula>
    </cfRule>
  </conditionalFormatting>
  <conditionalFormatting sqref="F37">
    <cfRule type="expression" dxfId="2" priority="203">
      <formula>AND(ISBLANK(E37),ISBLANK(M37))</formula>
    </cfRule>
    <cfRule type="expression" dxfId="1" priority="204">
      <formula>IF(SUM(I37)=0,1,0)</formula>
    </cfRule>
    <cfRule type="cellIs" dxfId="0" priority="205" operator="greaterThan">
      <formula>SUM(I37)</formula>
    </cfRule>
    <cfRule type="cellIs" dxfId="3" priority="206" operator="greaterThan">
      <formula>SUM(IF(ISNUMBER(K37),J37,0))</formula>
    </cfRule>
  </conditionalFormatting>
  <conditionalFormatting sqref="F38">
    <cfRule type="expression" dxfId="2" priority="207">
      <formula>AND(ISBLANK(E38),ISBLANK(M38))</formula>
    </cfRule>
    <cfRule type="expression" dxfId="1" priority="208">
      <formula>IF(SUM(I38)=0,1,0)</formula>
    </cfRule>
    <cfRule type="cellIs" dxfId="0" priority="209" operator="greaterThan">
      <formula>SUM(I38)</formula>
    </cfRule>
    <cfRule type="cellIs" dxfId="3" priority="210" operator="greaterThan">
      <formula>SUM(IF(ISNUMBER(K38),J38,0))</formula>
    </cfRule>
  </conditionalFormatting>
  <conditionalFormatting sqref="F39">
    <cfRule type="expression" dxfId="2" priority="211">
      <formula>AND(ISBLANK(E39),ISBLANK(M39))</formula>
    </cfRule>
    <cfRule type="expression" dxfId="1" priority="212">
      <formula>IF(SUM(I39)=0,1,0)</formula>
    </cfRule>
    <cfRule type="cellIs" dxfId="0" priority="213" operator="greaterThan">
      <formula>SUM(I39)</formula>
    </cfRule>
    <cfRule type="cellIs" dxfId="3" priority="214" operator="greaterThan">
      <formula>SUM(IF(ISNUMBER(K39),J39,0))</formula>
    </cfRule>
  </conditionalFormatting>
  <conditionalFormatting sqref="F40">
    <cfRule type="expression" dxfId="2" priority="215">
      <formula>AND(ISBLANK(E40),ISBLANK(M40))</formula>
    </cfRule>
    <cfRule type="expression" dxfId="1" priority="216">
      <formula>IF(SUM(I40)=0,1,0)</formula>
    </cfRule>
    <cfRule type="cellIs" dxfId="0" priority="217" operator="greaterThan">
      <formula>SUM(I40)</formula>
    </cfRule>
    <cfRule type="cellIs" dxfId="3" priority="218" operator="greaterThan">
      <formula>SUM(IF(ISNUMBER(K40),J40,0))</formula>
    </cfRule>
  </conditionalFormatting>
  <conditionalFormatting sqref="F41">
    <cfRule type="expression" dxfId="2" priority="219">
      <formula>AND(ISBLANK(E41),ISBLANK(M41))</formula>
    </cfRule>
    <cfRule type="expression" dxfId="1" priority="220">
      <formula>IF(SUM(I41)=0,1,0)</formula>
    </cfRule>
    <cfRule type="cellIs" dxfId="0" priority="221" operator="greaterThan">
      <formula>SUM(I41)</formula>
    </cfRule>
    <cfRule type="cellIs" dxfId="3" priority="222" operator="greaterThan">
      <formula>SUM(IF(ISNUMBER(K41),J41,0))</formula>
    </cfRule>
  </conditionalFormatting>
  <conditionalFormatting sqref="F42">
    <cfRule type="expression" dxfId="2" priority="223">
      <formula>AND(ISBLANK(E42),ISBLANK(M42))</formula>
    </cfRule>
    <cfRule type="expression" dxfId="1" priority="224">
      <formula>IF(SUM(I42)=0,1,0)</formula>
    </cfRule>
    <cfRule type="cellIs" dxfId="0" priority="225" operator="greaterThan">
      <formula>SUM(I42)</formula>
    </cfRule>
    <cfRule type="cellIs" dxfId="3" priority="226" operator="greaterThan">
      <formula>SUM(IF(ISNUMBER(K42),J42,0))</formula>
    </cfRule>
  </conditionalFormatting>
  <conditionalFormatting sqref="F43">
    <cfRule type="expression" dxfId="2" priority="227">
      <formula>AND(ISBLANK(E43),ISBLANK(M43))</formula>
    </cfRule>
    <cfRule type="expression" dxfId="1" priority="228">
      <formula>IF(SUM(I43)=0,1,0)</formula>
    </cfRule>
    <cfRule type="cellIs" dxfId="0" priority="229" operator="greaterThan">
      <formula>SUM(I43)</formula>
    </cfRule>
    <cfRule type="cellIs" dxfId="3" priority="230" operator="greaterThan">
      <formula>SUM(IF(ISNUMBER(K43),J43,0))</formula>
    </cfRule>
  </conditionalFormatting>
  <conditionalFormatting sqref="F44">
    <cfRule type="expression" dxfId="2" priority="231">
      <formula>AND(ISBLANK(E44),ISBLANK(M44))</formula>
    </cfRule>
    <cfRule type="expression" dxfId="1" priority="232">
      <formula>IF(SUM(I44)=0,1,0)</formula>
    </cfRule>
    <cfRule type="cellIs" dxfId="0" priority="233" operator="greaterThan">
      <formula>SUM(I44)</formula>
    </cfRule>
    <cfRule type="cellIs" dxfId="3" priority="234" operator="greaterThan">
      <formula>SUM(IF(ISNUMBER(K44),J44,0))</formula>
    </cfRule>
  </conditionalFormatting>
  <conditionalFormatting sqref="F45">
    <cfRule type="expression" dxfId="2" priority="235">
      <formula>AND(ISBLANK(E45),ISBLANK(M45))</formula>
    </cfRule>
    <cfRule type="expression" dxfId="1" priority="236">
      <formula>IF(SUM(I45)=0,1,0)</formula>
    </cfRule>
    <cfRule type="cellIs" dxfId="0" priority="237" operator="greaterThan">
      <formula>SUM(I45)</formula>
    </cfRule>
    <cfRule type="cellIs" dxfId="3" priority="238" operator="greaterThan">
      <formula>SUM(IF(ISNUMBER(K45),J45,0))</formula>
    </cfRule>
  </conditionalFormatting>
  <conditionalFormatting sqref="F46">
    <cfRule type="expression" dxfId="2" priority="239">
      <formula>AND(ISBLANK(E46),ISBLANK(M46))</formula>
    </cfRule>
    <cfRule type="expression" dxfId="1" priority="240">
      <formula>IF(SUM(I46)=0,1,0)</formula>
    </cfRule>
    <cfRule type="cellIs" dxfId="0" priority="241" operator="greaterThan">
      <formula>SUM(I46)</formula>
    </cfRule>
    <cfRule type="cellIs" dxfId="3" priority="242" operator="greaterThan">
      <formula>SUM(IF(ISNUMBER(K46),J46,0))</formula>
    </cfRule>
  </conditionalFormatting>
  <conditionalFormatting sqref="F47">
    <cfRule type="expression" dxfId="2" priority="243">
      <formula>AND(ISBLANK(E47),ISBLANK(M47))</formula>
    </cfRule>
    <cfRule type="expression" dxfId="1" priority="244">
      <formula>IF(SUM(I47)=0,1,0)</formula>
    </cfRule>
    <cfRule type="cellIs" dxfId="0" priority="245" operator="greaterThan">
      <formula>SUM(I47)</formula>
    </cfRule>
    <cfRule type="cellIs" dxfId="3" priority="246" operator="greaterThan">
      <formula>SUM(IF(ISNUMBER(K47),J47,0))</formula>
    </cfRule>
  </conditionalFormatting>
  <conditionalFormatting sqref="F48">
    <cfRule type="expression" dxfId="2" priority="247">
      <formula>AND(ISBLANK(E48),ISBLANK(M48))</formula>
    </cfRule>
    <cfRule type="expression" dxfId="1" priority="248">
      <formula>IF(SUM(I48)=0,1,0)</formula>
    </cfRule>
    <cfRule type="cellIs" dxfId="0" priority="249" operator="greaterThan">
      <formula>SUM(I48)</formula>
    </cfRule>
    <cfRule type="cellIs" dxfId="3" priority="250" operator="greaterThan">
      <formula>SUM(IF(ISNUMBER(K48),J48,0))</formula>
    </cfRule>
  </conditionalFormatting>
  <conditionalFormatting sqref="F49">
    <cfRule type="expression" dxfId="2" priority="251">
      <formula>AND(ISBLANK(E49),ISBLANK(M49))</formula>
    </cfRule>
    <cfRule type="expression" dxfId="1" priority="252">
      <formula>IF(SUM(I49)=0,1,0)</formula>
    </cfRule>
    <cfRule type="cellIs" dxfId="0" priority="253" operator="greaterThan">
      <formula>SUM(I49)</formula>
    </cfRule>
    <cfRule type="cellIs" dxfId="3" priority="254" operator="greaterThan">
      <formula>SUM(IF(ISNUMBER(K49),J49,0))</formula>
    </cfRule>
  </conditionalFormatting>
  <conditionalFormatting sqref="F50">
    <cfRule type="expression" dxfId="2" priority="255">
      <formula>AND(ISBLANK(E50),ISBLANK(M50))</formula>
    </cfRule>
    <cfRule type="expression" dxfId="1" priority="256">
      <formula>IF(SUM(I50)=0,1,0)</formula>
    </cfRule>
    <cfRule type="cellIs" dxfId="0" priority="257" operator="greaterThan">
      <formula>SUM(I50)</formula>
    </cfRule>
    <cfRule type="cellIs" dxfId="3" priority="258" operator="greaterThan">
      <formula>SUM(IF(ISNUMBER(K50),J50,0))</formula>
    </cfRule>
  </conditionalFormatting>
  <conditionalFormatting sqref="F7">
    <cfRule type="expression" dxfId="2" priority="83">
      <formula>AND(ISBLANK(E7),ISBLANK(M7))</formula>
    </cfRule>
    <cfRule type="expression" dxfId="1" priority="84">
      <formula>IF(SUM(I7)=0,1,0)</formula>
    </cfRule>
    <cfRule type="cellIs" dxfId="0" priority="85" operator="greaterThan">
      <formula>SUM(I7)</formula>
    </cfRule>
    <cfRule type="cellIs" dxfId="3" priority="86" operator="greaterThan">
      <formula>SUM(IF(ISNUMBER(K7),J7,0))</formula>
    </cfRule>
  </conditionalFormatting>
  <conditionalFormatting sqref="F8">
    <cfRule type="expression" dxfId="2" priority="87">
      <formula>AND(ISBLANK(E8),ISBLANK(M8))</formula>
    </cfRule>
    <cfRule type="expression" dxfId="1" priority="88">
      <formula>IF(SUM(I8)=0,1,0)</formula>
    </cfRule>
    <cfRule type="cellIs" dxfId="0" priority="89" operator="greaterThan">
      <formula>SUM(I8)</formula>
    </cfRule>
    <cfRule type="cellIs" dxfId="3" priority="90" operator="greaterThan">
      <formula>SUM(IF(ISNUMBER(K8),J8,0))</formula>
    </cfRule>
  </conditionalFormatting>
  <conditionalFormatting sqref="F9">
    <cfRule type="expression" dxfId="2" priority="91">
      <formula>AND(ISBLANK(E9),ISBLANK(M9))</formula>
    </cfRule>
    <cfRule type="expression" dxfId="1" priority="92">
      <formula>IF(SUM(I9)=0,1,0)</formula>
    </cfRule>
    <cfRule type="cellIs" dxfId="0" priority="93" operator="greaterThan">
      <formula>SUM(I9)</formula>
    </cfRule>
    <cfRule type="cellIs" dxfId="3" priority="94" operator="greaterThan">
      <formula>SUM(IF(ISNUMBER(K9),J9,0))</formula>
    </cfRule>
  </conditionalFormatting>
  <conditionalFormatting sqref="I10">
    <cfRule type="cellIs" dxfId="0" priority="5" operator="lessThan">
      <formula>F10</formula>
    </cfRule>
  </conditionalFormatting>
  <conditionalFormatting sqref="I11">
    <cfRule type="cellIs" dxfId="0" priority="7" operator="lessThan">
      <formula>F11</formula>
    </cfRule>
  </conditionalFormatting>
  <conditionalFormatting sqref="I12">
    <cfRule type="cellIs" dxfId="0" priority="9" operator="lessThan">
      <formula>F12</formula>
    </cfRule>
  </conditionalFormatting>
  <conditionalFormatting sqref="I13">
    <cfRule type="cellIs" dxfId="0" priority="11" operator="lessThan">
      <formula>F13</formula>
    </cfRule>
  </conditionalFormatting>
  <conditionalFormatting sqref="I14">
    <cfRule type="cellIs" dxfId="0" priority="13" operator="lessThan">
      <formula>F14</formula>
    </cfRule>
  </conditionalFormatting>
  <conditionalFormatting sqref="I15">
    <cfRule type="cellIs" dxfId="0" priority="15" operator="lessThan">
      <formula>F15</formula>
    </cfRule>
  </conditionalFormatting>
  <conditionalFormatting sqref="I16">
    <cfRule type="cellIs" dxfId="0" priority="17" operator="lessThan">
      <formula>F16</formula>
    </cfRule>
  </conditionalFormatting>
  <conditionalFormatting sqref="I17">
    <cfRule type="cellIs" dxfId="0" priority="19" operator="lessThan">
      <formula>F17</formula>
    </cfRule>
  </conditionalFormatting>
  <conditionalFormatting sqref="I18">
    <cfRule type="cellIs" dxfId="0" priority="21" operator="lessThan">
      <formula>F18</formula>
    </cfRule>
  </conditionalFormatting>
  <conditionalFormatting sqref="I19">
    <cfRule type="cellIs" dxfId="0" priority="23" operator="lessThan">
      <formula>F19</formula>
    </cfRule>
  </conditionalFormatting>
  <conditionalFormatting sqref="I21">
    <cfRule type="cellIs" dxfId="0" priority="25" operator="lessThan">
      <formula>F21</formula>
    </cfRule>
  </conditionalFormatting>
  <conditionalFormatting sqref="I22">
    <cfRule type="cellIs" dxfId="0" priority="27" operator="lessThan">
      <formula>F22</formula>
    </cfRule>
  </conditionalFormatting>
  <conditionalFormatting sqref="I23">
    <cfRule type="cellIs" dxfId="0" priority="29" operator="lessThan">
      <formula>F23</formula>
    </cfRule>
  </conditionalFormatting>
  <conditionalFormatting sqref="I24">
    <cfRule type="cellIs" dxfId="0" priority="31" operator="lessThan">
      <formula>F24</formula>
    </cfRule>
  </conditionalFormatting>
  <conditionalFormatting sqref="I25">
    <cfRule type="cellIs" dxfId="0" priority="33" operator="lessThan">
      <formula>F25</formula>
    </cfRule>
  </conditionalFormatting>
  <conditionalFormatting sqref="I26">
    <cfRule type="cellIs" dxfId="0" priority="35" operator="lessThan">
      <formula>F26</formula>
    </cfRule>
  </conditionalFormatting>
  <conditionalFormatting sqref="I27">
    <cfRule type="cellIs" dxfId="0" priority="37" operator="lessThan">
      <formula>F27</formula>
    </cfRule>
  </conditionalFormatting>
  <conditionalFormatting sqref="I28">
    <cfRule type="cellIs" dxfId="0" priority="39" operator="lessThan">
      <formula>F28</formula>
    </cfRule>
  </conditionalFormatting>
  <conditionalFormatting sqref="I29">
    <cfRule type="cellIs" dxfId="0" priority="41" operator="lessThan">
      <formula>F29</formula>
    </cfRule>
  </conditionalFormatting>
  <conditionalFormatting sqref="I30">
    <cfRule type="cellIs" dxfId="0" priority="43" operator="lessThan">
      <formula>F30</formula>
    </cfRule>
  </conditionalFormatting>
  <conditionalFormatting sqref="I31">
    <cfRule type="cellIs" dxfId="0" priority="45" operator="lessThan">
      <formula>F31</formula>
    </cfRule>
  </conditionalFormatting>
  <conditionalFormatting sqref="I32">
    <cfRule type="cellIs" dxfId="0" priority="47" operator="lessThan">
      <formula>F32</formula>
    </cfRule>
  </conditionalFormatting>
  <conditionalFormatting sqref="I33">
    <cfRule type="cellIs" dxfId="0" priority="49" operator="lessThan">
      <formula>F33</formula>
    </cfRule>
  </conditionalFormatting>
  <conditionalFormatting sqref="I34">
    <cfRule type="cellIs" dxfId="0" priority="51" operator="lessThan">
      <formula>F34</formula>
    </cfRule>
  </conditionalFormatting>
  <conditionalFormatting sqref="I35">
    <cfRule type="cellIs" dxfId="0" priority="53" operator="lessThan">
      <formula>F35</formula>
    </cfRule>
  </conditionalFormatting>
  <conditionalFormatting sqref="I36">
    <cfRule type="cellIs" dxfId="0" priority="55" operator="lessThan">
      <formula>F36</formula>
    </cfRule>
  </conditionalFormatting>
  <conditionalFormatting sqref="I37">
    <cfRule type="cellIs" dxfId="0" priority="57" operator="lessThan">
      <formula>F37</formula>
    </cfRule>
  </conditionalFormatting>
  <conditionalFormatting sqref="I38">
    <cfRule type="cellIs" dxfId="0" priority="59" operator="lessThan">
      <formula>F38</formula>
    </cfRule>
  </conditionalFormatting>
  <conditionalFormatting sqref="I39">
    <cfRule type="cellIs" dxfId="0" priority="61" operator="lessThan">
      <formula>F39</formula>
    </cfRule>
  </conditionalFormatting>
  <conditionalFormatting sqref="I40">
    <cfRule type="cellIs" dxfId="0" priority="63" operator="lessThan">
      <formula>F40</formula>
    </cfRule>
  </conditionalFormatting>
  <conditionalFormatting sqref="I41">
    <cfRule type="cellIs" dxfId="0" priority="65" operator="lessThan">
      <formula>F41</formula>
    </cfRule>
  </conditionalFormatting>
  <conditionalFormatting sqref="I43">
    <cfRule type="cellIs" dxfId="0" priority="67" operator="lessThan">
      <formula>F43</formula>
    </cfRule>
  </conditionalFormatting>
  <conditionalFormatting sqref="I44">
    <cfRule type="cellIs" dxfId="0" priority="69" operator="lessThan">
      <formula>F44</formula>
    </cfRule>
  </conditionalFormatting>
  <conditionalFormatting sqref="I45">
    <cfRule type="cellIs" dxfId="0" priority="71" operator="lessThan">
      <formula>F45</formula>
    </cfRule>
  </conditionalFormatting>
  <conditionalFormatting sqref="I46">
    <cfRule type="cellIs" dxfId="0" priority="73" operator="lessThan">
      <formula>F46</formula>
    </cfRule>
  </conditionalFormatting>
  <conditionalFormatting sqref="I47">
    <cfRule type="cellIs" dxfId="0" priority="75" operator="lessThan">
      <formula>F47</formula>
    </cfRule>
  </conditionalFormatting>
  <conditionalFormatting sqref="I48">
    <cfRule type="cellIs" dxfId="0" priority="77" operator="lessThan">
      <formula>F48</formula>
    </cfRule>
  </conditionalFormatting>
  <conditionalFormatting sqref="I49">
    <cfRule type="cellIs" dxfId="0" priority="79" operator="lessThan">
      <formula>F49</formula>
    </cfRule>
  </conditionalFormatting>
  <conditionalFormatting sqref="I50">
    <cfRule type="cellIs" dxfId="0" priority="81" operator="lessThan">
      <formula>F50</formula>
    </cfRule>
  </conditionalFormatting>
  <conditionalFormatting sqref="I7">
    <cfRule type="cellIs" dxfId="0" priority="1" operator="lessThan">
      <formula>F7</formula>
    </cfRule>
  </conditionalFormatting>
  <conditionalFormatting sqref="I9">
    <cfRule type="cellIs" dxfId="0" priority="3" operator="lessThan">
      <formula>F9</formula>
    </cfRule>
  </conditionalFormatting>
  <conditionalFormatting sqref="J10">
    <cfRule type="expression" dxfId="1" priority="6">
      <formula>AND(NOT(ISBLANK(J10)),OR(I10="NonStk",J10&gt;I10))</formula>
    </cfRule>
  </conditionalFormatting>
  <conditionalFormatting sqref="J11">
    <cfRule type="expression" dxfId="1" priority="8">
      <formula>AND(NOT(ISBLANK(J11)),OR(I11="NonStk",J11&gt;I11))</formula>
    </cfRule>
  </conditionalFormatting>
  <conditionalFormatting sqref="J12">
    <cfRule type="expression" dxfId="1" priority="10">
      <formula>AND(NOT(ISBLANK(J12)),OR(I12="NonStk",J12&gt;I12))</formula>
    </cfRule>
  </conditionalFormatting>
  <conditionalFormatting sqref="J13">
    <cfRule type="expression" dxfId="1" priority="12">
      <formula>AND(NOT(ISBLANK(J13)),OR(I13="NonStk",J13&gt;I13))</formula>
    </cfRule>
  </conditionalFormatting>
  <conditionalFormatting sqref="J14">
    <cfRule type="expression" dxfId="1" priority="14">
      <formula>AND(NOT(ISBLANK(J14)),OR(I14="NonStk",J14&gt;I14))</formula>
    </cfRule>
  </conditionalFormatting>
  <conditionalFormatting sqref="J15">
    <cfRule type="expression" dxfId="1" priority="16">
      <formula>AND(NOT(ISBLANK(J15)),OR(I15="NonStk",J15&gt;I15))</formula>
    </cfRule>
  </conditionalFormatting>
  <conditionalFormatting sqref="J16">
    <cfRule type="expression" dxfId="1" priority="18">
      <formula>AND(NOT(ISBLANK(J16)),OR(I16="NonStk",J16&gt;I16))</formula>
    </cfRule>
  </conditionalFormatting>
  <conditionalFormatting sqref="J17">
    <cfRule type="expression" dxfId="1" priority="20">
      <formula>AND(NOT(ISBLANK(J17)),OR(I17="NonStk",J17&gt;I17))</formula>
    </cfRule>
  </conditionalFormatting>
  <conditionalFormatting sqref="J18">
    <cfRule type="expression" dxfId="1" priority="22">
      <formula>AND(NOT(ISBLANK(J18)),OR(I18="NonStk",J18&gt;I18))</formula>
    </cfRule>
  </conditionalFormatting>
  <conditionalFormatting sqref="J19">
    <cfRule type="expression" dxfId="1" priority="24">
      <formula>AND(NOT(ISBLANK(J19)),OR(I19="NonStk",J19&gt;I19))</formula>
    </cfRule>
  </conditionalFormatting>
  <conditionalFormatting sqref="J21">
    <cfRule type="expression" dxfId="1" priority="26">
      <formula>AND(NOT(ISBLANK(J21)),OR(I21="NonStk",J21&gt;I21))</formula>
    </cfRule>
  </conditionalFormatting>
  <conditionalFormatting sqref="J22">
    <cfRule type="expression" dxfId="1" priority="28">
      <formula>AND(NOT(ISBLANK(J22)),OR(I22="NonStk",J22&gt;I22))</formula>
    </cfRule>
  </conditionalFormatting>
  <conditionalFormatting sqref="J23">
    <cfRule type="expression" dxfId="1" priority="30">
      <formula>AND(NOT(ISBLANK(J23)),OR(I23="NonStk",J23&gt;I23))</formula>
    </cfRule>
  </conditionalFormatting>
  <conditionalFormatting sqref="J24">
    <cfRule type="expression" dxfId="1" priority="32">
      <formula>AND(NOT(ISBLANK(J24)),OR(I24="NonStk",J24&gt;I24))</formula>
    </cfRule>
  </conditionalFormatting>
  <conditionalFormatting sqref="J25">
    <cfRule type="expression" dxfId="1" priority="34">
      <formula>AND(NOT(ISBLANK(J25)),OR(I25="NonStk",J25&gt;I25))</formula>
    </cfRule>
  </conditionalFormatting>
  <conditionalFormatting sqref="J26">
    <cfRule type="expression" dxfId="1" priority="36">
      <formula>AND(NOT(ISBLANK(J26)),OR(I26="NonStk",J26&gt;I26))</formula>
    </cfRule>
  </conditionalFormatting>
  <conditionalFormatting sqref="J27">
    <cfRule type="expression" dxfId="1" priority="38">
      <formula>AND(NOT(ISBLANK(J27)),OR(I27="NonStk",J27&gt;I27))</formula>
    </cfRule>
  </conditionalFormatting>
  <conditionalFormatting sqref="J28">
    <cfRule type="expression" dxfId="1" priority="40">
      <formula>AND(NOT(ISBLANK(J28)),OR(I28="NonStk",J28&gt;I28))</formula>
    </cfRule>
  </conditionalFormatting>
  <conditionalFormatting sqref="J29">
    <cfRule type="expression" dxfId="1" priority="42">
      <formula>AND(NOT(ISBLANK(J29)),OR(I29="NonStk",J29&gt;I29))</formula>
    </cfRule>
  </conditionalFormatting>
  <conditionalFormatting sqref="J30">
    <cfRule type="expression" dxfId="1" priority="44">
      <formula>AND(NOT(ISBLANK(J30)),OR(I30="NonStk",J30&gt;I30))</formula>
    </cfRule>
  </conditionalFormatting>
  <conditionalFormatting sqref="J31">
    <cfRule type="expression" dxfId="1" priority="46">
      <formula>AND(NOT(ISBLANK(J31)),OR(I31="NonStk",J31&gt;I31))</formula>
    </cfRule>
  </conditionalFormatting>
  <conditionalFormatting sqref="J32">
    <cfRule type="expression" dxfId="1" priority="48">
      <formula>AND(NOT(ISBLANK(J32)),OR(I32="NonStk",J32&gt;I32))</formula>
    </cfRule>
  </conditionalFormatting>
  <conditionalFormatting sqref="J33">
    <cfRule type="expression" dxfId="1" priority="50">
      <formula>AND(NOT(ISBLANK(J33)),OR(I33="NonStk",J33&gt;I33))</formula>
    </cfRule>
  </conditionalFormatting>
  <conditionalFormatting sqref="J34">
    <cfRule type="expression" dxfId="1" priority="52">
      <formula>AND(NOT(ISBLANK(J34)),OR(I34="NonStk",J34&gt;I34))</formula>
    </cfRule>
  </conditionalFormatting>
  <conditionalFormatting sqref="J35">
    <cfRule type="expression" dxfId="1" priority="54">
      <formula>AND(NOT(ISBLANK(J35)),OR(I35="NonStk",J35&gt;I35))</formula>
    </cfRule>
  </conditionalFormatting>
  <conditionalFormatting sqref="J36">
    <cfRule type="expression" dxfId="1" priority="56">
      <formula>AND(NOT(ISBLANK(J36)),OR(I36="NonStk",J36&gt;I36))</formula>
    </cfRule>
  </conditionalFormatting>
  <conditionalFormatting sqref="J37">
    <cfRule type="expression" dxfId="1" priority="58">
      <formula>AND(NOT(ISBLANK(J37)),OR(I37="NonStk",J37&gt;I37))</formula>
    </cfRule>
  </conditionalFormatting>
  <conditionalFormatting sqref="J38">
    <cfRule type="expression" dxfId="1" priority="60">
      <formula>AND(NOT(ISBLANK(J38)),OR(I38="NonStk",J38&gt;I38))</formula>
    </cfRule>
  </conditionalFormatting>
  <conditionalFormatting sqref="J39">
    <cfRule type="expression" dxfId="1" priority="62">
      <formula>AND(NOT(ISBLANK(J39)),OR(I39="NonStk",J39&gt;I39))</formula>
    </cfRule>
  </conditionalFormatting>
  <conditionalFormatting sqref="J40">
    <cfRule type="expression" dxfId="1" priority="64">
      <formula>AND(NOT(ISBLANK(J40)),OR(I40="NonStk",J40&gt;I40))</formula>
    </cfRule>
  </conditionalFormatting>
  <conditionalFormatting sqref="J41">
    <cfRule type="expression" dxfId="1" priority="66">
      <formula>AND(NOT(ISBLANK(J41)),OR(I41="NonStk",J41&gt;I41))</formula>
    </cfRule>
  </conditionalFormatting>
  <conditionalFormatting sqref="J43">
    <cfRule type="expression" dxfId="1" priority="68">
      <formula>AND(NOT(ISBLANK(J43)),OR(I43="NonStk",J43&gt;I43))</formula>
    </cfRule>
  </conditionalFormatting>
  <conditionalFormatting sqref="J44">
    <cfRule type="expression" dxfId="1" priority="70">
      <formula>AND(NOT(ISBLANK(J44)),OR(I44="NonStk",J44&gt;I44))</formula>
    </cfRule>
  </conditionalFormatting>
  <conditionalFormatting sqref="J45">
    <cfRule type="expression" dxfId="1" priority="72">
      <formula>AND(NOT(ISBLANK(J45)),OR(I45="NonStk",J45&gt;I45))</formula>
    </cfRule>
  </conditionalFormatting>
  <conditionalFormatting sqref="J46">
    <cfRule type="expression" dxfId="1" priority="74">
      <formula>AND(NOT(ISBLANK(J46)),OR(I46="NonStk",J46&gt;I46))</formula>
    </cfRule>
  </conditionalFormatting>
  <conditionalFormatting sqref="J47">
    <cfRule type="expression" dxfId="1" priority="76">
      <formula>AND(NOT(ISBLANK(J47)),OR(I47="NonStk",J47&gt;I47))</formula>
    </cfRule>
  </conditionalFormatting>
  <conditionalFormatting sqref="J48">
    <cfRule type="expression" dxfId="1" priority="78">
      <formula>AND(NOT(ISBLANK(J48)),OR(I48="NonStk",J48&gt;I48))</formula>
    </cfRule>
  </conditionalFormatting>
  <conditionalFormatting sqref="J49">
    <cfRule type="expression" dxfId="1" priority="80">
      <formula>AND(NOT(ISBLANK(J49)),OR(I49="NonStk",J49&gt;I49))</formula>
    </cfRule>
  </conditionalFormatting>
  <conditionalFormatting sqref="J50">
    <cfRule type="expression" dxfId="1" priority="82">
      <formula>AND(NOT(ISBLANK(J50)),OR(I50="NonStk",J50&gt;I50))</formula>
    </cfRule>
  </conditionalFormatting>
  <conditionalFormatting sqref="J7">
    <cfRule type="expression" dxfId="1" priority="2">
      <formula>AND(NOT(ISBLANK(J7)),OR(I7="NonStk",J7&gt;I7))</formula>
    </cfRule>
  </conditionalFormatting>
  <conditionalFormatting sqref="J9">
    <cfRule type="expression" dxfId="1" priority="4">
      <formula>AND(NOT(ISBLANK(J9)),OR(I9="NonStk",J9&gt;I9))</formula>
    </cfRule>
  </conditionalFormatting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OBSPro-kicost</vt:lpstr>
      <vt:lpstr>'OBSPro-kicost'!BoardQty</vt:lpstr>
      <vt:lpstr>'OBSPro-kicost'!EUR_USD</vt:lpstr>
      <vt:lpstr>'OBSPro-kicost'!PURCHASE_DESCRIPTION</vt:lpstr>
      <vt:lpstr>'OBSPro-kicost'!TotalCost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2022-11-24T15:52:09Z</dcterms:created>
  <dcterms:modified xsi:type="dcterms:W3CDTF">2022-11-24T15:52:09Z</dcterms:modified>
</cp:coreProperties>
</file>