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worksheets/sheet3.xml" ContentType="application/vnd.openxmlformats-officedocument.spreadsheetml.worksheet+xml"/>
  <Override PartName="/xl/charts/style7.xml" ContentType="application/vnd.ms-office.chartstyle+xml"/>
  <Override PartName="/xl/charts/chart7.xml" ContentType="application/vnd.openxmlformats-officedocument.drawingml.chart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olors4.xml" ContentType="application/vnd.ms-office.chartcolorstyle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style4.xml" ContentType="application/vnd.ms-office.chartstyle+xml"/>
  <Override PartName="/xl/drawings/drawing2.xml" ContentType="application/vnd.openxmlformats-officedocument.drawing+xml"/>
  <Override PartName="/xl/charts/style2.xml" ContentType="application/vnd.ms-office.chartstyle+xml"/>
  <Override PartName="/xl/charts/colors2.xml" ContentType="application/vnd.ms-office.chartcolorstyle+xml"/>
  <Override PartName="/xl/charts/colors1.xml" ContentType="application/vnd.ms-office.chartcolorstyle+xml"/>
  <Override PartName="/xl/charts/style1.xml" ContentType="application/vnd.ms-office.chartsty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olors3.xml" ContentType="application/vnd.ms-office.chartcolorstyle+xml"/>
  <Override PartName="/xl/charts/style3.xml" ContentType="application/vnd.ms-office.chartstyle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omments2.xml" ContentType="application/vnd.openxmlformats-officedocument.spreadsheetml.comments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gela\Desktop\PROGETTI SANT'ANNA\EFFIGE\Effige_tool\"/>
    </mc:Choice>
  </mc:AlternateContent>
  <bookViews>
    <workbookView xWindow="0" yWindow="0" windowWidth="20490" windowHeight="6795" tabRatio="790" firstSheet="3" activeTab="3"/>
  </bookViews>
  <sheets>
    <sheet name="Impatti al kg" sheetId="6" state="hidden" r:id="rId1"/>
    <sheet name="Impatti_Pr" sheetId="9" state="hidden" r:id="rId2"/>
    <sheet name="Allocazione_Fine _vita_sedia_RI" sheetId="11" state="hidden" r:id="rId3"/>
    <sheet name="Assunzioni&amp;Istruzioni" sheetId="12" r:id="rId4"/>
    <sheet name="Ecodesign_tool" sheetId="10" r:id="rId5"/>
    <sheet name="Riepilogo_sola lettura" sheetId="13" r:id="rId6"/>
  </sheets>
  <definedNames>
    <definedName name="_xlnm._FilterDatabase" localSheetId="0" hidden="1">'Impatti al kg'!$H$6:$I$53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8" i="10" l="1"/>
  <c r="I163" i="10" l="1"/>
  <c r="L163" i="10"/>
  <c r="J163" i="10"/>
  <c r="L160" i="10"/>
  <c r="K160" i="10"/>
  <c r="J160" i="10"/>
  <c r="I160" i="10"/>
  <c r="L153" i="10"/>
  <c r="K153" i="10"/>
  <c r="J153" i="10"/>
  <c r="I153" i="10"/>
  <c r="L146" i="10"/>
  <c r="K146" i="10"/>
  <c r="J146" i="10"/>
  <c r="I146" i="10"/>
  <c r="L138" i="10"/>
  <c r="K138" i="10"/>
  <c r="J138" i="10"/>
  <c r="I138" i="10"/>
  <c r="J129" i="10"/>
  <c r="K129" i="10"/>
  <c r="L129" i="10"/>
  <c r="I129" i="10"/>
  <c r="J123" i="10"/>
  <c r="J131" i="10" s="1"/>
  <c r="K123" i="10"/>
  <c r="K131" i="10" s="1"/>
  <c r="L123" i="10"/>
  <c r="L131" i="10" s="1"/>
  <c r="I123" i="10"/>
  <c r="I131" i="10" s="1"/>
  <c r="J114" i="10"/>
  <c r="K114" i="10"/>
  <c r="L114" i="10"/>
  <c r="I114" i="10"/>
  <c r="J108" i="10"/>
  <c r="L108" i="10"/>
  <c r="I108" i="10"/>
  <c r="J102" i="10"/>
  <c r="K102" i="10"/>
  <c r="L102" i="10"/>
  <c r="I102" i="10"/>
  <c r="J96" i="10"/>
  <c r="K96" i="10"/>
  <c r="L96" i="10"/>
  <c r="I96" i="10"/>
  <c r="J79" i="10"/>
  <c r="K79" i="10"/>
  <c r="L79" i="10"/>
  <c r="I79" i="10"/>
  <c r="J73" i="10"/>
  <c r="K73" i="10"/>
  <c r="L73" i="10"/>
  <c r="I73" i="10"/>
  <c r="J68" i="10"/>
  <c r="K68" i="10"/>
  <c r="L68" i="10"/>
  <c r="I68" i="10"/>
  <c r="J62" i="10"/>
  <c r="K62" i="10"/>
  <c r="L62" i="10"/>
  <c r="I62" i="10"/>
  <c r="J47" i="10"/>
  <c r="K47" i="10"/>
  <c r="L47" i="10"/>
  <c r="I47" i="10"/>
  <c r="J41" i="10"/>
  <c r="K41" i="10"/>
  <c r="L41" i="10"/>
  <c r="I41" i="10"/>
  <c r="J35" i="10"/>
  <c r="K35" i="10"/>
  <c r="L35" i="10"/>
  <c r="I35" i="10"/>
  <c r="J29" i="10"/>
  <c r="K29" i="10"/>
  <c r="L29" i="10"/>
  <c r="I29" i="10"/>
  <c r="J25" i="10"/>
  <c r="K25" i="10"/>
  <c r="L25" i="10"/>
  <c r="I25" i="10"/>
  <c r="J19" i="10"/>
  <c r="K19" i="10"/>
  <c r="L19" i="10"/>
  <c r="I19" i="10"/>
  <c r="J13" i="10"/>
  <c r="K13" i="10"/>
  <c r="L13" i="10"/>
  <c r="L7" i="10"/>
  <c r="K7" i="10"/>
  <c r="K116" i="10" s="1"/>
  <c r="K163" i="10" s="1"/>
  <c r="J7" i="10"/>
  <c r="J116" i="10" s="1"/>
  <c r="I13" i="10"/>
  <c r="I7" i="10"/>
  <c r="I116" i="10" s="1"/>
  <c r="E125" i="10"/>
  <c r="L116" i="10" l="1"/>
  <c r="E136" i="10"/>
  <c r="F136" i="10"/>
  <c r="G136" i="10"/>
  <c r="H136" i="10"/>
  <c r="E137" i="10"/>
  <c r="F137" i="10"/>
  <c r="G137" i="10"/>
  <c r="H137" i="10"/>
  <c r="H135" i="10"/>
  <c r="G135" i="10"/>
  <c r="F135" i="10"/>
  <c r="E135" i="10"/>
  <c r="E121" i="10"/>
  <c r="F121" i="10"/>
  <c r="G121" i="10"/>
  <c r="H121" i="10"/>
  <c r="E122" i="10"/>
  <c r="F122" i="10"/>
  <c r="G122" i="10"/>
  <c r="H122" i="10"/>
  <c r="H120" i="10"/>
  <c r="G120" i="10"/>
  <c r="F120" i="10"/>
  <c r="E120" i="10"/>
  <c r="C132" i="10"/>
  <c r="E106" i="10"/>
  <c r="F106" i="10"/>
  <c r="G106" i="10"/>
  <c r="H106" i="10"/>
  <c r="E107" i="10"/>
  <c r="F107" i="10"/>
  <c r="G107" i="10"/>
  <c r="H107" i="10"/>
  <c r="H105" i="10"/>
  <c r="G105" i="10"/>
  <c r="F105" i="10"/>
  <c r="E105" i="10"/>
  <c r="E94" i="10"/>
  <c r="F94" i="10"/>
  <c r="G94" i="10"/>
  <c r="H94" i="10"/>
  <c r="E95" i="10"/>
  <c r="F95" i="10"/>
  <c r="G95" i="10"/>
  <c r="H95" i="10"/>
  <c r="H93" i="10"/>
  <c r="G93" i="10"/>
  <c r="F93" i="10"/>
  <c r="E93" i="10"/>
  <c r="E83" i="10"/>
  <c r="F83" i="10"/>
  <c r="G83" i="10"/>
  <c r="H83" i="10"/>
  <c r="H82" i="10"/>
  <c r="G82" i="10"/>
  <c r="F82" i="10"/>
  <c r="E82" i="10"/>
  <c r="E72" i="10"/>
  <c r="F72" i="10"/>
  <c r="G72" i="10"/>
  <c r="H72" i="10"/>
  <c r="H71" i="10"/>
  <c r="G71" i="10"/>
  <c r="F71" i="10"/>
  <c r="E71" i="10"/>
  <c r="G60" i="10"/>
  <c r="E61" i="10"/>
  <c r="F61" i="10"/>
  <c r="G61" i="10"/>
  <c r="H61" i="10"/>
  <c r="H60" i="10"/>
  <c r="F60" i="10"/>
  <c r="E60" i="10"/>
  <c r="H50" i="10"/>
  <c r="H51" i="10" s="1"/>
  <c r="G50" i="10"/>
  <c r="G51" i="10" s="1"/>
  <c r="F50" i="10"/>
  <c r="F51" i="10" s="1"/>
  <c r="E50" i="10"/>
  <c r="E51" i="10" s="1"/>
  <c r="E39" i="10"/>
  <c r="F39" i="10"/>
  <c r="G39" i="10"/>
  <c r="H39" i="10"/>
  <c r="E40" i="10"/>
  <c r="F40" i="10"/>
  <c r="G40" i="10"/>
  <c r="H40" i="10"/>
  <c r="H38" i="10"/>
  <c r="G38" i="10"/>
  <c r="F38" i="10"/>
  <c r="E38" i="10"/>
  <c r="H28" i="10"/>
  <c r="H29" i="10" s="1"/>
  <c r="G28" i="10"/>
  <c r="G29" i="10" s="1"/>
  <c r="F28" i="10"/>
  <c r="F29" i="10" s="1"/>
  <c r="E28" i="10"/>
  <c r="E29" i="10" s="1"/>
  <c r="E17" i="10"/>
  <c r="F17" i="10"/>
  <c r="G17" i="10"/>
  <c r="H17" i="10"/>
  <c r="E18" i="10"/>
  <c r="F18" i="10"/>
  <c r="G18" i="10"/>
  <c r="H18" i="10"/>
  <c r="H16" i="10"/>
  <c r="G16" i="10"/>
  <c r="F16" i="10"/>
  <c r="E16" i="10"/>
  <c r="E126" i="10"/>
  <c r="F126" i="10"/>
  <c r="G126" i="10"/>
  <c r="H126" i="10"/>
  <c r="E127" i="10"/>
  <c r="F127" i="10"/>
  <c r="G127" i="10"/>
  <c r="H127" i="10"/>
  <c r="E128" i="10"/>
  <c r="F128" i="10"/>
  <c r="G128" i="10"/>
  <c r="H128" i="10"/>
  <c r="H125" i="10"/>
  <c r="H129" i="10" s="1"/>
  <c r="G125" i="10"/>
  <c r="F125" i="10"/>
  <c r="E111" i="10"/>
  <c r="F111" i="10"/>
  <c r="G111" i="10"/>
  <c r="H111" i="10"/>
  <c r="E112" i="10"/>
  <c r="F112" i="10"/>
  <c r="G112" i="10"/>
  <c r="H112" i="10"/>
  <c r="E113" i="10"/>
  <c r="F113" i="10"/>
  <c r="G113" i="10"/>
  <c r="H113" i="10"/>
  <c r="H110" i="10"/>
  <c r="G110" i="10"/>
  <c r="F110" i="10"/>
  <c r="E110" i="10"/>
  <c r="E101" i="10"/>
  <c r="F101" i="10"/>
  <c r="G101" i="10"/>
  <c r="H101" i="10"/>
  <c r="E99" i="10"/>
  <c r="F99" i="10"/>
  <c r="G99" i="10"/>
  <c r="H99" i="10"/>
  <c r="E100" i="10"/>
  <c r="F100" i="10"/>
  <c r="G100" i="10"/>
  <c r="H100" i="10"/>
  <c r="H98" i="10"/>
  <c r="G98" i="10"/>
  <c r="F98" i="10"/>
  <c r="E98" i="10"/>
  <c r="E87" i="10"/>
  <c r="F87" i="10"/>
  <c r="G87" i="10"/>
  <c r="H87" i="10"/>
  <c r="E88" i="10"/>
  <c r="F88" i="10"/>
  <c r="G88" i="10"/>
  <c r="H88" i="10"/>
  <c r="E89" i="10"/>
  <c r="F89" i="10"/>
  <c r="G89" i="10"/>
  <c r="H89" i="10"/>
  <c r="H86" i="10"/>
  <c r="G86" i="10"/>
  <c r="F86" i="10"/>
  <c r="E86" i="10"/>
  <c r="E76" i="10"/>
  <c r="F76" i="10"/>
  <c r="G76" i="10"/>
  <c r="H76" i="10"/>
  <c r="E77" i="10"/>
  <c r="F77" i="10"/>
  <c r="G77" i="10"/>
  <c r="H77" i="10"/>
  <c r="E78" i="10"/>
  <c r="F78" i="10"/>
  <c r="G78" i="10"/>
  <c r="H78" i="10"/>
  <c r="H75" i="10"/>
  <c r="G75" i="10"/>
  <c r="F75" i="10"/>
  <c r="E75" i="10"/>
  <c r="E65" i="10"/>
  <c r="F65" i="10"/>
  <c r="G65" i="10"/>
  <c r="H65" i="10"/>
  <c r="E66" i="10"/>
  <c r="F66" i="10"/>
  <c r="G66" i="10"/>
  <c r="H66" i="10"/>
  <c r="E67" i="10"/>
  <c r="F67" i="10"/>
  <c r="G67" i="10"/>
  <c r="H67" i="10"/>
  <c r="H64" i="10"/>
  <c r="G64" i="10"/>
  <c r="F64" i="10"/>
  <c r="E64" i="10"/>
  <c r="F54" i="10"/>
  <c r="G54" i="10"/>
  <c r="H54" i="10"/>
  <c r="F55" i="10"/>
  <c r="G55" i="10"/>
  <c r="H55" i="10"/>
  <c r="F56" i="10"/>
  <c r="G56" i="10"/>
  <c r="H56" i="10"/>
  <c r="H53" i="10"/>
  <c r="G53" i="10"/>
  <c r="F53" i="10"/>
  <c r="E54" i="10"/>
  <c r="E55" i="10"/>
  <c r="E56" i="10"/>
  <c r="E53" i="10"/>
  <c r="E44" i="10"/>
  <c r="F44" i="10"/>
  <c r="G44" i="10"/>
  <c r="H44" i="10"/>
  <c r="E45" i="10"/>
  <c r="F45" i="10"/>
  <c r="G45" i="10"/>
  <c r="H45" i="10"/>
  <c r="E46" i="10"/>
  <c r="F46" i="10"/>
  <c r="G46" i="10"/>
  <c r="H46" i="10"/>
  <c r="H43" i="10"/>
  <c r="G43" i="10"/>
  <c r="F43" i="10"/>
  <c r="E43" i="10"/>
  <c r="G32" i="10"/>
  <c r="H32" i="10"/>
  <c r="G33" i="10"/>
  <c r="H33" i="10"/>
  <c r="G34" i="10"/>
  <c r="H34" i="10"/>
  <c r="H31" i="10"/>
  <c r="G31" i="10"/>
  <c r="F32" i="10"/>
  <c r="F33" i="10"/>
  <c r="F34" i="10"/>
  <c r="F31" i="10"/>
  <c r="E32" i="10"/>
  <c r="E33" i="10"/>
  <c r="E34" i="10"/>
  <c r="E31" i="10"/>
  <c r="G123" i="10" l="1"/>
  <c r="H123" i="10"/>
  <c r="F6" i="13" s="1"/>
  <c r="F129" i="10"/>
  <c r="D6" i="13" s="1"/>
  <c r="E129" i="10"/>
  <c r="F123" i="10"/>
  <c r="G129" i="10"/>
  <c r="E6" i="13" s="1"/>
  <c r="E123" i="10"/>
  <c r="F114" i="10"/>
  <c r="F102" i="10"/>
  <c r="F90" i="10"/>
  <c r="F79" i="10"/>
  <c r="F41" i="10"/>
  <c r="E73" i="10"/>
  <c r="H73" i="10"/>
  <c r="H84" i="10"/>
  <c r="F41" i="13" s="1"/>
  <c r="H96" i="10"/>
  <c r="E96" i="10"/>
  <c r="H108" i="10"/>
  <c r="F47" i="10"/>
  <c r="F68" i="10"/>
  <c r="D39" i="13" s="1"/>
  <c r="F73" i="10"/>
  <c r="F84" i="10"/>
  <c r="D41" i="13" s="1"/>
  <c r="F96" i="10"/>
  <c r="F108" i="10"/>
  <c r="E79" i="10"/>
  <c r="E90" i="10"/>
  <c r="E102" i="10"/>
  <c r="C42" i="13" s="1"/>
  <c r="E114" i="10"/>
  <c r="E84" i="10"/>
  <c r="E108" i="10"/>
  <c r="H68" i="10"/>
  <c r="F39" i="13" s="1"/>
  <c r="H79" i="10"/>
  <c r="H90" i="10"/>
  <c r="H102" i="10"/>
  <c r="H114" i="10"/>
  <c r="G90" i="10"/>
  <c r="G114" i="10"/>
  <c r="G73" i="10"/>
  <c r="G62" i="10"/>
  <c r="G79" i="10"/>
  <c r="G102" i="10"/>
  <c r="G84" i="10"/>
  <c r="G96" i="10"/>
  <c r="G108" i="10"/>
  <c r="F62" i="10"/>
  <c r="G68" i="10"/>
  <c r="E62" i="10"/>
  <c r="F57" i="10"/>
  <c r="D38" i="13" s="1"/>
  <c r="G57" i="10"/>
  <c r="E38" i="13" s="1"/>
  <c r="E57" i="10"/>
  <c r="C38" i="13" s="1"/>
  <c r="E68" i="10"/>
  <c r="C39" i="13" s="1"/>
  <c r="H57" i="10"/>
  <c r="F38" i="13" s="1"/>
  <c r="H62" i="10"/>
  <c r="F138" i="10"/>
  <c r="D7" i="13" s="1"/>
  <c r="H47" i="10"/>
  <c r="H41" i="10"/>
  <c r="E47" i="10"/>
  <c r="E41" i="10"/>
  <c r="G47" i="10"/>
  <c r="G41" i="10"/>
  <c r="E19" i="10"/>
  <c r="E35" i="10"/>
  <c r="C36" i="13" s="1"/>
  <c r="F35" i="10"/>
  <c r="D36" i="13" s="1"/>
  <c r="G35" i="10"/>
  <c r="E36" i="13" s="1"/>
  <c r="H35" i="10"/>
  <c r="F36" i="13" s="1"/>
  <c r="G19" i="10"/>
  <c r="H19" i="10"/>
  <c r="F19" i="10"/>
  <c r="E138" i="10"/>
  <c r="C7" i="13" s="1"/>
  <c r="E131" i="10"/>
  <c r="G138" i="10"/>
  <c r="E7" i="13" s="1"/>
  <c r="H138" i="10"/>
  <c r="F7" i="13" s="1"/>
  <c r="H131" i="10"/>
  <c r="F131" i="10"/>
  <c r="G131" i="10"/>
  <c r="F22" i="10"/>
  <c r="G22" i="10"/>
  <c r="H22" i="10"/>
  <c r="F23" i="10"/>
  <c r="G23" i="10"/>
  <c r="H23" i="10"/>
  <c r="F24" i="10"/>
  <c r="G24" i="10"/>
  <c r="H24" i="10"/>
  <c r="H21" i="10"/>
  <c r="G21" i="10"/>
  <c r="F21" i="10"/>
  <c r="E22" i="10"/>
  <c r="E23" i="10"/>
  <c r="E24" i="10"/>
  <c r="E21" i="10"/>
  <c r="E11" i="10"/>
  <c r="E10" i="10"/>
  <c r="F10" i="10"/>
  <c r="G10" i="10"/>
  <c r="H10" i="10"/>
  <c r="F11" i="10"/>
  <c r="G11" i="10"/>
  <c r="H11" i="10"/>
  <c r="E12" i="10"/>
  <c r="F12" i="10"/>
  <c r="G12" i="10"/>
  <c r="H12" i="10"/>
  <c r="H9" i="10"/>
  <c r="G9" i="10"/>
  <c r="F9" i="10"/>
  <c r="E9" i="10"/>
  <c r="G6" i="10"/>
  <c r="H6" i="10"/>
  <c r="H5" i="10"/>
  <c r="G5" i="10"/>
  <c r="F6" i="10"/>
  <c r="E5" i="10"/>
  <c r="F5" i="10"/>
  <c r="E6" i="10"/>
  <c r="E54" i="11"/>
  <c r="E55" i="11"/>
  <c r="E53" i="11"/>
  <c r="D54" i="11"/>
  <c r="D55" i="11"/>
  <c r="D53" i="11"/>
  <c r="C54" i="11"/>
  <c r="C55" i="11"/>
  <c r="C53" i="11"/>
  <c r="C117" i="10"/>
  <c r="C139" i="10" s="1"/>
  <c r="C147" i="10" s="1"/>
  <c r="D58" i="11"/>
  <c r="E58" i="11"/>
  <c r="D59" i="11"/>
  <c r="E59" i="11"/>
  <c r="E57" i="11"/>
  <c r="D57" i="11"/>
  <c r="C58" i="11"/>
  <c r="C59" i="11"/>
  <c r="C57" i="11"/>
  <c r="D51" i="11"/>
  <c r="D50" i="11"/>
  <c r="C51" i="11"/>
  <c r="C50" i="11"/>
  <c r="D48" i="11"/>
  <c r="D47" i="11"/>
  <c r="C48" i="11"/>
  <c r="C47" i="11"/>
  <c r="E39" i="11"/>
  <c r="E40" i="11"/>
  <c r="E41" i="11"/>
  <c r="E42" i="11"/>
  <c r="E43" i="11"/>
  <c r="E44" i="11"/>
  <c r="E45" i="11"/>
  <c r="E38" i="11"/>
  <c r="D39" i="11"/>
  <c r="D40" i="11"/>
  <c r="D41" i="11"/>
  <c r="D42" i="11"/>
  <c r="D43" i="11"/>
  <c r="D44" i="11"/>
  <c r="D45" i="11"/>
  <c r="D38" i="11"/>
  <c r="C39" i="11"/>
  <c r="C40" i="11"/>
  <c r="C41" i="11"/>
  <c r="C42" i="11"/>
  <c r="C43" i="11"/>
  <c r="C44" i="11"/>
  <c r="C45" i="11"/>
  <c r="C38" i="11"/>
  <c r="C32" i="11"/>
  <c r="C33" i="11"/>
  <c r="C34" i="11"/>
  <c r="C35" i="11"/>
  <c r="C36" i="11"/>
  <c r="C31" i="11"/>
  <c r="E26" i="11"/>
  <c r="E27" i="11"/>
  <c r="E28" i="11"/>
  <c r="E29" i="11"/>
  <c r="E25" i="11"/>
  <c r="D26" i="11"/>
  <c r="D27" i="11"/>
  <c r="D28" i="11"/>
  <c r="D29" i="11"/>
  <c r="D25" i="11"/>
  <c r="C26" i="11"/>
  <c r="C27" i="11"/>
  <c r="C28" i="11"/>
  <c r="C29" i="11"/>
  <c r="C25" i="11"/>
  <c r="C19" i="11"/>
  <c r="C20" i="11"/>
  <c r="C21" i="11"/>
  <c r="C22" i="11"/>
  <c r="C23" i="11"/>
  <c r="C18" i="11"/>
  <c r="E13" i="11"/>
  <c r="E14" i="11"/>
  <c r="E15" i="11"/>
  <c r="E16" i="11"/>
  <c r="E12" i="11"/>
  <c r="D13" i="11"/>
  <c r="D14" i="11"/>
  <c r="D15" i="11"/>
  <c r="D16" i="11"/>
  <c r="C13" i="11"/>
  <c r="C14" i="11"/>
  <c r="C15" i="11"/>
  <c r="C16" i="11"/>
  <c r="C12" i="11"/>
  <c r="D12" i="11"/>
  <c r="D5" i="11"/>
  <c r="D6" i="11"/>
  <c r="D7" i="11"/>
  <c r="D8" i="11"/>
  <c r="D9" i="11"/>
  <c r="D10" i="11"/>
  <c r="D4" i="11"/>
  <c r="C5" i="11"/>
  <c r="C6" i="11"/>
  <c r="C7" i="11"/>
  <c r="C8" i="11"/>
  <c r="C9" i="11"/>
  <c r="C10" i="11"/>
  <c r="C4" i="11"/>
  <c r="B157" i="10"/>
  <c r="B158" i="10"/>
  <c r="B159" i="10"/>
  <c r="C161" i="10"/>
  <c r="C158" i="10"/>
  <c r="C159" i="10"/>
  <c r="C157" i="10"/>
  <c r="C6" i="13" l="1"/>
  <c r="D65" i="11"/>
  <c r="E41" i="13"/>
  <c r="E40" i="13"/>
  <c r="F40" i="13"/>
  <c r="C41" i="13"/>
  <c r="D40" i="13"/>
  <c r="C40" i="13"/>
  <c r="C43" i="13"/>
  <c r="F43" i="13"/>
  <c r="F42" i="13"/>
  <c r="E42" i="13"/>
  <c r="D42" i="13"/>
  <c r="E39" i="13"/>
  <c r="E37" i="13"/>
  <c r="F37" i="13"/>
  <c r="D37" i="13"/>
  <c r="C37" i="13"/>
  <c r="D43" i="13"/>
  <c r="E43" i="13"/>
  <c r="H13" i="10"/>
  <c r="E7" i="10"/>
  <c r="G13" i="10"/>
  <c r="H25" i="10"/>
  <c r="F35" i="13" s="1"/>
  <c r="E25" i="10"/>
  <c r="C35" i="13" s="1"/>
  <c r="F25" i="10"/>
  <c r="D35" i="13" s="1"/>
  <c r="G25" i="10"/>
  <c r="E35" i="13" s="1"/>
  <c r="G7" i="10"/>
  <c r="E13" i="10"/>
  <c r="F7" i="10"/>
  <c r="H7" i="10"/>
  <c r="F13" i="10"/>
  <c r="F116" i="10"/>
  <c r="H116" i="10"/>
  <c r="G116" i="10"/>
  <c r="E159" i="10"/>
  <c r="F159" i="10"/>
  <c r="G159" i="10"/>
  <c r="H159" i="10"/>
  <c r="E116" i="10"/>
  <c r="E158" i="10"/>
  <c r="F158" i="10"/>
  <c r="G158" i="10"/>
  <c r="H158" i="10"/>
  <c r="H157" i="10"/>
  <c r="G157" i="10"/>
  <c r="F157" i="10"/>
  <c r="E157" i="10"/>
  <c r="G142" i="10"/>
  <c r="H142" i="10"/>
  <c r="F142" i="10"/>
  <c r="E145" i="10"/>
  <c r="F143" i="10"/>
  <c r="H143" i="10"/>
  <c r="G143" i="10"/>
  <c r="H144" i="10"/>
  <c r="F144" i="10"/>
  <c r="H145" i="10"/>
  <c r="G144" i="10"/>
  <c r="E142" i="10"/>
  <c r="F145" i="10"/>
  <c r="E144" i="10"/>
  <c r="G145" i="10"/>
  <c r="E143" i="10"/>
  <c r="D64" i="11"/>
  <c r="C150" i="10" s="1"/>
  <c r="C151" i="10"/>
  <c r="D66" i="11"/>
  <c r="C152" i="10" s="1"/>
  <c r="C34" i="13" l="1"/>
  <c r="C44" i="13" s="1"/>
  <c r="G44" i="13" s="1"/>
  <c r="E34" i="13"/>
  <c r="E44" i="13" s="1"/>
  <c r="I43" i="13" s="1"/>
  <c r="C5" i="13"/>
  <c r="D34" i="13"/>
  <c r="D5" i="13" s="1"/>
  <c r="E146" i="10"/>
  <c r="C8" i="13" s="1"/>
  <c r="F34" i="13"/>
  <c r="F44" i="13" s="1"/>
  <c r="J43" i="13" s="1"/>
  <c r="E5" i="13"/>
  <c r="F146" i="10"/>
  <c r="D8" i="13" s="1"/>
  <c r="F160" i="10"/>
  <c r="D10" i="13" s="1"/>
  <c r="E160" i="10"/>
  <c r="C10" i="13" s="1"/>
  <c r="G160" i="10"/>
  <c r="E10" i="13" s="1"/>
  <c r="H160" i="10"/>
  <c r="F10" i="13" s="1"/>
  <c r="E151" i="10"/>
  <c r="F151" i="10"/>
  <c r="G151" i="10"/>
  <c r="H151" i="10"/>
  <c r="H150" i="10"/>
  <c r="G150" i="10"/>
  <c r="E150" i="10"/>
  <c r="F150" i="10"/>
  <c r="E152" i="10"/>
  <c r="G152" i="10"/>
  <c r="H152" i="10"/>
  <c r="F152" i="10"/>
  <c r="H146" i="10"/>
  <c r="F8" i="13" s="1"/>
  <c r="G146" i="10"/>
  <c r="E8" i="13" s="1"/>
  <c r="D67" i="11"/>
  <c r="C154" i="10" s="1"/>
  <c r="I34" i="13" l="1"/>
  <c r="I44" i="13"/>
  <c r="I36" i="13"/>
  <c r="I39" i="13"/>
  <c r="I41" i="13"/>
  <c r="I42" i="13"/>
  <c r="I35" i="13"/>
  <c r="I37" i="13"/>
  <c r="I40" i="13"/>
  <c r="I38" i="13"/>
  <c r="D44" i="13"/>
  <c r="H40" i="13" s="1"/>
  <c r="J36" i="13"/>
  <c r="J44" i="13"/>
  <c r="J35" i="13"/>
  <c r="J34" i="13"/>
  <c r="J41" i="13"/>
  <c r="J37" i="13"/>
  <c r="J38" i="13"/>
  <c r="J42" i="13"/>
  <c r="F5" i="13"/>
  <c r="G35" i="13"/>
  <c r="G42" i="13"/>
  <c r="G43" i="13"/>
  <c r="G41" i="13"/>
  <c r="G39" i="13"/>
  <c r="J40" i="13"/>
  <c r="J39" i="13"/>
  <c r="G34" i="13"/>
  <c r="G36" i="13"/>
  <c r="G40" i="13"/>
  <c r="G37" i="13"/>
  <c r="G38" i="13"/>
  <c r="F153" i="10"/>
  <c r="E153" i="10"/>
  <c r="H153" i="10"/>
  <c r="G153" i="10"/>
  <c r="H35" i="13" l="1"/>
  <c r="H34" i="13"/>
  <c r="H44" i="13"/>
  <c r="H43" i="13"/>
  <c r="H41" i="13"/>
  <c r="H38" i="13"/>
  <c r="H42" i="13"/>
  <c r="H36" i="13"/>
  <c r="H37" i="13"/>
  <c r="H39" i="13"/>
  <c r="E163" i="10"/>
  <c r="C9" i="13"/>
  <c r="G163" i="10"/>
  <c r="E9" i="13"/>
  <c r="H163" i="10"/>
  <c r="F9" i="13"/>
  <c r="F163" i="10"/>
  <c r="D9" i="13"/>
  <c r="C11" i="13" l="1"/>
  <c r="G9" i="13" s="1"/>
  <c r="D11" i="13"/>
  <c r="H9" i="13" s="1"/>
  <c r="E11" i="13"/>
  <c r="I9" i="13" s="1"/>
  <c r="F11" i="13"/>
  <c r="J9" i="13" s="1"/>
  <c r="J8" i="13" l="1"/>
  <c r="J7" i="13"/>
  <c r="J11" i="13"/>
  <c r="J10" i="13"/>
  <c r="J6" i="13"/>
  <c r="J5" i="13"/>
  <c r="H5" i="13"/>
  <c r="H11" i="13"/>
  <c r="H8" i="13"/>
  <c r="H7" i="13"/>
  <c r="H10" i="13"/>
  <c r="H6" i="13"/>
  <c r="I5" i="13"/>
  <c r="I8" i="13"/>
  <c r="I7" i="13"/>
  <c r="I6" i="13"/>
  <c r="I11" i="13"/>
  <c r="I10" i="13"/>
  <c r="G5" i="13"/>
  <c r="G8" i="13"/>
  <c r="G10" i="13"/>
  <c r="G7" i="13"/>
  <c r="G11" i="13"/>
  <c r="G6" i="13"/>
</calcChain>
</file>

<file path=xl/comments1.xml><?xml version="1.0" encoding="utf-8"?>
<comments xmlns="http://schemas.openxmlformats.org/spreadsheetml/2006/main">
  <authors>
    <author>e.baldereschi</author>
    <author>Roberta</author>
  </authors>
  <commentList>
    <comment ref="B7" authorId="0" shapeId="0">
      <text>
        <r>
          <rPr>
            <b/>
            <sz val="9"/>
            <color indexed="81"/>
            <rFont val="Tahoma"/>
            <charset val="1"/>
          </rPr>
          <t>e.baldereschi:</t>
        </r>
        <r>
          <rPr>
            <sz val="9"/>
            <color indexed="81"/>
            <rFont val="Tahoma"/>
            <charset val="1"/>
          </rPr>
          <t xml:space="preserve">
dataset utilizzati: 1 kg Alluminio primario_per profili (Aluminium, primary, ingot {RoW}| market for | APOS, U) + 1 kg Extrusion Al-chair base (Impact extrusion of aluminium, 1 stroke {GLO}| market for | APOS, U)</t>
        </r>
      </text>
    </comment>
    <comment ref="B8" authorId="0" shapeId="0">
      <text>
        <r>
          <rPr>
            <b/>
            <sz val="9"/>
            <color indexed="81"/>
            <rFont val="Tahoma"/>
            <charset val="1"/>
          </rPr>
          <t>e.baldereschi:</t>
        </r>
        <r>
          <rPr>
            <sz val="9"/>
            <color indexed="81"/>
            <rFont val="Tahoma"/>
            <charset val="1"/>
          </rPr>
          <t xml:space="preserve">
1 kg Alluminio_70_riciclato (variato R1 in 0,5). Estrusione come sopra</t>
        </r>
      </text>
    </comment>
    <comment ref="B9" authorId="0" shapeId="0">
      <text>
        <r>
          <rPr>
            <b/>
            <sz val="9"/>
            <color indexed="81"/>
            <rFont val="Tahoma"/>
            <charset val="1"/>
          </rPr>
          <t>e.baldereschi:</t>
        </r>
        <r>
          <rPr>
            <sz val="9"/>
            <color indexed="81"/>
            <rFont val="Tahoma"/>
            <charset val="1"/>
          </rPr>
          <t xml:space="preserve">
1 kg Alluminio_70_riciclato (variato R1 in 1). Estrusione come sopra</t>
        </r>
      </text>
    </comment>
    <comment ref="B10" authorId="0" shapeId="0">
      <text>
        <r>
          <rPr>
            <b/>
            <sz val="9"/>
            <color indexed="81"/>
            <rFont val="Tahoma"/>
            <charset val="1"/>
          </rPr>
          <t>e.baldereschi:</t>
        </r>
        <r>
          <rPr>
            <sz val="9"/>
            <color indexed="81"/>
            <rFont val="Tahoma"/>
            <charset val="1"/>
          </rPr>
          <t xml:space="preserve">
1 kg Steel (Steel, low-alloyed {RER}| steel production, converter, low-alloyed | APOS, U)+1 kg Metal working-steel (Metal working, average for steel product manufacturing {RER}| processing | APOS, U)</t>
        </r>
      </text>
    </comment>
    <comment ref="B79" authorId="1" shapeId="0">
      <text>
        <r>
          <rPr>
            <b/>
            <sz val="9"/>
            <color indexed="81"/>
            <rFont val="Tahoma"/>
            <charset val="1"/>
          </rPr>
          <t>Roberta:</t>
        </r>
        <r>
          <rPr>
            <sz val="9"/>
            <color indexed="81"/>
            <rFont val="Tahoma"/>
            <charset val="1"/>
          </rPr>
          <t xml:space="preserve">
camion 16-32 ton</t>
        </r>
      </text>
    </comment>
  </commentList>
</comments>
</file>

<file path=xl/comments2.xml><?xml version="1.0" encoding="utf-8"?>
<comments xmlns="http://schemas.openxmlformats.org/spreadsheetml/2006/main">
  <authors>
    <author>Roberta</author>
  </authors>
  <commentList>
    <comment ref="A149" authorId="0" shapeId="0">
      <text>
        <r>
          <rPr>
            <b/>
            <sz val="9"/>
            <color indexed="81"/>
            <rFont val="Tahoma"/>
            <family val="2"/>
          </rPr>
          <t>Roberta:</t>
        </r>
        <r>
          <rPr>
            <sz val="9"/>
            <color indexed="81"/>
            <rFont val="Tahoma"/>
            <family val="2"/>
          </rPr>
          <t xml:space="preserve">
Assunzione: Metalli a riciclo; Altro in discarica.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Roberta:</t>
        </r>
        <r>
          <rPr>
            <sz val="9"/>
            <color indexed="81"/>
            <rFont val="Tahoma"/>
            <family val="2"/>
          </rPr>
          <t xml:space="preserve">
Assunzione: Tutti  i materiali del pack a riciclo</t>
        </r>
      </text>
    </comment>
  </commentList>
</comments>
</file>

<file path=xl/sharedStrings.xml><?xml version="1.0" encoding="utf-8"?>
<sst xmlns="http://schemas.openxmlformats.org/spreadsheetml/2006/main" count="786" uniqueCount="244">
  <si>
    <t>km</t>
  </si>
  <si>
    <t xml:space="preserve">kg CO2 eq/kg </t>
  </si>
  <si>
    <t>Approvvigionamento</t>
  </si>
  <si>
    <t>kg</t>
  </si>
  <si>
    <t>Trasporti</t>
  </si>
  <si>
    <t>kg CO2 eq/kg*km</t>
  </si>
  <si>
    <t>Nave</t>
  </si>
  <si>
    <t>kg CO2 eq</t>
  </si>
  <si>
    <t>Quantità</t>
  </si>
  <si>
    <t>Peso</t>
  </si>
  <si>
    <t>Packaging Sedia</t>
  </si>
  <si>
    <t>Componenti Sedia</t>
  </si>
  <si>
    <t>Bracciolo</t>
  </si>
  <si>
    <t>Schienale</t>
  </si>
  <si>
    <t>Sedile</t>
  </si>
  <si>
    <t>Base</t>
  </si>
  <si>
    <t>Ruote</t>
  </si>
  <si>
    <t>Piedini</t>
  </si>
  <si>
    <t>Alzata a gas</t>
  </si>
  <si>
    <t>Meccanismo</t>
  </si>
  <si>
    <t>Alluminio 50% riciclato + Estrusione</t>
  </si>
  <si>
    <t>Alluminio 100% riciclato + Estrusione</t>
  </si>
  <si>
    <t>Alluminio vergine + Estrusione</t>
  </si>
  <si>
    <t>Acciaio</t>
  </si>
  <si>
    <t>Legno</t>
  </si>
  <si>
    <t>Ecopelle</t>
  </si>
  <si>
    <t>Rivestimento Schienale</t>
  </si>
  <si>
    <t>Tessuto in Poliestere</t>
  </si>
  <si>
    <t>Polipropilene vergine + Stampaggio</t>
  </si>
  <si>
    <t>Polipropilene 50% riciclato + Stampaggio</t>
  </si>
  <si>
    <t>Polipropilene 100% riciclato + Stampaggio</t>
  </si>
  <si>
    <t>Rivestimento Sedile</t>
  </si>
  <si>
    <t>Plastica (Nylon - PAM - Resin - FV)</t>
  </si>
  <si>
    <t>Plastica 50% riciclata (Nylon - PAM - Resin - FV)</t>
  </si>
  <si>
    <t>Plastica (Nylon - PAM)</t>
  </si>
  <si>
    <t>Gas (Azoto)</t>
  </si>
  <si>
    <t>Imbottitura Poliuretano</t>
  </si>
  <si>
    <t xml:space="preserve">Nylon </t>
  </si>
  <si>
    <t>Lana</t>
  </si>
  <si>
    <t>Cotone</t>
  </si>
  <si>
    <t>POM - Poliossimetilene</t>
  </si>
  <si>
    <t>Treno</t>
  </si>
  <si>
    <t>Cartone</t>
  </si>
  <si>
    <t>Film PE</t>
  </si>
  <si>
    <t>Sacco multibolle</t>
  </si>
  <si>
    <t>Assemblaggio Sedia</t>
  </si>
  <si>
    <t>kg CO2 eq/kWh</t>
  </si>
  <si>
    <t xml:space="preserve">Calculation: </t>
  </si>
  <si>
    <t>Analyse</t>
  </si>
  <si>
    <t xml:space="preserve">Results: </t>
  </si>
  <si>
    <t>Impact assessment</t>
  </si>
  <si>
    <t xml:space="preserve">Product: </t>
  </si>
  <si>
    <t>1 p 00. PR- office chair (of project 1. EFFIGE - FLA)</t>
  </si>
  <si>
    <t xml:space="preserve">Method: </t>
  </si>
  <si>
    <t>EF Method (adapted) V1.00 / Global (2010)/with tox categories</t>
  </si>
  <si>
    <t xml:space="preserve">Indicator: </t>
  </si>
  <si>
    <t>Characterisation</t>
  </si>
  <si>
    <t xml:space="preserve">Skip categories: </t>
  </si>
  <si>
    <t>Never</t>
  </si>
  <si>
    <t xml:space="preserve">Mode: </t>
  </si>
  <si>
    <t>Group</t>
  </si>
  <si>
    <t xml:space="preserve">Exclude infrastructure processes: </t>
  </si>
  <si>
    <t>No</t>
  </si>
  <si>
    <t xml:space="preserve">Exclude long-term emissions: </t>
  </si>
  <si>
    <t>Yes</t>
  </si>
  <si>
    <t xml:space="preserve">Sorted on item: </t>
  </si>
  <si>
    <t>Impact category</t>
  </si>
  <si>
    <t xml:space="preserve">Sort order: </t>
  </si>
  <si>
    <t>Ascending</t>
  </si>
  <si>
    <t>Unit</t>
  </si>
  <si>
    <t>Total</t>
  </si>
  <si>
    <t>Top</t>
  </si>
  <si>
    <t>Material - mechanism</t>
  </si>
  <si>
    <t>Material - mesh</t>
  </si>
  <si>
    <t>Material - hardware</t>
  </si>
  <si>
    <t>Material -shell</t>
  </si>
  <si>
    <t>Material - upholstered backrest</t>
  </si>
  <si>
    <t>Supply - connection</t>
  </si>
  <si>
    <t>Material - upholstered seat</t>
  </si>
  <si>
    <t>Material - gas cylinder</t>
  </si>
  <si>
    <t>Material -armrest</t>
  </si>
  <si>
    <t>Material -4legs</t>
  </si>
  <si>
    <t>Material - castors</t>
  </si>
  <si>
    <t>Material - connection</t>
  </si>
  <si>
    <t>Material - base</t>
  </si>
  <si>
    <t>Material - cover</t>
  </si>
  <si>
    <t>Packaging</t>
  </si>
  <si>
    <t>Production - mechanism</t>
  </si>
  <si>
    <t>Production - mesh</t>
  </si>
  <si>
    <t>Production -armrest</t>
  </si>
  <si>
    <t>Production - hardware</t>
  </si>
  <si>
    <t>Production - shell</t>
  </si>
  <si>
    <t>Production - backrest</t>
  </si>
  <si>
    <t>Production - seat</t>
  </si>
  <si>
    <t>Production - gas cylinder</t>
  </si>
  <si>
    <t>Production - 4legs</t>
  </si>
  <si>
    <t>Production - castors</t>
  </si>
  <si>
    <t>Production - base</t>
  </si>
  <si>
    <t>Production - connection</t>
  </si>
  <si>
    <t>Production - cover</t>
  </si>
  <si>
    <t>Assembly</t>
  </si>
  <si>
    <t>Supply -armrest</t>
  </si>
  <si>
    <t>Supply - base</t>
  </si>
  <si>
    <t>Supply - castors</t>
  </si>
  <si>
    <t>Supply - Packaging</t>
  </si>
  <si>
    <t>Supply - mechanism</t>
  </si>
  <si>
    <t>Supply - mesh</t>
  </si>
  <si>
    <t>Supply - hardware</t>
  </si>
  <si>
    <t>Supply - backrest</t>
  </si>
  <si>
    <t>Supply - shell</t>
  </si>
  <si>
    <t>Supply - seat</t>
  </si>
  <si>
    <t>Supply - cover</t>
  </si>
  <si>
    <t>Supply - gas cylinder</t>
  </si>
  <si>
    <t>Supply -4legs</t>
  </si>
  <si>
    <t>Distribution</t>
  </si>
  <si>
    <t>Maintenance</t>
  </si>
  <si>
    <t>End of life - chair</t>
  </si>
  <si>
    <t>End of life -  packaging</t>
  </si>
  <si>
    <t>Climate change - fossil</t>
  </si>
  <si>
    <t>bracciolo</t>
  </si>
  <si>
    <t>ruote</t>
  </si>
  <si>
    <t>Energia Elettrica - IT</t>
  </si>
  <si>
    <t>Fonte energetica</t>
  </si>
  <si>
    <t>Energia Elettrica - Cogenerazione</t>
  </si>
  <si>
    <t>Energia Elettrica - EU</t>
  </si>
  <si>
    <t>Energia Termica da metano - EU</t>
  </si>
  <si>
    <t>Energia Elettrica - Fotovoltaico - IT</t>
  </si>
  <si>
    <t>Mezzo di trasporto</t>
  </si>
  <si>
    <t>Totale assemblaggio</t>
  </si>
  <si>
    <t>Totale distribuzione</t>
  </si>
  <si>
    <t>Totale fine vita sedia</t>
  </si>
  <si>
    <t>Alluminio</t>
  </si>
  <si>
    <t>Altro</t>
  </si>
  <si>
    <t>schienale in rete</t>
  </si>
  <si>
    <t>NO</t>
  </si>
  <si>
    <t>scocca: divisa tra schienale e seduta</t>
  </si>
  <si>
    <t>gambe strutturali della seduta in plastica: inserite in base</t>
  </si>
  <si>
    <t>Climate change</t>
  </si>
  <si>
    <t>Ozone depletion</t>
  </si>
  <si>
    <t>Ionising radiation, HH</t>
  </si>
  <si>
    <t>Photochemical ozone formation, HH</t>
  </si>
  <si>
    <t>Respiratory inorganics</t>
  </si>
  <si>
    <t>Non-cancer human health effects</t>
  </si>
  <si>
    <t>Cancer human health effects</t>
  </si>
  <si>
    <t>Acidification terrestrial and freshwater</t>
  </si>
  <si>
    <t>Eutrophication freshwater</t>
  </si>
  <si>
    <t>Eutrophication marine</t>
  </si>
  <si>
    <t>Eutrophication terrestrial</t>
  </si>
  <si>
    <t>Ecotoxicity freshwater</t>
  </si>
  <si>
    <t>Land use</t>
  </si>
  <si>
    <t>Water scarcity</t>
  </si>
  <si>
    <t>Resource use, energy carriers</t>
  </si>
  <si>
    <t>Resource use, mineral and metals</t>
  </si>
  <si>
    <t>Climate change - biogenic</t>
  </si>
  <si>
    <t>Climate change - land use and transform.</t>
  </si>
  <si>
    <t>kg CFC11 eq</t>
  </si>
  <si>
    <t>kBq U-235 eq</t>
  </si>
  <si>
    <t>kg NMVOC eq</t>
  </si>
  <si>
    <t>disease inc.</t>
  </si>
  <si>
    <t>CTUh</t>
  </si>
  <si>
    <t>mol H+ eq</t>
  </si>
  <si>
    <t>kg P eq</t>
  </si>
  <si>
    <t>kg N eq</t>
  </si>
  <si>
    <t>mol N eq</t>
  </si>
  <si>
    <t>CTUe</t>
  </si>
  <si>
    <t>Pt</t>
  </si>
  <si>
    <t>m3 depriv.</t>
  </si>
  <si>
    <t>MJ</t>
  </si>
  <si>
    <t>kg Sb eq</t>
  </si>
  <si>
    <t xml:space="preserve">MJ/kg </t>
  </si>
  <si>
    <t>disease inc./kg</t>
  </si>
  <si>
    <t>mol H+ eq/kg</t>
  </si>
  <si>
    <t>Energia Termica - Cogenerazione</t>
  </si>
  <si>
    <t xml:space="preserve">MJ/kWh </t>
  </si>
  <si>
    <t>disease inc./kWh</t>
  </si>
  <si>
    <t>mol H+ eq/kWh</t>
  </si>
  <si>
    <t>End of Life componenti sedia</t>
  </si>
  <si>
    <t xml:space="preserve">MJ/kWh*km </t>
  </si>
  <si>
    <t>disease inc./kWh*km</t>
  </si>
  <si>
    <t>mol H+ eq/kWh*km</t>
  </si>
  <si>
    <t>End of Life packaging sedia</t>
  </si>
  <si>
    <t>Materiali</t>
  </si>
  <si>
    <t>Impatti</t>
  </si>
  <si>
    <t>Componenti sedia</t>
  </si>
  <si>
    <t xml:space="preserve"> Seduta da ufficio</t>
  </si>
  <si>
    <t>Impatti prodotto benckmark</t>
  </si>
  <si>
    <r>
      <rPr>
        <i/>
        <sz val="22"/>
        <color theme="0"/>
        <rFont val="AR ESSENCE"/>
      </rPr>
      <t>Ecodesign tool</t>
    </r>
    <r>
      <rPr>
        <sz val="22"/>
        <color theme="0"/>
        <rFont val="AR ESSENCE"/>
      </rPr>
      <t xml:space="preserve">         </t>
    </r>
  </si>
  <si>
    <t>Packaging sedia</t>
  </si>
  <si>
    <t xml:space="preserve">Packaging </t>
  </si>
  <si>
    <t>Totale produzione &amp; approvvigionamento packaging</t>
  </si>
  <si>
    <t>Totale produzione &amp; approvvigionamento componenti sedia</t>
  </si>
  <si>
    <t>Assemblaggio sedia</t>
  </si>
  <si>
    <t xml:space="preserve"> Assemblaggio</t>
  </si>
  <si>
    <t>Distribuzione sedia</t>
  </si>
  <si>
    <t>Trasporto</t>
  </si>
  <si>
    <t>Fine vita sedia</t>
  </si>
  <si>
    <t>Fine vita packaging</t>
  </si>
  <si>
    <t>Totale fine vita packaging</t>
  </si>
  <si>
    <t>Materiali sedia</t>
  </si>
  <si>
    <t>TOT. PESO SEDIA</t>
  </si>
  <si>
    <t>NON MODIFICARE!!!</t>
  </si>
  <si>
    <t xml:space="preserve">Classificazione per fine vita </t>
  </si>
  <si>
    <t>Impatti totali</t>
  </si>
  <si>
    <t>Distanza</t>
  </si>
  <si>
    <r>
      <t xml:space="preserve">Climate change - fossil </t>
    </r>
    <r>
      <rPr>
        <b/>
        <i/>
        <sz val="12"/>
        <color theme="0"/>
        <rFont val="Calibri"/>
        <family val="2"/>
        <scheme val="minor"/>
      </rPr>
      <t>(kg CO2/eq.)</t>
    </r>
  </si>
  <si>
    <r>
      <t xml:space="preserve">Resource use, energy carriers </t>
    </r>
    <r>
      <rPr>
        <b/>
        <i/>
        <sz val="12"/>
        <color theme="0"/>
        <rFont val="Calibri"/>
        <family val="2"/>
        <scheme val="minor"/>
      </rPr>
      <t>(MJ)</t>
    </r>
  </si>
  <si>
    <r>
      <t xml:space="preserve">Respiratory inorganics </t>
    </r>
    <r>
      <rPr>
        <b/>
        <i/>
        <sz val="12"/>
        <color theme="0"/>
        <rFont val="Calibri"/>
        <family val="2"/>
        <scheme val="minor"/>
      </rPr>
      <t>(disease inc.)</t>
    </r>
  </si>
  <si>
    <r>
      <t xml:space="preserve">Acidification terrestrial and freshwater </t>
    </r>
    <r>
      <rPr>
        <b/>
        <i/>
        <sz val="12"/>
        <color theme="0"/>
        <rFont val="Calibri"/>
        <family val="2"/>
        <scheme val="minor"/>
      </rPr>
      <t>(mol H+ eq.)</t>
    </r>
  </si>
  <si>
    <t>Rivestimento schienale</t>
  </si>
  <si>
    <t>Rivestimento sedile</t>
  </si>
  <si>
    <t>Non presente benckmark</t>
  </si>
  <si>
    <r>
      <t xml:space="preserve">Scrivere quantità nelle </t>
    </r>
    <r>
      <rPr>
        <b/>
        <sz val="14"/>
        <color theme="1"/>
        <rFont val="Calibri"/>
        <family val="2"/>
        <scheme val="minor"/>
      </rPr>
      <t>celle bianche</t>
    </r>
  </si>
  <si>
    <r>
      <t xml:space="preserve">Selezionare opzione dai </t>
    </r>
    <r>
      <rPr>
        <b/>
        <sz val="14"/>
        <color theme="1"/>
        <rFont val="Calibri"/>
        <family val="2"/>
        <scheme val="minor"/>
      </rPr>
      <t>menù a tendina</t>
    </r>
  </si>
  <si>
    <t>Qui si possono leggere i risultati. Le celle verdi/rosse evidenziano che quello specifico risultato d'impatto è minore/maggiore rispetto al benchmark</t>
  </si>
  <si>
    <t>Fine vita materiali sedia</t>
  </si>
  <si>
    <t>Fine vita materiali pack</t>
  </si>
  <si>
    <t>Totale produzione e approvvigionamento componenti sedia</t>
  </si>
  <si>
    <t>Produzione e approvvigionamento packaging</t>
  </si>
  <si>
    <t>Distribuzione</t>
  </si>
  <si>
    <t>Climate change - fossil (kg CO2/eq.)</t>
  </si>
  <si>
    <t>Resource use, energy carriers (MJ)</t>
  </si>
  <si>
    <t>Respiratory inorganics (disease inc.)</t>
  </si>
  <si>
    <t>Acidification terrestrial and freshwater (mol H+ eq.)</t>
  </si>
  <si>
    <t>Produzione e approvvigionamento componenti sedia</t>
  </si>
  <si>
    <t>FASI DEL CICLO DI VITA</t>
  </si>
  <si>
    <t>Totale</t>
  </si>
  <si>
    <t>%</t>
  </si>
  <si>
    <t>Riepilogo impatti ciclo di vita prodotto analizzato</t>
  </si>
  <si>
    <t xml:space="preserve"> %</t>
  </si>
  <si>
    <t>Riepilogo impatti  produzione e approvviggionamento componenti sedia (per componente)</t>
  </si>
  <si>
    <r>
      <t xml:space="preserve">Nel foglio </t>
    </r>
    <r>
      <rPr>
        <b/>
        <sz val="16"/>
        <color theme="1"/>
        <rFont val="Calibri"/>
        <family val="2"/>
        <scheme val="minor"/>
      </rPr>
      <t xml:space="preserve">"Riepilogo_sola lettura" </t>
    </r>
    <r>
      <rPr>
        <sz val="11"/>
        <color theme="1"/>
        <rFont val="Calibri"/>
        <family val="2"/>
        <scheme val="minor"/>
      </rPr>
      <t>si può leggere il riepilogo dei risultati di impatto per il prodotto analizzato e vedere grafici inerenti la ripartizione degli impatti nel ciclo di vita e per componenti.</t>
    </r>
  </si>
  <si>
    <r>
      <t xml:space="preserve">Le </t>
    </r>
    <r>
      <rPr>
        <b/>
        <sz val="14"/>
        <color theme="1"/>
        <rFont val="Calibri"/>
        <family val="2"/>
        <scheme val="minor"/>
      </rPr>
      <t>celle gialle</t>
    </r>
    <r>
      <rPr>
        <sz val="11"/>
        <color theme="1"/>
        <rFont val="Calibri"/>
        <family val="2"/>
        <scheme val="minor"/>
      </rPr>
      <t xml:space="preserve"> sono autocompilanti. Non si possono modificare. </t>
    </r>
  </si>
  <si>
    <t>Braccioli</t>
  </si>
  <si>
    <t>Camion Euro 5</t>
  </si>
  <si>
    <t>Camion Euro 6</t>
  </si>
  <si>
    <t xml:space="preserve">Assunzioni </t>
  </si>
  <si>
    <t xml:space="preserve"> Istruzioni</t>
  </si>
  <si>
    <r>
      <rPr>
        <i/>
        <sz val="24"/>
        <color theme="1"/>
        <rFont val="AR ESSENCE"/>
      </rPr>
      <t>Ecodesign tool</t>
    </r>
    <r>
      <rPr>
        <sz val="24"/>
        <color theme="1"/>
        <rFont val="AR ESSENCE"/>
      </rPr>
      <t xml:space="preserve">         </t>
    </r>
  </si>
  <si>
    <t>Per il fine vita della seduta è stato assunto che i componenti in metallo  (alluminio e acciaio) siano destinati a riciclo, tutto il resto a smaltimento.</t>
  </si>
  <si>
    <t>Per il fine vita del packaging della seduta è stato assunto che sia destinato a riciclo.</t>
  </si>
  <si>
    <t>L'impatto potenziale espresso dalla categoria "Climate Change" è riferito alle sole emissioni di CO2 equivalente di origine fossile.</t>
  </si>
  <si>
    <t>Il metodo utilizzato per la determinazione degli impatti potenziali è l'Environmental Footprint Method, il più aggiornato disponibile per il calcolo della PEF e diverso da quello utilizzato per le fasi di screening e di supporting studies.</t>
  </si>
  <si>
    <t>Il prodotto rappresentativo indicato come benchmark deriva dallo studio screening effettuato sulla seduta da ufficio ed è un prodotto virtuale risultante dalla media ponderata di 4 sedute da ufficio vendute sul mercato italiano.</t>
  </si>
  <si>
    <t>Nella maggior parte dei materiali indicati nel menù a tendina è compreso un processo di lavorazione. L'impatto associato corrisponde quindi alla somma tra quello del solo materiale e quello della lavorazione.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</si>
</sst>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00"/>
    <numFmt numFmtId="165" formatCode="0.00000000"/>
    <numFmt numFmtId="166" formatCode="_-* #,##0.00000_-;\-* #,##0.00000_-;_-* &quot;-&quot;??_-;_-@_-"/>
    <numFmt numFmtId="167" formatCode="0.000E+00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20"/>
      <color theme="0"/>
      <name val="AR ESSENCE"/>
    </font>
    <font>
      <b/>
      <sz val="12"/>
      <color theme="0"/>
      <name val="Arial Black"/>
      <family val="2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22"/>
      <color theme="0"/>
      <name val="AR ESSENCE"/>
    </font>
    <font>
      <i/>
      <sz val="22"/>
      <color theme="0"/>
      <name val="AR ESSENCE"/>
    </font>
    <font>
      <b/>
      <sz val="18"/>
      <color theme="0"/>
      <name val="AR ESSENCE"/>
    </font>
    <font>
      <b/>
      <sz val="14"/>
      <color theme="0"/>
      <name val="Arial Black"/>
      <family val="2"/>
    </font>
    <font>
      <b/>
      <i/>
      <sz val="12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theme="0"/>
      <name val="Calibri"/>
      <family val="2"/>
      <scheme val="minor"/>
    </font>
    <font>
      <b/>
      <sz val="14"/>
      <color theme="1"/>
      <name val="AR ESSENCE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2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6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AR ESSENCE"/>
    </font>
    <font>
      <i/>
      <sz val="24"/>
      <color theme="1"/>
      <name val="AR ESSENCE"/>
    </font>
    <font>
      <b/>
      <sz val="24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002060"/>
        <bgColor indexed="64"/>
      </patternFill>
    </fill>
  </fills>
  <borders count="57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theme="1"/>
      </bottom>
      <diagonal/>
    </border>
    <border>
      <left/>
      <right style="thin">
        <color indexed="64"/>
      </right>
      <top/>
      <bottom style="double">
        <color theme="1"/>
      </bottom>
      <diagonal/>
    </border>
    <border>
      <left style="medium">
        <color theme="0"/>
      </left>
      <right/>
      <top style="medium">
        <color theme="0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/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theme="1"/>
      </right>
      <top/>
      <bottom style="double">
        <color theme="1"/>
      </bottom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double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/>
      <right style="thin">
        <color indexed="64"/>
      </right>
      <top style="double">
        <color indexed="64"/>
      </top>
      <bottom style="thin">
        <color theme="1"/>
      </bottom>
      <diagonal/>
    </border>
    <border>
      <left/>
      <right/>
      <top style="double">
        <color indexed="64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indexed="64"/>
      </bottom>
      <diagonal/>
    </border>
    <border>
      <left style="thin">
        <color indexed="64"/>
      </left>
      <right style="thin">
        <color theme="1"/>
      </right>
      <top style="double">
        <color indexed="64"/>
      </top>
      <bottom/>
      <diagonal/>
    </border>
    <border>
      <left style="thin">
        <color indexed="64"/>
      </left>
      <right style="thin">
        <color theme="1"/>
      </right>
      <top/>
      <bottom style="double">
        <color indexed="64"/>
      </bottom>
      <diagonal/>
    </border>
    <border>
      <left style="thin">
        <color indexed="64"/>
      </left>
      <right style="thin">
        <color theme="1"/>
      </right>
      <top/>
      <bottom/>
      <diagonal/>
    </border>
    <border>
      <left/>
      <right/>
      <top style="thin">
        <color theme="1"/>
      </top>
      <bottom/>
      <diagonal/>
    </border>
    <border>
      <left/>
      <right/>
      <top style="medium">
        <color theme="0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ashDotDot">
        <color indexed="64"/>
      </right>
      <top style="double">
        <color indexed="64"/>
      </top>
      <bottom style="double">
        <color indexed="64"/>
      </bottom>
      <diagonal/>
    </border>
    <border>
      <left/>
      <right style="dashDotDot">
        <color indexed="64"/>
      </right>
      <top style="double">
        <color indexed="64"/>
      </top>
      <bottom/>
      <diagonal/>
    </border>
    <border>
      <left/>
      <right style="dashDotDot">
        <color indexed="64"/>
      </right>
      <top/>
      <bottom/>
      <diagonal/>
    </border>
    <border>
      <left/>
      <right style="dashDotDot">
        <color indexed="64"/>
      </right>
      <top style="thin">
        <color indexed="64"/>
      </top>
      <bottom style="thin">
        <color indexed="64"/>
      </bottom>
      <diagonal/>
    </border>
    <border>
      <left/>
      <right style="dashDotDot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ashDotDot">
        <color indexed="64"/>
      </right>
      <top/>
      <bottom style="double">
        <color indexed="64"/>
      </bottom>
      <diagonal/>
    </border>
    <border>
      <left/>
      <right style="dashDotDot">
        <color indexed="64"/>
      </right>
      <top/>
      <bottom style="double">
        <color indexed="64"/>
      </bottom>
      <diagonal/>
    </border>
    <border>
      <left style="thin">
        <color theme="1"/>
      </left>
      <right style="dashDotDot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1"/>
      </left>
      <right style="dashDotDot">
        <color indexed="64"/>
      </right>
      <top/>
      <bottom style="double">
        <color indexed="64"/>
      </bottom>
      <diagonal/>
    </border>
    <border>
      <left style="thin">
        <color indexed="64"/>
      </left>
      <right style="dashDotDot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dashDotDot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dashDotDot">
        <color indexed="64"/>
      </right>
      <top style="thin">
        <color indexed="64"/>
      </top>
      <bottom style="double">
        <color theme="1"/>
      </bottom>
      <diagonal/>
    </border>
    <border>
      <left/>
      <right style="dashDotDot">
        <color indexed="64"/>
      </right>
      <top style="thin">
        <color indexed="64"/>
      </top>
      <bottom style="double">
        <color theme="1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271">
    <xf numFmtId="0" fontId="0" fillId="0" borderId="0" xfId="0"/>
    <xf numFmtId="0" fontId="0" fillId="0" borderId="0" xfId="0" applyFill="1"/>
    <xf numFmtId="0" fontId="4" fillId="0" borderId="0" xfId="0" applyFont="1"/>
    <xf numFmtId="0" fontId="4" fillId="0" borderId="0" xfId="0" applyFont="1" applyFill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Fill="1" applyAlignment="1">
      <alignment horizontal="right" vertical="center"/>
    </xf>
    <xf numFmtId="11" fontId="4" fillId="0" borderId="0" xfId="0" applyNumberFormat="1" applyFont="1"/>
    <xf numFmtId="0" fontId="0" fillId="0" borderId="0" xfId="0" applyFont="1"/>
    <xf numFmtId="0" fontId="2" fillId="0" borderId="0" xfId="0" applyFont="1"/>
    <xf numFmtId="11" fontId="4" fillId="0" borderId="0" xfId="0" applyNumberFormat="1" applyFont="1" applyFill="1" applyAlignment="1">
      <alignment horizontal="right" vertical="center"/>
    </xf>
    <xf numFmtId="11" fontId="0" fillId="0" borderId="0" xfId="0" applyNumberFormat="1" applyFill="1"/>
    <xf numFmtId="11" fontId="0" fillId="0" borderId="0" xfId="0" applyNumberFormat="1" applyFill="1" applyAlignment="1">
      <alignment horizontal="right" vertical="center"/>
    </xf>
    <xf numFmtId="0" fontId="4" fillId="0" borderId="0" xfId="0" applyFont="1" applyFill="1"/>
    <xf numFmtId="165" fontId="0" fillId="0" borderId="0" xfId="0" applyNumberFormat="1" applyFill="1"/>
    <xf numFmtId="0" fontId="4" fillId="0" borderId="0" xfId="0" applyFont="1" applyFill="1" applyAlignment="1">
      <alignment horizontal="left" vertical="center"/>
    </xf>
    <xf numFmtId="11" fontId="4" fillId="0" borderId="0" xfId="0" applyNumberFormat="1" applyFont="1" applyFill="1"/>
    <xf numFmtId="11" fontId="4" fillId="0" borderId="0" xfId="0" applyNumberFormat="1" applyFont="1" applyFill="1" applyAlignment="1">
      <alignment horizontal="left" vertical="center"/>
    </xf>
    <xf numFmtId="166" fontId="4" fillId="0" borderId="0" xfId="2" applyNumberFormat="1" applyFont="1"/>
    <xf numFmtId="0" fontId="0" fillId="0" borderId="0" xfId="0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16" borderId="0" xfId="0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3" fillId="4" borderId="0" xfId="0" applyFont="1" applyFill="1" applyBorder="1" applyAlignment="1">
      <alignment horizontal="center" vertical="center"/>
    </xf>
    <xf numFmtId="11" fontId="0" fillId="0" borderId="0" xfId="0" applyNumberFormat="1"/>
    <xf numFmtId="0" fontId="0" fillId="9" borderId="0" xfId="0" applyFill="1"/>
    <xf numFmtId="11" fontId="0" fillId="9" borderId="0" xfId="0" applyNumberFormat="1" applyFill="1"/>
    <xf numFmtId="0" fontId="3" fillId="4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right" vertical="center"/>
    </xf>
    <xf numFmtId="0" fontId="0" fillId="0" borderId="0" xfId="0" applyFill="1" applyBorder="1"/>
    <xf numFmtId="0" fontId="4" fillId="0" borderId="0" xfId="0" applyFont="1" applyFill="1" applyBorder="1"/>
    <xf numFmtId="0" fontId="0" fillId="0" borderId="0" xfId="0" applyFont="1" applyFill="1"/>
    <xf numFmtId="11" fontId="0" fillId="0" borderId="0" xfId="0" applyNumberFormat="1" applyFont="1" applyFill="1"/>
    <xf numFmtId="0" fontId="0" fillId="18" borderId="0" xfId="0" applyFill="1"/>
    <xf numFmtId="0" fontId="4" fillId="9" borderId="0" xfId="0" applyFont="1" applyFill="1"/>
    <xf numFmtId="0" fontId="2" fillId="21" borderId="0" xfId="0" applyFont="1" applyFill="1" applyAlignment="1">
      <alignment wrapText="1"/>
    </xf>
    <xf numFmtId="0" fontId="6" fillId="0" borderId="0" xfId="0" applyFont="1"/>
    <xf numFmtId="0" fontId="13" fillId="0" borderId="0" xfId="0" applyFont="1"/>
    <xf numFmtId="0" fontId="13" fillId="25" borderId="0" xfId="0" applyFont="1" applyFill="1"/>
    <xf numFmtId="0" fontId="13" fillId="0" borderId="27" xfId="0" applyFont="1" applyBorder="1"/>
    <xf numFmtId="0" fontId="0" fillId="0" borderId="27" xfId="0" applyBorder="1"/>
    <xf numFmtId="0" fontId="13" fillId="0" borderId="28" xfId="0" applyFont="1" applyBorder="1"/>
    <xf numFmtId="0" fontId="0" fillId="0" borderId="28" xfId="0" applyBorder="1"/>
    <xf numFmtId="0" fontId="7" fillId="16" borderId="28" xfId="0" applyFont="1" applyFill="1" applyBorder="1" applyAlignment="1">
      <alignment vertical="center"/>
    </xf>
    <xf numFmtId="0" fontId="4" fillId="16" borderId="28" xfId="0" applyFont="1" applyFill="1" applyBorder="1"/>
    <xf numFmtId="0" fontId="0" fillId="19" borderId="0" xfId="0" applyFill="1"/>
    <xf numFmtId="0" fontId="0" fillId="19" borderId="0" xfId="0" applyFont="1" applyFill="1"/>
    <xf numFmtId="0" fontId="0" fillId="19" borderId="0" xfId="0" applyFill="1" applyAlignment="1">
      <alignment wrapText="1"/>
    </xf>
    <xf numFmtId="0" fontId="0" fillId="19" borderId="0" xfId="0" applyFill="1" applyAlignment="1">
      <alignment vertical="center" wrapText="1"/>
    </xf>
    <xf numFmtId="0" fontId="0" fillId="26" borderId="0" xfId="0" applyFill="1"/>
    <xf numFmtId="0" fontId="21" fillId="18" borderId="7" xfId="0" applyFont="1" applyFill="1" applyBorder="1" applyAlignment="1">
      <alignment horizontal="center" vertical="center" wrapText="1"/>
    </xf>
    <xf numFmtId="0" fontId="0" fillId="6" borderId="7" xfId="0" applyFill="1" applyBorder="1"/>
    <xf numFmtId="0" fontId="32" fillId="6" borderId="7" xfId="0" applyFont="1" applyFill="1" applyBorder="1"/>
    <xf numFmtId="164" fontId="0" fillId="8" borderId="7" xfId="0" applyNumberFormat="1" applyFill="1" applyBorder="1"/>
    <xf numFmtId="0" fontId="7" fillId="6" borderId="7" xfId="0" applyFont="1" applyFill="1" applyBorder="1"/>
    <xf numFmtId="9" fontId="0" fillId="8" borderId="7" xfId="0" applyNumberFormat="1" applyFill="1" applyBorder="1"/>
    <xf numFmtId="9" fontId="7" fillId="6" borderId="7" xfId="0" applyNumberFormat="1" applyFont="1" applyFill="1" applyBorder="1"/>
    <xf numFmtId="0" fontId="34" fillId="26" borderId="7" xfId="0" applyFont="1" applyFill="1" applyBorder="1" applyAlignment="1">
      <alignment horizontal="center" vertical="center" wrapText="1"/>
    </xf>
    <xf numFmtId="164" fontId="7" fillId="6" borderId="7" xfId="0" applyNumberFormat="1" applyFont="1" applyFill="1" applyBorder="1"/>
    <xf numFmtId="164" fontId="0" fillId="8" borderId="8" xfId="0" applyNumberFormat="1" applyFill="1" applyBorder="1"/>
    <xf numFmtId="164" fontId="0" fillId="6" borderId="7" xfId="0" applyNumberFormat="1" applyFont="1" applyFill="1" applyBorder="1"/>
    <xf numFmtId="164" fontId="4" fillId="23" borderId="4" xfId="2" applyNumberFormat="1" applyFont="1" applyFill="1" applyBorder="1" applyAlignment="1" applyProtection="1">
      <alignment horizontal="center" vertical="top"/>
      <protection hidden="1"/>
    </xf>
    <xf numFmtId="167" fontId="4" fillId="23" borderId="28" xfId="0" applyNumberFormat="1" applyFont="1" applyFill="1" applyBorder="1" applyAlignment="1" applyProtection="1">
      <alignment horizontal="center" vertical="top"/>
      <protection hidden="1"/>
    </xf>
    <xf numFmtId="164" fontId="4" fillId="23" borderId="47" xfId="2" applyNumberFormat="1" applyFont="1" applyFill="1" applyBorder="1" applyAlignment="1" applyProtection="1">
      <alignment horizontal="center" vertical="top"/>
      <protection hidden="1"/>
    </xf>
    <xf numFmtId="164" fontId="0" fillId="18" borderId="0" xfId="0" applyNumberFormat="1" applyFill="1" applyProtection="1">
      <protection hidden="1"/>
    </xf>
    <xf numFmtId="167" fontId="0" fillId="18" borderId="0" xfId="0" applyNumberFormat="1" applyFill="1" applyProtection="1">
      <protection hidden="1"/>
    </xf>
    <xf numFmtId="164" fontId="4" fillId="23" borderId="11" xfId="2" applyNumberFormat="1" applyFont="1" applyFill="1" applyBorder="1" applyAlignment="1" applyProtection="1">
      <alignment horizontal="center" vertical="top"/>
      <protection hidden="1"/>
    </xf>
    <xf numFmtId="164" fontId="4" fillId="23" borderId="36" xfId="2" applyNumberFormat="1" applyFont="1" applyFill="1" applyBorder="1" applyAlignment="1" applyProtection="1">
      <alignment horizontal="center" vertical="top"/>
      <protection hidden="1"/>
    </xf>
    <xf numFmtId="167" fontId="4" fillId="23" borderId="37" xfId="0" applyNumberFormat="1" applyFont="1" applyFill="1" applyBorder="1" applyAlignment="1" applyProtection="1">
      <alignment horizontal="center" vertical="top"/>
      <protection hidden="1"/>
    </xf>
    <xf numFmtId="164" fontId="4" fillId="23" borderId="48" xfId="2" applyNumberFormat="1" applyFont="1" applyFill="1" applyBorder="1" applyAlignment="1" applyProtection="1">
      <alignment horizontal="center" vertical="top"/>
      <protection hidden="1"/>
    </xf>
    <xf numFmtId="164" fontId="0" fillId="18" borderId="0" xfId="0" applyNumberFormat="1" applyFill="1" applyBorder="1" applyProtection="1">
      <protection hidden="1"/>
    </xf>
    <xf numFmtId="167" fontId="0" fillId="18" borderId="0" xfId="0" applyNumberFormat="1" applyFill="1" applyBorder="1" applyProtection="1">
      <protection hidden="1"/>
    </xf>
    <xf numFmtId="164" fontId="28" fillId="6" borderId="10" xfId="2" applyNumberFormat="1" applyFont="1" applyFill="1" applyBorder="1" applyAlignment="1" applyProtection="1">
      <alignment horizontal="center" vertical="top"/>
      <protection hidden="1"/>
    </xf>
    <xf numFmtId="167" fontId="28" fillId="23" borderId="37" xfId="0" applyNumberFormat="1" applyFont="1" applyFill="1" applyBorder="1" applyAlignment="1" applyProtection="1">
      <alignment horizontal="center" vertical="top"/>
      <protection hidden="1"/>
    </xf>
    <xf numFmtId="164" fontId="28" fillId="6" borderId="49" xfId="2" applyNumberFormat="1" applyFont="1" applyFill="1" applyBorder="1" applyAlignment="1" applyProtection="1">
      <alignment horizontal="center" vertical="top"/>
      <protection hidden="1"/>
    </xf>
    <xf numFmtId="164" fontId="28" fillId="22" borderId="36" xfId="2" applyNumberFormat="1" applyFont="1" applyFill="1" applyBorder="1" applyAlignment="1" applyProtection="1">
      <alignment horizontal="center" vertical="top"/>
      <protection hidden="1"/>
    </xf>
    <xf numFmtId="164" fontId="28" fillId="22" borderId="11" xfId="2" applyNumberFormat="1" applyFont="1" applyFill="1" applyBorder="1" applyAlignment="1" applyProtection="1">
      <alignment horizontal="center" vertical="top"/>
      <protection hidden="1"/>
    </xf>
    <xf numFmtId="167" fontId="28" fillId="22" borderId="11" xfId="0" applyNumberFormat="1" applyFont="1" applyFill="1" applyBorder="1" applyAlignment="1" applyProtection="1">
      <alignment horizontal="center" vertical="top"/>
      <protection hidden="1"/>
    </xf>
    <xf numFmtId="164" fontId="0" fillId="18" borderId="46" xfId="0" applyNumberFormat="1" applyFill="1" applyBorder="1" applyProtection="1">
      <protection hidden="1"/>
    </xf>
    <xf numFmtId="164" fontId="4" fillId="23" borderId="4" xfId="2" applyNumberFormat="1" applyFont="1" applyFill="1" applyBorder="1" applyAlignment="1" applyProtection="1">
      <alignment horizontal="center"/>
      <protection hidden="1"/>
    </xf>
    <xf numFmtId="164" fontId="4" fillId="23" borderId="7" xfId="2" applyNumberFormat="1" applyFont="1" applyFill="1" applyBorder="1" applyAlignment="1" applyProtection="1">
      <alignment horizontal="center"/>
      <protection hidden="1"/>
    </xf>
    <xf numFmtId="167" fontId="4" fillId="23" borderId="28" xfId="0" applyNumberFormat="1" applyFont="1" applyFill="1" applyBorder="1" applyAlignment="1" applyProtection="1">
      <alignment horizontal="center"/>
      <protection hidden="1"/>
    </xf>
    <xf numFmtId="164" fontId="4" fillId="23" borderId="47" xfId="2" applyNumberFormat="1" applyFont="1" applyFill="1" applyBorder="1" applyAlignment="1" applyProtection="1">
      <alignment horizontal="center"/>
      <protection hidden="1"/>
    </xf>
    <xf numFmtId="164" fontId="18" fillId="18" borderId="6" xfId="2" applyNumberFormat="1" applyFont="1" applyFill="1" applyBorder="1" applyAlignment="1" applyProtection="1">
      <alignment horizontal="right" vertical="top"/>
      <protection hidden="1"/>
    </xf>
    <xf numFmtId="167" fontId="18" fillId="18" borderId="6" xfId="2" applyNumberFormat="1" applyFont="1" applyFill="1" applyBorder="1" applyAlignment="1" applyProtection="1">
      <alignment horizontal="right" vertical="top"/>
      <protection hidden="1"/>
    </xf>
    <xf numFmtId="164" fontId="18" fillId="18" borderId="50" xfId="2" applyNumberFormat="1" applyFont="1" applyFill="1" applyBorder="1" applyAlignment="1" applyProtection="1">
      <alignment horizontal="right" vertical="top"/>
      <protection hidden="1"/>
    </xf>
    <xf numFmtId="164" fontId="0" fillId="18" borderId="6" xfId="0" applyNumberFormat="1" applyFill="1" applyBorder="1" applyProtection="1">
      <protection hidden="1"/>
    </xf>
    <xf numFmtId="167" fontId="0" fillId="18" borderId="6" xfId="0" applyNumberFormat="1" applyFill="1" applyBorder="1" applyProtection="1">
      <protection hidden="1"/>
    </xf>
    <xf numFmtId="0" fontId="0" fillId="18" borderId="0" xfId="0" applyFill="1" applyProtection="1">
      <protection hidden="1"/>
    </xf>
    <xf numFmtId="0" fontId="0" fillId="18" borderId="0" xfId="0" applyFill="1" applyBorder="1" applyProtection="1">
      <protection hidden="1"/>
    </xf>
    <xf numFmtId="164" fontId="18" fillId="18" borderId="6" xfId="2" applyNumberFormat="1" applyFont="1" applyFill="1" applyBorder="1" applyAlignment="1" applyProtection="1">
      <alignment vertical="top"/>
      <protection hidden="1"/>
    </xf>
    <xf numFmtId="167" fontId="18" fillId="18" borderId="6" xfId="2" applyNumberFormat="1" applyFont="1" applyFill="1" applyBorder="1" applyAlignment="1" applyProtection="1">
      <alignment vertical="top"/>
      <protection hidden="1"/>
    </xf>
    <xf numFmtId="164" fontId="18" fillId="18" borderId="50" xfId="2" applyNumberFormat="1" applyFont="1" applyFill="1" applyBorder="1" applyAlignment="1" applyProtection="1">
      <alignment vertical="top"/>
      <protection hidden="1"/>
    </xf>
    <xf numFmtId="164" fontId="4" fillId="23" borderId="11" xfId="2" applyNumberFormat="1" applyFont="1" applyFill="1" applyBorder="1" applyAlignment="1" applyProtection="1">
      <alignment horizontal="center"/>
      <protection hidden="1"/>
    </xf>
    <xf numFmtId="164" fontId="4" fillId="23" borderId="36" xfId="2" applyNumberFormat="1" applyFont="1" applyFill="1" applyBorder="1" applyAlignment="1" applyProtection="1">
      <alignment horizontal="center"/>
      <protection hidden="1"/>
    </xf>
    <xf numFmtId="167" fontId="4" fillId="23" borderId="37" xfId="0" applyNumberFormat="1" applyFont="1" applyFill="1" applyBorder="1" applyAlignment="1" applyProtection="1">
      <alignment horizontal="center"/>
      <protection hidden="1"/>
    </xf>
    <xf numFmtId="164" fontId="4" fillId="23" borderId="48" xfId="2" applyNumberFormat="1" applyFont="1" applyFill="1" applyBorder="1" applyAlignment="1" applyProtection="1">
      <alignment horizontal="center"/>
      <protection hidden="1"/>
    </xf>
    <xf numFmtId="164" fontId="0" fillId="18" borderId="0" xfId="0" applyNumberFormat="1" applyFill="1" applyAlignment="1" applyProtection="1">
      <alignment vertical="top"/>
      <protection hidden="1"/>
    </xf>
    <xf numFmtId="167" fontId="0" fillId="18" borderId="0" xfId="0" applyNumberFormat="1" applyFill="1" applyAlignment="1" applyProtection="1">
      <alignment vertical="top"/>
      <protection hidden="1"/>
    </xf>
    <xf numFmtId="164" fontId="0" fillId="18" borderId="46" xfId="0" applyNumberFormat="1" applyFill="1" applyBorder="1" applyAlignment="1" applyProtection="1">
      <alignment vertical="top"/>
      <protection hidden="1"/>
    </xf>
    <xf numFmtId="164" fontId="4" fillId="23" borderId="51" xfId="2" applyNumberFormat="1" applyFont="1" applyFill="1" applyBorder="1" applyAlignment="1" applyProtection="1">
      <alignment horizontal="center"/>
      <protection hidden="1"/>
    </xf>
    <xf numFmtId="164" fontId="28" fillId="6" borderId="52" xfId="2" applyNumberFormat="1" applyFont="1" applyFill="1" applyBorder="1" applyAlignment="1" applyProtection="1">
      <alignment horizontal="center" vertical="top"/>
      <protection hidden="1"/>
    </xf>
    <xf numFmtId="164" fontId="31" fillId="18" borderId="0" xfId="0" applyNumberFormat="1" applyFont="1" applyFill="1" applyBorder="1" applyProtection="1">
      <protection hidden="1"/>
    </xf>
    <xf numFmtId="164" fontId="4" fillId="23" borderId="7" xfId="2" applyNumberFormat="1" applyFont="1" applyFill="1" applyBorder="1" applyAlignment="1" applyProtection="1">
      <alignment horizontal="center" vertical="top"/>
      <protection hidden="1"/>
    </xf>
    <xf numFmtId="164" fontId="4" fillId="23" borderId="4" xfId="2" applyNumberFormat="1" applyFont="1" applyFill="1" applyBorder="1" applyAlignment="1" applyProtection="1">
      <alignment horizontal="center" vertical="center"/>
      <protection hidden="1"/>
    </xf>
    <xf numFmtId="167" fontId="4" fillId="23" borderId="28" xfId="0" applyNumberFormat="1" applyFont="1" applyFill="1" applyBorder="1" applyAlignment="1" applyProtection="1">
      <alignment horizontal="center" vertical="center"/>
      <protection hidden="1"/>
    </xf>
    <xf numFmtId="164" fontId="4" fillId="23" borderId="47" xfId="2" applyNumberFormat="1" applyFont="1" applyFill="1" applyBorder="1" applyAlignment="1" applyProtection="1">
      <alignment horizontal="center" vertical="center"/>
      <protection hidden="1"/>
    </xf>
    <xf numFmtId="164" fontId="4" fillId="23" borderId="11" xfId="2" applyNumberFormat="1" applyFont="1" applyFill="1" applyBorder="1" applyAlignment="1" applyProtection="1">
      <alignment horizontal="center" vertical="center"/>
      <protection hidden="1"/>
    </xf>
    <xf numFmtId="164" fontId="4" fillId="23" borderId="36" xfId="2" applyNumberFormat="1" applyFont="1" applyFill="1" applyBorder="1" applyAlignment="1" applyProtection="1">
      <alignment horizontal="center" vertical="center"/>
      <protection hidden="1"/>
    </xf>
    <xf numFmtId="167" fontId="4" fillId="23" borderId="37" xfId="0" applyNumberFormat="1" applyFont="1" applyFill="1" applyBorder="1" applyAlignment="1" applyProtection="1">
      <alignment horizontal="center" vertical="center"/>
      <protection hidden="1"/>
    </xf>
    <xf numFmtId="164" fontId="4" fillId="23" borderId="48" xfId="2" applyNumberFormat="1" applyFont="1" applyFill="1" applyBorder="1" applyAlignment="1" applyProtection="1">
      <alignment horizontal="center" vertical="center"/>
      <protection hidden="1"/>
    </xf>
    <xf numFmtId="164" fontId="27" fillId="18" borderId="6" xfId="2" applyNumberFormat="1" applyFont="1" applyFill="1" applyBorder="1" applyAlignment="1" applyProtection="1">
      <alignment vertical="top"/>
      <protection hidden="1"/>
    </xf>
    <xf numFmtId="167" fontId="27" fillId="18" borderId="6" xfId="2" applyNumberFormat="1" applyFont="1" applyFill="1" applyBorder="1" applyAlignment="1" applyProtection="1">
      <alignment vertical="top"/>
      <protection hidden="1"/>
    </xf>
    <xf numFmtId="164" fontId="27" fillId="18" borderId="50" xfId="2" applyNumberFormat="1" applyFont="1" applyFill="1" applyBorder="1" applyAlignment="1" applyProtection="1">
      <alignment vertical="top"/>
      <protection hidden="1"/>
    </xf>
    <xf numFmtId="164" fontId="0" fillId="18" borderId="6" xfId="0" applyNumberFormat="1" applyFont="1" applyFill="1" applyBorder="1" applyProtection="1">
      <protection hidden="1"/>
    </xf>
    <xf numFmtId="167" fontId="0" fillId="18" borderId="6" xfId="0" applyNumberFormat="1" applyFont="1" applyFill="1" applyBorder="1" applyProtection="1">
      <protection hidden="1"/>
    </xf>
    <xf numFmtId="164" fontId="18" fillId="18" borderId="6" xfId="2" applyNumberFormat="1" applyFont="1" applyFill="1" applyBorder="1" applyAlignment="1" applyProtection="1">
      <alignment vertical="center"/>
      <protection hidden="1"/>
    </xf>
    <xf numFmtId="167" fontId="18" fillId="18" borderId="6" xfId="2" applyNumberFormat="1" applyFont="1" applyFill="1" applyBorder="1" applyAlignment="1" applyProtection="1">
      <alignment vertical="center"/>
      <protection hidden="1"/>
    </xf>
    <xf numFmtId="164" fontId="18" fillId="18" borderId="50" xfId="2" applyNumberFormat="1" applyFont="1" applyFill="1" applyBorder="1" applyAlignment="1" applyProtection="1">
      <alignment vertical="center"/>
      <protection hidden="1"/>
    </xf>
    <xf numFmtId="167" fontId="4" fillId="23" borderId="7" xfId="0" applyNumberFormat="1" applyFont="1" applyFill="1" applyBorder="1" applyAlignment="1" applyProtection="1">
      <alignment horizontal="center"/>
      <protection hidden="1"/>
    </xf>
    <xf numFmtId="164" fontId="4" fillId="23" borderId="53" xfId="2" applyNumberFormat="1" applyFont="1" applyFill="1" applyBorder="1" applyAlignment="1" applyProtection="1">
      <alignment horizontal="center"/>
      <protection hidden="1"/>
    </xf>
    <xf numFmtId="164" fontId="4" fillId="18" borderId="6" xfId="2" applyNumberFormat="1" applyFont="1" applyFill="1" applyBorder="1" applyProtection="1">
      <protection hidden="1"/>
    </xf>
    <xf numFmtId="167" fontId="4" fillId="18" borderId="6" xfId="0" applyNumberFormat="1" applyFont="1" applyFill="1" applyBorder="1" applyProtection="1">
      <protection hidden="1"/>
    </xf>
    <xf numFmtId="164" fontId="4" fillId="18" borderId="50" xfId="2" applyNumberFormat="1" applyFont="1" applyFill="1" applyBorder="1" applyProtection="1">
      <protection hidden="1"/>
    </xf>
    <xf numFmtId="164" fontId="4" fillId="23" borderId="54" xfId="2" applyNumberFormat="1" applyFont="1" applyFill="1" applyBorder="1" applyAlignment="1" applyProtection="1">
      <alignment horizontal="center"/>
      <protection hidden="1"/>
    </xf>
    <xf numFmtId="164" fontId="4" fillId="23" borderId="22" xfId="2" applyNumberFormat="1" applyFont="1" applyFill="1" applyBorder="1" applyAlignment="1" applyProtection="1">
      <alignment horizontal="center"/>
      <protection hidden="1"/>
    </xf>
    <xf numFmtId="167" fontId="4" fillId="23" borderId="29" xfId="0" applyNumberFormat="1" applyFont="1" applyFill="1" applyBorder="1" applyAlignment="1" applyProtection="1">
      <alignment horizontal="center"/>
      <protection hidden="1"/>
    </xf>
    <xf numFmtId="164" fontId="4" fillId="23" borderId="55" xfId="2" applyNumberFormat="1" applyFont="1" applyFill="1" applyBorder="1" applyAlignment="1" applyProtection="1">
      <alignment horizontal="center"/>
      <protection hidden="1"/>
    </xf>
    <xf numFmtId="164" fontId="4" fillId="23" borderId="56" xfId="2" applyNumberFormat="1" applyFont="1" applyFill="1" applyBorder="1" applyAlignment="1" applyProtection="1">
      <alignment horizontal="center"/>
      <protection hidden="1"/>
    </xf>
    <xf numFmtId="164" fontId="0" fillId="18" borderId="18" xfId="0" applyNumberFormat="1" applyFill="1" applyBorder="1" applyProtection="1">
      <protection hidden="1"/>
    </xf>
    <xf numFmtId="167" fontId="0" fillId="18" borderId="18" xfId="0" applyNumberFormat="1" applyFill="1" applyBorder="1" applyProtection="1">
      <protection hidden="1"/>
    </xf>
    <xf numFmtId="164" fontId="4" fillId="23" borderId="7" xfId="2" applyNumberFormat="1" applyFont="1" applyFill="1" applyBorder="1" applyAlignment="1" applyProtection="1">
      <alignment horizontal="center" vertical="center"/>
      <protection hidden="1"/>
    </xf>
    <xf numFmtId="164" fontId="4" fillId="23" borderId="22" xfId="2" applyNumberFormat="1" applyFont="1" applyFill="1" applyBorder="1" applyAlignment="1" applyProtection="1">
      <alignment horizontal="center" vertical="center"/>
      <protection hidden="1"/>
    </xf>
    <xf numFmtId="167" fontId="4" fillId="23" borderId="29" xfId="0" applyNumberFormat="1" applyFont="1" applyFill="1" applyBorder="1" applyAlignment="1" applyProtection="1">
      <alignment horizontal="center" vertical="center"/>
      <protection hidden="1"/>
    </xf>
    <xf numFmtId="164" fontId="4" fillId="23" borderId="56" xfId="2" applyNumberFormat="1" applyFont="1" applyFill="1" applyBorder="1" applyAlignment="1" applyProtection="1">
      <alignment horizontal="center" vertical="center"/>
      <protection hidden="1"/>
    </xf>
    <xf numFmtId="164" fontId="0" fillId="18" borderId="12" xfId="0" applyNumberFormat="1" applyFill="1" applyBorder="1" applyProtection="1">
      <protection hidden="1"/>
    </xf>
    <xf numFmtId="167" fontId="0" fillId="18" borderId="12" xfId="0" applyNumberFormat="1" applyFill="1" applyBorder="1" applyProtection="1">
      <protection hidden="1"/>
    </xf>
    <xf numFmtId="164" fontId="0" fillId="18" borderId="44" xfId="0" applyNumberFormat="1" applyFill="1" applyBorder="1" applyProtection="1">
      <protection hidden="1"/>
    </xf>
    <xf numFmtId="0" fontId="4" fillId="18" borderId="0" xfId="0" applyFont="1" applyFill="1" applyBorder="1" applyProtection="1">
      <protection locked="0" hidden="1"/>
    </xf>
    <xf numFmtId="0" fontId="7" fillId="3" borderId="1" xfId="0" applyFont="1" applyFill="1" applyBorder="1" applyAlignment="1" applyProtection="1">
      <alignment vertical="center"/>
      <protection locked="0" hidden="1"/>
    </xf>
    <xf numFmtId="0" fontId="4" fillId="19" borderId="7" xfId="0" applyFont="1" applyFill="1" applyBorder="1" applyProtection="1">
      <protection locked="0" hidden="1"/>
    </xf>
    <xf numFmtId="0" fontId="4" fillId="19" borderId="8" xfId="0" applyFont="1" applyFill="1" applyBorder="1" applyProtection="1">
      <protection locked="0" hidden="1"/>
    </xf>
    <xf numFmtId="0" fontId="7" fillId="18" borderId="0" xfId="0" applyFont="1" applyFill="1" applyBorder="1" applyAlignment="1" applyProtection="1">
      <alignment vertical="center"/>
      <protection locked="0" hidden="1"/>
    </xf>
    <xf numFmtId="0" fontId="7" fillId="3" borderId="2" xfId="0" applyFont="1" applyFill="1" applyBorder="1" applyAlignment="1" applyProtection="1">
      <alignment vertical="center"/>
      <protection locked="0" hidden="1"/>
    </xf>
    <xf numFmtId="0" fontId="4" fillId="19" borderId="8" xfId="0" quotePrefix="1" applyFont="1" applyFill="1" applyBorder="1" applyProtection="1">
      <protection locked="0" hidden="1"/>
    </xf>
    <xf numFmtId="0" fontId="7" fillId="3" borderId="42" xfId="0" applyFont="1" applyFill="1" applyBorder="1" applyAlignment="1" applyProtection="1">
      <alignment vertical="center"/>
      <protection locked="0" hidden="1"/>
    </xf>
    <xf numFmtId="0" fontId="4" fillId="19" borderId="17" xfId="0" applyFont="1" applyFill="1" applyBorder="1" applyProtection="1">
      <protection locked="0" hidden="1"/>
    </xf>
    <xf numFmtId="0" fontId="7" fillId="3" borderId="35" xfId="0" applyFont="1" applyFill="1" applyBorder="1" applyAlignment="1" applyProtection="1">
      <alignment vertical="center"/>
      <protection locked="0" hidden="1"/>
    </xf>
    <xf numFmtId="0" fontId="7" fillId="3" borderId="20" xfId="0" applyFont="1" applyFill="1" applyBorder="1" applyAlignment="1" applyProtection="1">
      <alignment vertical="center"/>
      <protection locked="0" hidden="1"/>
    </xf>
    <xf numFmtId="0" fontId="4" fillId="19" borderId="22" xfId="0" applyFont="1" applyFill="1" applyBorder="1" applyProtection="1">
      <protection locked="0" hidden="1"/>
    </xf>
    <xf numFmtId="0" fontId="4" fillId="19" borderId="21" xfId="0" applyFont="1" applyFill="1" applyBorder="1" applyProtection="1">
      <protection locked="0" hidden="1"/>
    </xf>
    <xf numFmtId="0" fontId="4" fillId="16" borderId="11" xfId="0" applyFont="1" applyFill="1" applyBorder="1" applyProtection="1">
      <protection hidden="1"/>
    </xf>
    <xf numFmtId="0" fontId="4" fillId="16" borderId="22" xfId="0" applyFont="1" applyFill="1" applyBorder="1" applyProtection="1">
      <protection hidden="1"/>
    </xf>
    <xf numFmtId="0" fontId="4" fillId="16" borderId="24" xfId="0" applyFont="1" applyFill="1" applyBorder="1" applyProtection="1">
      <protection hidden="1"/>
    </xf>
    <xf numFmtId="0" fontId="4" fillId="16" borderId="23" xfId="0" applyFont="1" applyFill="1" applyBorder="1" applyProtection="1">
      <protection hidden="1"/>
    </xf>
    <xf numFmtId="0" fontId="19" fillId="18" borderId="0" xfId="0" applyFont="1" applyFill="1" applyBorder="1" applyAlignment="1" applyProtection="1">
      <alignment horizontal="center"/>
      <protection hidden="1"/>
    </xf>
    <xf numFmtId="0" fontId="4" fillId="16" borderId="34" xfId="0" applyFont="1" applyFill="1" applyBorder="1" applyProtection="1">
      <protection hidden="1"/>
    </xf>
    <xf numFmtId="0" fontId="4" fillId="16" borderId="8" xfId="0" applyFont="1" applyFill="1" applyBorder="1" applyProtection="1">
      <protection hidden="1"/>
    </xf>
    <xf numFmtId="0" fontId="4" fillId="16" borderId="7" xfId="0" applyFont="1" applyFill="1" applyBorder="1" applyProtection="1">
      <protection hidden="1"/>
    </xf>
    <xf numFmtId="0" fontId="4" fillId="16" borderId="21" xfId="0" applyFont="1" applyFill="1" applyBorder="1" applyProtection="1">
      <protection hidden="1"/>
    </xf>
    <xf numFmtId="0" fontId="22" fillId="18" borderId="0" xfId="0" applyFont="1" applyFill="1" applyBorder="1" applyProtection="1">
      <protection hidden="1"/>
    </xf>
    <xf numFmtId="0" fontId="7" fillId="16" borderId="1" xfId="0" applyFont="1" applyFill="1" applyBorder="1" applyAlignment="1" applyProtection="1">
      <alignment vertical="center"/>
      <protection hidden="1"/>
    </xf>
    <xf numFmtId="0" fontId="7" fillId="16" borderId="20" xfId="0" applyFont="1" applyFill="1" applyBorder="1" applyAlignment="1" applyProtection="1">
      <alignment vertical="center"/>
      <protection hidden="1"/>
    </xf>
    <xf numFmtId="0" fontId="14" fillId="18" borderId="0" xfId="0" applyFont="1" applyFill="1" applyBorder="1" applyAlignment="1" applyProtection="1">
      <alignment horizontal="left" vertical="center" wrapText="1"/>
      <protection hidden="1"/>
    </xf>
    <xf numFmtId="0" fontId="4" fillId="18" borderId="0" xfId="0" applyFont="1" applyFill="1" applyBorder="1" applyProtection="1">
      <protection hidden="1"/>
    </xf>
    <xf numFmtId="0" fontId="4" fillId="18" borderId="0" xfId="0" applyFont="1" applyFill="1" applyAlignment="1" applyProtection="1">
      <alignment horizontal="left"/>
      <protection hidden="1"/>
    </xf>
    <xf numFmtId="0" fontId="12" fillId="18" borderId="6" xfId="0" applyFont="1" applyFill="1" applyBorder="1" applyProtection="1">
      <protection hidden="1"/>
    </xf>
    <xf numFmtId="0" fontId="20" fillId="18" borderId="6" xfId="0" applyFont="1" applyFill="1" applyBorder="1" applyAlignment="1" applyProtection="1">
      <alignment horizontal="left" vertical="top" wrapText="1"/>
      <protection hidden="1"/>
    </xf>
    <xf numFmtId="0" fontId="21" fillId="18" borderId="6" xfId="0" applyFont="1" applyFill="1" applyBorder="1" applyProtection="1">
      <protection hidden="1"/>
    </xf>
    <xf numFmtId="0" fontId="21" fillId="18" borderId="6" xfId="0" applyFont="1" applyFill="1" applyBorder="1" applyAlignment="1" applyProtection="1">
      <alignment horizontal="left"/>
      <protection hidden="1"/>
    </xf>
    <xf numFmtId="0" fontId="21" fillId="18" borderId="12" xfId="0" applyFont="1" applyFill="1" applyBorder="1" applyAlignment="1" applyProtection="1">
      <alignment horizontal="center" vertical="center" wrapText="1"/>
      <protection hidden="1"/>
    </xf>
    <xf numFmtId="0" fontId="21" fillId="18" borderId="6" xfId="0" applyFont="1" applyFill="1" applyBorder="1" applyAlignment="1" applyProtection="1">
      <alignment horizontal="center" vertical="center" wrapText="1"/>
      <protection hidden="1"/>
    </xf>
    <xf numFmtId="0" fontId="21" fillId="18" borderId="43" xfId="0" applyFont="1" applyFill="1" applyBorder="1" applyAlignment="1" applyProtection="1">
      <alignment horizontal="center" vertical="center" wrapText="1"/>
      <protection hidden="1"/>
    </xf>
    <xf numFmtId="0" fontId="17" fillId="24" borderId="31" xfId="0" applyFont="1" applyFill="1" applyBorder="1" applyAlignment="1" applyProtection="1">
      <alignment vertical="center"/>
      <protection hidden="1"/>
    </xf>
    <xf numFmtId="0" fontId="17" fillId="24" borderId="30" xfId="0" applyFont="1" applyFill="1" applyBorder="1" applyAlignment="1" applyProtection="1">
      <alignment vertical="center"/>
      <protection hidden="1"/>
    </xf>
    <xf numFmtId="0" fontId="0" fillId="18" borderId="0" xfId="0" applyFill="1" applyBorder="1" applyAlignment="1" applyProtection="1">
      <alignment horizontal="center" vertical="center" wrapText="1"/>
      <protection hidden="1"/>
    </xf>
    <xf numFmtId="0" fontId="0" fillId="18" borderId="45" xfId="0" applyFill="1" applyBorder="1" applyProtection="1">
      <protection hidden="1"/>
    </xf>
    <xf numFmtId="0" fontId="18" fillId="18" borderId="0" xfId="0" applyFont="1" applyFill="1" applyBorder="1" applyAlignment="1" applyProtection="1">
      <alignment horizontal="center"/>
      <protection hidden="1"/>
    </xf>
    <xf numFmtId="0" fontId="18" fillId="18" borderId="0" xfId="0" applyFont="1" applyFill="1" applyBorder="1" applyAlignment="1" applyProtection="1">
      <alignment horizontal="left"/>
      <protection hidden="1"/>
    </xf>
    <xf numFmtId="0" fontId="0" fillId="18" borderId="46" xfId="0" applyFill="1" applyBorder="1" applyProtection="1">
      <protection hidden="1"/>
    </xf>
    <xf numFmtId="0" fontId="4" fillId="18" borderId="16" xfId="0" applyFont="1" applyFill="1" applyBorder="1" applyAlignment="1" applyProtection="1">
      <alignment horizontal="left"/>
      <protection hidden="1"/>
    </xf>
    <xf numFmtId="0" fontId="7" fillId="18" borderId="0" xfId="0" applyFont="1" applyFill="1" applyBorder="1" applyAlignment="1" applyProtection="1">
      <alignment vertical="center"/>
      <protection hidden="1"/>
    </xf>
    <xf numFmtId="0" fontId="26" fillId="18" borderId="0" xfId="0" applyFont="1" applyFill="1" applyBorder="1" applyAlignment="1" applyProtection="1">
      <alignment horizontal="right"/>
      <protection hidden="1"/>
    </xf>
    <xf numFmtId="0" fontId="4" fillId="18" borderId="0" xfId="0" applyFont="1" applyFill="1" applyBorder="1" applyAlignment="1" applyProtection="1">
      <alignment horizontal="left"/>
      <protection hidden="1"/>
    </xf>
    <xf numFmtId="0" fontId="7" fillId="18" borderId="6" xfId="0" applyFont="1" applyFill="1" applyBorder="1" applyAlignment="1" applyProtection="1">
      <alignment vertical="center"/>
      <protection hidden="1"/>
    </xf>
    <xf numFmtId="0" fontId="4" fillId="18" borderId="6" xfId="0" applyFont="1" applyFill="1" applyBorder="1" applyProtection="1">
      <protection hidden="1"/>
    </xf>
    <xf numFmtId="0" fontId="26" fillId="18" borderId="6" xfId="0" applyFont="1" applyFill="1" applyBorder="1" applyAlignment="1" applyProtection="1">
      <alignment horizontal="right"/>
      <protection hidden="1"/>
    </xf>
    <xf numFmtId="0" fontId="0" fillId="18" borderId="6" xfId="0" applyFill="1" applyBorder="1" applyProtection="1">
      <protection hidden="1"/>
    </xf>
    <xf numFmtId="0" fontId="4" fillId="18" borderId="6" xfId="0" applyFont="1" applyFill="1" applyBorder="1" applyAlignment="1" applyProtection="1">
      <alignment horizontal="left"/>
      <protection hidden="1"/>
    </xf>
    <xf numFmtId="0" fontId="0" fillId="18" borderId="0" xfId="0" applyFont="1" applyFill="1" applyBorder="1" applyAlignment="1" applyProtection="1">
      <alignment vertical="center"/>
      <protection hidden="1"/>
    </xf>
    <xf numFmtId="0" fontId="0" fillId="18" borderId="0" xfId="0" applyFont="1" applyFill="1" applyBorder="1" applyProtection="1">
      <protection hidden="1"/>
    </xf>
    <xf numFmtId="0" fontId="0" fillId="18" borderId="6" xfId="0" applyFont="1" applyFill="1" applyBorder="1" applyAlignment="1" applyProtection="1">
      <alignment vertical="center"/>
      <protection hidden="1"/>
    </xf>
    <xf numFmtId="0" fontId="0" fillId="18" borderId="6" xfId="0" applyFont="1" applyFill="1" applyBorder="1" applyProtection="1">
      <protection hidden="1"/>
    </xf>
    <xf numFmtId="0" fontId="5" fillId="18" borderId="14" xfId="0" applyFont="1" applyFill="1" applyBorder="1" applyAlignment="1" applyProtection="1">
      <alignment horizontal="left"/>
      <protection hidden="1"/>
    </xf>
    <xf numFmtId="0" fontId="4" fillId="18" borderId="19" xfId="0" applyFont="1" applyFill="1" applyBorder="1" applyAlignment="1" applyProtection="1">
      <alignment horizontal="left"/>
      <protection hidden="1"/>
    </xf>
    <xf numFmtId="0" fontId="0" fillId="18" borderId="18" xfId="0" applyFill="1" applyBorder="1" applyProtection="1">
      <protection hidden="1"/>
    </xf>
    <xf numFmtId="0" fontId="5" fillId="18" borderId="19" xfId="0" applyFont="1" applyFill="1" applyBorder="1" applyAlignment="1" applyProtection="1">
      <alignment horizontal="left"/>
      <protection hidden="1"/>
    </xf>
    <xf numFmtId="0" fontId="4" fillId="18" borderId="25" xfId="0" applyFont="1" applyFill="1" applyBorder="1" applyAlignment="1" applyProtection="1">
      <alignment horizontal="left"/>
      <protection hidden="1"/>
    </xf>
    <xf numFmtId="0" fontId="4" fillId="18" borderId="26" xfId="0" applyFont="1" applyFill="1" applyBorder="1" applyAlignment="1" applyProtection="1">
      <alignment horizontal="left"/>
      <protection hidden="1"/>
    </xf>
    <xf numFmtId="0" fontId="5" fillId="18" borderId="26" xfId="0" applyFont="1" applyFill="1" applyBorder="1" applyAlignment="1" applyProtection="1">
      <alignment horizontal="left"/>
      <protection hidden="1"/>
    </xf>
    <xf numFmtId="0" fontId="4" fillId="18" borderId="18" xfId="0" applyFont="1" applyFill="1" applyBorder="1" applyProtection="1">
      <protection hidden="1"/>
    </xf>
    <xf numFmtId="0" fontId="4" fillId="18" borderId="18" xfId="0" applyFont="1" applyFill="1" applyBorder="1" applyAlignment="1" applyProtection="1">
      <alignment horizontal="left"/>
      <protection hidden="1"/>
    </xf>
    <xf numFmtId="0" fontId="4" fillId="18" borderId="0" xfId="0" applyFont="1" applyFill="1" applyProtection="1">
      <protection hidden="1"/>
    </xf>
    <xf numFmtId="0" fontId="3" fillId="4" borderId="3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25" fillId="0" borderId="0" xfId="0" applyFont="1" applyAlignment="1">
      <alignment horizontal="center"/>
    </xf>
    <xf numFmtId="164" fontId="29" fillId="22" borderId="15" xfId="0" applyNumberFormat="1" applyFont="1" applyFill="1" applyBorder="1" applyAlignment="1" applyProtection="1">
      <alignment horizontal="center" vertical="center"/>
      <protection hidden="1"/>
    </xf>
    <xf numFmtId="164" fontId="29" fillId="22" borderId="10" xfId="0" applyNumberFormat="1" applyFont="1" applyFill="1" applyBorder="1" applyAlignment="1" applyProtection="1">
      <alignment horizontal="center" vertical="center"/>
      <protection hidden="1"/>
    </xf>
    <xf numFmtId="0" fontId="10" fillId="18" borderId="41" xfId="0" applyFont="1" applyFill="1" applyBorder="1" applyAlignment="1" applyProtection="1">
      <alignment horizontal="center" vertical="center"/>
      <protection hidden="1"/>
    </xf>
    <xf numFmtId="0" fontId="10" fillId="18" borderId="0" xfId="0" applyFont="1" applyFill="1" applyBorder="1" applyAlignment="1" applyProtection="1">
      <alignment horizontal="center" vertical="center"/>
      <protection hidden="1"/>
    </xf>
    <xf numFmtId="0" fontId="10" fillId="18" borderId="6" xfId="0" applyFont="1" applyFill="1" applyBorder="1" applyAlignment="1" applyProtection="1">
      <alignment horizontal="center" vertical="center"/>
      <protection hidden="1"/>
    </xf>
    <xf numFmtId="0" fontId="10" fillId="18" borderId="9" xfId="0" applyFont="1" applyFill="1" applyBorder="1" applyAlignment="1" applyProtection="1">
      <alignment horizontal="center" vertical="center" wrapText="1"/>
      <protection hidden="1"/>
    </xf>
    <xf numFmtId="0" fontId="10" fillId="18" borderId="0" xfId="0" applyFont="1" applyFill="1" applyBorder="1" applyAlignment="1" applyProtection="1">
      <alignment horizontal="center" vertical="center" wrapText="1"/>
      <protection hidden="1"/>
    </xf>
    <xf numFmtId="0" fontId="10" fillId="18" borderId="6" xfId="0" applyFont="1" applyFill="1" applyBorder="1" applyAlignment="1" applyProtection="1">
      <alignment horizontal="center" vertical="center" wrapText="1"/>
      <protection hidden="1"/>
    </xf>
    <xf numFmtId="0" fontId="10" fillId="18" borderId="9" xfId="0" applyFont="1" applyFill="1" applyBorder="1" applyAlignment="1" applyProtection="1">
      <alignment horizontal="center" vertical="center"/>
      <protection hidden="1"/>
    </xf>
    <xf numFmtId="164" fontId="29" fillId="22" borderId="16" xfId="0" applyNumberFormat="1" applyFont="1" applyFill="1" applyBorder="1" applyAlignment="1" applyProtection="1">
      <alignment horizontal="center" vertical="center"/>
      <protection hidden="1"/>
    </xf>
    <xf numFmtId="164" fontId="29" fillId="22" borderId="14" xfId="0" applyNumberFormat="1" applyFont="1" applyFill="1" applyBorder="1" applyAlignment="1" applyProtection="1">
      <alignment horizontal="center" vertical="center"/>
      <protection hidden="1"/>
    </xf>
    <xf numFmtId="167" fontId="29" fillId="22" borderId="38" xfId="0" applyNumberFormat="1" applyFont="1" applyFill="1" applyBorder="1" applyAlignment="1" applyProtection="1">
      <alignment horizontal="center" vertical="center"/>
      <protection hidden="1"/>
    </xf>
    <xf numFmtId="167" fontId="29" fillId="22" borderId="39" xfId="0" applyNumberFormat="1" applyFont="1" applyFill="1" applyBorder="1" applyAlignment="1" applyProtection="1">
      <alignment horizontal="center" vertical="center"/>
      <protection hidden="1"/>
    </xf>
    <xf numFmtId="0" fontId="17" fillId="24" borderId="31" xfId="0" applyFont="1" applyFill="1" applyBorder="1" applyAlignment="1" applyProtection="1">
      <alignment horizontal="center" vertical="center"/>
      <protection hidden="1"/>
    </xf>
    <xf numFmtId="0" fontId="17" fillId="24" borderId="30" xfId="0" applyFont="1" applyFill="1" applyBorder="1" applyAlignment="1" applyProtection="1">
      <alignment horizontal="center" vertical="center"/>
      <protection hidden="1"/>
    </xf>
    <xf numFmtId="164" fontId="29" fillId="23" borderId="16" xfId="0" applyNumberFormat="1" applyFont="1" applyFill="1" applyBorder="1" applyAlignment="1" applyProtection="1">
      <alignment horizontal="center" vertical="center"/>
      <protection hidden="1"/>
    </xf>
    <xf numFmtId="164" fontId="29" fillId="23" borderId="14" xfId="0" applyNumberFormat="1" applyFont="1" applyFill="1" applyBorder="1" applyAlignment="1" applyProtection="1">
      <alignment horizontal="center" vertical="center"/>
      <protection hidden="1"/>
    </xf>
    <xf numFmtId="167" fontId="29" fillId="23" borderId="38" xfId="0" applyNumberFormat="1" applyFont="1" applyFill="1" applyBorder="1" applyAlignment="1" applyProtection="1">
      <alignment horizontal="center" vertical="center"/>
      <protection hidden="1"/>
    </xf>
    <xf numFmtId="167" fontId="29" fillId="23" borderId="39" xfId="0" applyNumberFormat="1" applyFont="1" applyFill="1" applyBorder="1" applyAlignment="1" applyProtection="1">
      <alignment horizontal="center" vertical="center"/>
      <protection hidden="1"/>
    </xf>
    <xf numFmtId="0" fontId="11" fillId="18" borderId="6" xfId="0" applyFont="1" applyFill="1" applyBorder="1" applyAlignment="1" applyProtection="1">
      <alignment horizontal="center"/>
      <protection hidden="1"/>
    </xf>
    <xf numFmtId="164" fontId="29" fillId="23" borderId="46" xfId="0" applyNumberFormat="1" applyFont="1" applyFill="1" applyBorder="1" applyAlignment="1" applyProtection="1">
      <alignment horizontal="center" vertical="center"/>
      <protection hidden="1"/>
    </xf>
    <xf numFmtId="164" fontId="29" fillId="23" borderId="50" xfId="0" applyNumberFormat="1" applyFont="1" applyFill="1" applyBorder="1" applyAlignment="1" applyProtection="1">
      <alignment horizontal="center" vertical="center"/>
      <protection hidden="1"/>
    </xf>
    <xf numFmtId="0" fontId="17" fillId="18" borderId="0" xfId="0" applyFont="1" applyFill="1" applyBorder="1" applyAlignment="1" applyProtection="1">
      <alignment horizontal="center" vertical="center" wrapText="1"/>
      <protection hidden="1"/>
    </xf>
    <xf numFmtId="0" fontId="17" fillId="18" borderId="6" xfId="0" applyFont="1" applyFill="1" applyBorder="1" applyAlignment="1" applyProtection="1">
      <alignment horizontal="center" vertical="center" wrapText="1"/>
      <protection hidden="1"/>
    </xf>
    <xf numFmtId="0" fontId="17" fillId="18" borderId="9" xfId="0" applyFont="1" applyFill="1" applyBorder="1" applyAlignment="1" applyProtection="1">
      <alignment horizontal="center" vertical="center" wrapText="1"/>
      <protection hidden="1"/>
    </xf>
    <xf numFmtId="164" fontId="29" fillId="22" borderId="13" xfId="0" applyNumberFormat="1" applyFont="1" applyFill="1" applyBorder="1" applyAlignment="1" applyProtection="1">
      <alignment horizontal="center" vertical="center"/>
      <protection hidden="1"/>
    </xf>
    <xf numFmtId="0" fontId="16" fillId="18" borderId="0" xfId="0" applyFont="1" applyFill="1" applyBorder="1" applyAlignment="1" applyProtection="1">
      <alignment horizontal="center" vertical="center" wrapText="1"/>
      <protection hidden="1"/>
    </xf>
    <xf numFmtId="0" fontId="17" fillId="24" borderId="27" xfId="0" applyFont="1" applyFill="1" applyBorder="1" applyAlignment="1" applyProtection="1">
      <alignment horizontal="center" vertical="center"/>
      <protection hidden="1"/>
    </xf>
    <xf numFmtId="0" fontId="17" fillId="24" borderId="33" xfId="0" applyFont="1" applyFill="1" applyBorder="1" applyAlignment="1" applyProtection="1">
      <alignment horizontal="center" vertical="center"/>
      <protection hidden="1"/>
    </xf>
    <xf numFmtId="0" fontId="16" fillId="18" borderId="6" xfId="0" applyFont="1" applyFill="1" applyBorder="1" applyAlignment="1" applyProtection="1">
      <alignment horizontal="center" vertical="center" wrapText="1"/>
      <protection hidden="1"/>
    </xf>
    <xf numFmtId="164" fontId="29" fillId="23" borderId="17" xfId="0" applyNumberFormat="1" applyFont="1" applyFill="1" applyBorder="1" applyAlignment="1" applyProtection="1">
      <alignment horizontal="center" vertical="center"/>
      <protection hidden="1"/>
    </xf>
    <xf numFmtId="164" fontId="29" fillId="23" borderId="10" xfId="0" applyNumberFormat="1" applyFont="1" applyFill="1" applyBorder="1" applyAlignment="1" applyProtection="1">
      <alignment horizontal="center" vertical="center"/>
      <protection hidden="1"/>
    </xf>
    <xf numFmtId="0" fontId="17" fillId="24" borderId="32" xfId="0" applyFont="1" applyFill="1" applyBorder="1" applyAlignment="1" applyProtection="1">
      <alignment horizontal="center" vertical="center"/>
      <protection hidden="1"/>
    </xf>
    <xf numFmtId="0" fontId="17" fillId="20" borderId="0" xfId="0" applyFont="1" applyFill="1" applyBorder="1" applyAlignment="1" applyProtection="1">
      <alignment horizontal="center" vertical="center" wrapText="1"/>
      <protection hidden="1"/>
    </xf>
    <xf numFmtId="0" fontId="17" fillId="20" borderId="18" xfId="0" applyFont="1" applyFill="1" applyBorder="1" applyAlignment="1" applyProtection="1">
      <alignment horizontal="center" vertical="center" wrapText="1"/>
      <protection hidden="1"/>
    </xf>
    <xf numFmtId="164" fontId="30" fillId="23" borderId="16" xfId="0" applyNumberFormat="1" applyFont="1" applyFill="1" applyBorder="1" applyAlignment="1" applyProtection="1">
      <alignment horizontal="center" vertical="center"/>
      <protection hidden="1"/>
    </xf>
    <xf numFmtId="164" fontId="30" fillId="23" borderId="14" xfId="0" applyNumberFormat="1" applyFont="1" applyFill="1" applyBorder="1" applyAlignment="1" applyProtection="1">
      <alignment horizontal="center" vertical="center"/>
      <protection hidden="1"/>
    </xf>
    <xf numFmtId="167" fontId="30" fillId="23" borderId="40" xfId="0" applyNumberFormat="1" applyFont="1" applyFill="1" applyBorder="1" applyAlignment="1" applyProtection="1">
      <alignment horizontal="center" vertical="center"/>
      <protection hidden="1"/>
    </xf>
    <xf numFmtId="167" fontId="30" fillId="23" borderId="39" xfId="0" applyNumberFormat="1" applyFont="1" applyFill="1" applyBorder="1" applyAlignment="1" applyProtection="1">
      <alignment horizontal="center" vertical="center"/>
      <protection hidden="1"/>
    </xf>
    <xf numFmtId="164" fontId="30" fillId="23" borderId="46" xfId="0" applyNumberFormat="1" applyFont="1" applyFill="1" applyBorder="1" applyAlignment="1" applyProtection="1">
      <alignment horizontal="center" vertical="center"/>
      <protection hidden="1"/>
    </xf>
    <xf numFmtId="164" fontId="30" fillId="23" borderId="50" xfId="0" applyNumberFormat="1" applyFont="1" applyFill="1" applyBorder="1" applyAlignment="1" applyProtection="1">
      <alignment horizontal="center" vertical="center"/>
      <protection hidden="1"/>
    </xf>
    <xf numFmtId="0" fontId="35" fillId="6" borderId="16" xfId="0" applyFont="1" applyFill="1" applyBorder="1" applyAlignment="1">
      <alignment horizontal="center" vertical="center" textRotation="90" wrapText="1"/>
    </xf>
    <xf numFmtId="0" fontId="34" fillId="18" borderId="7" xfId="0" applyFont="1" applyFill="1" applyBorder="1" applyAlignment="1">
      <alignment horizontal="center"/>
    </xf>
    <xf numFmtId="0" fontId="33" fillId="6" borderId="16" xfId="0" applyFont="1" applyFill="1" applyBorder="1" applyAlignment="1">
      <alignment horizontal="center" vertical="center" textRotation="90" wrapText="1"/>
    </xf>
    <xf numFmtId="0" fontId="36" fillId="19" borderId="9" xfId="0" applyFont="1" applyFill="1" applyBorder="1" applyAlignment="1">
      <alignment horizontal="center"/>
    </xf>
    <xf numFmtId="0" fontId="36" fillId="19" borderId="0" xfId="0" applyFont="1" applyFill="1" applyBorder="1" applyAlignment="1">
      <alignment horizontal="center"/>
    </xf>
    <xf numFmtId="0" fontId="36" fillId="19" borderId="0" xfId="0" applyFont="1" applyFill="1" applyBorder="1" applyAlignment="1">
      <alignment horizontal="center" wrapText="1"/>
    </xf>
    <xf numFmtId="0" fontId="38" fillId="19" borderId="6" xfId="0" applyFont="1" applyFill="1" applyBorder="1" applyAlignment="1">
      <alignment horizontal="center" vertical="top" wrapText="1"/>
    </xf>
    <xf numFmtId="0" fontId="0" fillId="19" borderId="0" xfId="0" applyFill="1" applyAlignment="1">
      <alignment vertical="center" wrapText="1"/>
    </xf>
    <xf numFmtId="0" fontId="0" fillId="19" borderId="6" xfId="0" applyFill="1" applyBorder="1" applyAlignment="1">
      <alignment vertical="center" wrapText="1"/>
    </xf>
  </cellXfs>
  <cellStyles count="3">
    <cellStyle name="Migliaia" xfId="2" builtinId="3"/>
    <cellStyle name="Normale" xfId="0" builtinId="0"/>
    <cellStyle name="Normale 4" xfId="1"/>
  </cellStyles>
  <dxfs count="19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9999"/>
      <color rgb="FF00CC00"/>
      <color rgb="FF003366"/>
      <color rgb="FF214CAB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'Riepilogo_sola lettura'!$G$4</c:f>
              <c:strCache>
                <c:ptCount val="1"/>
                <c:pt idx="0">
                  <c:v>Climate change - fossil (kg CO2/eq.)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-1.4140153415097565E-2"/>
                  <c:y val="-7.48538287438702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3DFC-4E52-8C26-A4441D10A5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'Riepilogo_sola lettura'!$B$5:$B$10</c:f>
              <c:strCache>
                <c:ptCount val="6"/>
                <c:pt idx="0">
                  <c:v>Produzione e approvvigionamento componenti sedia</c:v>
                </c:pt>
                <c:pt idx="1">
                  <c:v>Produzione e approvvigionamento packaging</c:v>
                </c:pt>
                <c:pt idx="2">
                  <c:v>Assemblaggio sedia</c:v>
                </c:pt>
                <c:pt idx="3">
                  <c:v>Distribuzione</c:v>
                </c:pt>
                <c:pt idx="4">
                  <c:v>Fine vita sedia</c:v>
                </c:pt>
                <c:pt idx="5">
                  <c:v>Fine vita packaging</c:v>
                </c:pt>
              </c:strCache>
            </c:strRef>
          </c:cat>
          <c:val>
            <c:numRef>
              <c:f>'Riepilogo_sola lettura'!$G$5:$G$10</c:f>
              <c:numCache>
                <c:formatCode>0%</c:formatCode>
                <c:ptCount val="6"/>
                <c:pt idx="0">
                  <c:v>0.75317578354656944</c:v>
                </c:pt>
                <c:pt idx="1">
                  <c:v>7.7113728933420764E-2</c:v>
                </c:pt>
                <c:pt idx="2">
                  <c:v>0.15292510697775638</c:v>
                </c:pt>
                <c:pt idx="3">
                  <c:v>2.6897046151689492E-2</c:v>
                </c:pt>
                <c:pt idx="4">
                  <c:v>9.9823626920119111E-3</c:v>
                </c:pt>
                <c:pt idx="5">
                  <c:v>-2.0094028301447901E-2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FC-4E52-8C26-A4441D10A5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02853055"/>
        <c:axId val="802857631"/>
      </c:barChart>
      <c:catAx>
        <c:axId val="802853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2857631"/>
        <c:crosses val="autoZero"/>
        <c:auto val="1"/>
        <c:lblAlgn val="ctr"/>
        <c:lblOffset val="100"/>
        <c:noMultiLvlLbl val="0"/>
      </c:catAx>
      <c:valAx>
        <c:axId val="80285763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80285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'Riepilogo_sola lettura'!$H$4</c:f>
              <c:strCache>
                <c:ptCount val="1"/>
                <c:pt idx="0">
                  <c:v>Resource use, energy carriers (MJ)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-1.4056847774023379E-2"/>
                  <c:y val="-8.362366278959176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0E60-4BCE-B291-584AC6EFC5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'Riepilogo_sola lettura'!$B$5:$B$10</c:f>
              <c:strCache>
                <c:ptCount val="6"/>
                <c:pt idx="0">
                  <c:v>Produzione e approvvigionamento componenti sedia</c:v>
                </c:pt>
                <c:pt idx="1">
                  <c:v>Produzione e approvvigionamento packaging</c:v>
                </c:pt>
                <c:pt idx="2">
                  <c:v>Assemblaggio sedia</c:v>
                </c:pt>
                <c:pt idx="3">
                  <c:v>Distribuzione</c:v>
                </c:pt>
                <c:pt idx="4">
                  <c:v>Fine vita sedia</c:v>
                </c:pt>
                <c:pt idx="5">
                  <c:v>Fine vita packaging</c:v>
                </c:pt>
              </c:strCache>
            </c:strRef>
          </c:cat>
          <c:val>
            <c:numRef>
              <c:f>'Riepilogo_sola lettura'!$H$5:$H$10</c:f>
              <c:numCache>
                <c:formatCode>0%</c:formatCode>
                <c:ptCount val="6"/>
                <c:pt idx="0">
                  <c:v>0.69297178518282354</c:v>
                </c:pt>
                <c:pt idx="1">
                  <c:v>0.12337381090803062</c:v>
                </c:pt>
                <c:pt idx="2">
                  <c:v>0.16887344188661763</c:v>
                </c:pt>
                <c:pt idx="3">
                  <c:v>2.9544264218024984E-2</c:v>
                </c:pt>
                <c:pt idx="4">
                  <c:v>1.4002813831535288E-2</c:v>
                </c:pt>
                <c:pt idx="5">
                  <c:v>-2.8766116027032017E-2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0-4BCE-B291-584AC6EFC5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02853055"/>
        <c:axId val="802857631"/>
      </c:barChart>
      <c:catAx>
        <c:axId val="802853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2857631"/>
        <c:crosses val="autoZero"/>
        <c:auto val="1"/>
        <c:lblAlgn val="ctr"/>
        <c:lblOffset val="100"/>
        <c:noMultiLvlLbl val="0"/>
      </c:catAx>
      <c:valAx>
        <c:axId val="80285763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80285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'Riepilogo_sola lettura'!$I$4</c:f>
              <c:strCache>
                <c:ptCount val="1"/>
                <c:pt idx="0">
                  <c:v>Respiratory inorganics (disease inc.)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'Riepilogo_sola lettura'!$B$5:$B$10</c:f>
              <c:strCache>
                <c:ptCount val="6"/>
                <c:pt idx="0">
                  <c:v>Produzione e approvvigionamento componenti sedia</c:v>
                </c:pt>
                <c:pt idx="1">
                  <c:v>Produzione e approvvigionamento packaging</c:v>
                </c:pt>
                <c:pt idx="2">
                  <c:v>Assemblaggio sedia</c:v>
                </c:pt>
                <c:pt idx="3">
                  <c:v>Distribuzione</c:v>
                </c:pt>
                <c:pt idx="4">
                  <c:v>Fine vita sedia</c:v>
                </c:pt>
                <c:pt idx="5">
                  <c:v>Fine vita packaging</c:v>
                </c:pt>
              </c:strCache>
            </c:strRef>
          </c:cat>
          <c:val>
            <c:numRef>
              <c:f>'Riepilogo_sola lettura'!$I$5:$I$10</c:f>
              <c:numCache>
                <c:formatCode>0%</c:formatCode>
                <c:ptCount val="6"/>
                <c:pt idx="0">
                  <c:v>2.2597948802319476E-8</c:v>
                </c:pt>
                <c:pt idx="1">
                  <c:v>0.99999997622464853</c:v>
                </c:pt>
                <c:pt idx="2">
                  <c:v>1.2531049398489314E-9</c:v>
                </c:pt>
                <c:pt idx="3">
                  <c:v>1.0850952404378608E-9</c:v>
                </c:pt>
                <c:pt idx="4">
                  <c:v>5.8305270376035945E-10</c:v>
                </c:pt>
                <c:pt idx="5">
                  <c:v>-1.743850156058606E-9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8-4D7D-B7A3-3F70DCF52A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02853055"/>
        <c:axId val="802857631"/>
      </c:barChart>
      <c:catAx>
        <c:axId val="802853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2857631"/>
        <c:crosses val="autoZero"/>
        <c:auto val="1"/>
        <c:lblAlgn val="ctr"/>
        <c:lblOffset val="100"/>
        <c:noMultiLvlLbl val="0"/>
      </c:catAx>
      <c:valAx>
        <c:axId val="80285763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80285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'Riepilogo_sola lettura'!$J$4</c:f>
              <c:strCache>
                <c:ptCount val="1"/>
                <c:pt idx="0">
                  <c:v>Acidification terrestrial and freshwater (mol H+ eq.)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-1.4345986794914518E-2"/>
                  <c:y val="-7.43626386294145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AD4-47D2-A6C3-5E3B07BA09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'Riepilogo_sola lettura'!$B$5:$B$10</c:f>
              <c:strCache>
                <c:ptCount val="6"/>
                <c:pt idx="0">
                  <c:v>Produzione e approvvigionamento componenti sedia</c:v>
                </c:pt>
                <c:pt idx="1">
                  <c:v>Produzione e approvvigionamento packaging</c:v>
                </c:pt>
                <c:pt idx="2">
                  <c:v>Assemblaggio sedia</c:v>
                </c:pt>
                <c:pt idx="3">
                  <c:v>Distribuzione</c:v>
                </c:pt>
                <c:pt idx="4">
                  <c:v>Fine vita sedia</c:v>
                </c:pt>
                <c:pt idx="5">
                  <c:v>Fine vita packaging</c:v>
                </c:pt>
              </c:strCache>
            </c:strRef>
          </c:cat>
          <c:val>
            <c:numRef>
              <c:f>'Riepilogo_sola lettura'!$J$5:$J$10</c:f>
              <c:numCache>
                <c:formatCode>0%</c:formatCode>
                <c:ptCount val="6"/>
                <c:pt idx="0">
                  <c:v>0.88074896687786264</c:v>
                </c:pt>
                <c:pt idx="1">
                  <c:v>2.1304865620941915E-3</c:v>
                </c:pt>
                <c:pt idx="2">
                  <c:v>0.12151828937541105</c:v>
                </c:pt>
                <c:pt idx="3">
                  <c:v>3.2621409375899121E-2</c:v>
                </c:pt>
                <c:pt idx="4">
                  <c:v>2.2873716089079209E-3</c:v>
                </c:pt>
                <c:pt idx="5">
                  <c:v>-3.9306523800174686E-2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4-47D2-A6C3-5E3B07BA09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02853055"/>
        <c:axId val="802857631"/>
      </c:barChart>
      <c:catAx>
        <c:axId val="802853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2857631"/>
        <c:crosses val="autoZero"/>
        <c:auto val="1"/>
        <c:lblAlgn val="ctr"/>
        <c:lblOffset val="100"/>
        <c:noMultiLvlLbl val="0"/>
      </c:catAx>
      <c:valAx>
        <c:axId val="80285763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80285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'Riepilogo_sola lettura'!$G$33</c:f>
              <c:strCache>
                <c:ptCount val="1"/>
                <c:pt idx="0">
                  <c:v>Climate change - fossil (kg CO2/eq.)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'Riepilogo_sola lettura'!$B$34:$B$43</c:f>
              <c:strCache>
                <c:ptCount val="10"/>
                <c:pt idx="0">
                  <c:v>Braccioli</c:v>
                </c:pt>
                <c:pt idx="1">
                  <c:v>Schienale</c:v>
                </c:pt>
                <c:pt idx="2">
                  <c:v>Rivestimento schienale</c:v>
                </c:pt>
                <c:pt idx="3">
                  <c:v>Sedile</c:v>
                </c:pt>
                <c:pt idx="4">
                  <c:v>Rivestimento sedile</c:v>
                </c:pt>
                <c:pt idx="5">
                  <c:v>Base</c:v>
                </c:pt>
                <c:pt idx="6">
                  <c:v>Ruote</c:v>
                </c:pt>
                <c:pt idx="7">
                  <c:v>Piedini</c:v>
                </c:pt>
                <c:pt idx="8">
                  <c:v>Alzata a gas</c:v>
                </c:pt>
                <c:pt idx="9">
                  <c:v>Meccanismo</c:v>
                </c:pt>
              </c:strCache>
            </c:strRef>
          </c:cat>
          <c:val>
            <c:numRef>
              <c:f>'Riepilogo_sola lettura'!$G$34:$G$43</c:f>
              <c:numCache>
                <c:formatCode>0%</c:formatCode>
                <c:ptCount val="10"/>
                <c:pt idx="0">
                  <c:v>0.23635566414694911</c:v>
                </c:pt>
                <c:pt idx="1">
                  <c:v>9.4762011934624968E-2</c:v>
                </c:pt>
                <c:pt idx="2">
                  <c:v>0.1220214017839463</c:v>
                </c:pt>
                <c:pt idx="3">
                  <c:v>0.16729411362926502</c:v>
                </c:pt>
                <c:pt idx="4">
                  <c:v>4.5327674155430035E-2</c:v>
                </c:pt>
                <c:pt idx="5">
                  <c:v>5.1567478309732739E-2</c:v>
                </c:pt>
                <c:pt idx="6">
                  <c:v>5.7239249214462211E-2</c:v>
                </c:pt>
                <c:pt idx="7">
                  <c:v>5.7239249214462211E-2</c:v>
                </c:pt>
                <c:pt idx="8">
                  <c:v>3.0168322683510728E-2</c:v>
                </c:pt>
                <c:pt idx="9">
                  <c:v>0.13802483492761658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1-4867-8EEE-73566E8DE5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44747375"/>
        <c:axId val="644754447"/>
      </c:barChart>
      <c:catAx>
        <c:axId val="644747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4754447"/>
        <c:crosses val="autoZero"/>
        <c:auto val="1"/>
        <c:lblAlgn val="ctr"/>
        <c:lblOffset val="100"/>
        <c:noMultiLvlLbl val="0"/>
      </c:catAx>
      <c:valAx>
        <c:axId val="64475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474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'Riepilogo_sola lettura'!$H$33</c:f>
              <c:strCache>
                <c:ptCount val="1"/>
                <c:pt idx="0">
                  <c:v>Resource use, energy carriers (MJ)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'Riepilogo_sola lettura'!$B$34:$B$43</c:f>
              <c:strCache>
                <c:ptCount val="10"/>
                <c:pt idx="0">
                  <c:v>Braccioli</c:v>
                </c:pt>
                <c:pt idx="1">
                  <c:v>Schienale</c:v>
                </c:pt>
                <c:pt idx="2">
                  <c:v>Rivestimento schienale</c:v>
                </c:pt>
                <c:pt idx="3">
                  <c:v>Sedile</c:v>
                </c:pt>
                <c:pt idx="4">
                  <c:v>Rivestimento sedile</c:v>
                </c:pt>
                <c:pt idx="5">
                  <c:v>Base</c:v>
                </c:pt>
                <c:pt idx="6">
                  <c:v>Ruote</c:v>
                </c:pt>
                <c:pt idx="7">
                  <c:v>Piedini</c:v>
                </c:pt>
                <c:pt idx="8">
                  <c:v>Alzata a gas</c:v>
                </c:pt>
                <c:pt idx="9">
                  <c:v>Meccanismo</c:v>
                </c:pt>
              </c:strCache>
            </c:strRef>
          </c:cat>
          <c:val>
            <c:numRef>
              <c:f>'Riepilogo_sola lettura'!$H$34:$H$43</c:f>
              <c:numCache>
                <c:formatCode>0%</c:formatCode>
                <c:ptCount val="10"/>
                <c:pt idx="0">
                  <c:v>0.25877851668800722</c:v>
                </c:pt>
                <c:pt idx="1">
                  <c:v>7.2486819826029461E-2</c:v>
                </c:pt>
                <c:pt idx="2">
                  <c:v>0.1556397760890077</c:v>
                </c:pt>
                <c:pt idx="3">
                  <c:v>0.18579368968733501</c:v>
                </c:pt>
                <c:pt idx="4">
                  <c:v>3.636670892269625E-2</c:v>
                </c:pt>
                <c:pt idx="5">
                  <c:v>5.0453178295125779E-2</c:v>
                </c:pt>
                <c:pt idx="6">
                  <c:v>5.1153811254255228E-2</c:v>
                </c:pt>
                <c:pt idx="7">
                  <c:v>5.1153811254255228E-2</c:v>
                </c:pt>
                <c:pt idx="8">
                  <c:v>3.3189351843567132E-2</c:v>
                </c:pt>
                <c:pt idx="9">
                  <c:v>0.10498433613972105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8-4CC9-8A79-D77B220362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44747375"/>
        <c:axId val="644754447"/>
      </c:barChart>
      <c:catAx>
        <c:axId val="644747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4754447"/>
        <c:crosses val="autoZero"/>
        <c:auto val="1"/>
        <c:lblAlgn val="ctr"/>
        <c:lblOffset val="100"/>
        <c:noMultiLvlLbl val="0"/>
      </c:catAx>
      <c:valAx>
        <c:axId val="64475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474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'Riepilogo_sola lettura'!$I$33</c:f>
              <c:strCache>
                <c:ptCount val="1"/>
                <c:pt idx="0">
                  <c:v>Respiratory inorganics (disease inc.)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'Riepilogo_sola lettura'!$B$34:$B$43</c:f>
              <c:strCache>
                <c:ptCount val="10"/>
                <c:pt idx="0">
                  <c:v>Braccioli</c:v>
                </c:pt>
                <c:pt idx="1">
                  <c:v>Schienale</c:v>
                </c:pt>
                <c:pt idx="2">
                  <c:v>Rivestimento schienale</c:v>
                </c:pt>
                <c:pt idx="3">
                  <c:v>Sedile</c:v>
                </c:pt>
                <c:pt idx="4">
                  <c:v>Rivestimento sedile</c:v>
                </c:pt>
                <c:pt idx="5">
                  <c:v>Base</c:v>
                </c:pt>
                <c:pt idx="6">
                  <c:v>Ruote</c:v>
                </c:pt>
                <c:pt idx="7">
                  <c:v>Piedini</c:v>
                </c:pt>
                <c:pt idx="8">
                  <c:v>Alzata a gas</c:v>
                </c:pt>
                <c:pt idx="9">
                  <c:v>Meccanismo</c:v>
                </c:pt>
              </c:strCache>
            </c:strRef>
          </c:cat>
          <c:val>
            <c:numRef>
              <c:f>'Riepilogo_sola lettura'!$I$34:$I$43</c:f>
              <c:numCache>
                <c:formatCode>0%</c:formatCode>
                <c:ptCount val="10"/>
                <c:pt idx="0">
                  <c:v>0.27982266444895543</c:v>
                </c:pt>
                <c:pt idx="1">
                  <c:v>0.13909809927222266</c:v>
                </c:pt>
                <c:pt idx="2">
                  <c:v>6.7738486553399396E-2</c:v>
                </c:pt>
                <c:pt idx="3">
                  <c:v>0.11237991137765684</c:v>
                </c:pt>
                <c:pt idx="4">
                  <c:v>8.5379316232731803E-2</c:v>
                </c:pt>
                <c:pt idx="5">
                  <c:v>3.4181652868649728E-2</c:v>
                </c:pt>
                <c:pt idx="6">
                  <c:v>5.0650712879827517E-2</c:v>
                </c:pt>
                <c:pt idx="7">
                  <c:v>5.0650712879827517E-2</c:v>
                </c:pt>
                <c:pt idx="8">
                  <c:v>2.8804090224991592E-2</c:v>
                </c:pt>
                <c:pt idx="9">
                  <c:v>0.1512943532617374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E-4370-9343-EE4D6EA35D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44747375"/>
        <c:axId val="644754447"/>
      </c:barChart>
      <c:catAx>
        <c:axId val="644747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4754447"/>
        <c:crosses val="autoZero"/>
        <c:auto val="1"/>
        <c:lblAlgn val="ctr"/>
        <c:lblOffset val="100"/>
        <c:noMultiLvlLbl val="0"/>
      </c:catAx>
      <c:valAx>
        <c:axId val="64475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474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'Riepilogo_sola lettura'!$J$33</c:f>
              <c:strCache>
                <c:ptCount val="1"/>
                <c:pt idx="0">
                  <c:v>Acidification terrestrial and freshwater (mol H+ eq.)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'Riepilogo_sola lettura'!$B$34:$B$43</c:f>
              <c:strCache>
                <c:ptCount val="10"/>
                <c:pt idx="0">
                  <c:v>Braccioli</c:v>
                </c:pt>
                <c:pt idx="1">
                  <c:v>Schienale</c:v>
                </c:pt>
                <c:pt idx="2">
                  <c:v>Rivestimento schienale</c:v>
                </c:pt>
                <c:pt idx="3">
                  <c:v>Sedile</c:v>
                </c:pt>
                <c:pt idx="4">
                  <c:v>Rivestimento sedile</c:v>
                </c:pt>
                <c:pt idx="5">
                  <c:v>Base</c:v>
                </c:pt>
                <c:pt idx="6">
                  <c:v>Ruote</c:v>
                </c:pt>
                <c:pt idx="7">
                  <c:v>Piedini</c:v>
                </c:pt>
                <c:pt idx="8">
                  <c:v>Alzata a gas</c:v>
                </c:pt>
                <c:pt idx="9">
                  <c:v>Meccanismo</c:v>
                </c:pt>
              </c:strCache>
            </c:strRef>
          </c:cat>
          <c:val>
            <c:numRef>
              <c:f>'Riepilogo_sola lettura'!$J$34:$J$43</c:f>
              <c:numCache>
                <c:formatCode>0%</c:formatCode>
                <c:ptCount val="10"/>
                <c:pt idx="0">
                  <c:v>0.23175286052558713</c:v>
                </c:pt>
                <c:pt idx="1">
                  <c:v>9.8305101697897093E-2</c:v>
                </c:pt>
                <c:pt idx="2">
                  <c:v>0.11299276420719113</c:v>
                </c:pt>
                <c:pt idx="3">
                  <c:v>0.10390920517738247</c:v>
                </c:pt>
                <c:pt idx="4">
                  <c:v>0.12907264672977348</c:v>
                </c:pt>
                <c:pt idx="5">
                  <c:v>4.798895321821655E-2</c:v>
                </c:pt>
                <c:pt idx="6">
                  <c:v>4.9553553296996768E-2</c:v>
                </c:pt>
                <c:pt idx="7">
                  <c:v>4.9553553296996768E-2</c:v>
                </c:pt>
                <c:pt idx="8">
                  <c:v>2.3463043377783398E-2</c:v>
                </c:pt>
                <c:pt idx="9">
                  <c:v>0.15340831847217518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3-47BF-967B-7DF3C48F33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44747375"/>
        <c:axId val="644754447"/>
      </c:barChart>
      <c:catAx>
        <c:axId val="644747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4754447"/>
        <c:crosses val="autoZero"/>
        <c:auto val="1"/>
        <c:lblAlgn val="ctr"/>
        <c:lblOffset val="100"/>
        <c:noMultiLvlLbl val="0"/>
      </c:catAx>
      <c:valAx>
        <c:axId val="64475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474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9525</xdr:rowOff>
    </xdr:from>
    <xdr:to>
      <xdr:col>2</xdr:col>
      <xdr:colOff>67235</xdr:colOff>
      <xdr:row>1</xdr:row>
      <xdr:rowOff>81986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9525"/>
          <a:ext cx="1746997" cy="991343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11</xdr:row>
      <xdr:rowOff>142875</xdr:rowOff>
    </xdr:from>
    <xdr:to>
      <xdr:col>8</xdr:col>
      <xdr:colOff>847725</xdr:colOff>
      <xdr:row>17</xdr:row>
      <xdr:rowOff>142589</xdr:rowOff>
    </xdr:to>
    <xdr:pic>
      <xdr:nvPicPr>
        <xdr:cNvPr id="3" name="Immagin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1809"/>
        <a:stretch/>
      </xdr:blipFill>
      <xdr:spPr>
        <a:xfrm>
          <a:off x="3667125" y="1971675"/>
          <a:ext cx="4619625" cy="2285714"/>
        </a:xfrm>
        <a:prstGeom prst="rect">
          <a:avLst/>
        </a:prstGeom>
      </xdr:spPr>
    </xdr:pic>
    <xdr:clientData/>
  </xdr:twoCellAnchor>
  <xdr:twoCellAnchor>
    <xdr:from>
      <xdr:col>2</xdr:col>
      <xdr:colOff>171450</xdr:colOff>
      <xdr:row>12</xdr:row>
      <xdr:rowOff>180975</xdr:rowOff>
    </xdr:from>
    <xdr:to>
      <xdr:col>7</xdr:col>
      <xdr:colOff>85725</xdr:colOff>
      <xdr:row>15</xdr:row>
      <xdr:rowOff>323851</xdr:rowOff>
    </xdr:to>
    <xdr:cxnSp macro="">
      <xdr:nvCxnSpPr>
        <xdr:cNvPr id="5" name="Connettore 2 4"/>
        <xdr:cNvCxnSpPr/>
      </xdr:nvCxnSpPr>
      <xdr:spPr>
        <a:xfrm flipV="1">
          <a:off x="1914525" y="2676525"/>
          <a:ext cx="3048000" cy="714376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180975</xdr:colOff>
      <xdr:row>15</xdr:row>
      <xdr:rowOff>409575</xdr:rowOff>
    </xdr:from>
    <xdr:to>
      <xdr:col>7</xdr:col>
      <xdr:colOff>47625</xdr:colOff>
      <xdr:row>15</xdr:row>
      <xdr:rowOff>447675</xdr:rowOff>
    </xdr:to>
    <xdr:cxnSp macro="">
      <xdr:nvCxnSpPr>
        <xdr:cNvPr id="7" name="Connettore 2 6"/>
        <xdr:cNvCxnSpPr/>
      </xdr:nvCxnSpPr>
      <xdr:spPr>
        <a:xfrm>
          <a:off x="1924050" y="3476625"/>
          <a:ext cx="3000375" cy="381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628650</xdr:colOff>
      <xdr:row>11</xdr:row>
      <xdr:rowOff>400050</xdr:rowOff>
    </xdr:from>
    <xdr:to>
      <xdr:col>10</xdr:col>
      <xdr:colOff>542926</xdr:colOff>
      <xdr:row>11</xdr:row>
      <xdr:rowOff>590550</xdr:rowOff>
    </xdr:to>
    <xdr:cxnSp macro="">
      <xdr:nvCxnSpPr>
        <xdr:cNvPr id="11" name="Connettore 2 10"/>
        <xdr:cNvCxnSpPr/>
      </xdr:nvCxnSpPr>
      <xdr:spPr>
        <a:xfrm flipH="1">
          <a:off x="8067675" y="2228850"/>
          <a:ext cx="1390651" cy="1905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609600</xdr:colOff>
      <xdr:row>11</xdr:row>
      <xdr:rowOff>495300</xdr:rowOff>
    </xdr:from>
    <xdr:to>
      <xdr:col>10</xdr:col>
      <xdr:colOff>485775</xdr:colOff>
      <xdr:row>15</xdr:row>
      <xdr:rowOff>161925</xdr:rowOff>
    </xdr:to>
    <xdr:cxnSp macro="">
      <xdr:nvCxnSpPr>
        <xdr:cNvPr id="17" name="Connettore 2 16"/>
        <xdr:cNvCxnSpPr/>
      </xdr:nvCxnSpPr>
      <xdr:spPr>
        <a:xfrm flipH="1">
          <a:off x="8048625" y="2324100"/>
          <a:ext cx="1352550" cy="90487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561975</xdr:colOff>
      <xdr:row>21</xdr:row>
      <xdr:rowOff>171450</xdr:rowOff>
    </xdr:from>
    <xdr:to>
      <xdr:col>7</xdr:col>
      <xdr:colOff>913823</xdr:colOff>
      <xdr:row>24</xdr:row>
      <xdr:rowOff>1028700</xdr:rowOff>
    </xdr:to>
    <xdr:pic>
      <xdr:nvPicPr>
        <xdr:cNvPr id="20" name="Immagine 19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15720"/>
        <a:stretch/>
      </xdr:blipFill>
      <xdr:spPr>
        <a:xfrm>
          <a:off x="1171575" y="4857750"/>
          <a:ext cx="4619048" cy="1428750"/>
        </a:xfrm>
        <a:prstGeom prst="rect">
          <a:avLst/>
        </a:prstGeom>
      </xdr:spPr>
    </xdr:pic>
    <xdr:clientData/>
  </xdr:twoCellAnchor>
  <xdr:twoCellAnchor>
    <xdr:from>
      <xdr:col>7</xdr:col>
      <xdr:colOff>666750</xdr:colOff>
      <xdr:row>24</xdr:row>
      <xdr:rowOff>657225</xdr:rowOff>
    </xdr:from>
    <xdr:to>
      <xdr:col>7</xdr:col>
      <xdr:colOff>2457451</xdr:colOff>
      <xdr:row>24</xdr:row>
      <xdr:rowOff>838200</xdr:rowOff>
    </xdr:to>
    <xdr:cxnSp macro="">
      <xdr:nvCxnSpPr>
        <xdr:cNvPr id="21" name="Connettore 2 20"/>
        <xdr:cNvCxnSpPr/>
      </xdr:nvCxnSpPr>
      <xdr:spPr>
        <a:xfrm flipH="1">
          <a:off x="5543550" y="5915025"/>
          <a:ext cx="1790701" cy="18097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676277</xdr:colOff>
      <xdr:row>24</xdr:row>
      <xdr:rowOff>66677</xdr:rowOff>
    </xdr:from>
    <xdr:to>
      <xdr:col>7</xdr:col>
      <xdr:colOff>2333625</xdr:colOff>
      <xdr:row>24</xdr:row>
      <xdr:rowOff>200025</xdr:rowOff>
    </xdr:to>
    <xdr:cxnSp macro="">
      <xdr:nvCxnSpPr>
        <xdr:cNvPr id="23" name="Connettore 2 22"/>
        <xdr:cNvCxnSpPr/>
      </xdr:nvCxnSpPr>
      <xdr:spPr>
        <a:xfrm flipH="1" flipV="1">
          <a:off x="5553077" y="5324477"/>
          <a:ext cx="1657348" cy="133348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592232</xdr:colOff>
      <xdr:row>37</xdr:row>
      <xdr:rowOff>141756</xdr:rowOff>
    </xdr:from>
    <xdr:to>
      <xdr:col>12</xdr:col>
      <xdr:colOff>234048</xdr:colOff>
      <xdr:row>51</xdr:row>
      <xdr:rowOff>78442</xdr:rowOff>
    </xdr:to>
    <xdr:pic>
      <xdr:nvPicPr>
        <xdr:cNvPr id="64" name="Immagine 6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2232" y="9028021"/>
          <a:ext cx="10511522" cy="2603686"/>
        </a:xfrm>
        <a:prstGeom prst="rect">
          <a:avLst/>
        </a:prstGeom>
      </xdr:spPr>
    </xdr:pic>
    <xdr:clientData/>
  </xdr:twoCellAnchor>
  <xdr:twoCellAnchor>
    <xdr:from>
      <xdr:col>6</xdr:col>
      <xdr:colOff>22413</xdr:colOff>
      <xdr:row>36</xdr:row>
      <xdr:rowOff>22411</xdr:rowOff>
    </xdr:from>
    <xdr:to>
      <xdr:col>12</xdr:col>
      <xdr:colOff>324972</xdr:colOff>
      <xdr:row>52</xdr:row>
      <xdr:rowOff>156883</xdr:rowOff>
    </xdr:to>
    <xdr:sp macro="" textlink="">
      <xdr:nvSpPr>
        <xdr:cNvPr id="65" name="Ovale 64"/>
        <xdr:cNvSpPr/>
      </xdr:nvSpPr>
      <xdr:spPr>
        <a:xfrm>
          <a:off x="4269442" y="8718176"/>
          <a:ext cx="6925236" cy="3182472"/>
        </a:xfrm>
        <a:prstGeom prst="ellipse">
          <a:avLst/>
        </a:prstGeom>
        <a:noFill/>
        <a:ln w="381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0</xdr:colOff>
      <xdr:row>33</xdr:row>
      <xdr:rowOff>11206</xdr:rowOff>
    </xdr:from>
    <xdr:to>
      <xdr:col>7</xdr:col>
      <xdr:colOff>750794</xdr:colOff>
      <xdr:row>37</xdr:row>
      <xdr:rowOff>78441</xdr:rowOff>
    </xdr:to>
    <xdr:cxnSp macro="">
      <xdr:nvCxnSpPr>
        <xdr:cNvPr id="67" name="Connettore 2 66"/>
        <xdr:cNvCxnSpPr/>
      </xdr:nvCxnSpPr>
      <xdr:spPr>
        <a:xfrm>
          <a:off x="4247029" y="8135471"/>
          <a:ext cx="1355912" cy="829235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123264</xdr:colOff>
      <xdr:row>59</xdr:row>
      <xdr:rowOff>145676</xdr:rowOff>
    </xdr:from>
    <xdr:to>
      <xdr:col>12</xdr:col>
      <xdr:colOff>763438</xdr:colOff>
      <xdr:row>82</xdr:row>
      <xdr:rowOff>145128</xdr:rowOff>
    </xdr:to>
    <xdr:pic>
      <xdr:nvPicPr>
        <xdr:cNvPr id="70" name="Immagine 6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8382" y="13144500"/>
          <a:ext cx="10904762" cy="43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77881</xdr:colOff>
      <xdr:row>0</xdr:row>
      <xdr:rowOff>63873</xdr:rowOff>
    </xdr:from>
    <xdr:to>
      <xdr:col>0</xdr:col>
      <xdr:colOff>1516156</xdr:colOff>
      <xdr:row>1</xdr:row>
      <xdr:rowOff>627161</xdr:rowOff>
    </xdr:to>
    <xdr:pic>
      <xdr:nvPicPr>
        <xdr:cNvPr id="3" name="Immagin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81" y="63873"/>
          <a:ext cx="1438275" cy="8098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11</xdr:row>
      <xdr:rowOff>89088</xdr:rowOff>
    </xdr:from>
    <xdr:to>
      <xdr:col>1</xdr:col>
      <xdr:colOff>2831727</xdr:colOff>
      <xdr:row>25</xdr:row>
      <xdr:rowOff>136712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2875991</xdr:colOff>
      <xdr:row>11</xdr:row>
      <xdr:rowOff>84604</xdr:rowOff>
    </xdr:from>
    <xdr:to>
      <xdr:col>4</xdr:col>
      <xdr:colOff>1077446</xdr:colOff>
      <xdr:row>25</xdr:row>
      <xdr:rowOff>151280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24654</xdr:colOff>
      <xdr:row>11</xdr:row>
      <xdr:rowOff>89646</xdr:rowOff>
    </xdr:from>
    <xdr:to>
      <xdr:col>8</xdr:col>
      <xdr:colOff>212913</xdr:colOff>
      <xdr:row>25</xdr:row>
      <xdr:rowOff>156881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268941</xdr:colOff>
      <xdr:row>11</xdr:row>
      <xdr:rowOff>80120</xdr:rowOff>
    </xdr:from>
    <xdr:to>
      <xdr:col>12</xdr:col>
      <xdr:colOff>381001</xdr:colOff>
      <xdr:row>25</xdr:row>
      <xdr:rowOff>145675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33618</xdr:colOff>
      <xdr:row>45</xdr:row>
      <xdr:rowOff>129989</xdr:rowOff>
    </xdr:from>
    <xdr:to>
      <xdr:col>1</xdr:col>
      <xdr:colOff>3081618</xdr:colOff>
      <xdr:row>59</xdr:row>
      <xdr:rowOff>156882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3126442</xdr:colOff>
      <xdr:row>45</xdr:row>
      <xdr:rowOff>145675</xdr:rowOff>
    </xdr:from>
    <xdr:to>
      <xdr:col>5</xdr:col>
      <xdr:colOff>313765</xdr:colOff>
      <xdr:row>59</xdr:row>
      <xdr:rowOff>156882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381000</xdr:colOff>
      <xdr:row>45</xdr:row>
      <xdr:rowOff>145676</xdr:rowOff>
    </xdr:from>
    <xdr:to>
      <xdr:col>8</xdr:col>
      <xdr:colOff>762001</xdr:colOff>
      <xdr:row>59</xdr:row>
      <xdr:rowOff>156881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818031</xdr:colOff>
      <xdr:row>45</xdr:row>
      <xdr:rowOff>156882</xdr:rowOff>
    </xdr:from>
    <xdr:to>
      <xdr:col>14</xdr:col>
      <xdr:colOff>0</xdr:colOff>
      <xdr:row>59</xdr:row>
      <xdr:rowOff>168087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63"/>
  <sheetViews>
    <sheetView topLeftCell="A49" zoomScale="80" zoomScaleNormal="80" workbookViewId="0">
      <selection activeCell="D55" sqref="D55"/>
    </sheetView>
  </sheetViews>
  <sheetFormatPr defaultRowHeight="15.75" x14ac:dyDescent="0.25"/>
  <cols>
    <col min="1" max="1" width="12.7109375" style="2" customWidth="1"/>
    <col min="2" max="2" width="48.140625" style="2" customWidth="1"/>
    <col min="3" max="3" width="27.5703125" style="2" customWidth="1"/>
    <col min="4" max="4" width="36" style="2" customWidth="1"/>
    <col min="5" max="5" width="27.7109375" style="2" customWidth="1"/>
    <col min="6" max="6" width="47" style="2" customWidth="1"/>
    <col min="7" max="7" width="19.7109375" style="2" customWidth="1"/>
    <col min="8" max="8" width="28.42578125" style="5" customWidth="1"/>
    <col min="9" max="9" width="25.7109375" style="3" customWidth="1"/>
    <col min="10" max="11" width="25.7109375" style="2" customWidth="1"/>
    <col min="12" max="12" width="27.42578125" style="2" customWidth="1"/>
    <col min="13" max="13" width="22" style="2" customWidth="1"/>
    <col min="14" max="14" width="17.85546875" style="2" customWidth="1"/>
    <col min="15" max="16384" width="9.140625" style="2"/>
  </cols>
  <sheetData>
    <row r="1" spans="1:18" ht="47.25" x14ac:dyDescent="0.25">
      <c r="A1" s="49" t="s">
        <v>201</v>
      </c>
      <c r="B1" s="38" t="s">
        <v>11</v>
      </c>
      <c r="C1" s="34" t="s">
        <v>118</v>
      </c>
      <c r="D1" s="34" t="s">
        <v>151</v>
      </c>
      <c r="E1" s="34" t="s">
        <v>141</v>
      </c>
      <c r="F1" s="34" t="s">
        <v>144</v>
      </c>
      <c r="G1" s="217" t="s">
        <v>176</v>
      </c>
      <c r="H1" s="218"/>
      <c r="I1" s="218"/>
      <c r="J1" s="218"/>
      <c r="K1" s="219"/>
    </row>
    <row r="2" spans="1:18" ht="18.75" x14ac:dyDescent="0.25">
      <c r="B2" s="5"/>
      <c r="C2" s="6" t="s">
        <v>1</v>
      </c>
      <c r="D2" s="6" t="s">
        <v>169</v>
      </c>
      <c r="E2" s="6" t="s">
        <v>170</v>
      </c>
      <c r="F2" s="6" t="s">
        <v>171</v>
      </c>
      <c r="G2" s="1"/>
      <c r="H2" s="6" t="s">
        <v>1</v>
      </c>
      <c r="I2" s="6" t="s">
        <v>169</v>
      </c>
      <c r="J2" s="6" t="s">
        <v>170</v>
      </c>
      <c r="K2" s="6" t="s">
        <v>171</v>
      </c>
    </row>
    <row r="3" spans="1:18" x14ac:dyDescent="0.25">
      <c r="B3" s="9" t="s">
        <v>12</v>
      </c>
      <c r="G3" s="1" t="s">
        <v>131</v>
      </c>
      <c r="H3" s="2">
        <v>-5.0702420000000004</v>
      </c>
      <c r="I3" s="3">
        <v>-54.460867</v>
      </c>
      <c r="J3" s="2">
        <v>-4.8780757000000005E-7</v>
      </c>
      <c r="K3" s="2">
        <v>-3.9988177999999999E-2</v>
      </c>
    </row>
    <row r="4" spans="1:18" x14ac:dyDescent="0.25">
      <c r="A4" s="2" t="s">
        <v>132</v>
      </c>
      <c r="B4" s="2" t="s">
        <v>28</v>
      </c>
      <c r="C4" s="2">
        <v>3.2717151000000002</v>
      </c>
      <c r="D4" s="2">
        <v>92.909696999999994</v>
      </c>
      <c r="E4" s="2">
        <v>9.6879211000000001E-8</v>
      </c>
      <c r="F4" s="2">
        <v>1.3109287000000001E-2</v>
      </c>
      <c r="G4" s="1" t="s">
        <v>23</v>
      </c>
      <c r="H4" s="18">
        <v>0.29011852999999999</v>
      </c>
      <c r="I4" s="3">
        <v>5.0198451999999998</v>
      </c>
      <c r="J4" s="2">
        <v>3.4629687000000003E-8</v>
      </c>
      <c r="K4" s="2">
        <v>1.6802919000000001E-3</v>
      </c>
      <c r="N4" s="3"/>
    </row>
    <row r="5" spans="1:18" x14ac:dyDescent="0.25">
      <c r="A5" s="2" t="s">
        <v>132</v>
      </c>
      <c r="B5" s="2" t="s">
        <v>29</v>
      </c>
      <c r="C5" s="2">
        <v>2.6905785999999998</v>
      </c>
      <c r="D5" s="2">
        <v>72.635524000000004</v>
      </c>
      <c r="E5" s="2">
        <v>7.5856843000000002E-8</v>
      </c>
      <c r="F5" s="2">
        <v>1.1446810999999999E-2</v>
      </c>
      <c r="G5" s="1" t="s">
        <v>132</v>
      </c>
      <c r="H5" s="48">
        <v>5.213073E-2</v>
      </c>
      <c r="I5" s="3">
        <v>0.30131261999999998</v>
      </c>
      <c r="J5" s="2">
        <v>1.6886047E-9</v>
      </c>
      <c r="K5" s="2">
        <v>1.3141802000000001E-4</v>
      </c>
      <c r="N5" s="3"/>
    </row>
    <row r="6" spans="1:18" x14ac:dyDescent="0.25">
      <c r="A6" s="2" t="s">
        <v>132</v>
      </c>
      <c r="B6" s="2" t="s">
        <v>30</v>
      </c>
      <c r="C6" s="2">
        <v>2.2552018</v>
      </c>
      <c r="D6" s="2">
        <v>35.804855000000003</v>
      </c>
      <c r="E6" s="2">
        <v>4.0787329000000002E-8</v>
      </c>
      <c r="F6" s="2">
        <v>4.8574300000000003E-3</v>
      </c>
      <c r="H6" s="1"/>
      <c r="I6" s="4"/>
      <c r="J6" s="8"/>
      <c r="N6" s="3"/>
    </row>
    <row r="7" spans="1:18" x14ac:dyDescent="0.25">
      <c r="A7" s="2" t="s">
        <v>131</v>
      </c>
      <c r="B7" s="2" t="s">
        <v>22</v>
      </c>
      <c r="C7" s="2">
        <v>22.60398687</v>
      </c>
      <c r="D7" s="2">
        <v>190.188378</v>
      </c>
      <c r="E7" s="2">
        <v>1.4200784550000001E-6</v>
      </c>
      <c r="F7" s="2">
        <v>0.13984028569999998</v>
      </c>
      <c r="H7" s="1"/>
      <c r="I7" s="4"/>
      <c r="J7" s="8"/>
    </row>
    <row r="8" spans="1:18" x14ac:dyDescent="0.25">
      <c r="A8" s="2" t="s">
        <v>131</v>
      </c>
      <c r="B8" s="2" t="s">
        <v>20</v>
      </c>
      <c r="C8" s="2">
        <v>17.10674487</v>
      </c>
      <c r="D8" s="2">
        <v>157.44523799999999</v>
      </c>
      <c r="E8" s="2">
        <v>1.070669155E-6</v>
      </c>
      <c r="F8" s="2">
        <v>0.10882943569999999</v>
      </c>
      <c r="G8" s="13"/>
      <c r="H8" s="15"/>
      <c r="J8" s="13"/>
      <c r="K8" s="13"/>
      <c r="L8" s="13"/>
      <c r="M8" s="13"/>
      <c r="N8" s="13"/>
      <c r="O8" s="13"/>
      <c r="P8" s="13"/>
      <c r="Q8" s="13"/>
      <c r="R8" s="13"/>
    </row>
    <row r="9" spans="1:18" x14ac:dyDescent="0.25">
      <c r="A9" s="2" t="s">
        <v>131</v>
      </c>
      <c r="B9" s="2" t="s">
        <v>21</v>
      </c>
      <c r="C9" s="2">
        <v>13.70775287</v>
      </c>
      <c r="D9" s="2">
        <v>137.29282799999999</v>
      </c>
      <c r="E9" s="2">
        <v>8.60227805E-7</v>
      </c>
      <c r="F9" s="2">
        <v>8.8474444699999988E-2</v>
      </c>
      <c r="G9" s="13"/>
      <c r="H9" s="15"/>
      <c r="J9" s="13"/>
      <c r="K9" s="13"/>
      <c r="L9" s="13"/>
      <c r="M9" s="13"/>
      <c r="N9" s="13"/>
      <c r="O9" s="13"/>
      <c r="P9" s="13"/>
      <c r="Q9" s="13"/>
      <c r="R9" s="13"/>
    </row>
    <row r="10" spans="1:18" x14ac:dyDescent="0.25">
      <c r="A10" s="2" t="s">
        <v>23</v>
      </c>
      <c r="B10" s="2" t="s">
        <v>23</v>
      </c>
      <c r="C10" s="2">
        <v>4.9469718</v>
      </c>
      <c r="D10" s="18">
        <v>44.587284999999994</v>
      </c>
      <c r="E10" s="2">
        <v>3.4466932E-7</v>
      </c>
      <c r="F10" s="18">
        <v>2.4295693E-2</v>
      </c>
      <c r="G10" s="13"/>
      <c r="H10" s="15"/>
      <c r="J10" s="45"/>
      <c r="K10" s="13"/>
      <c r="L10" s="13"/>
      <c r="M10" s="13"/>
      <c r="N10" s="13"/>
      <c r="O10" s="13"/>
      <c r="P10" s="13"/>
      <c r="Q10" s="13"/>
      <c r="R10" s="13"/>
    </row>
    <row r="11" spans="1:18" x14ac:dyDescent="0.25">
      <c r="B11" s="9" t="s">
        <v>13</v>
      </c>
      <c r="G11" s="13"/>
      <c r="H11" s="15"/>
      <c r="J11" s="45"/>
      <c r="K11" s="13"/>
      <c r="L11" s="13"/>
      <c r="M11" s="13"/>
      <c r="N11" s="13"/>
      <c r="O11" s="13"/>
      <c r="P11" s="13"/>
      <c r="Q11" s="13"/>
      <c r="R11" s="13"/>
    </row>
    <row r="12" spans="1:18" x14ac:dyDescent="0.25">
      <c r="A12" s="2" t="s">
        <v>132</v>
      </c>
      <c r="B12" s="2" t="s">
        <v>28</v>
      </c>
      <c r="C12" s="2">
        <v>3.2717151000000002</v>
      </c>
      <c r="D12" s="2">
        <v>92.909696999999994</v>
      </c>
      <c r="E12" s="2">
        <v>9.6879211000000001E-8</v>
      </c>
      <c r="F12" s="2">
        <v>1.3109287000000001E-2</v>
      </c>
      <c r="G12" s="13"/>
      <c r="H12" s="15"/>
      <c r="J12" s="45"/>
      <c r="K12" s="13"/>
      <c r="L12" s="13"/>
      <c r="M12" s="13"/>
      <c r="N12" s="13"/>
      <c r="O12" s="13"/>
      <c r="P12" s="13"/>
      <c r="Q12" s="13"/>
      <c r="R12" s="13"/>
    </row>
    <row r="13" spans="1:18" x14ac:dyDescent="0.25">
      <c r="A13" s="2" t="s">
        <v>132</v>
      </c>
      <c r="B13" s="2" t="s">
        <v>29</v>
      </c>
      <c r="C13" s="2">
        <v>2.6905785999999998</v>
      </c>
      <c r="D13" s="2">
        <v>72.635524000000004</v>
      </c>
      <c r="E13" s="2">
        <v>7.5856843000000002E-8</v>
      </c>
      <c r="F13" s="2">
        <v>1.1446810999999999E-2</v>
      </c>
      <c r="G13" s="13"/>
      <c r="H13" s="15"/>
      <c r="J13" s="13"/>
      <c r="K13" s="13"/>
      <c r="L13" s="13"/>
      <c r="M13" s="13"/>
      <c r="N13" s="13"/>
      <c r="O13" s="13"/>
      <c r="P13" s="13"/>
      <c r="Q13" s="13"/>
      <c r="R13" s="13"/>
    </row>
    <row r="14" spans="1:18" x14ac:dyDescent="0.25">
      <c r="A14" s="2" t="s">
        <v>132</v>
      </c>
      <c r="B14" s="2" t="s">
        <v>30</v>
      </c>
      <c r="C14" s="2">
        <v>2.2552018</v>
      </c>
      <c r="D14" s="2">
        <v>35.804855000000003</v>
      </c>
      <c r="E14" s="2">
        <v>4.0787329000000002E-8</v>
      </c>
      <c r="F14" s="2">
        <v>4.8574300000000003E-3</v>
      </c>
      <c r="G14" s="13"/>
      <c r="H14" s="39"/>
      <c r="I14" s="40"/>
      <c r="J14" s="13"/>
      <c r="K14" s="13"/>
      <c r="L14" s="13"/>
      <c r="M14" s="13"/>
      <c r="N14" s="13"/>
      <c r="O14" s="13"/>
      <c r="P14" s="13"/>
      <c r="Q14" s="13"/>
      <c r="R14" s="13"/>
    </row>
    <row r="15" spans="1:18" x14ac:dyDescent="0.25">
      <c r="A15" s="2" t="s">
        <v>23</v>
      </c>
      <c r="B15" s="2" t="s">
        <v>23</v>
      </c>
      <c r="C15" s="2">
        <v>4.9469718</v>
      </c>
      <c r="D15" s="18">
        <v>44.587284999999994</v>
      </c>
      <c r="E15" s="2">
        <v>3.4466932E-7</v>
      </c>
      <c r="F15" s="18">
        <v>2.4295693E-2</v>
      </c>
      <c r="G15" s="13"/>
      <c r="H15" s="39"/>
      <c r="I15" s="40"/>
      <c r="J15" s="13"/>
      <c r="K15" s="13"/>
      <c r="L15" s="13"/>
      <c r="M15" s="13"/>
      <c r="N15" s="13"/>
      <c r="O15" s="13"/>
      <c r="P15" s="13"/>
      <c r="Q15" s="13"/>
      <c r="R15" s="13"/>
    </row>
    <row r="16" spans="1:18" x14ac:dyDescent="0.25">
      <c r="A16" s="2" t="s">
        <v>132</v>
      </c>
      <c r="B16" s="2" t="s">
        <v>24</v>
      </c>
      <c r="C16" s="2">
        <v>0.14219519</v>
      </c>
      <c r="D16" s="2">
        <v>1.8308306999999999</v>
      </c>
      <c r="E16" s="2">
        <v>3.9219343000000002E-8</v>
      </c>
      <c r="F16" s="2">
        <v>9.6019317E-4</v>
      </c>
      <c r="G16" s="13"/>
      <c r="H16" s="39"/>
      <c r="I16" s="40"/>
      <c r="J16" s="13"/>
      <c r="K16" s="13"/>
      <c r="L16" s="13"/>
      <c r="M16" s="13"/>
      <c r="N16" s="13"/>
      <c r="O16" s="13"/>
      <c r="P16" s="13"/>
      <c r="Q16" s="13"/>
      <c r="R16" s="13"/>
    </row>
    <row r="17" spans="1:18" ht="18.75" x14ac:dyDescent="0.25">
      <c r="B17" s="9" t="s">
        <v>26</v>
      </c>
      <c r="G17" s="13"/>
      <c r="H17" s="41"/>
      <c r="I17" s="41"/>
      <c r="J17" s="45"/>
      <c r="K17" s="13"/>
      <c r="L17" s="13"/>
      <c r="M17" s="13"/>
      <c r="N17" s="13"/>
      <c r="O17" s="13"/>
      <c r="P17" s="13"/>
      <c r="Q17" s="13"/>
      <c r="R17" s="13"/>
    </row>
    <row r="18" spans="1:18" ht="18.75" x14ac:dyDescent="0.25">
      <c r="A18" s="2" t="s">
        <v>132</v>
      </c>
      <c r="B18" s="2" t="s">
        <v>37</v>
      </c>
      <c r="C18" s="2">
        <v>9.9233034999999994</v>
      </c>
      <c r="D18" s="2">
        <v>113.52544</v>
      </c>
      <c r="E18" s="2">
        <v>3.4783061999999998E-7</v>
      </c>
      <c r="F18" s="2">
        <v>3.6863571999999997E-2</v>
      </c>
      <c r="G18" s="13"/>
      <c r="H18" s="39"/>
      <c r="I18" s="42"/>
      <c r="J18" s="45"/>
      <c r="K18" s="13"/>
      <c r="L18" s="13"/>
      <c r="M18" s="13"/>
      <c r="N18" s="13"/>
      <c r="O18" s="13"/>
      <c r="P18" s="13"/>
      <c r="Q18" s="13"/>
      <c r="R18" s="13"/>
    </row>
    <row r="19" spans="1:18" x14ac:dyDescent="0.25">
      <c r="A19" s="2" t="s">
        <v>132</v>
      </c>
      <c r="B19" s="2" t="s">
        <v>38</v>
      </c>
      <c r="C19" s="2">
        <v>15.548082000000001</v>
      </c>
      <c r="D19" s="2">
        <v>63.284222999999997</v>
      </c>
      <c r="E19" s="2">
        <v>8.3217304000000005E-6</v>
      </c>
      <c r="F19" s="2">
        <v>1.1850315</v>
      </c>
      <c r="G19" s="13"/>
      <c r="H19" s="43"/>
      <c r="I19" s="44"/>
      <c r="J19" s="45"/>
      <c r="K19" s="13"/>
      <c r="L19" s="13"/>
      <c r="M19" s="13"/>
      <c r="N19" s="13"/>
      <c r="O19" s="13"/>
      <c r="P19" s="13"/>
      <c r="Q19" s="13"/>
      <c r="R19" s="13"/>
    </row>
    <row r="20" spans="1:18" x14ac:dyDescent="0.25">
      <c r="A20" s="2" t="s">
        <v>132</v>
      </c>
      <c r="B20" s="2" t="s">
        <v>39</v>
      </c>
      <c r="C20" s="2">
        <v>2.5238345999999998</v>
      </c>
      <c r="D20" s="2">
        <v>25.519551</v>
      </c>
      <c r="E20" s="2">
        <v>2.4038330999999998E-7</v>
      </c>
      <c r="F20" s="2">
        <v>3.4605371000000003E-2</v>
      </c>
      <c r="G20" s="13"/>
      <c r="H20" s="1"/>
      <c r="I20" s="4"/>
      <c r="J20" s="45"/>
      <c r="K20" s="13"/>
      <c r="L20" s="13"/>
      <c r="M20" s="13"/>
      <c r="N20" s="13"/>
      <c r="O20" s="13"/>
      <c r="P20" s="13"/>
      <c r="Q20" s="13"/>
      <c r="R20" s="13"/>
    </row>
    <row r="21" spans="1:18" x14ac:dyDescent="0.25">
      <c r="A21" s="2" t="s">
        <v>132</v>
      </c>
      <c r="B21" s="2" t="s">
        <v>25</v>
      </c>
      <c r="C21" s="2">
        <v>11.38317</v>
      </c>
      <c r="D21" s="2">
        <v>155.01062999999999</v>
      </c>
      <c r="E21" s="2">
        <v>6.4944730000000003E-7</v>
      </c>
      <c r="F21" s="2">
        <v>6.2016951000000001E-2</v>
      </c>
      <c r="G21" s="13"/>
      <c r="H21" s="1"/>
      <c r="I21" s="4"/>
      <c r="J21" s="45"/>
      <c r="K21" s="13"/>
      <c r="L21" s="13"/>
      <c r="M21" s="13"/>
      <c r="N21" s="13"/>
      <c r="O21" s="13"/>
      <c r="P21" s="13"/>
      <c r="Q21" s="13"/>
      <c r="R21" s="13"/>
    </row>
    <row r="22" spans="1:18" x14ac:dyDescent="0.25">
      <c r="A22" s="2" t="s">
        <v>132</v>
      </c>
      <c r="B22" s="2" t="s">
        <v>27</v>
      </c>
      <c r="C22" s="2">
        <v>6.8198917999999997</v>
      </c>
      <c r="D22" s="2">
        <v>109.94715500000001</v>
      </c>
      <c r="E22" s="2">
        <v>1.9055459499999999E-7</v>
      </c>
      <c r="F22" s="2">
        <v>3.0268548999999999E-2</v>
      </c>
      <c r="G22" s="13"/>
      <c r="H22" s="15"/>
      <c r="I22" s="10"/>
      <c r="J22" s="13"/>
      <c r="K22" s="16"/>
      <c r="L22" s="16"/>
      <c r="M22" s="16"/>
      <c r="N22" s="16"/>
      <c r="O22" s="16"/>
      <c r="P22" s="16"/>
      <c r="Q22" s="13"/>
      <c r="R22" s="13"/>
    </row>
    <row r="23" spans="1:18" x14ac:dyDescent="0.25">
      <c r="A23" s="2" t="s">
        <v>132</v>
      </c>
      <c r="B23" s="2" t="s">
        <v>36</v>
      </c>
      <c r="C23" s="2">
        <v>5.6916583000000003</v>
      </c>
      <c r="D23" s="2">
        <v>97.089419000000007</v>
      </c>
      <c r="E23" s="2">
        <v>5.1706895000000001E-7</v>
      </c>
      <c r="F23" s="2">
        <v>2.7677685E-2</v>
      </c>
      <c r="G23" s="13"/>
      <c r="H23" s="15"/>
      <c r="J23" s="13"/>
      <c r="K23" s="13"/>
      <c r="L23" s="16"/>
      <c r="M23" s="16"/>
      <c r="N23" s="16"/>
      <c r="O23" s="16"/>
      <c r="P23" s="16"/>
      <c r="Q23" s="16"/>
      <c r="R23" s="13"/>
    </row>
    <row r="24" spans="1:18" x14ac:dyDescent="0.25">
      <c r="B24" s="9" t="s">
        <v>14</v>
      </c>
      <c r="G24" s="13"/>
      <c r="H24" s="15"/>
      <c r="J24" s="13"/>
      <c r="K24" s="13"/>
      <c r="L24" s="16"/>
      <c r="M24" s="16"/>
      <c r="N24" s="16"/>
      <c r="O24" s="16"/>
      <c r="P24" s="16"/>
      <c r="Q24" s="16"/>
      <c r="R24" s="13"/>
    </row>
    <row r="25" spans="1:18" x14ac:dyDescent="0.25">
      <c r="A25" s="2" t="s">
        <v>132</v>
      </c>
      <c r="B25" s="2" t="s">
        <v>28</v>
      </c>
      <c r="C25" s="2">
        <v>3.2717151000000002</v>
      </c>
      <c r="D25" s="2">
        <v>92.909696999999994</v>
      </c>
      <c r="E25" s="2">
        <v>9.6879211000000001E-8</v>
      </c>
      <c r="F25" s="2">
        <v>1.3109287000000001E-2</v>
      </c>
      <c r="G25" s="13"/>
      <c r="H25" s="15"/>
      <c r="I25" s="10"/>
      <c r="J25" s="13"/>
      <c r="K25" s="16"/>
      <c r="L25" s="16"/>
      <c r="M25" s="16"/>
      <c r="N25" s="16"/>
      <c r="O25" s="16"/>
      <c r="P25" s="16"/>
      <c r="Q25" s="16"/>
      <c r="R25" s="13"/>
    </row>
    <row r="26" spans="1:18" x14ac:dyDescent="0.25">
      <c r="A26" s="2" t="s">
        <v>132</v>
      </c>
      <c r="B26" s="2" t="s">
        <v>29</v>
      </c>
      <c r="C26" s="2">
        <v>2.6905785999999998</v>
      </c>
      <c r="D26" s="2">
        <v>72.635524000000004</v>
      </c>
      <c r="E26" s="2">
        <v>7.5856843000000002E-8</v>
      </c>
      <c r="F26" s="2">
        <v>1.1446810999999999E-2</v>
      </c>
      <c r="G26" s="13"/>
      <c r="H26" s="15"/>
      <c r="I26" s="10"/>
      <c r="J26" s="13"/>
      <c r="K26" s="16"/>
      <c r="L26" s="16"/>
      <c r="M26" s="16"/>
      <c r="N26" s="16"/>
      <c r="O26" s="16"/>
      <c r="P26" s="16"/>
      <c r="Q26" s="16"/>
      <c r="R26" s="13"/>
    </row>
    <row r="27" spans="1:18" x14ac:dyDescent="0.25">
      <c r="A27" s="2" t="s">
        <v>132</v>
      </c>
      <c r="B27" s="2" t="s">
        <v>30</v>
      </c>
      <c r="C27" s="2">
        <v>2.2552018</v>
      </c>
      <c r="D27" s="2">
        <v>35.804855000000003</v>
      </c>
      <c r="E27" s="2">
        <v>4.0787329000000002E-8</v>
      </c>
      <c r="F27" s="2">
        <v>4.8574300000000003E-3</v>
      </c>
      <c r="G27" s="13"/>
      <c r="H27" s="15"/>
      <c r="I27" s="10"/>
      <c r="J27" s="13"/>
      <c r="K27" s="16"/>
      <c r="L27" s="11"/>
      <c r="M27" s="11"/>
      <c r="N27" s="16"/>
      <c r="O27" s="16"/>
      <c r="P27" s="16"/>
      <c r="Q27" s="16"/>
      <c r="R27" s="13"/>
    </row>
    <row r="28" spans="1:18" x14ac:dyDescent="0.25">
      <c r="A28" s="2" t="s">
        <v>23</v>
      </c>
      <c r="B28" s="2" t="s">
        <v>23</v>
      </c>
      <c r="C28" s="2">
        <v>4.9469718</v>
      </c>
      <c r="D28" s="18">
        <v>44.587284999999994</v>
      </c>
      <c r="E28" s="2">
        <v>3.4466932E-7</v>
      </c>
      <c r="F28" s="18">
        <v>2.4295693E-2</v>
      </c>
      <c r="G28" s="13"/>
      <c r="H28" s="1"/>
      <c r="I28" s="4"/>
      <c r="J28" s="46"/>
      <c r="K28" s="13"/>
      <c r="L28" s="16"/>
      <c r="M28" s="16"/>
      <c r="N28" s="16"/>
      <c r="O28" s="16"/>
      <c r="P28" s="16"/>
      <c r="Q28" s="16"/>
      <c r="R28" s="13"/>
    </row>
    <row r="29" spans="1:18" x14ac:dyDescent="0.25">
      <c r="A29" s="2" t="s">
        <v>132</v>
      </c>
      <c r="B29" s="2" t="s">
        <v>24</v>
      </c>
      <c r="C29" s="2">
        <v>0.14219519</v>
      </c>
      <c r="D29" s="2">
        <v>1.8308306999999999</v>
      </c>
      <c r="E29" s="2">
        <v>3.9219343000000002E-8</v>
      </c>
      <c r="F29" s="2">
        <v>9.6019317E-4</v>
      </c>
      <c r="G29" s="13"/>
      <c r="H29" s="1"/>
      <c r="I29" s="12"/>
      <c r="J29" s="46"/>
      <c r="K29" s="16"/>
      <c r="L29" s="16"/>
      <c r="M29" s="16"/>
      <c r="N29" s="16"/>
      <c r="O29" s="16"/>
      <c r="P29" s="16"/>
      <c r="Q29" s="16"/>
      <c r="R29" s="13"/>
    </row>
    <row r="30" spans="1:18" x14ac:dyDescent="0.25">
      <c r="B30" s="9" t="s">
        <v>31</v>
      </c>
      <c r="G30" s="13"/>
      <c r="H30" s="1"/>
      <c r="I30" s="4"/>
      <c r="J30" s="45"/>
      <c r="K30" s="13"/>
      <c r="L30" s="13"/>
      <c r="M30" s="16"/>
      <c r="N30" s="16"/>
      <c r="O30" s="16"/>
      <c r="P30" s="16"/>
      <c r="Q30" s="16"/>
      <c r="R30" s="13"/>
    </row>
    <row r="31" spans="1:18" x14ac:dyDescent="0.25">
      <c r="A31" s="2" t="s">
        <v>132</v>
      </c>
      <c r="B31" s="2" t="s">
        <v>37</v>
      </c>
      <c r="C31" s="2">
        <v>9.9233034999999994</v>
      </c>
      <c r="D31" s="2">
        <v>113.52544</v>
      </c>
      <c r="E31" s="2">
        <v>3.4783061999999998E-7</v>
      </c>
      <c r="F31" s="2">
        <v>3.6863571999999997E-2</v>
      </c>
      <c r="G31" s="13"/>
      <c r="H31" s="13"/>
      <c r="I31" s="13"/>
      <c r="J31" s="16"/>
      <c r="K31" s="13"/>
      <c r="L31" s="16"/>
      <c r="M31" s="16"/>
      <c r="N31" s="16"/>
      <c r="O31" s="16"/>
      <c r="P31" s="16"/>
      <c r="Q31" s="16"/>
      <c r="R31" s="13"/>
    </row>
    <row r="32" spans="1:18" x14ac:dyDescent="0.25">
      <c r="A32" s="2" t="s">
        <v>132</v>
      </c>
      <c r="B32" s="2" t="s">
        <v>38</v>
      </c>
      <c r="C32" s="2">
        <v>15.548082000000001</v>
      </c>
      <c r="D32" s="2">
        <v>63.284222999999997</v>
      </c>
      <c r="E32" s="2">
        <v>8.3217304000000005E-6</v>
      </c>
      <c r="F32" s="2">
        <v>1.1850315</v>
      </c>
      <c r="G32" s="13"/>
      <c r="H32" s="13"/>
      <c r="I32" s="13"/>
      <c r="J32" s="16"/>
      <c r="K32" s="13"/>
      <c r="L32" s="16"/>
      <c r="M32" s="13"/>
      <c r="N32" s="16"/>
      <c r="O32" s="16"/>
      <c r="P32" s="16"/>
      <c r="Q32" s="16"/>
      <c r="R32" s="13"/>
    </row>
    <row r="33" spans="1:18" x14ac:dyDescent="0.25">
      <c r="A33" s="2" t="s">
        <v>132</v>
      </c>
      <c r="B33" s="2" t="s">
        <v>39</v>
      </c>
      <c r="C33" s="2">
        <v>2.5238345999999998</v>
      </c>
      <c r="D33" s="2">
        <v>25.519551</v>
      </c>
      <c r="E33" s="2">
        <v>2.4038330999999998E-7</v>
      </c>
      <c r="F33" s="2">
        <v>3.4605371000000003E-2</v>
      </c>
      <c r="G33" s="13"/>
      <c r="H33" s="13"/>
      <c r="I33" s="13"/>
      <c r="J33" s="16"/>
      <c r="K33" s="13"/>
      <c r="L33" s="16"/>
      <c r="M33" s="13"/>
      <c r="N33" s="13"/>
      <c r="O33" s="16"/>
      <c r="P33" s="16"/>
      <c r="Q33" s="16"/>
      <c r="R33" s="13"/>
    </row>
    <row r="34" spans="1:18" x14ac:dyDescent="0.25">
      <c r="A34" s="2" t="s">
        <v>132</v>
      </c>
      <c r="B34" s="2" t="s">
        <v>25</v>
      </c>
      <c r="C34" s="2">
        <v>11.38317</v>
      </c>
      <c r="D34" s="2">
        <v>155.01062999999999</v>
      </c>
      <c r="E34" s="2">
        <v>6.4944730000000003E-7</v>
      </c>
      <c r="F34" s="2">
        <v>6.2016951000000001E-2</v>
      </c>
      <c r="G34" s="13"/>
      <c r="H34" s="13"/>
      <c r="I34" s="13"/>
      <c r="J34" s="16"/>
      <c r="K34" s="13"/>
      <c r="L34" s="16"/>
      <c r="M34" s="13"/>
      <c r="N34" s="16"/>
      <c r="O34" s="13"/>
      <c r="P34" s="13"/>
      <c r="Q34" s="13"/>
      <c r="R34" s="13"/>
    </row>
    <row r="35" spans="1:18" x14ac:dyDescent="0.25">
      <c r="A35" s="2" t="s">
        <v>132</v>
      </c>
      <c r="B35" s="2" t="s">
        <v>27</v>
      </c>
      <c r="C35" s="2">
        <v>6.8198917999999997</v>
      </c>
      <c r="D35" s="2">
        <v>109.94715500000001</v>
      </c>
      <c r="E35" s="2">
        <v>1.9055459499999999E-7</v>
      </c>
      <c r="F35" s="2">
        <v>3.0268548999999999E-2</v>
      </c>
      <c r="G35" s="13"/>
      <c r="H35" s="13"/>
      <c r="I35" s="13"/>
      <c r="J35" s="16"/>
      <c r="K35" s="13"/>
      <c r="L35" s="16"/>
      <c r="M35" s="13"/>
      <c r="N35" s="13"/>
      <c r="O35" s="16"/>
      <c r="P35" s="13"/>
      <c r="Q35" s="13"/>
      <c r="R35" s="13"/>
    </row>
    <row r="36" spans="1:18" x14ac:dyDescent="0.25">
      <c r="A36" s="2" t="s">
        <v>132</v>
      </c>
      <c r="B36" s="2" t="s">
        <v>36</v>
      </c>
      <c r="C36" s="2">
        <v>5.6916583000000003</v>
      </c>
      <c r="D36" s="2">
        <v>97.089419000000007</v>
      </c>
      <c r="E36" s="2">
        <v>5.1706895000000001E-7</v>
      </c>
      <c r="F36" s="2">
        <v>2.7677685E-2</v>
      </c>
      <c r="G36" s="13"/>
      <c r="H36" s="13"/>
      <c r="I36" s="16"/>
      <c r="J36" s="16"/>
      <c r="K36" s="16"/>
      <c r="L36" s="16"/>
      <c r="M36" s="16"/>
      <c r="N36" s="16"/>
      <c r="O36" s="16"/>
      <c r="P36" s="16"/>
      <c r="Q36" s="13"/>
      <c r="R36" s="13"/>
    </row>
    <row r="37" spans="1:18" x14ac:dyDescent="0.25">
      <c r="B37" s="9" t="s">
        <v>15</v>
      </c>
      <c r="G37" s="13"/>
      <c r="H37" s="13"/>
      <c r="I37" s="13"/>
      <c r="J37" s="16"/>
      <c r="K37" s="13"/>
      <c r="L37" s="16"/>
      <c r="M37" s="16"/>
      <c r="N37" s="16"/>
      <c r="O37" s="16"/>
      <c r="P37" s="16"/>
      <c r="Q37" s="16"/>
      <c r="R37" s="13"/>
    </row>
    <row r="38" spans="1:18" x14ac:dyDescent="0.25">
      <c r="A38" s="2" t="s">
        <v>132</v>
      </c>
      <c r="B38" s="2" t="s">
        <v>32</v>
      </c>
      <c r="C38" s="2">
        <v>9.4513013000000008</v>
      </c>
      <c r="D38" s="2">
        <v>133.31612000000001</v>
      </c>
      <c r="E38" s="2">
        <v>1.3543455999999999E-7</v>
      </c>
      <c r="F38" s="2">
        <v>3.9997822000000002E-2</v>
      </c>
      <c r="G38" s="13"/>
      <c r="H38" s="13"/>
      <c r="I38" s="13"/>
      <c r="J38" s="16"/>
      <c r="K38" s="13"/>
      <c r="L38" s="16"/>
      <c r="M38" s="16"/>
      <c r="N38" s="16"/>
      <c r="O38" s="16"/>
      <c r="P38" s="16"/>
      <c r="Q38" s="16"/>
      <c r="R38" s="13"/>
    </row>
    <row r="39" spans="1:18" x14ac:dyDescent="0.25">
      <c r="A39" s="2" t="s">
        <v>132</v>
      </c>
      <c r="B39" s="2" t="s">
        <v>33</v>
      </c>
      <c r="C39" s="2">
        <v>7.1699355000000002</v>
      </c>
      <c r="D39" s="2">
        <v>101.46869</v>
      </c>
      <c r="E39" s="2">
        <v>3.2906975000000001E-7</v>
      </c>
      <c r="F39" s="2">
        <v>3.0448125999999999E-2</v>
      </c>
      <c r="G39" s="13"/>
      <c r="H39" s="13"/>
      <c r="I39" s="16"/>
      <c r="J39" s="16"/>
      <c r="K39" s="16"/>
      <c r="L39" s="16"/>
      <c r="M39" s="16"/>
      <c r="N39" s="16"/>
      <c r="O39" s="16"/>
      <c r="P39" s="16"/>
      <c r="Q39" s="16"/>
      <c r="R39" s="13"/>
    </row>
    <row r="40" spans="1:18" x14ac:dyDescent="0.25">
      <c r="A40" s="2" t="s">
        <v>132</v>
      </c>
      <c r="B40" s="2" t="s">
        <v>28</v>
      </c>
      <c r="C40" s="2">
        <v>3.2717151000000002</v>
      </c>
      <c r="D40" s="2">
        <v>92.909696999999994</v>
      </c>
      <c r="E40" s="2">
        <v>9.6879211000000001E-8</v>
      </c>
      <c r="F40" s="2">
        <v>1.3109287000000001E-2</v>
      </c>
      <c r="G40" s="13"/>
      <c r="H40" s="13"/>
      <c r="I40" s="13"/>
      <c r="J40" s="16"/>
      <c r="K40" s="13"/>
      <c r="L40" s="16"/>
      <c r="M40" s="16"/>
      <c r="N40" s="16"/>
      <c r="O40" s="16"/>
      <c r="P40" s="16"/>
      <c r="Q40" s="16"/>
      <c r="R40" s="13"/>
    </row>
    <row r="41" spans="1:18" x14ac:dyDescent="0.25">
      <c r="A41" s="2" t="s">
        <v>132</v>
      </c>
      <c r="B41" s="2" t="s">
        <v>29</v>
      </c>
      <c r="C41" s="2">
        <v>2.6905785999999998</v>
      </c>
      <c r="D41" s="2">
        <v>72.635524000000004</v>
      </c>
      <c r="E41" s="2">
        <v>7.5856843000000002E-8</v>
      </c>
      <c r="F41" s="2">
        <v>1.1446810999999999E-2</v>
      </c>
      <c r="H41" s="13"/>
      <c r="I41" s="13"/>
      <c r="J41" s="16"/>
      <c r="K41" s="13"/>
      <c r="L41" s="16"/>
      <c r="M41" s="13"/>
      <c r="N41" s="16"/>
      <c r="O41" s="7"/>
      <c r="P41" s="7"/>
      <c r="Q41" s="7"/>
    </row>
    <row r="42" spans="1:18" x14ac:dyDescent="0.25">
      <c r="A42" s="2" t="s">
        <v>132</v>
      </c>
      <c r="B42" s="2" t="s">
        <v>30</v>
      </c>
      <c r="C42" s="2">
        <v>2.2552018</v>
      </c>
      <c r="D42" s="2">
        <v>35.804855000000003</v>
      </c>
      <c r="E42" s="2">
        <v>4.0787329000000002E-8</v>
      </c>
      <c r="F42" s="2">
        <v>4.8574300000000003E-3</v>
      </c>
      <c r="H42" s="13"/>
      <c r="I42" s="13"/>
      <c r="J42" s="16"/>
      <c r="K42" s="13"/>
      <c r="L42" s="16"/>
      <c r="M42" s="13"/>
      <c r="N42" s="13"/>
    </row>
    <row r="43" spans="1:18" x14ac:dyDescent="0.25">
      <c r="A43" s="2" t="s">
        <v>131</v>
      </c>
      <c r="B43" s="2" t="s">
        <v>22</v>
      </c>
      <c r="C43" s="2">
        <v>22.60398687</v>
      </c>
      <c r="D43" s="2">
        <v>190.188378</v>
      </c>
      <c r="E43" s="2">
        <v>1.4200784550000001E-6</v>
      </c>
      <c r="F43" s="2">
        <v>0.13984028569999998</v>
      </c>
      <c r="H43" s="13"/>
      <c r="I43" s="13"/>
      <c r="J43" s="16"/>
      <c r="K43" s="13"/>
      <c r="L43" s="16"/>
      <c r="M43" s="13"/>
      <c r="N43" s="13"/>
    </row>
    <row r="44" spans="1:18" x14ac:dyDescent="0.25">
      <c r="A44" s="2" t="s">
        <v>23</v>
      </c>
      <c r="B44" s="2" t="s">
        <v>23</v>
      </c>
      <c r="C44" s="2">
        <v>4.9469718</v>
      </c>
      <c r="D44" s="18">
        <v>44.587284999999994</v>
      </c>
      <c r="E44" s="2">
        <v>3.4466932E-7</v>
      </c>
      <c r="F44" s="18">
        <v>2.4295693E-2</v>
      </c>
      <c r="H44" s="13"/>
      <c r="I44" s="13"/>
      <c r="J44" s="16"/>
      <c r="K44" s="13"/>
      <c r="L44" s="16"/>
      <c r="M44" s="13"/>
      <c r="N44" s="13"/>
    </row>
    <row r="45" spans="1:18" x14ac:dyDescent="0.25">
      <c r="A45" s="2" t="s">
        <v>132</v>
      </c>
      <c r="B45" s="2" t="s">
        <v>24</v>
      </c>
      <c r="C45" s="2">
        <v>0.14219519</v>
      </c>
      <c r="D45" s="2">
        <v>1.8308306999999999</v>
      </c>
      <c r="E45" s="2">
        <v>3.9219343000000002E-8</v>
      </c>
      <c r="F45" s="2">
        <v>9.6019317E-4</v>
      </c>
      <c r="H45" s="16"/>
      <c r="I45" s="16"/>
      <c r="J45" s="16"/>
      <c r="K45" s="13"/>
      <c r="L45" s="16"/>
      <c r="M45" s="13"/>
      <c r="N45" s="13"/>
    </row>
    <row r="46" spans="1:18" x14ac:dyDescent="0.25">
      <c r="B46" s="9" t="s">
        <v>16</v>
      </c>
      <c r="D46" s="7"/>
      <c r="E46" s="7"/>
      <c r="F46" s="7"/>
      <c r="H46" s="16"/>
      <c r="I46" s="16"/>
      <c r="J46" s="16"/>
      <c r="K46" s="13"/>
      <c r="L46" s="16"/>
      <c r="M46" s="13"/>
      <c r="N46" s="13"/>
    </row>
    <row r="47" spans="1:18" x14ac:dyDescent="0.25">
      <c r="A47" s="2" t="s">
        <v>132</v>
      </c>
      <c r="B47" s="2" t="s">
        <v>34</v>
      </c>
      <c r="C47" s="2">
        <v>11.039844</v>
      </c>
      <c r="D47" s="2">
        <v>135.79584</v>
      </c>
      <c r="E47" s="2">
        <v>3.6802908999999998E-7</v>
      </c>
      <c r="F47" s="2">
        <v>4.2107723E-2</v>
      </c>
      <c r="H47" s="1"/>
      <c r="I47" s="4"/>
      <c r="J47" s="16"/>
      <c r="K47" s="13"/>
      <c r="L47" s="16"/>
      <c r="M47" s="16"/>
      <c r="N47" s="13"/>
    </row>
    <row r="48" spans="1:18" x14ac:dyDescent="0.25">
      <c r="A48" s="2" t="s">
        <v>23</v>
      </c>
      <c r="B48" s="2" t="s">
        <v>23</v>
      </c>
      <c r="C48" s="2">
        <v>4.9469718</v>
      </c>
      <c r="D48" s="18">
        <v>44.587284999999994</v>
      </c>
      <c r="E48" s="2">
        <v>3.4466932E-7</v>
      </c>
      <c r="F48" s="18">
        <v>2.4295693E-2</v>
      </c>
      <c r="H48" s="11"/>
      <c r="I48" s="12"/>
      <c r="J48" s="16"/>
      <c r="K48" s="13"/>
      <c r="L48" s="16"/>
      <c r="M48" s="13"/>
      <c r="N48" s="13"/>
    </row>
    <row r="49" spans="1:14" x14ac:dyDescent="0.25">
      <c r="B49" s="9" t="s">
        <v>17</v>
      </c>
      <c r="D49" s="7"/>
      <c r="E49" s="7"/>
      <c r="F49" s="7"/>
      <c r="H49" s="11"/>
      <c r="I49" s="12"/>
      <c r="J49" s="16"/>
      <c r="K49" s="13"/>
      <c r="L49" s="16"/>
      <c r="M49" s="13"/>
      <c r="N49" s="13"/>
    </row>
    <row r="50" spans="1:14" x14ac:dyDescent="0.25">
      <c r="A50" s="2" t="s">
        <v>132</v>
      </c>
      <c r="B50" s="2" t="s">
        <v>34</v>
      </c>
      <c r="C50" s="2">
        <v>11.039844</v>
      </c>
      <c r="D50" s="2">
        <v>135.79584</v>
      </c>
      <c r="E50" s="2">
        <v>3.6802908999999998E-7</v>
      </c>
      <c r="F50" s="2">
        <v>4.2107723E-2</v>
      </c>
      <c r="H50" s="11"/>
      <c r="I50" s="12"/>
      <c r="J50" s="16"/>
      <c r="K50" s="13"/>
      <c r="L50" s="16"/>
      <c r="M50" s="16"/>
      <c r="N50" s="13"/>
    </row>
    <row r="51" spans="1:14" x14ac:dyDescent="0.25">
      <c r="A51" s="2" t="s">
        <v>23</v>
      </c>
      <c r="B51" s="2" t="s">
        <v>23</v>
      </c>
      <c r="C51" s="2">
        <v>4.9469718</v>
      </c>
      <c r="D51" s="18">
        <v>44.587284999999994</v>
      </c>
      <c r="E51" s="2">
        <v>3.4466932E-7</v>
      </c>
      <c r="F51" s="18">
        <v>2.4295693E-2</v>
      </c>
      <c r="H51" s="11"/>
      <c r="I51" s="12"/>
      <c r="J51" s="16"/>
      <c r="K51" s="13"/>
      <c r="L51" s="16"/>
      <c r="M51" s="16"/>
      <c r="N51" s="13"/>
    </row>
    <row r="52" spans="1:14" x14ac:dyDescent="0.25">
      <c r="B52" s="9" t="s">
        <v>18</v>
      </c>
      <c r="H52" s="1"/>
      <c r="I52" s="4"/>
      <c r="J52" s="16"/>
      <c r="K52" s="13"/>
      <c r="L52" s="16"/>
      <c r="M52" s="16"/>
      <c r="N52" s="13"/>
    </row>
    <row r="53" spans="1:14" x14ac:dyDescent="0.25">
      <c r="A53" s="2" t="s">
        <v>23</v>
      </c>
      <c r="B53" s="2" t="s">
        <v>23</v>
      </c>
      <c r="C53" s="2">
        <v>4.9469718</v>
      </c>
      <c r="D53" s="18">
        <v>44.587284999999994</v>
      </c>
      <c r="E53" s="2">
        <v>3.4466932E-7</v>
      </c>
      <c r="F53" s="18">
        <v>2.4295693E-2</v>
      </c>
      <c r="H53" s="11"/>
      <c r="I53" s="4"/>
      <c r="J53" s="16"/>
      <c r="K53" s="13"/>
      <c r="L53" s="16"/>
      <c r="M53" s="13"/>
      <c r="N53" s="13"/>
    </row>
    <row r="54" spans="1:14" x14ac:dyDescent="0.25">
      <c r="A54" s="2" t="s">
        <v>132</v>
      </c>
      <c r="B54" s="2" t="s">
        <v>40</v>
      </c>
      <c r="C54" s="2">
        <v>3.4015444000000001</v>
      </c>
      <c r="D54" s="2">
        <v>71.218410000000006</v>
      </c>
      <c r="E54" s="2">
        <v>5.4988830000000002E-8</v>
      </c>
      <c r="F54" s="2">
        <v>6.4378734000000003E-3</v>
      </c>
      <c r="H54" s="17"/>
      <c r="I54" s="10"/>
      <c r="J54" s="16"/>
      <c r="K54" s="13"/>
      <c r="L54" s="16"/>
      <c r="M54" s="16"/>
      <c r="N54" s="13"/>
    </row>
    <row r="55" spans="1:14" x14ac:dyDescent="0.25">
      <c r="A55" s="2" t="s">
        <v>132</v>
      </c>
      <c r="B55" s="2" t="s">
        <v>35</v>
      </c>
      <c r="C55" s="2">
        <v>9.0273044999999996E-2</v>
      </c>
      <c r="D55" s="2">
        <v>1.6615120000000001</v>
      </c>
      <c r="E55" s="2">
        <v>7.6716499E-9</v>
      </c>
      <c r="F55" s="2">
        <v>7.6195967999999998E-4</v>
      </c>
      <c r="H55" s="15"/>
      <c r="J55" s="16"/>
      <c r="K55" s="13"/>
      <c r="L55" s="16"/>
      <c r="M55" s="16"/>
      <c r="N55" s="13"/>
    </row>
    <row r="56" spans="1:14" x14ac:dyDescent="0.25">
      <c r="B56" s="9" t="s">
        <v>19</v>
      </c>
      <c r="H56" s="15"/>
      <c r="J56" s="16"/>
      <c r="K56" s="13"/>
      <c r="L56" s="16"/>
      <c r="M56" s="13"/>
      <c r="N56" s="13"/>
    </row>
    <row r="57" spans="1:14" x14ac:dyDescent="0.25">
      <c r="A57" s="2" t="s">
        <v>132</v>
      </c>
      <c r="B57" s="2" t="s">
        <v>34</v>
      </c>
      <c r="C57" s="2">
        <v>11.039844</v>
      </c>
      <c r="D57" s="2">
        <v>135.79584</v>
      </c>
      <c r="E57" s="2">
        <v>3.6802908999999998E-7</v>
      </c>
      <c r="F57" s="2">
        <v>4.2107723E-2</v>
      </c>
      <c r="H57" s="17"/>
      <c r="I57" s="10"/>
      <c r="J57" s="16"/>
      <c r="K57" s="13"/>
      <c r="L57" s="16"/>
      <c r="M57" s="13"/>
      <c r="N57" s="13"/>
    </row>
    <row r="58" spans="1:14" x14ac:dyDescent="0.25">
      <c r="A58" s="2" t="s">
        <v>23</v>
      </c>
      <c r="B58" s="2" t="s">
        <v>23</v>
      </c>
      <c r="C58" s="2">
        <v>4.9469718</v>
      </c>
      <c r="D58" s="18">
        <v>44.587284999999994</v>
      </c>
      <c r="E58" s="2">
        <v>3.4466932E-7</v>
      </c>
      <c r="F58" s="18">
        <v>2.4295693E-2</v>
      </c>
      <c r="H58" s="17"/>
      <c r="I58" s="10"/>
      <c r="J58" s="16"/>
      <c r="K58" s="13"/>
      <c r="L58" s="16"/>
      <c r="M58" s="13"/>
      <c r="N58" s="13"/>
    </row>
    <row r="59" spans="1:14" x14ac:dyDescent="0.25">
      <c r="A59" s="2" t="s">
        <v>131</v>
      </c>
      <c r="B59" s="2" t="s">
        <v>22</v>
      </c>
      <c r="C59" s="2">
        <v>22.60398687</v>
      </c>
      <c r="D59" s="2">
        <v>190.188378</v>
      </c>
      <c r="E59" s="2">
        <v>1.4200784550000001E-6</v>
      </c>
      <c r="F59" s="2">
        <v>0.13984028569999998</v>
      </c>
      <c r="H59" s="17"/>
      <c r="I59" s="10"/>
      <c r="J59" s="16"/>
      <c r="K59" s="13"/>
      <c r="L59" s="16"/>
      <c r="M59" s="13"/>
      <c r="N59" s="13"/>
    </row>
    <row r="60" spans="1:14" x14ac:dyDescent="0.25">
      <c r="D60" s="7"/>
      <c r="E60" s="7"/>
      <c r="F60" s="7"/>
      <c r="H60" s="17"/>
      <c r="I60" s="10"/>
      <c r="J60" s="16"/>
      <c r="K60" s="13"/>
      <c r="L60" s="16"/>
      <c r="M60" s="13"/>
      <c r="N60" s="13"/>
    </row>
    <row r="61" spans="1:14" x14ac:dyDescent="0.25">
      <c r="H61" s="17"/>
      <c r="J61" s="16"/>
      <c r="K61" s="13"/>
      <c r="L61" s="16"/>
      <c r="M61" s="16"/>
      <c r="N61" s="13"/>
    </row>
    <row r="62" spans="1:14" ht="18.75" x14ac:dyDescent="0.25">
      <c r="B62" s="38" t="s">
        <v>10</v>
      </c>
      <c r="C62" s="34" t="s">
        <v>118</v>
      </c>
      <c r="D62" s="34" t="s">
        <v>151</v>
      </c>
      <c r="E62" s="34" t="s">
        <v>141</v>
      </c>
      <c r="F62" s="34" t="s">
        <v>144</v>
      </c>
      <c r="G62" s="217" t="s">
        <v>180</v>
      </c>
      <c r="H62" s="218"/>
      <c r="I62" s="218"/>
      <c r="J62" s="219"/>
      <c r="K62" s="13"/>
      <c r="L62" s="16"/>
      <c r="M62" s="13"/>
      <c r="N62" s="13"/>
    </row>
    <row r="63" spans="1:14" ht="18.75" x14ac:dyDescent="0.25">
      <c r="B63" s="5"/>
      <c r="C63" s="6" t="s">
        <v>1</v>
      </c>
      <c r="D63" s="6" t="s">
        <v>169</v>
      </c>
      <c r="E63" s="6" t="s">
        <v>170</v>
      </c>
      <c r="F63" s="6" t="s">
        <v>171</v>
      </c>
      <c r="G63" s="6" t="s">
        <v>1</v>
      </c>
      <c r="H63" s="6" t="s">
        <v>169</v>
      </c>
      <c r="I63" s="6" t="s">
        <v>170</v>
      </c>
      <c r="J63" s="6" t="s">
        <v>171</v>
      </c>
      <c r="K63" s="13"/>
      <c r="L63" s="16"/>
      <c r="M63" s="13"/>
      <c r="N63" s="13"/>
    </row>
    <row r="64" spans="1:14" x14ac:dyDescent="0.25">
      <c r="B64" s="1" t="s">
        <v>42</v>
      </c>
      <c r="C64" s="4">
        <v>1.1151432999999999</v>
      </c>
      <c r="D64" s="2">
        <v>15.501217</v>
      </c>
      <c r="E64" s="13">
        <v>5.1412315000000002E-8</v>
      </c>
      <c r="F64" s="13">
        <v>5.2455434000000002E-3</v>
      </c>
      <c r="G64" s="8">
        <v>-0.54766088000000002</v>
      </c>
      <c r="H64" s="3">
        <v>-1.4021979</v>
      </c>
      <c r="I64" s="3">
        <v>-8.5077336000000003E-8</v>
      </c>
      <c r="J64" s="3">
        <v>-3.2476431000000002E-3</v>
      </c>
      <c r="K64" s="13"/>
      <c r="L64" s="16"/>
      <c r="M64" s="16"/>
      <c r="N64" s="13"/>
    </row>
    <row r="65" spans="2:14" x14ac:dyDescent="0.25">
      <c r="B65" s="1" t="s">
        <v>43</v>
      </c>
      <c r="C65" s="4">
        <v>3.1232856999999998</v>
      </c>
      <c r="D65" s="2">
        <v>85.447528000000005</v>
      </c>
      <c r="E65" s="13">
        <v>1.2774756000000001E-7</v>
      </c>
      <c r="F65" s="13">
        <v>1.3914676000000001E-2</v>
      </c>
      <c r="G65" s="8">
        <v>-0.36284222999999999</v>
      </c>
      <c r="H65" s="3">
        <v>-24.163081999999999</v>
      </c>
      <c r="I65" s="3">
        <v>-4.3470351000000001E-8</v>
      </c>
      <c r="J65" s="3">
        <v>-5.0374922999999999E-3</v>
      </c>
      <c r="K65" s="13"/>
      <c r="L65" s="16"/>
      <c r="M65" s="13"/>
      <c r="N65" s="13"/>
    </row>
    <row r="66" spans="2:14" x14ac:dyDescent="0.25">
      <c r="B66" s="1" t="s">
        <v>44</v>
      </c>
      <c r="C66" s="4">
        <v>3.1232856999999998</v>
      </c>
      <c r="D66" s="2">
        <v>85.447528000000005</v>
      </c>
      <c r="E66" s="13">
        <v>1.2774756000000001E-7</v>
      </c>
      <c r="F66" s="13">
        <v>1.3914676000000001E-2</v>
      </c>
      <c r="G66" s="8">
        <v>-0.36284222999999999</v>
      </c>
      <c r="H66" s="3">
        <v>-24.163081999999999</v>
      </c>
      <c r="I66" s="3">
        <v>-4.3470351000000001E-8</v>
      </c>
      <c r="J66" s="3">
        <v>-5.0374922999999999E-3</v>
      </c>
      <c r="K66" s="13"/>
      <c r="L66" s="16"/>
      <c r="M66" s="13"/>
      <c r="N66" s="13"/>
    </row>
    <row r="67" spans="2:14" x14ac:dyDescent="0.25">
      <c r="B67" s="13"/>
      <c r="C67" s="13"/>
      <c r="D67" s="13"/>
      <c r="E67" s="13"/>
      <c r="F67" s="13"/>
      <c r="G67" s="13"/>
      <c r="H67" s="15"/>
      <c r="J67" s="7"/>
      <c r="L67" s="7"/>
    </row>
    <row r="68" spans="2:14" x14ac:dyDescent="0.25">
      <c r="B68" s="13"/>
      <c r="C68" s="13"/>
      <c r="D68" s="16"/>
      <c r="E68" s="16"/>
      <c r="F68" s="16"/>
      <c r="G68" s="13"/>
      <c r="H68" s="17"/>
      <c r="I68" s="10"/>
      <c r="J68" s="7"/>
      <c r="L68" s="7"/>
    </row>
    <row r="69" spans="2:14" ht="18.75" x14ac:dyDescent="0.25">
      <c r="B69" s="38" t="s">
        <v>45</v>
      </c>
      <c r="C69" s="34" t="s">
        <v>118</v>
      </c>
      <c r="D69" s="34" t="s">
        <v>151</v>
      </c>
      <c r="E69" s="34" t="s">
        <v>141</v>
      </c>
      <c r="F69" s="34" t="s">
        <v>144</v>
      </c>
      <c r="G69" s="13"/>
      <c r="H69" s="15"/>
      <c r="J69" s="7"/>
      <c r="L69" s="7"/>
    </row>
    <row r="70" spans="2:14" ht="18.75" x14ac:dyDescent="0.25">
      <c r="B70" s="5"/>
      <c r="C70" s="6" t="s">
        <v>46</v>
      </c>
      <c r="D70" s="6" t="s">
        <v>173</v>
      </c>
      <c r="E70" s="6" t="s">
        <v>174</v>
      </c>
      <c r="F70" s="6" t="s">
        <v>175</v>
      </c>
      <c r="G70" s="13"/>
      <c r="H70" s="15"/>
      <c r="J70" s="7"/>
      <c r="L70" s="7"/>
    </row>
    <row r="71" spans="2:14" x14ac:dyDescent="0.25">
      <c r="B71" s="1" t="s">
        <v>121</v>
      </c>
      <c r="C71" s="13">
        <v>0.44052307000000002</v>
      </c>
      <c r="D71" s="13">
        <v>6.3942724000000002</v>
      </c>
      <c r="E71" s="13">
        <v>9.5668379000000002E-9</v>
      </c>
      <c r="F71" s="13">
        <v>2.6182916999999998E-3</v>
      </c>
      <c r="G71" s="13"/>
      <c r="H71" s="17"/>
      <c r="J71" s="7"/>
      <c r="L71" s="7"/>
    </row>
    <row r="72" spans="2:14" x14ac:dyDescent="0.25">
      <c r="B72" s="1" t="s">
        <v>124</v>
      </c>
      <c r="C72" s="13">
        <v>0.45462067</v>
      </c>
      <c r="D72" s="13">
        <v>9.0340065000000003</v>
      </c>
      <c r="E72" s="13">
        <v>5.8616396999999999E-9</v>
      </c>
      <c r="F72" s="13">
        <v>2.5363876E-3</v>
      </c>
      <c r="G72" s="13"/>
      <c r="H72" s="15"/>
      <c r="J72" s="7"/>
      <c r="L72" s="7"/>
    </row>
    <row r="73" spans="2:14" x14ac:dyDescent="0.25">
      <c r="B73" s="1" t="s">
        <v>123</v>
      </c>
      <c r="C73" s="13">
        <v>5.4846305999999997E-2</v>
      </c>
      <c r="D73" s="13">
        <v>0.59691468000000003</v>
      </c>
      <c r="E73" s="13">
        <v>4.9148160999999999E-8</v>
      </c>
      <c r="F73" s="13">
        <v>2.5293020000000002E-3</v>
      </c>
      <c r="G73" s="13"/>
      <c r="H73" s="15"/>
      <c r="J73" s="7"/>
      <c r="L73" s="7"/>
    </row>
    <row r="74" spans="2:14" x14ac:dyDescent="0.25">
      <c r="B74" s="1" t="s">
        <v>126</v>
      </c>
      <c r="C74" s="13">
        <v>7.7464627999999994E-2</v>
      </c>
      <c r="D74" s="13">
        <v>0.94455935000000002</v>
      </c>
      <c r="E74" s="13">
        <v>4.2788849000000003E-9</v>
      </c>
      <c r="F74" s="13">
        <v>5.5574230000000001E-4</v>
      </c>
      <c r="G74" s="13"/>
      <c r="H74" s="15"/>
      <c r="J74" s="7"/>
      <c r="L74" s="7"/>
    </row>
    <row r="75" spans="2:14" x14ac:dyDescent="0.25">
      <c r="B75" s="1" t="s">
        <v>125</v>
      </c>
      <c r="C75" s="3">
        <v>0.20645280999999999</v>
      </c>
      <c r="D75" s="13">
        <v>3.3037065999999999</v>
      </c>
      <c r="E75" s="13">
        <v>6.0580901000000004E-10</v>
      </c>
      <c r="F75" s="13">
        <v>1.8237500999999999E-4</v>
      </c>
      <c r="G75" s="13"/>
      <c r="H75" s="15"/>
      <c r="J75" s="7"/>
      <c r="L75" s="7"/>
    </row>
    <row r="76" spans="2:14" x14ac:dyDescent="0.25">
      <c r="B76" s="1" t="s">
        <v>172</v>
      </c>
      <c r="C76" s="13">
        <v>9.3061744000000005E-3</v>
      </c>
      <c r="D76" s="13">
        <v>0.10128299</v>
      </c>
      <c r="E76" s="13">
        <v>8.3393371999999994E-9</v>
      </c>
      <c r="F76" s="13">
        <v>4.2916564000000001E-4</v>
      </c>
      <c r="G76" s="13"/>
      <c r="H76" s="15"/>
    </row>
    <row r="77" spans="2:14" x14ac:dyDescent="0.25">
      <c r="B77" s="13"/>
      <c r="C77" s="13"/>
      <c r="D77" s="16"/>
      <c r="E77" s="13"/>
      <c r="F77" s="16"/>
      <c r="G77" s="16"/>
      <c r="H77" s="15"/>
    </row>
    <row r="78" spans="2:14" x14ac:dyDescent="0.25">
      <c r="B78" s="13"/>
      <c r="C78" s="13"/>
      <c r="D78" s="13"/>
      <c r="E78" s="13"/>
      <c r="F78" s="13"/>
      <c r="G78" s="13"/>
      <c r="H78" s="15"/>
    </row>
    <row r="79" spans="2:14" ht="18.75" x14ac:dyDescent="0.25">
      <c r="B79" s="38" t="s">
        <v>4</v>
      </c>
      <c r="C79" s="34" t="s">
        <v>118</v>
      </c>
      <c r="D79" s="34" t="s">
        <v>151</v>
      </c>
      <c r="E79" s="34" t="s">
        <v>141</v>
      </c>
      <c r="F79" s="34" t="s">
        <v>144</v>
      </c>
      <c r="G79" s="13"/>
      <c r="H79" s="15"/>
    </row>
    <row r="80" spans="2:14" ht="18.75" x14ac:dyDescent="0.25">
      <c r="C80" s="6" t="s">
        <v>5</v>
      </c>
      <c r="D80" s="6" t="s">
        <v>177</v>
      </c>
      <c r="E80" s="6" t="s">
        <v>178</v>
      </c>
      <c r="F80" s="6" t="s">
        <v>179</v>
      </c>
      <c r="G80" s="16"/>
      <c r="H80" s="15"/>
    </row>
    <row r="81" spans="2:11" x14ac:dyDescent="0.25">
      <c r="B81" s="1" t="s">
        <v>233</v>
      </c>
      <c r="C81" s="1">
        <v>1.6543923999999999E-4</v>
      </c>
      <c r="D81" s="1">
        <v>2.50482E-3</v>
      </c>
      <c r="E81" s="1">
        <v>1.1535305999999999E-11</v>
      </c>
      <c r="F81" s="1">
        <v>6.6147402000000003E-7</v>
      </c>
      <c r="G81" s="16"/>
      <c r="H81" s="15"/>
    </row>
    <row r="82" spans="2:11" x14ac:dyDescent="0.25">
      <c r="B82" s="1" t="s">
        <v>234</v>
      </c>
      <c r="C82" s="1">
        <v>1.6207311000000001E-4</v>
      </c>
      <c r="D82" s="1">
        <v>2.4602090000000001E-3</v>
      </c>
      <c r="E82" s="1">
        <v>1.0319783E-11</v>
      </c>
      <c r="F82" s="1">
        <v>4.4948557000000001E-7</v>
      </c>
      <c r="G82" s="16"/>
      <c r="H82" s="15"/>
    </row>
    <row r="83" spans="2:11" x14ac:dyDescent="0.25">
      <c r="B83" s="1" t="s">
        <v>6</v>
      </c>
      <c r="C83" s="14">
        <v>1.1595688E-5</v>
      </c>
      <c r="D83" s="1">
        <v>1.6238789E-4</v>
      </c>
      <c r="E83" s="1">
        <v>3.4068386000000001E-13</v>
      </c>
      <c r="F83" s="1">
        <v>2.8845280999999999E-7</v>
      </c>
      <c r="G83" s="16"/>
      <c r="H83" s="17"/>
      <c r="I83" s="10"/>
      <c r="J83" s="7"/>
      <c r="K83" s="7"/>
    </row>
    <row r="84" spans="2:11" x14ac:dyDescent="0.25">
      <c r="B84" s="1" t="s">
        <v>41</v>
      </c>
      <c r="C84" s="14">
        <v>5.0551435000000001E-5</v>
      </c>
      <c r="D84" s="1">
        <v>7.7166238E-4</v>
      </c>
      <c r="E84" s="1">
        <v>3.2127048999999998E-12</v>
      </c>
      <c r="F84" s="1">
        <v>3.6906920000000002E-7</v>
      </c>
      <c r="G84" s="16"/>
      <c r="H84" s="15"/>
      <c r="I84" s="10"/>
      <c r="J84" s="7"/>
    </row>
    <row r="85" spans="2:11" x14ac:dyDescent="0.25">
      <c r="B85" s="13"/>
      <c r="C85" s="13"/>
      <c r="D85" s="16"/>
      <c r="E85" s="13"/>
      <c r="F85" s="16"/>
      <c r="G85" s="13"/>
      <c r="H85" s="17"/>
      <c r="I85" s="10"/>
      <c r="J85" s="7"/>
      <c r="K85" s="7"/>
    </row>
    <row r="86" spans="2:11" x14ac:dyDescent="0.25">
      <c r="B86" s="13"/>
      <c r="C86" s="13"/>
      <c r="D86" s="16"/>
      <c r="E86" s="13"/>
      <c r="F86" s="16"/>
      <c r="G86" s="16"/>
      <c r="H86" s="17"/>
      <c r="I86" s="10"/>
      <c r="J86" s="7"/>
      <c r="K86" s="7"/>
    </row>
    <row r="87" spans="2:11" x14ac:dyDescent="0.25">
      <c r="B87" s="13"/>
      <c r="C87" s="13"/>
      <c r="D87" s="16"/>
      <c r="E87" s="13"/>
      <c r="F87" s="16"/>
      <c r="G87" s="16"/>
      <c r="H87" s="17"/>
      <c r="I87" s="10"/>
      <c r="J87" s="7"/>
      <c r="K87" s="7"/>
    </row>
    <row r="88" spans="2:11" x14ac:dyDescent="0.25">
      <c r="B88" s="13"/>
      <c r="C88" s="13"/>
      <c r="D88" s="16"/>
      <c r="E88" s="13"/>
      <c r="F88" s="16"/>
      <c r="G88" s="16"/>
      <c r="H88" s="17"/>
      <c r="I88" s="10"/>
      <c r="J88" s="7"/>
      <c r="K88" s="7"/>
    </row>
    <row r="89" spans="2:11" x14ac:dyDescent="0.25">
      <c r="B89" s="13"/>
      <c r="C89" s="13"/>
      <c r="D89" s="13"/>
      <c r="E89" s="13"/>
      <c r="F89" s="13"/>
      <c r="G89" s="13"/>
      <c r="H89" s="15"/>
      <c r="I89" s="10"/>
      <c r="J89" s="7"/>
      <c r="K89" s="7"/>
    </row>
    <row r="90" spans="2:11" x14ac:dyDescent="0.25">
      <c r="B90" s="13"/>
      <c r="C90" s="13"/>
      <c r="D90" s="16"/>
      <c r="E90" s="13"/>
      <c r="F90" s="16"/>
      <c r="G90" s="16"/>
      <c r="H90" s="17"/>
      <c r="I90" s="10"/>
      <c r="J90" s="7"/>
      <c r="K90" s="7"/>
    </row>
    <row r="91" spans="2:11" x14ac:dyDescent="0.25">
      <c r="B91" s="13"/>
      <c r="C91" s="13"/>
      <c r="D91" s="16"/>
      <c r="E91" s="13"/>
      <c r="F91" s="16"/>
      <c r="G91" s="16"/>
      <c r="H91" s="17"/>
      <c r="I91" s="10"/>
      <c r="J91" s="7"/>
      <c r="K91" s="7"/>
    </row>
    <row r="92" spans="2:11" x14ac:dyDescent="0.25">
      <c r="B92" s="13"/>
      <c r="C92" s="13"/>
      <c r="D92" s="16"/>
      <c r="E92" s="13"/>
      <c r="F92" s="16"/>
      <c r="G92" s="13"/>
      <c r="H92" s="15"/>
      <c r="I92" s="10"/>
      <c r="K92" s="7"/>
    </row>
    <row r="93" spans="2:11" x14ac:dyDescent="0.25">
      <c r="B93" s="13"/>
      <c r="C93" s="13"/>
      <c r="D93" s="13"/>
      <c r="E93" s="13"/>
      <c r="F93" s="13"/>
      <c r="G93" s="13"/>
      <c r="H93" s="15"/>
    </row>
    <row r="94" spans="2:11" x14ac:dyDescent="0.25">
      <c r="B94" s="13"/>
      <c r="C94" s="13"/>
      <c r="D94" s="13"/>
      <c r="E94" s="13"/>
      <c r="F94" s="16"/>
      <c r="G94" s="13"/>
      <c r="H94" s="15"/>
    </row>
    <row r="95" spans="2:11" x14ac:dyDescent="0.25">
      <c r="B95" s="13"/>
      <c r="C95" s="13"/>
      <c r="D95" s="16"/>
      <c r="E95" s="13"/>
      <c r="F95" s="16"/>
      <c r="G95" s="13"/>
      <c r="H95" s="15"/>
      <c r="I95" s="10"/>
    </row>
    <row r="96" spans="2:11" x14ac:dyDescent="0.25">
      <c r="B96" s="13"/>
      <c r="C96" s="13"/>
      <c r="D96" s="16"/>
      <c r="E96" s="13"/>
      <c r="F96" s="16"/>
      <c r="G96" s="13"/>
      <c r="H96" s="15"/>
    </row>
    <row r="97" spans="2:11" x14ac:dyDescent="0.25">
      <c r="B97" s="13"/>
      <c r="C97" s="13"/>
      <c r="D97" s="16"/>
      <c r="E97" s="13"/>
      <c r="F97" s="16"/>
      <c r="G97" s="16"/>
      <c r="H97" s="17"/>
      <c r="I97" s="10"/>
      <c r="J97" s="7"/>
      <c r="K97" s="7"/>
    </row>
    <row r="98" spans="2:11" x14ac:dyDescent="0.25">
      <c r="B98" s="13"/>
      <c r="C98" s="13"/>
      <c r="D98" s="13"/>
      <c r="E98" s="13"/>
      <c r="F98" s="13"/>
      <c r="G98" s="13"/>
      <c r="H98" s="15"/>
    </row>
    <row r="99" spans="2:11" x14ac:dyDescent="0.25">
      <c r="B99" s="13"/>
      <c r="C99" s="13"/>
      <c r="D99" s="16"/>
      <c r="E99" s="13"/>
      <c r="F99" s="16"/>
      <c r="G99" s="13"/>
      <c r="H99" s="15"/>
      <c r="I99" s="10"/>
      <c r="J99" s="7"/>
      <c r="K99" s="7"/>
    </row>
    <row r="100" spans="2:11" x14ac:dyDescent="0.25">
      <c r="B100" s="13"/>
      <c r="C100" s="13"/>
      <c r="D100" s="16"/>
      <c r="E100" s="13"/>
      <c r="F100" s="16"/>
      <c r="G100" s="16"/>
      <c r="H100" s="17"/>
      <c r="I100" s="10"/>
      <c r="J100" s="7"/>
      <c r="K100" s="7"/>
    </row>
    <row r="101" spans="2:11" x14ac:dyDescent="0.25">
      <c r="B101" s="13"/>
      <c r="C101" s="13"/>
      <c r="D101" s="16"/>
      <c r="E101" s="13"/>
      <c r="F101" s="16"/>
      <c r="G101" s="13"/>
      <c r="H101" s="15"/>
    </row>
    <row r="102" spans="2:11" x14ac:dyDescent="0.25">
      <c r="B102" s="13"/>
      <c r="C102" s="13"/>
      <c r="D102" s="16"/>
      <c r="E102" s="13"/>
      <c r="F102" s="16"/>
      <c r="G102" s="13"/>
      <c r="H102" s="15"/>
    </row>
    <row r="103" spans="2:11" x14ac:dyDescent="0.25">
      <c r="B103" s="13"/>
      <c r="C103" s="13"/>
      <c r="D103" s="16"/>
      <c r="E103" s="13"/>
      <c r="F103" s="16"/>
      <c r="G103" s="13"/>
      <c r="H103" s="15"/>
    </row>
    <row r="104" spans="2:11" x14ac:dyDescent="0.25">
      <c r="B104" s="13"/>
      <c r="C104" s="13"/>
      <c r="D104" s="16"/>
      <c r="E104" s="13"/>
      <c r="F104" s="16"/>
      <c r="G104" s="13"/>
      <c r="H104" s="15"/>
    </row>
    <row r="105" spans="2:11" x14ac:dyDescent="0.25">
      <c r="B105" s="13"/>
      <c r="C105" s="13"/>
      <c r="D105" s="16"/>
      <c r="E105" s="13"/>
      <c r="F105" s="16"/>
      <c r="G105" s="13"/>
      <c r="H105" s="15"/>
    </row>
    <row r="106" spans="2:11" x14ac:dyDescent="0.25">
      <c r="B106" s="13"/>
      <c r="C106" s="13"/>
      <c r="D106" s="16"/>
      <c r="E106" s="13"/>
      <c r="F106" s="16"/>
      <c r="G106" s="13"/>
      <c r="H106" s="15"/>
    </row>
    <row r="107" spans="2:11" x14ac:dyDescent="0.25">
      <c r="B107" s="13"/>
      <c r="C107" s="13"/>
      <c r="D107" s="16"/>
      <c r="E107" s="13"/>
      <c r="F107" s="16"/>
      <c r="G107" s="13"/>
      <c r="H107" s="15"/>
    </row>
    <row r="108" spans="2:11" x14ac:dyDescent="0.25">
      <c r="B108" s="13"/>
      <c r="C108" s="13"/>
      <c r="D108" s="16"/>
      <c r="E108" s="13"/>
      <c r="F108" s="16"/>
      <c r="G108" s="13"/>
      <c r="H108" s="15"/>
    </row>
    <row r="109" spans="2:11" x14ac:dyDescent="0.25">
      <c r="B109" s="13"/>
      <c r="C109" s="13"/>
      <c r="D109" s="16"/>
      <c r="E109" s="13"/>
      <c r="F109" s="16"/>
      <c r="G109" s="13"/>
      <c r="H109" s="15"/>
    </row>
    <row r="110" spans="2:11" x14ac:dyDescent="0.25">
      <c r="B110" s="13"/>
      <c r="C110" s="13"/>
      <c r="D110" s="16"/>
      <c r="E110" s="13"/>
      <c r="F110" s="16"/>
      <c r="G110" s="13"/>
      <c r="H110" s="15"/>
    </row>
    <row r="111" spans="2:11" x14ac:dyDescent="0.25">
      <c r="B111" s="13"/>
      <c r="C111" s="13"/>
      <c r="D111" s="16"/>
      <c r="E111" s="13"/>
      <c r="F111" s="16"/>
      <c r="G111" s="13"/>
      <c r="H111" s="15"/>
    </row>
    <row r="112" spans="2:11" x14ac:dyDescent="0.25">
      <c r="B112" s="13"/>
      <c r="C112" s="13"/>
      <c r="D112" s="16"/>
      <c r="E112" s="13"/>
      <c r="F112" s="16"/>
      <c r="G112" s="13"/>
      <c r="H112" s="15"/>
    </row>
    <row r="113" spans="2:8" x14ac:dyDescent="0.25">
      <c r="B113" s="13"/>
      <c r="C113" s="13"/>
      <c r="D113" s="16"/>
      <c r="E113" s="13"/>
      <c r="F113" s="16"/>
      <c r="G113" s="13"/>
      <c r="H113" s="15"/>
    </row>
    <row r="114" spans="2:8" x14ac:dyDescent="0.25">
      <c r="B114" s="13"/>
      <c r="C114" s="13"/>
      <c r="D114" s="16"/>
      <c r="E114" s="13"/>
      <c r="F114" s="16"/>
      <c r="G114" s="13"/>
      <c r="H114" s="15"/>
    </row>
    <row r="115" spans="2:8" x14ac:dyDescent="0.25">
      <c r="B115" s="13"/>
      <c r="C115" s="13"/>
      <c r="D115" s="16"/>
      <c r="E115" s="13"/>
      <c r="F115" s="16"/>
      <c r="G115" s="13"/>
      <c r="H115" s="15"/>
    </row>
    <row r="116" spans="2:8" x14ac:dyDescent="0.25">
      <c r="B116" s="13"/>
      <c r="C116" s="13"/>
      <c r="D116" s="16"/>
      <c r="E116" s="13"/>
      <c r="F116" s="16"/>
      <c r="G116" s="13"/>
      <c r="H116" s="15"/>
    </row>
    <row r="117" spans="2:8" x14ac:dyDescent="0.25">
      <c r="B117" s="13"/>
      <c r="C117" s="13"/>
      <c r="D117" s="16"/>
      <c r="E117" s="13"/>
      <c r="F117" s="16"/>
      <c r="G117" s="13"/>
      <c r="H117" s="15"/>
    </row>
    <row r="118" spans="2:8" x14ac:dyDescent="0.25">
      <c r="B118" s="13"/>
      <c r="C118" s="13"/>
      <c r="D118" s="16"/>
      <c r="E118" s="13"/>
      <c r="F118" s="16"/>
      <c r="G118" s="13"/>
      <c r="H118" s="15"/>
    </row>
    <row r="119" spans="2:8" x14ac:dyDescent="0.25">
      <c r="B119" s="13"/>
      <c r="C119" s="13"/>
      <c r="D119" s="13"/>
      <c r="E119" s="13"/>
      <c r="F119" s="13"/>
      <c r="G119" s="13"/>
      <c r="H119" s="15"/>
    </row>
    <row r="120" spans="2:8" x14ac:dyDescent="0.25">
      <c r="B120" s="13"/>
      <c r="C120" s="13"/>
      <c r="D120" s="13"/>
      <c r="E120" s="13"/>
      <c r="F120" s="13"/>
      <c r="G120" s="13"/>
      <c r="H120" s="15"/>
    </row>
    <row r="121" spans="2:8" x14ac:dyDescent="0.25">
      <c r="B121" s="13"/>
      <c r="C121" s="13"/>
      <c r="D121" s="13"/>
      <c r="E121" s="13"/>
      <c r="F121" s="13"/>
      <c r="G121" s="13"/>
      <c r="H121" s="15"/>
    </row>
    <row r="122" spans="2:8" x14ac:dyDescent="0.25">
      <c r="B122" s="13"/>
      <c r="C122" s="13"/>
      <c r="D122" s="13"/>
      <c r="E122" s="13"/>
      <c r="F122" s="13"/>
      <c r="G122" s="13"/>
      <c r="H122" s="15"/>
    </row>
    <row r="123" spans="2:8" x14ac:dyDescent="0.25">
      <c r="B123" s="13"/>
      <c r="C123" s="13"/>
      <c r="D123" s="13"/>
      <c r="E123" s="13"/>
      <c r="F123" s="13"/>
      <c r="G123" s="13"/>
      <c r="H123" s="15"/>
    </row>
    <row r="124" spans="2:8" x14ac:dyDescent="0.25">
      <c r="B124" s="13"/>
      <c r="C124" s="13"/>
      <c r="D124" s="13"/>
      <c r="E124" s="13"/>
      <c r="F124" s="13"/>
      <c r="G124" s="13"/>
      <c r="H124" s="15"/>
    </row>
    <row r="125" spans="2:8" x14ac:dyDescent="0.25">
      <c r="B125" s="13"/>
      <c r="C125" s="13"/>
      <c r="D125" s="16"/>
      <c r="E125" s="13"/>
      <c r="F125" s="16"/>
      <c r="G125" s="13"/>
      <c r="H125" s="15"/>
    </row>
    <row r="126" spans="2:8" x14ac:dyDescent="0.25">
      <c r="B126" s="13"/>
      <c r="C126" s="13"/>
      <c r="D126" s="13"/>
      <c r="E126" s="13"/>
      <c r="F126" s="13"/>
      <c r="G126" s="13"/>
      <c r="H126" s="15"/>
    </row>
    <row r="127" spans="2:8" x14ac:dyDescent="0.25">
      <c r="B127" s="13"/>
      <c r="C127" s="13"/>
      <c r="D127" s="13"/>
      <c r="E127" s="13"/>
      <c r="F127" s="13"/>
      <c r="G127" s="13"/>
      <c r="H127" s="15"/>
    </row>
    <row r="128" spans="2:8" x14ac:dyDescent="0.25">
      <c r="B128" s="13"/>
      <c r="C128" s="13"/>
      <c r="D128" s="13"/>
      <c r="E128" s="13"/>
      <c r="F128" s="13"/>
      <c r="G128" s="13"/>
      <c r="H128" s="15"/>
    </row>
    <row r="129" spans="2:8" x14ac:dyDescent="0.25">
      <c r="B129" s="13"/>
      <c r="C129" s="13"/>
      <c r="D129" s="13"/>
      <c r="E129" s="13"/>
      <c r="F129" s="13"/>
      <c r="G129" s="13"/>
      <c r="H129" s="15"/>
    </row>
    <row r="130" spans="2:8" x14ac:dyDescent="0.25">
      <c r="B130" s="13"/>
      <c r="C130" s="13"/>
      <c r="D130" s="13"/>
      <c r="E130" s="13"/>
      <c r="F130" s="13"/>
      <c r="G130" s="13"/>
      <c r="H130" s="15"/>
    </row>
    <row r="131" spans="2:8" x14ac:dyDescent="0.25">
      <c r="B131" s="13"/>
      <c r="C131" s="13"/>
      <c r="D131" s="13"/>
      <c r="E131" s="13"/>
      <c r="F131" s="13"/>
      <c r="G131" s="13"/>
      <c r="H131" s="15"/>
    </row>
    <row r="132" spans="2:8" x14ac:dyDescent="0.25">
      <c r="B132" s="13"/>
      <c r="C132" s="13"/>
      <c r="D132" s="13"/>
      <c r="E132" s="13"/>
      <c r="F132" s="13"/>
      <c r="G132" s="13"/>
      <c r="H132" s="15"/>
    </row>
    <row r="133" spans="2:8" x14ac:dyDescent="0.25">
      <c r="B133" s="13"/>
      <c r="C133" s="13"/>
      <c r="D133" s="13"/>
      <c r="E133" s="13"/>
      <c r="F133" s="13"/>
      <c r="G133" s="13"/>
      <c r="H133" s="15"/>
    </row>
    <row r="134" spans="2:8" x14ac:dyDescent="0.25">
      <c r="B134" s="13"/>
      <c r="C134" s="13"/>
      <c r="D134" s="13"/>
      <c r="E134" s="13"/>
      <c r="F134" s="13"/>
      <c r="G134" s="13"/>
      <c r="H134" s="15"/>
    </row>
    <row r="135" spans="2:8" x14ac:dyDescent="0.25">
      <c r="B135" s="13"/>
      <c r="C135" s="13"/>
      <c r="D135" s="13"/>
      <c r="E135" s="13"/>
      <c r="F135" s="13"/>
      <c r="G135" s="13"/>
      <c r="H135" s="15"/>
    </row>
    <row r="136" spans="2:8" x14ac:dyDescent="0.25">
      <c r="B136" s="13"/>
      <c r="C136" s="13"/>
      <c r="D136" s="13"/>
      <c r="E136" s="13"/>
      <c r="F136" s="13"/>
      <c r="G136" s="13"/>
      <c r="H136" s="15"/>
    </row>
    <row r="137" spans="2:8" x14ac:dyDescent="0.25">
      <c r="B137" s="13"/>
      <c r="C137" s="13"/>
      <c r="D137" s="13"/>
      <c r="E137" s="13"/>
      <c r="F137" s="13"/>
      <c r="G137" s="13"/>
      <c r="H137" s="15"/>
    </row>
    <row r="138" spans="2:8" x14ac:dyDescent="0.25">
      <c r="B138" s="13"/>
      <c r="C138" s="13"/>
      <c r="D138" s="13"/>
      <c r="E138" s="13"/>
      <c r="F138" s="13"/>
      <c r="G138" s="13"/>
      <c r="H138" s="15"/>
    </row>
    <row r="139" spans="2:8" x14ac:dyDescent="0.25">
      <c r="B139" s="13"/>
      <c r="C139" s="13"/>
      <c r="D139" s="13"/>
      <c r="E139" s="13"/>
      <c r="F139" s="13"/>
      <c r="G139" s="13"/>
      <c r="H139" s="15"/>
    </row>
    <row r="140" spans="2:8" x14ac:dyDescent="0.25">
      <c r="B140" s="13"/>
      <c r="C140" s="13"/>
      <c r="D140" s="13"/>
      <c r="E140" s="13"/>
      <c r="F140" s="13"/>
      <c r="G140" s="13"/>
      <c r="H140" s="15"/>
    </row>
    <row r="141" spans="2:8" x14ac:dyDescent="0.25">
      <c r="B141" s="13"/>
      <c r="C141" s="13"/>
      <c r="D141" s="13"/>
      <c r="E141" s="13"/>
      <c r="F141" s="13"/>
      <c r="G141" s="13"/>
      <c r="H141" s="15"/>
    </row>
    <row r="142" spans="2:8" x14ac:dyDescent="0.25">
      <c r="B142" s="13"/>
      <c r="C142" s="13"/>
      <c r="D142" s="13"/>
      <c r="E142" s="13"/>
      <c r="F142" s="13"/>
      <c r="G142" s="13"/>
      <c r="H142" s="15"/>
    </row>
    <row r="143" spans="2:8" x14ac:dyDescent="0.25">
      <c r="B143" s="13"/>
      <c r="C143" s="13"/>
      <c r="D143" s="13"/>
      <c r="E143" s="13"/>
      <c r="F143" s="13"/>
      <c r="G143" s="13"/>
      <c r="H143" s="15"/>
    </row>
    <row r="144" spans="2:8" x14ac:dyDescent="0.25">
      <c r="B144" s="13"/>
      <c r="C144" s="13"/>
      <c r="D144" s="13"/>
      <c r="E144" s="13"/>
      <c r="F144" s="13"/>
      <c r="G144" s="13"/>
      <c r="H144" s="15"/>
    </row>
    <row r="145" spans="2:8" x14ac:dyDescent="0.25">
      <c r="B145" s="13"/>
      <c r="C145" s="13"/>
      <c r="D145" s="16"/>
      <c r="E145" s="13"/>
      <c r="F145" s="16"/>
      <c r="G145" s="16"/>
      <c r="H145" s="17"/>
    </row>
    <row r="146" spans="2:8" x14ac:dyDescent="0.25">
      <c r="B146" s="13"/>
      <c r="C146" s="13"/>
      <c r="D146" s="13"/>
      <c r="E146" s="13"/>
      <c r="F146" s="13"/>
      <c r="G146" s="13"/>
      <c r="H146" s="15"/>
    </row>
    <row r="147" spans="2:8" x14ac:dyDescent="0.25">
      <c r="B147" s="13"/>
      <c r="C147" s="13"/>
      <c r="D147" s="13"/>
      <c r="E147" s="13"/>
      <c r="F147" s="13"/>
      <c r="G147" s="13"/>
      <c r="H147" s="15"/>
    </row>
    <row r="148" spans="2:8" x14ac:dyDescent="0.25">
      <c r="B148" s="13"/>
      <c r="C148" s="13"/>
      <c r="D148" s="16"/>
      <c r="E148" s="13"/>
      <c r="F148" s="16"/>
      <c r="G148" s="16"/>
      <c r="H148" s="17"/>
    </row>
    <row r="149" spans="2:8" x14ac:dyDescent="0.25">
      <c r="B149" s="13"/>
      <c r="C149" s="13"/>
      <c r="D149" s="16"/>
      <c r="E149" s="13"/>
      <c r="F149" s="16"/>
      <c r="G149" s="16"/>
      <c r="H149" s="17"/>
    </row>
    <row r="150" spans="2:8" x14ac:dyDescent="0.25">
      <c r="B150" s="13"/>
      <c r="C150" s="13"/>
      <c r="D150" s="16"/>
      <c r="E150" s="13"/>
      <c r="F150" s="16"/>
      <c r="G150" s="16"/>
      <c r="H150" s="17"/>
    </row>
    <row r="151" spans="2:8" x14ac:dyDescent="0.25">
      <c r="B151" s="13"/>
      <c r="C151" s="13"/>
      <c r="D151" s="13"/>
      <c r="E151" s="13"/>
      <c r="F151" s="13"/>
      <c r="G151" s="13"/>
      <c r="H151" s="15"/>
    </row>
    <row r="152" spans="2:8" x14ac:dyDescent="0.25">
      <c r="B152" s="13"/>
      <c r="C152" s="13"/>
      <c r="D152" s="16"/>
      <c r="E152" s="13"/>
      <c r="F152" s="16"/>
      <c r="G152" s="16"/>
      <c r="H152" s="15"/>
    </row>
    <row r="153" spans="2:8" x14ac:dyDescent="0.25">
      <c r="B153" s="13"/>
      <c r="C153" s="13"/>
      <c r="D153" s="13"/>
      <c r="E153" s="13"/>
      <c r="F153" s="13"/>
      <c r="G153" s="16"/>
      <c r="H153" s="15"/>
    </row>
    <row r="154" spans="2:8" x14ac:dyDescent="0.25">
      <c r="B154" s="13"/>
      <c r="C154" s="13"/>
      <c r="D154" s="13"/>
      <c r="E154" s="13"/>
      <c r="F154" s="13"/>
      <c r="G154" s="13"/>
      <c r="H154" s="15"/>
    </row>
    <row r="155" spans="2:8" x14ac:dyDescent="0.25">
      <c r="B155" s="13"/>
      <c r="C155" s="13"/>
      <c r="D155" s="13"/>
      <c r="E155" s="13"/>
      <c r="F155" s="13"/>
      <c r="G155" s="13"/>
      <c r="H155" s="15"/>
    </row>
    <row r="156" spans="2:8" x14ac:dyDescent="0.25">
      <c r="B156" s="13"/>
      <c r="C156" s="13"/>
      <c r="D156" s="13"/>
      <c r="E156" s="13"/>
      <c r="F156" s="13"/>
      <c r="G156" s="13"/>
      <c r="H156" s="15"/>
    </row>
    <row r="157" spans="2:8" x14ac:dyDescent="0.25">
      <c r="B157" s="13"/>
      <c r="C157" s="13"/>
      <c r="D157" s="13"/>
      <c r="E157" s="13"/>
      <c r="F157" s="13"/>
      <c r="G157" s="13"/>
      <c r="H157" s="15"/>
    </row>
    <row r="158" spans="2:8" x14ac:dyDescent="0.25">
      <c r="B158" s="13"/>
      <c r="C158" s="13"/>
      <c r="D158" s="13"/>
      <c r="E158" s="13"/>
      <c r="F158" s="13"/>
      <c r="G158" s="13"/>
      <c r="H158" s="15"/>
    </row>
    <row r="159" spans="2:8" x14ac:dyDescent="0.25">
      <c r="B159" s="13"/>
      <c r="C159" s="13"/>
      <c r="D159" s="16"/>
      <c r="E159" s="13"/>
      <c r="F159" s="16"/>
      <c r="G159" s="16"/>
      <c r="H159" s="17"/>
    </row>
    <row r="160" spans="2:8" x14ac:dyDescent="0.25">
      <c r="B160" s="13"/>
      <c r="C160" s="13"/>
      <c r="D160" s="13"/>
      <c r="E160" s="13"/>
      <c r="F160" s="13"/>
      <c r="G160" s="13"/>
      <c r="H160" s="15"/>
    </row>
    <row r="161" spans="2:8" x14ac:dyDescent="0.25">
      <c r="B161" s="13"/>
      <c r="C161" s="13"/>
      <c r="D161" s="13"/>
      <c r="E161" s="13"/>
      <c r="F161" s="13"/>
      <c r="G161" s="13"/>
      <c r="H161" s="15"/>
    </row>
    <row r="162" spans="2:8" x14ac:dyDescent="0.25">
      <c r="B162" s="13"/>
      <c r="C162" s="13"/>
      <c r="D162" s="16"/>
      <c r="E162" s="13"/>
      <c r="F162" s="16"/>
      <c r="G162" s="13"/>
      <c r="H162" s="15"/>
    </row>
    <row r="163" spans="2:8" x14ac:dyDescent="0.25">
      <c r="B163" s="13"/>
      <c r="C163" s="13"/>
      <c r="D163" s="13"/>
      <c r="E163" s="13"/>
      <c r="F163" s="13"/>
      <c r="G163" s="13"/>
      <c r="H163" s="15"/>
    </row>
  </sheetData>
  <sheetProtection algorithmName="SHA-512" hashValue="F7ql/D0vK1eUpLmOH9imOnMY4nU3y1A5zj6KIF3Qms0HAXclG9De8t22BcYBhDFht6qtPI2vVO9n8bPqMp4bHQ==" saltValue="evrqDku98XkZtYKzqchk1A==" spinCount="100000" sheet="1" objects="1" scenarios="1"/>
  <sortState ref="H3:I37">
    <sortCondition ref="H3"/>
  </sortState>
  <mergeCells count="2">
    <mergeCell ref="G62:J62"/>
    <mergeCell ref="G1:K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52"/>
  <sheetViews>
    <sheetView zoomScale="90" zoomScaleNormal="90" workbookViewId="0">
      <selection activeCell="F20" sqref="F20"/>
    </sheetView>
  </sheetViews>
  <sheetFormatPr defaultRowHeight="15" x14ac:dyDescent="0.25"/>
  <cols>
    <col min="1" max="1" width="38" bestFit="1" customWidth="1"/>
    <col min="2" max="2" width="16.5703125" customWidth="1"/>
  </cols>
  <sheetData>
    <row r="2" spans="1:51" x14ac:dyDescent="0.25">
      <c r="A2" t="s">
        <v>47</v>
      </c>
      <c r="B2" t="s">
        <v>48</v>
      </c>
    </row>
    <row r="3" spans="1:51" x14ac:dyDescent="0.25">
      <c r="A3" t="s">
        <v>49</v>
      </c>
      <c r="B3" t="s">
        <v>50</v>
      </c>
    </row>
    <row r="4" spans="1:51" x14ac:dyDescent="0.25">
      <c r="A4" t="s">
        <v>51</v>
      </c>
      <c r="B4" t="s">
        <v>52</v>
      </c>
    </row>
    <row r="5" spans="1:51" x14ac:dyDescent="0.25">
      <c r="A5" t="s">
        <v>53</v>
      </c>
      <c r="B5" t="s">
        <v>54</v>
      </c>
    </row>
    <row r="6" spans="1:51" x14ac:dyDescent="0.25">
      <c r="A6" t="s">
        <v>55</v>
      </c>
      <c r="B6" t="s">
        <v>56</v>
      </c>
    </row>
    <row r="7" spans="1:51" x14ac:dyDescent="0.25">
      <c r="A7" t="s">
        <v>57</v>
      </c>
      <c r="B7" t="s">
        <v>58</v>
      </c>
    </row>
    <row r="8" spans="1:51" x14ac:dyDescent="0.25">
      <c r="A8" t="s">
        <v>59</v>
      </c>
      <c r="B8" t="s">
        <v>60</v>
      </c>
    </row>
    <row r="9" spans="1:51" x14ac:dyDescent="0.25">
      <c r="A9" t="s">
        <v>61</v>
      </c>
      <c r="B9" t="s">
        <v>62</v>
      </c>
    </row>
    <row r="10" spans="1:51" x14ac:dyDescent="0.25">
      <c r="A10" t="s">
        <v>63</v>
      </c>
      <c r="B10" t="s">
        <v>64</v>
      </c>
    </row>
    <row r="11" spans="1:51" x14ac:dyDescent="0.25">
      <c r="A11" t="s">
        <v>65</v>
      </c>
      <c r="B11" t="s">
        <v>66</v>
      </c>
    </row>
    <row r="12" spans="1:51" x14ac:dyDescent="0.25">
      <c r="A12" t="s">
        <v>67</v>
      </c>
      <c r="B12" t="s">
        <v>68</v>
      </c>
    </row>
    <row r="13" spans="1:51" ht="30" x14ac:dyDescent="0.25">
      <c r="F13" s="31" t="s">
        <v>133</v>
      </c>
      <c r="G13" t="s">
        <v>134</v>
      </c>
      <c r="H13" t="s">
        <v>135</v>
      </c>
      <c r="J13" t="s">
        <v>134</v>
      </c>
      <c r="M13" t="s">
        <v>119</v>
      </c>
      <c r="N13" t="s">
        <v>136</v>
      </c>
      <c r="O13" t="s">
        <v>120</v>
      </c>
      <c r="P13" t="s">
        <v>134</v>
      </c>
      <c r="U13" s="31" t="s">
        <v>133</v>
      </c>
      <c r="W13" t="s">
        <v>134</v>
      </c>
      <c r="AE13" t="s">
        <v>134</v>
      </c>
      <c r="AN13" t="s">
        <v>134</v>
      </c>
      <c r="AU13" t="s">
        <v>134</v>
      </c>
      <c r="AW13" t="s">
        <v>134</v>
      </c>
    </row>
    <row r="14" spans="1:51" s="19" customFormat="1" ht="60" x14ac:dyDescent="0.25">
      <c r="A14" s="19" t="s">
        <v>66</v>
      </c>
      <c r="B14" s="19" t="s">
        <v>69</v>
      </c>
      <c r="C14" s="19" t="s">
        <v>70</v>
      </c>
      <c r="D14" s="19" t="s">
        <v>71</v>
      </c>
      <c r="E14" s="29" t="s">
        <v>72</v>
      </c>
      <c r="F14" s="32" t="s">
        <v>73</v>
      </c>
      <c r="G14" s="19" t="s">
        <v>74</v>
      </c>
      <c r="H14" s="27" t="s">
        <v>75</v>
      </c>
      <c r="I14" s="22" t="s">
        <v>76</v>
      </c>
      <c r="J14" s="19" t="s">
        <v>77</v>
      </c>
      <c r="K14" s="23" t="s">
        <v>78</v>
      </c>
      <c r="L14" s="28" t="s">
        <v>79</v>
      </c>
      <c r="M14" s="20" t="s">
        <v>80</v>
      </c>
      <c r="N14" s="33" t="s">
        <v>81</v>
      </c>
      <c r="O14" s="24" t="s">
        <v>82</v>
      </c>
      <c r="P14" s="19" t="s">
        <v>83</v>
      </c>
      <c r="Q14" s="27" t="s">
        <v>84</v>
      </c>
      <c r="R14" s="21" t="s">
        <v>85</v>
      </c>
      <c r="S14" s="30" t="s">
        <v>86</v>
      </c>
      <c r="T14" s="29" t="s">
        <v>87</v>
      </c>
      <c r="U14" s="32" t="s">
        <v>88</v>
      </c>
      <c r="V14" s="20" t="s">
        <v>89</v>
      </c>
      <c r="W14" s="19" t="s">
        <v>90</v>
      </c>
      <c r="X14" s="27" t="s">
        <v>91</v>
      </c>
      <c r="Y14" s="22" t="s">
        <v>92</v>
      </c>
      <c r="Z14" s="25" t="s">
        <v>93</v>
      </c>
      <c r="AA14" s="28" t="s">
        <v>94</v>
      </c>
      <c r="AB14" s="33" t="s">
        <v>95</v>
      </c>
      <c r="AC14" s="24" t="s">
        <v>96</v>
      </c>
      <c r="AD14" s="27" t="s">
        <v>97</v>
      </c>
      <c r="AE14" s="19" t="s">
        <v>98</v>
      </c>
      <c r="AF14" s="21" t="s">
        <v>99</v>
      </c>
      <c r="AG14" s="23" t="s">
        <v>100</v>
      </c>
      <c r="AH14" s="20" t="s">
        <v>101</v>
      </c>
      <c r="AI14" s="27" t="s">
        <v>102</v>
      </c>
      <c r="AJ14" s="24" t="s">
        <v>103</v>
      </c>
      <c r="AK14" s="30" t="s">
        <v>104</v>
      </c>
      <c r="AL14" s="29" t="s">
        <v>105</v>
      </c>
      <c r="AM14" s="32" t="s">
        <v>106</v>
      </c>
      <c r="AN14" s="19" t="s">
        <v>107</v>
      </c>
      <c r="AO14" s="22" t="s">
        <v>108</v>
      </c>
      <c r="AP14" s="27" t="s">
        <v>109</v>
      </c>
      <c r="AQ14" s="25" t="s">
        <v>110</v>
      </c>
      <c r="AR14" s="21" t="s">
        <v>111</v>
      </c>
      <c r="AS14" s="28" t="s">
        <v>112</v>
      </c>
      <c r="AT14" s="33" t="s">
        <v>113</v>
      </c>
      <c r="AU14" s="19" t="s">
        <v>77</v>
      </c>
      <c r="AV14" s="26" t="s">
        <v>114</v>
      </c>
      <c r="AW14" s="19" t="s">
        <v>115</v>
      </c>
      <c r="AX14" s="29" t="s">
        <v>116</v>
      </c>
      <c r="AY14" s="29" t="s">
        <v>117</v>
      </c>
    </row>
    <row r="15" spans="1:51" x14ac:dyDescent="0.25">
      <c r="A15" t="s">
        <v>118</v>
      </c>
      <c r="B15" t="s">
        <v>7</v>
      </c>
      <c r="C15">
        <v>96.744219999999999</v>
      </c>
      <c r="D15">
        <v>0.77527592000000001</v>
      </c>
      <c r="E15">
        <v>20.874528000000002</v>
      </c>
      <c r="F15">
        <v>2.1907157000000002</v>
      </c>
      <c r="G15">
        <v>0.98764238000000004</v>
      </c>
      <c r="H15">
        <v>0</v>
      </c>
      <c r="I15">
        <v>5.1002317000000001</v>
      </c>
      <c r="J15">
        <v>0</v>
      </c>
      <c r="K15">
        <v>7.2462626999999999</v>
      </c>
      <c r="L15">
        <v>2.4612661999999998</v>
      </c>
      <c r="M15">
        <v>2.3391182000000001</v>
      </c>
      <c r="N15">
        <v>2.1891425999999998</v>
      </c>
      <c r="O15">
        <v>3.4135390999999999</v>
      </c>
      <c r="P15">
        <v>1.3134855999999999</v>
      </c>
      <c r="Q15">
        <v>10.415483999999999</v>
      </c>
      <c r="R15">
        <v>4.1992817999999996</v>
      </c>
      <c r="S15">
        <v>5.1301012000000004</v>
      </c>
      <c r="T15">
        <v>2.2680486000000002</v>
      </c>
      <c r="U15">
        <v>0.11520211</v>
      </c>
      <c r="V15">
        <v>1.1158123</v>
      </c>
      <c r="W15">
        <v>0.45589664000000002</v>
      </c>
      <c r="X15">
        <v>0.36982415000000002</v>
      </c>
      <c r="Y15">
        <v>1.5955269999999999</v>
      </c>
      <c r="Z15">
        <v>1.6508567999999999</v>
      </c>
      <c r="AA15">
        <v>2.4223271</v>
      </c>
      <c r="AB15">
        <v>2.4223271</v>
      </c>
      <c r="AC15">
        <v>0.33812492999999999</v>
      </c>
      <c r="AD15">
        <v>1.2270258000000001</v>
      </c>
      <c r="AE15">
        <v>1.0610609</v>
      </c>
      <c r="AF15">
        <v>1.5805548</v>
      </c>
      <c r="AG15">
        <v>9.0551951000000006</v>
      </c>
      <c r="AH15">
        <v>0.17470374</v>
      </c>
      <c r="AI15">
        <v>0.22499723999999999</v>
      </c>
      <c r="AJ15">
        <v>6.6175657999999998E-2</v>
      </c>
      <c r="AK15">
        <v>0.18363745000000001</v>
      </c>
      <c r="AL15">
        <v>0.37058369000000002</v>
      </c>
      <c r="AM15">
        <v>8.6855552000000003E-2</v>
      </c>
      <c r="AN15">
        <v>6.6175657999999998E-2</v>
      </c>
      <c r="AO15">
        <v>7.7425519999999998E-2</v>
      </c>
      <c r="AP15">
        <v>5.7903701000000002E-2</v>
      </c>
      <c r="AQ15">
        <v>0.10819719999999999</v>
      </c>
      <c r="AR15">
        <v>7.4447615999999994E-2</v>
      </c>
      <c r="AS15">
        <v>0.14558645000000001</v>
      </c>
      <c r="AT15">
        <v>0.13235131999999999</v>
      </c>
      <c r="AU15">
        <v>7.9410789999999995E-2</v>
      </c>
      <c r="AV15">
        <v>1.8334357999999999</v>
      </c>
      <c r="AW15">
        <v>2.9129836999999999E-3</v>
      </c>
      <c r="AX15">
        <v>0.67931533</v>
      </c>
      <c r="AY15">
        <v>-1.9337542999999999</v>
      </c>
    </row>
    <row r="16" spans="1:51" x14ac:dyDescent="0.25">
      <c r="A16" s="36" t="s">
        <v>151</v>
      </c>
      <c r="B16" s="36" t="s">
        <v>167</v>
      </c>
      <c r="C16" s="36">
        <v>1364.096</v>
      </c>
      <c r="D16" s="36">
        <v>24.963595999999999</v>
      </c>
      <c r="E16" s="36">
        <v>219.91436999999999</v>
      </c>
      <c r="F16" s="36">
        <v>43.004460999999999</v>
      </c>
      <c r="G16" s="36">
        <v>18.374181</v>
      </c>
      <c r="H16" s="36">
        <v>0</v>
      </c>
      <c r="I16" s="36">
        <v>120.87554</v>
      </c>
      <c r="J16" s="36">
        <v>0</v>
      </c>
      <c r="K16" s="36">
        <v>143.71283</v>
      </c>
      <c r="L16" s="36">
        <v>22.476907000000001</v>
      </c>
      <c r="M16" s="36">
        <v>75.318735000000004</v>
      </c>
      <c r="N16" s="36">
        <v>16.779433999999998</v>
      </c>
      <c r="O16" s="36">
        <v>38.225368000000003</v>
      </c>
      <c r="P16" s="36">
        <v>10.06766</v>
      </c>
      <c r="Q16" s="36">
        <v>79.001644999999996</v>
      </c>
      <c r="R16" s="36">
        <v>30.349381999999999</v>
      </c>
      <c r="S16" s="36">
        <v>92.327658999999997</v>
      </c>
      <c r="T16" s="36">
        <v>42.010969000000003</v>
      </c>
      <c r="U16" s="36">
        <v>2.0681297000000001</v>
      </c>
      <c r="V16" s="36">
        <v>22.793904000000001</v>
      </c>
      <c r="W16" s="36">
        <v>4.8861806999999997</v>
      </c>
      <c r="X16" s="36">
        <v>7.5547978999999996</v>
      </c>
      <c r="Y16" s="36">
        <v>32.593556</v>
      </c>
      <c r="Z16" s="36">
        <v>33.585034</v>
      </c>
      <c r="AA16" s="36">
        <v>29.145845999999999</v>
      </c>
      <c r="AB16" s="36">
        <v>29.145845999999999</v>
      </c>
      <c r="AC16" s="36">
        <v>6.9072437999999998</v>
      </c>
      <c r="AD16" s="36">
        <v>15.883845000000001</v>
      </c>
      <c r="AE16" s="36">
        <v>11.334237</v>
      </c>
      <c r="AF16" s="36">
        <v>17.066725000000002</v>
      </c>
      <c r="AG16" s="36">
        <v>131.43781999999999</v>
      </c>
      <c r="AH16" s="36">
        <v>2.6450898999999999</v>
      </c>
      <c r="AI16" s="36">
        <v>3.4065550999999998</v>
      </c>
      <c r="AJ16" s="36">
        <v>1.0019279999999999</v>
      </c>
      <c r="AK16" s="36">
        <v>2.7803501000000002</v>
      </c>
      <c r="AL16" s="36">
        <v>5.6107966999999999</v>
      </c>
      <c r="AM16" s="36">
        <v>1.3150305</v>
      </c>
      <c r="AN16" s="36">
        <v>1.0019279999999999</v>
      </c>
      <c r="AO16" s="36">
        <v>1.1722557</v>
      </c>
      <c r="AP16" s="36">
        <v>0.87668698</v>
      </c>
      <c r="AQ16" s="36">
        <v>1.6381521999999999</v>
      </c>
      <c r="AR16" s="36">
        <v>1.1271690000000001</v>
      </c>
      <c r="AS16" s="36">
        <v>2.2042416</v>
      </c>
      <c r="AT16" s="36">
        <v>2.0038559999999999</v>
      </c>
      <c r="AU16" s="36">
        <v>1.2023136000000001</v>
      </c>
      <c r="AV16" s="36">
        <v>26.900537</v>
      </c>
      <c r="AW16" s="36">
        <v>4.5327863000000003E-2</v>
      </c>
      <c r="AX16" s="36">
        <v>3.9264047999999998</v>
      </c>
      <c r="AY16" s="36">
        <v>-16.568574999999999</v>
      </c>
    </row>
    <row r="17" spans="1:51" x14ac:dyDescent="0.25">
      <c r="A17" s="36" t="s">
        <v>141</v>
      </c>
      <c r="B17" s="36" t="s">
        <v>158</v>
      </c>
      <c r="C17" s="37">
        <v>6.3950902E-6</v>
      </c>
      <c r="D17" s="37">
        <v>2.7573113000000001E-8</v>
      </c>
      <c r="E17" s="37">
        <v>1.0952516000000001E-6</v>
      </c>
      <c r="F17" s="37">
        <v>1.3940563999999999E-7</v>
      </c>
      <c r="G17" s="37">
        <v>5.9844569000000002E-8</v>
      </c>
      <c r="H17" s="36">
        <v>0</v>
      </c>
      <c r="I17" s="37">
        <v>3.3966317000000002E-7</v>
      </c>
      <c r="J17" s="36">
        <v>0</v>
      </c>
      <c r="K17" s="37">
        <v>6.3924670999999999E-7</v>
      </c>
      <c r="L17" s="37">
        <v>1.8113127000000001E-7</v>
      </c>
      <c r="M17" s="37">
        <v>8.3192021000000005E-8</v>
      </c>
      <c r="N17" s="37">
        <v>1.7673216E-7</v>
      </c>
      <c r="O17" s="37">
        <v>1.2965087999999999E-7</v>
      </c>
      <c r="P17" s="37">
        <v>1.060393E-7</v>
      </c>
      <c r="Q17" s="37">
        <v>1.1376469999999999E-6</v>
      </c>
      <c r="R17" s="37">
        <v>1.3364916000000001E-6</v>
      </c>
      <c r="S17" s="37">
        <v>2.2839319E-7</v>
      </c>
      <c r="T17" s="37">
        <v>4.8649328999999997E-8</v>
      </c>
      <c r="U17" s="37">
        <v>3.4151835000000001E-9</v>
      </c>
      <c r="V17" s="37">
        <v>1.9112425999999999E-8</v>
      </c>
      <c r="W17" s="37">
        <v>3.2424940999999999E-8</v>
      </c>
      <c r="X17" s="37">
        <v>6.3346110000000002E-9</v>
      </c>
      <c r="Y17" s="37">
        <v>2.7329321999999999E-8</v>
      </c>
      <c r="Z17" s="37">
        <v>6.5398823999999999E-8</v>
      </c>
      <c r="AA17" s="37">
        <v>1.1463888E-7</v>
      </c>
      <c r="AB17" s="37">
        <v>1.1463888E-7</v>
      </c>
      <c r="AC17" s="37">
        <v>5.7916442999999998E-9</v>
      </c>
      <c r="AD17" s="37">
        <v>4.1843603000000003E-8</v>
      </c>
      <c r="AE17" s="37">
        <v>5.9401977999999998E-8</v>
      </c>
      <c r="AF17" s="37">
        <v>2.4804016E-8</v>
      </c>
      <c r="AG17" s="37">
        <v>1.9665167E-7</v>
      </c>
      <c r="AH17" s="37">
        <v>1.2181282999999999E-8</v>
      </c>
      <c r="AI17" s="37">
        <v>1.5688016E-8</v>
      </c>
      <c r="AJ17" s="37">
        <v>4.6141225000000002E-9</v>
      </c>
      <c r="AK17" s="37">
        <v>1.2804189999999999E-8</v>
      </c>
      <c r="AL17" s="37">
        <v>2.5839086000000002E-8</v>
      </c>
      <c r="AM17" s="37">
        <v>6.0560357000000004E-9</v>
      </c>
      <c r="AN17" s="37">
        <v>4.6141225000000002E-9</v>
      </c>
      <c r="AO17" s="37">
        <v>5.3985233000000003E-9</v>
      </c>
      <c r="AP17" s="37">
        <v>4.0373571999999997E-9</v>
      </c>
      <c r="AQ17" s="37">
        <v>7.5440902000000002E-9</v>
      </c>
      <c r="AR17" s="37">
        <v>5.1908877999999998E-9</v>
      </c>
      <c r="AS17" s="37">
        <v>1.0151069E-8</v>
      </c>
      <c r="AT17" s="37">
        <v>9.2282449000000003E-9</v>
      </c>
      <c r="AU17" s="37">
        <v>5.5369469999999999E-9</v>
      </c>
      <c r="AV17" s="37">
        <v>9.7355544000000002E-8</v>
      </c>
      <c r="AW17" s="37">
        <v>1.3157167000000001E-10</v>
      </c>
      <c r="AX17" s="37">
        <v>2.2004208E-8</v>
      </c>
      <c r="AY17" s="37">
        <v>-2.9398265000000002E-7</v>
      </c>
    </row>
    <row r="18" spans="1:51" x14ac:dyDescent="0.25">
      <c r="A18" s="36" t="s">
        <v>144</v>
      </c>
      <c r="B18" s="36" t="s">
        <v>160</v>
      </c>
      <c r="C18" s="36">
        <v>0.67384275000000005</v>
      </c>
      <c r="D18" s="36">
        <v>2.8306783999999998E-3</v>
      </c>
      <c r="E18" s="36">
        <v>9.9342300999999994E-2</v>
      </c>
      <c r="F18" s="36">
        <v>1.0193275999999999E-2</v>
      </c>
      <c r="G18" s="36">
        <v>4.1330324999999998E-3</v>
      </c>
      <c r="H18" s="36">
        <v>0</v>
      </c>
      <c r="I18" s="36">
        <v>2.2090906E-2</v>
      </c>
      <c r="J18" s="36">
        <v>0</v>
      </c>
      <c r="K18" s="36">
        <v>3.4563001000000003E-2</v>
      </c>
      <c r="L18" s="36">
        <v>1.0615859E-2</v>
      </c>
      <c r="M18" s="36">
        <v>8.5405611999999995E-3</v>
      </c>
      <c r="N18" s="36">
        <v>1.0100829E-2</v>
      </c>
      <c r="O18" s="36">
        <v>1.2877631E-2</v>
      </c>
      <c r="P18" s="36">
        <v>6.0604973000000003E-3</v>
      </c>
      <c r="Q18" s="36">
        <v>8.5009687E-2</v>
      </c>
      <c r="R18" s="36">
        <v>0.18847506</v>
      </c>
      <c r="S18" s="36">
        <v>2.3743077000000001E-2</v>
      </c>
      <c r="T18" s="36">
        <v>1.0816423E-2</v>
      </c>
      <c r="U18" s="36">
        <v>6.7042645000000005E-4</v>
      </c>
      <c r="V18" s="36">
        <v>5.3028457999999999E-3</v>
      </c>
      <c r="W18" s="36">
        <v>3.4591185999999999E-3</v>
      </c>
      <c r="X18" s="36">
        <v>1.757572E-3</v>
      </c>
      <c r="Y18" s="36">
        <v>7.5826677999999998E-3</v>
      </c>
      <c r="Z18" s="36">
        <v>8.1354897999999995E-3</v>
      </c>
      <c r="AA18" s="36">
        <v>1.2166878000000001E-2</v>
      </c>
      <c r="AB18" s="36">
        <v>1.2166878000000001E-2</v>
      </c>
      <c r="AC18" s="36">
        <v>1.6069229999999999E-3</v>
      </c>
      <c r="AD18" s="36">
        <v>5.9113430000000003E-3</v>
      </c>
      <c r="AE18" s="36">
        <v>5.6014356000000003E-3</v>
      </c>
      <c r="AF18" s="36">
        <v>6.9559082000000003E-3</v>
      </c>
      <c r="AG18" s="36">
        <v>5.3820440999999997E-2</v>
      </c>
      <c r="AH18" s="36">
        <v>6.9851655999999998E-4</v>
      </c>
      <c r="AI18" s="36">
        <v>8.9960465999999999E-4</v>
      </c>
      <c r="AJ18" s="36">
        <v>2.6458961000000003E-4</v>
      </c>
      <c r="AK18" s="36">
        <v>7.3423615999999999E-4</v>
      </c>
      <c r="AL18" s="36">
        <v>1.4817018E-3</v>
      </c>
      <c r="AM18" s="36">
        <v>3.4727386000000003E-4</v>
      </c>
      <c r="AN18" s="36">
        <v>2.6458961000000003E-4</v>
      </c>
      <c r="AO18" s="36">
        <v>3.0956983999999999E-4</v>
      </c>
      <c r="AP18" s="36">
        <v>2.3151591E-4</v>
      </c>
      <c r="AQ18" s="36">
        <v>4.3260401000000002E-4</v>
      </c>
      <c r="AR18" s="36">
        <v>2.9766330999999999E-4</v>
      </c>
      <c r="AS18" s="36">
        <v>5.8209712999999998E-4</v>
      </c>
      <c r="AT18" s="36">
        <v>5.2917920999999998E-4</v>
      </c>
      <c r="AU18" s="36">
        <v>3.1750753000000002E-4</v>
      </c>
      <c r="AV18" s="36">
        <v>2.3103977000000001E-2</v>
      </c>
      <c r="AW18" s="37">
        <v>1.6071646999999999E-5</v>
      </c>
      <c r="AX18" s="36">
        <v>1.7125082E-3</v>
      </c>
      <c r="AY18" s="36">
        <v>-1.2911204000000001E-2</v>
      </c>
    </row>
    <row r="21" spans="1:51" x14ac:dyDescent="0.25">
      <c r="A21" t="s">
        <v>47</v>
      </c>
      <c r="B21" t="s">
        <v>48</v>
      </c>
    </row>
    <row r="22" spans="1:51" x14ac:dyDescent="0.25">
      <c r="A22" t="s">
        <v>49</v>
      </c>
      <c r="B22" t="s">
        <v>50</v>
      </c>
    </row>
    <row r="23" spans="1:51" x14ac:dyDescent="0.25">
      <c r="A23" t="s">
        <v>51</v>
      </c>
      <c r="B23" t="s">
        <v>52</v>
      </c>
    </row>
    <row r="24" spans="1:51" x14ac:dyDescent="0.25">
      <c r="A24" t="s">
        <v>53</v>
      </c>
      <c r="B24" t="s">
        <v>54</v>
      </c>
    </row>
    <row r="25" spans="1:51" x14ac:dyDescent="0.25">
      <c r="A25" t="s">
        <v>55</v>
      </c>
      <c r="B25" t="s">
        <v>56</v>
      </c>
    </row>
    <row r="26" spans="1:51" x14ac:dyDescent="0.25">
      <c r="A26" t="s">
        <v>57</v>
      </c>
      <c r="B26" t="s">
        <v>58</v>
      </c>
    </row>
    <row r="27" spans="1:51" x14ac:dyDescent="0.25">
      <c r="A27" t="s">
        <v>59</v>
      </c>
      <c r="B27" t="s">
        <v>60</v>
      </c>
    </row>
    <row r="28" spans="1:51" x14ac:dyDescent="0.25">
      <c r="A28" t="s">
        <v>61</v>
      </c>
      <c r="B28" t="s">
        <v>62</v>
      </c>
    </row>
    <row r="29" spans="1:51" x14ac:dyDescent="0.25">
      <c r="A29" t="s">
        <v>63</v>
      </c>
      <c r="B29" t="s">
        <v>64</v>
      </c>
    </row>
    <row r="30" spans="1:51" x14ac:dyDescent="0.25">
      <c r="A30" t="s">
        <v>65</v>
      </c>
      <c r="B30" t="s">
        <v>66</v>
      </c>
    </row>
    <row r="31" spans="1:51" x14ac:dyDescent="0.25">
      <c r="A31" t="s">
        <v>67</v>
      </c>
      <c r="B31" t="s">
        <v>68</v>
      </c>
    </row>
    <row r="33" spans="1:51" x14ac:dyDescent="0.25">
      <c r="A33" t="s">
        <v>66</v>
      </c>
      <c r="B33" t="s">
        <v>69</v>
      </c>
      <c r="C33" t="s">
        <v>70</v>
      </c>
      <c r="D33" t="s">
        <v>71</v>
      </c>
      <c r="E33" t="s">
        <v>72</v>
      </c>
      <c r="F33" t="s">
        <v>73</v>
      </c>
      <c r="G33" t="s">
        <v>74</v>
      </c>
      <c r="H33" t="s">
        <v>75</v>
      </c>
      <c r="I33" t="s">
        <v>76</v>
      </c>
      <c r="J33" t="s">
        <v>77</v>
      </c>
      <c r="K33" t="s">
        <v>78</v>
      </c>
      <c r="L33" t="s">
        <v>79</v>
      </c>
      <c r="M33" t="s">
        <v>80</v>
      </c>
      <c r="N33" t="s">
        <v>81</v>
      </c>
      <c r="O33" t="s">
        <v>82</v>
      </c>
      <c r="P33" t="s">
        <v>83</v>
      </c>
      <c r="Q33" t="s">
        <v>84</v>
      </c>
      <c r="R33" t="s">
        <v>85</v>
      </c>
      <c r="S33" t="s">
        <v>86</v>
      </c>
      <c r="T33" t="s">
        <v>87</v>
      </c>
      <c r="U33" t="s">
        <v>88</v>
      </c>
      <c r="V33" t="s">
        <v>89</v>
      </c>
      <c r="W33" t="s">
        <v>90</v>
      </c>
      <c r="X33" t="s">
        <v>91</v>
      </c>
      <c r="Y33" t="s">
        <v>92</v>
      </c>
      <c r="Z33" t="s">
        <v>93</v>
      </c>
      <c r="AA33" t="s">
        <v>94</v>
      </c>
      <c r="AB33" t="s">
        <v>95</v>
      </c>
      <c r="AC33" t="s">
        <v>96</v>
      </c>
      <c r="AD33" t="s">
        <v>97</v>
      </c>
      <c r="AE33" t="s">
        <v>98</v>
      </c>
      <c r="AF33" t="s">
        <v>99</v>
      </c>
      <c r="AG33" t="s">
        <v>100</v>
      </c>
      <c r="AH33" t="s">
        <v>101</v>
      </c>
      <c r="AI33" t="s">
        <v>102</v>
      </c>
      <c r="AJ33" t="s">
        <v>103</v>
      </c>
      <c r="AK33" t="s">
        <v>104</v>
      </c>
      <c r="AL33" t="s">
        <v>105</v>
      </c>
      <c r="AM33" t="s">
        <v>106</v>
      </c>
      <c r="AN33" t="s">
        <v>107</v>
      </c>
      <c r="AO33" t="s">
        <v>108</v>
      </c>
      <c r="AP33" t="s">
        <v>109</v>
      </c>
      <c r="AQ33" t="s">
        <v>110</v>
      </c>
      <c r="AR33" t="s">
        <v>111</v>
      </c>
      <c r="AS33" t="s">
        <v>112</v>
      </c>
      <c r="AT33" t="s">
        <v>113</v>
      </c>
      <c r="AU33" t="s">
        <v>77</v>
      </c>
      <c r="AV33" t="s">
        <v>114</v>
      </c>
      <c r="AW33" t="s">
        <v>115</v>
      </c>
      <c r="AX33" t="s">
        <v>116</v>
      </c>
      <c r="AY33" t="s">
        <v>117</v>
      </c>
    </row>
    <row r="34" spans="1:51" x14ac:dyDescent="0.25">
      <c r="A34" t="s">
        <v>137</v>
      </c>
      <c r="B34" t="s">
        <v>7</v>
      </c>
      <c r="C34">
        <v>113.35584</v>
      </c>
      <c r="D34">
        <v>0.77633295999999996</v>
      </c>
      <c r="E34">
        <v>21.024151</v>
      </c>
      <c r="F34">
        <v>2.1991383</v>
      </c>
      <c r="G34">
        <v>0.98861383999999997</v>
      </c>
      <c r="H34">
        <v>0</v>
      </c>
      <c r="I34">
        <v>5.1216714999999997</v>
      </c>
      <c r="J34">
        <v>0</v>
      </c>
      <c r="K34">
        <v>7.2826364999999997</v>
      </c>
      <c r="L34">
        <v>2.4627504</v>
      </c>
      <c r="M34">
        <v>2.3423074000000002</v>
      </c>
      <c r="N34">
        <v>2.1906268999999998</v>
      </c>
      <c r="O34">
        <v>3.4154195000000001</v>
      </c>
      <c r="P34">
        <v>1.3143761</v>
      </c>
      <c r="Q34">
        <v>10.71503</v>
      </c>
      <c r="R34">
        <v>9.8982071000000005</v>
      </c>
      <c r="S34">
        <v>5.2177559000000002</v>
      </c>
      <c r="T34">
        <v>2.3143349999999998</v>
      </c>
      <c r="U34">
        <v>0.1156147</v>
      </c>
      <c r="V34">
        <v>1.1191960000000001</v>
      </c>
      <c r="W34">
        <v>0.46924236000000002</v>
      </c>
      <c r="X34">
        <v>0.37094563000000003</v>
      </c>
      <c r="Y34">
        <v>1.6003654</v>
      </c>
      <c r="Z34">
        <v>1.6563458</v>
      </c>
      <c r="AA34">
        <v>2.4786128999999999</v>
      </c>
      <c r="AB34">
        <v>2.4786128999999999</v>
      </c>
      <c r="AC34">
        <v>0.33915029000000002</v>
      </c>
      <c r="AD34">
        <v>1.3144899000000001</v>
      </c>
      <c r="AE34">
        <v>1.0929206</v>
      </c>
      <c r="AF34">
        <v>1.6105451</v>
      </c>
      <c r="AG34">
        <v>9.1134160000000008</v>
      </c>
      <c r="AH34">
        <v>0.17479486999999999</v>
      </c>
      <c r="AI34">
        <v>0.22511460999999999</v>
      </c>
      <c r="AJ34">
        <v>6.6210178999999994E-2</v>
      </c>
      <c r="AK34">
        <v>0.18373324999999999</v>
      </c>
      <c r="AL34">
        <v>0.37077700000000002</v>
      </c>
      <c r="AM34">
        <v>8.6900859999999996E-2</v>
      </c>
      <c r="AN34">
        <v>6.6210178999999994E-2</v>
      </c>
      <c r="AO34">
        <v>7.7465909999999999E-2</v>
      </c>
      <c r="AP34">
        <v>5.7933907E-2</v>
      </c>
      <c r="AQ34">
        <v>0.10825364</v>
      </c>
      <c r="AR34">
        <v>7.4486450999999995E-2</v>
      </c>
      <c r="AS34">
        <v>0.14566239</v>
      </c>
      <c r="AT34">
        <v>0.13242035999999999</v>
      </c>
      <c r="AU34">
        <v>7.9452215000000007E-2</v>
      </c>
      <c r="AV34">
        <v>1.8346735999999999</v>
      </c>
      <c r="AW34">
        <v>2.9244220999999999E-3</v>
      </c>
      <c r="AX34">
        <v>9.8104496000000001</v>
      </c>
      <c r="AY34">
        <v>-1.1644327000000001</v>
      </c>
    </row>
    <row r="35" spans="1:51" x14ac:dyDescent="0.25">
      <c r="A35" t="s">
        <v>138</v>
      </c>
      <c r="B35" t="s">
        <v>155</v>
      </c>
      <c r="C35" s="35">
        <v>5.2958911999999998E-6</v>
      </c>
      <c r="D35" s="35">
        <v>6.1820847000000001E-9</v>
      </c>
      <c r="E35" s="35">
        <v>3.7003558999999999E-7</v>
      </c>
      <c r="F35" s="35">
        <v>6.7798470999999997E-8</v>
      </c>
      <c r="G35" s="35">
        <v>2.4351480999999999E-8</v>
      </c>
      <c r="H35">
        <v>0</v>
      </c>
      <c r="I35" s="35">
        <v>4.1744077000000001E-8</v>
      </c>
      <c r="J35">
        <v>0</v>
      </c>
      <c r="K35" s="35">
        <v>1.6052175999999999E-7</v>
      </c>
      <c r="L35" s="35">
        <v>9.7568628999999996E-8</v>
      </c>
      <c r="M35" s="35">
        <v>1.8652232999999999E-8</v>
      </c>
      <c r="N35" s="35">
        <v>8.3360225999999999E-8</v>
      </c>
      <c r="O35" s="35">
        <v>1.5508841999999999E-8</v>
      </c>
      <c r="P35" s="35">
        <v>5.0016136E-8</v>
      </c>
      <c r="Q35" s="35">
        <v>7.1011440999999995E-7</v>
      </c>
      <c r="R35" s="35">
        <v>1.3347318999999999E-7</v>
      </c>
      <c r="S35" s="35">
        <v>3.6757658E-7</v>
      </c>
      <c r="T35" s="35">
        <v>2.5453276E-7</v>
      </c>
      <c r="U35" s="35">
        <v>8.5668537999999996E-9</v>
      </c>
      <c r="V35" s="35">
        <v>1.4276971000000001E-7</v>
      </c>
      <c r="W35" s="35">
        <v>2.3039136999999999E-8</v>
      </c>
      <c r="X35" s="35">
        <v>4.7319507999999998E-8</v>
      </c>
      <c r="Y35" s="35">
        <v>2.0414988E-7</v>
      </c>
      <c r="Z35" s="35">
        <v>2.1200477999999999E-7</v>
      </c>
      <c r="AA35" s="35">
        <v>1.7687509000000001E-7</v>
      </c>
      <c r="AB35" s="35">
        <v>1.7687509000000001E-7</v>
      </c>
      <c r="AC35" s="35">
        <v>4.3263549999999998E-8</v>
      </c>
      <c r="AD35" s="35">
        <v>8.1206889000000002E-8</v>
      </c>
      <c r="AE35" s="35">
        <v>5.1901873E-8</v>
      </c>
      <c r="AF35" s="35">
        <v>2.7514684E-8</v>
      </c>
      <c r="AG35" s="35">
        <v>1.0689369000000001E-6</v>
      </c>
      <c r="AH35" s="35">
        <v>4.0034376999999997E-8</v>
      </c>
      <c r="AI35" s="35">
        <v>5.1559424999999998E-8</v>
      </c>
      <c r="AJ35" s="35">
        <v>1.5164536999999998E-8</v>
      </c>
      <c r="AK35" s="35">
        <v>4.2081590000000001E-8</v>
      </c>
      <c r="AL35" s="35">
        <v>8.4921407000000004E-8</v>
      </c>
      <c r="AM35" s="35">
        <v>1.9903454999999999E-8</v>
      </c>
      <c r="AN35" s="35">
        <v>1.5164536999999998E-8</v>
      </c>
      <c r="AO35" s="35">
        <v>1.7742508000000001E-8</v>
      </c>
      <c r="AP35" s="35">
        <v>1.326897E-8</v>
      </c>
      <c r="AQ35" s="35">
        <v>2.4794017999999999E-8</v>
      </c>
      <c r="AR35" s="35">
        <v>1.7060103999999999E-8</v>
      </c>
      <c r="AS35" s="35">
        <v>3.3361981000000002E-8</v>
      </c>
      <c r="AT35" s="35">
        <v>3.0329073999999997E-8</v>
      </c>
      <c r="AU35" s="35">
        <v>1.8197444E-8</v>
      </c>
      <c r="AV35" s="35">
        <v>3.9239974E-7</v>
      </c>
      <c r="AW35" s="35">
        <v>2.2229803000000001E-10</v>
      </c>
      <c r="AX35" s="35">
        <v>4.6008200000000002E-8</v>
      </c>
      <c r="AY35" s="35">
        <v>-2.3218289000000001E-7</v>
      </c>
    </row>
    <row r="36" spans="1:51" x14ac:dyDescent="0.25">
      <c r="A36" t="s">
        <v>139</v>
      </c>
      <c r="B36" t="s">
        <v>156</v>
      </c>
      <c r="C36">
        <v>3.7973724</v>
      </c>
      <c r="D36">
        <v>1.8385569E-3</v>
      </c>
      <c r="E36">
        <v>0.1004374</v>
      </c>
      <c r="F36">
        <v>3.2366632999999999E-2</v>
      </c>
      <c r="G36">
        <v>9.1766937999999999E-3</v>
      </c>
      <c r="H36">
        <v>0</v>
      </c>
      <c r="I36">
        <v>1.4285223999999999E-2</v>
      </c>
      <c r="J36">
        <v>0</v>
      </c>
      <c r="K36">
        <v>4.3258866999999999E-2</v>
      </c>
      <c r="L36">
        <v>7.3178182999999994E-2</v>
      </c>
      <c r="M36">
        <v>5.5471886999999996E-3</v>
      </c>
      <c r="N36">
        <v>3.2529573999999999E-2</v>
      </c>
      <c r="O36">
        <v>5.1810271E-3</v>
      </c>
      <c r="P36">
        <v>1.9517744E-2</v>
      </c>
      <c r="Q36">
        <v>0.19294373000000001</v>
      </c>
      <c r="R36">
        <v>4.2723866999999999E-2</v>
      </c>
      <c r="S36">
        <v>0.29731753999999999</v>
      </c>
      <c r="T36">
        <v>0.2149324</v>
      </c>
      <c r="U36">
        <v>1.3242132E-2</v>
      </c>
      <c r="V36">
        <v>0.12118385</v>
      </c>
      <c r="W36">
        <v>1.5065691000000001E-2</v>
      </c>
      <c r="X36">
        <v>4.0165100000000002E-2</v>
      </c>
      <c r="Y36">
        <v>0.17328372</v>
      </c>
      <c r="Z36">
        <v>0.17877682</v>
      </c>
      <c r="AA36">
        <v>8.8636935E-2</v>
      </c>
      <c r="AB36">
        <v>8.8636935E-2</v>
      </c>
      <c r="AC36">
        <v>3.6722377E-2</v>
      </c>
      <c r="AD36">
        <v>6.6556093999999996E-2</v>
      </c>
      <c r="AE36">
        <v>3.5244059000000001E-2</v>
      </c>
      <c r="AF36">
        <v>3.0383547E-2</v>
      </c>
      <c r="AG36">
        <v>0.51487388000000001</v>
      </c>
      <c r="AH36">
        <v>1.1727102999999999E-2</v>
      </c>
      <c r="AI36">
        <v>1.5103086999999999E-2</v>
      </c>
      <c r="AJ36">
        <v>4.4420843000000003E-3</v>
      </c>
      <c r="AK36">
        <v>1.2326784E-2</v>
      </c>
      <c r="AL36">
        <v>2.4875672000000001E-2</v>
      </c>
      <c r="AM36">
        <v>5.8302357000000003E-3</v>
      </c>
      <c r="AN36">
        <v>4.4420843000000003E-3</v>
      </c>
      <c r="AO36">
        <v>5.1972386999999997E-3</v>
      </c>
      <c r="AP36">
        <v>3.8868238E-3</v>
      </c>
      <c r="AQ36">
        <v>7.2628079000000003E-3</v>
      </c>
      <c r="AR36">
        <v>4.9973448999999998E-3</v>
      </c>
      <c r="AS36">
        <v>9.7725855999999996E-3</v>
      </c>
      <c r="AT36">
        <v>8.8841687000000003E-3</v>
      </c>
      <c r="AU36">
        <v>5.3305011999999997E-3</v>
      </c>
      <c r="AV36">
        <v>0.11910107</v>
      </c>
      <c r="AW36">
        <v>2.6905621999999998E-4</v>
      </c>
      <c r="AX36">
        <v>2.972296E-2</v>
      </c>
      <c r="AY36">
        <v>1.036195</v>
      </c>
    </row>
    <row r="37" spans="1:51" x14ac:dyDescent="0.25">
      <c r="A37" t="s">
        <v>140</v>
      </c>
      <c r="B37" t="s">
        <v>157</v>
      </c>
      <c r="C37">
        <v>0.29335584999999997</v>
      </c>
      <c r="D37">
        <v>2.8774308000000001E-3</v>
      </c>
      <c r="E37">
        <v>6.1314847999999998E-2</v>
      </c>
      <c r="F37">
        <v>6.3238851999999996E-3</v>
      </c>
      <c r="G37">
        <v>3.6555024999999999E-3</v>
      </c>
      <c r="H37">
        <v>0</v>
      </c>
      <c r="I37">
        <v>1.6979991999999999E-2</v>
      </c>
      <c r="J37">
        <v>0</v>
      </c>
      <c r="K37">
        <v>2.3607514E-2</v>
      </c>
      <c r="L37">
        <v>8.4410241999999993E-3</v>
      </c>
      <c r="M37">
        <v>8.6816198000000001E-3</v>
      </c>
      <c r="N37">
        <v>8.0844872000000005E-3</v>
      </c>
      <c r="O37">
        <v>1.0118886000000001E-2</v>
      </c>
      <c r="P37">
        <v>4.8506922999999999E-3</v>
      </c>
      <c r="Q37">
        <v>3.1370659000000002E-2</v>
      </c>
      <c r="R37">
        <v>1.3339422E-2</v>
      </c>
      <c r="S37">
        <v>1.6523691E-2</v>
      </c>
      <c r="T37">
        <v>4.9634581000000001E-3</v>
      </c>
      <c r="U37">
        <v>2.6405188000000002E-4</v>
      </c>
      <c r="V37">
        <v>2.4126311000000002E-3</v>
      </c>
      <c r="W37">
        <v>1.2501741E-3</v>
      </c>
      <c r="X37">
        <v>7.9964100000000002E-4</v>
      </c>
      <c r="Y37">
        <v>3.4498798000000002E-3</v>
      </c>
      <c r="Z37">
        <v>3.9574477E-3</v>
      </c>
      <c r="AA37">
        <v>6.2650607000000001E-3</v>
      </c>
      <c r="AB37">
        <v>6.2650607000000001E-3</v>
      </c>
      <c r="AC37">
        <v>7.3110034999999995E-4</v>
      </c>
      <c r="AD37">
        <v>2.7794071999999999E-3</v>
      </c>
      <c r="AE37">
        <v>2.8575354000000002E-3</v>
      </c>
      <c r="AF37">
        <v>3.5515300999999998E-3</v>
      </c>
      <c r="AG37">
        <v>1.9018162000000002E-2</v>
      </c>
      <c r="AH37">
        <v>6.8720483000000001E-4</v>
      </c>
      <c r="AI37">
        <v>8.8503652000000005E-4</v>
      </c>
      <c r="AJ37">
        <v>2.6030486000000003E-4</v>
      </c>
      <c r="AK37">
        <v>7.2234597999999998E-4</v>
      </c>
      <c r="AL37">
        <v>1.4577072E-3</v>
      </c>
      <c r="AM37">
        <v>3.4165013000000001E-4</v>
      </c>
      <c r="AN37">
        <v>2.6030486000000003E-4</v>
      </c>
      <c r="AO37">
        <v>3.0455669E-4</v>
      </c>
      <c r="AP37">
        <v>2.2776675E-4</v>
      </c>
      <c r="AQ37">
        <v>4.2559843999999999E-4</v>
      </c>
      <c r="AR37">
        <v>2.9284297E-4</v>
      </c>
      <c r="AS37">
        <v>5.7267069000000001E-4</v>
      </c>
      <c r="AT37">
        <v>5.2060972000000005E-4</v>
      </c>
      <c r="AU37">
        <v>3.1236582999999999E-4</v>
      </c>
      <c r="AV37">
        <v>1.5137551000000001E-2</v>
      </c>
      <c r="AW37" s="35">
        <v>8.1974672000000003E-6</v>
      </c>
      <c r="AX37">
        <v>4.2002856E-3</v>
      </c>
      <c r="AY37">
        <v>-7.9959431999999993E-3</v>
      </c>
    </row>
    <row r="38" spans="1:51" s="36" customFormat="1" x14ac:dyDescent="0.25">
      <c r="A38" s="36" t="s">
        <v>141</v>
      </c>
      <c r="B38" s="36" t="s">
        <v>158</v>
      </c>
      <c r="C38" s="37">
        <v>6.3950902E-6</v>
      </c>
      <c r="D38" s="37">
        <v>2.7573113000000001E-8</v>
      </c>
      <c r="E38" s="37">
        <v>1.0952516000000001E-6</v>
      </c>
      <c r="F38" s="37">
        <v>1.3940563999999999E-7</v>
      </c>
      <c r="G38" s="37">
        <v>5.9844569000000002E-8</v>
      </c>
      <c r="H38" s="36">
        <v>0</v>
      </c>
      <c r="I38" s="37">
        <v>3.3966317000000002E-7</v>
      </c>
      <c r="J38" s="36">
        <v>0</v>
      </c>
      <c r="K38" s="37">
        <v>6.3924670999999999E-7</v>
      </c>
      <c r="L38" s="37">
        <v>1.8113127000000001E-7</v>
      </c>
      <c r="M38" s="37">
        <v>8.3192021000000005E-8</v>
      </c>
      <c r="N38" s="37">
        <v>1.7673216E-7</v>
      </c>
      <c r="O38" s="37">
        <v>1.2965087999999999E-7</v>
      </c>
      <c r="P38" s="37">
        <v>1.060393E-7</v>
      </c>
      <c r="Q38" s="37">
        <v>1.1376469999999999E-6</v>
      </c>
      <c r="R38" s="37">
        <v>1.3364916000000001E-6</v>
      </c>
      <c r="S38" s="37">
        <v>2.2839319E-7</v>
      </c>
      <c r="T38" s="37">
        <v>4.8649328999999997E-8</v>
      </c>
      <c r="U38" s="37">
        <v>3.4151835000000001E-9</v>
      </c>
      <c r="V38" s="37">
        <v>1.9112425999999999E-8</v>
      </c>
      <c r="W38" s="37">
        <v>3.2424940999999999E-8</v>
      </c>
      <c r="X38" s="37">
        <v>6.3346110000000002E-9</v>
      </c>
      <c r="Y38" s="37">
        <v>2.7329321999999999E-8</v>
      </c>
      <c r="Z38" s="37">
        <v>6.5398823999999999E-8</v>
      </c>
      <c r="AA38" s="37">
        <v>1.1463888E-7</v>
      </c>
      <c r="AB38" s="37">
        <v>1.1463888E-7</v>
      </c>
      <c r="AC38" s="37">
        <v>5.7916442999999998E-9</v>
      </c>
      <c r="AD38" s="37">
        <v>4.1843603000000003E-8</v>
      </c>
      <c r="AE38" s="37">
        <v>5.9401977999999998E-8</v>
      </c>
      <c r="AF38" s="37">
        <v>2.4804016E-8</v>
      </c>
      <c r="AG38" s="37">
        <v>1.9665167E-7</v>
      </c>
      <c r="AH38" s="37">
        <v>1.2181282999999999E-8</v>
      </c>
      <c r="AI38" s="37">
        <v>1.5688016E-8</v>
      </c>
      <c r="AJ38" s="37">
        <v>4.6141225000000002E-9</v>
      </c>
      <c r="AK38" s="37">
        <v>1.2804189999999999E-8</v>
      </c>
      <c r="AL38" s="37">
        <v>2.5839086000000002E-8</v>
      </c>
      <c r="AM38" s="37">
        <v>6.0560357000000004E-9</v>
      </c>
      <c r="AN38" s="37">
        <v>4.6141225000000002E-9</v>
      </c>
      <c r="AO38" s="37">
        <v>5.3985233000000003E-9</v>
      </c>
      <c r="AP38" s="37">
        <v>4.0373571999999997E-9</v>
      </c>
      <c r="AQ38" s="37">
        <v>7.5440902000000002E-9</v>
      </c>
      <c r="AR38" s="37">
        <v>5.1908877999999998E-9</v>
      </c>
      <c r="AS38" s="37">
        <v>1.0151069E-8</v>
      </c>
      <c r="AT38" s="37">
        <v>9.2282449000000003E-9</v>
      </c>
      <c r="AU38" s="37">
        <v>5.5369469999999999E-9</v>
      </c>
      <c r="AV38" s="37">
        <v>9.7355544000000002E-8</v>
      </c>
      <c r="AW38" s="37">
        <v>1.3157167000000001E-10</v>
      </c>
      <c r="AX38" s="37">
        <v>2.2004208E-8</v>
      </c>
      <c r="AY38" s="37">
        <v>-2.9398265000000002E-7</v>
      </c>
    </row>
    <row r="39" spans="1:51" x14ac:dyDescent="0.25">
      <c r="A39" t="s">
        <v>142</v>
      </c>
      <c r="B39" t="s">
        <v>159</v>
      </c>
      <c r="C39" s="35">
        <v>9.1481363999999996E-6</v>
      </c>
      <c r="D39" s="35">
        <v>7.2718479E-9</v>
      </c>
      <c r="E39" s="35">
        <v>1.3765265000000001E-6</v>
      </c>
      <c r="F39" s="35">
        <v>1.2313382999999999E-7</v>
      </c>
      <c r="G39" s="35">
        <v>9.3262525000000003E-8</v>
      </c>
      <c r="H39">
        <v>0</v>
      </c>
      <c r="I39" s="35">
        <v>1.3815735000000001E-7</v>
      </c>
      <c r="J39">
        <v>0</v>
      </c>
      <c r="K39" s="35">
        <v>4.0235556999999998E-7</v>
      </c>
      <c r="L39" s="35">
        <v>3.7064491000000001E-7</v>
      </c>
      <c r="M39" s="35">
        <v>2.1940203999999999E-8</v>
      </c>
      <c r="N39" s="35">
        <v>3.5652846E-7</v>
      </c>
      <c r="O39" s="35">
        <v>5.3321280000000001E-8</v>
      </c>
      <c r="P39" s="35">
        <v>2.1391707999999999E-7</v>
      </c>
      <c r="Q39" s="35">
        <v>2.7373916999999998E-6</v>
      </c>
      <c r="R39" s="35">
        <v>-1.9813356999999999E-7</v>
      </c>
      <c r="S39" s="35">
        <v>8.6198391000000004E-7</v>
      </c>
      <c r="T39" s="35">
        <v>1.9086048E-7</v>
      </c>
      <c r="U39" s="35">
        <v>1.1749726E-8</v>
      </c>
      <c r="V39" s="35">
        <v>7.8897284999999997E-8</v>
      </c>
      <c r="W39" s="35">
        <v>1.6639332E-7</v>
      </c>
      <c r="X39" s="35">
        <v>2.6149667999999999E-8</v>
      </c>
      <c r="Y39" s="35">
        <v>1.1281714E-7</v>
      </c>
      <c r="Z39" s="35">
        <v>1.837945E-7</v>
      </c>
      <c r="AA39" s="35">
        <v>4.2496772000000001E-7</v>
      </c>
      <c r="AB39" s="35">
        <v>4.2496772000000001E-7</v>
      </c>
      <c r="AC39" s="35">
        <v>2.3908268000000001E-8</v>
      </c>
      <c r="AD39" s="35">
        <v>1.5155316999999999E-7</v>
      </c>
      <c r="AE39" s="35">
        <v>2.2713413E-7</v>
      </c>
      <c r="AF39" s="35">
        <v>1.0692357E-7</v>
      </c>
      <c r="AG39" s="35">
        <v>4.1489738000000001E-7</v>
      </c>
      <c r="AH39" s="35">
        <v>2.5574810999999998E-8</v>
      </c>
      <c r="AI39" s="35">
        <v>3.2937256999999998E-8</v>
      </c>
      <c r="AJ39" s="35">
        <v>9.6874285000000003E-9</v>
      </c>
      <c r="AK39" s="35">
        <v>2.6882613999999999E-8</v>
      </c>
      <c r="AL39" s="35">
        <v>5.4249599999999998E-8</v>
      </c>
      <c r="AM39" s="35">
        <v>1.271475E-8</v>
      </c>
      <c r="AN39" s="35">
        <v>9.6874285000000003E-9</v>
      </c>
      <c r="AO39" s="35">
        <v>1.1334290999999999E-8</v>
      </c>
      <c r="AP39" s="35">
        <v>8.4764999999999998E-9</v>
      </c>
      <c r="AQ39" s="35">
        <v>1.5838946E-8</v>
      </c>
      <c r="AR39" s="35">
        <v>1.0898357000000001E-8</v>
      </c>
      <c r="AS39" s="35">
        <v>2.1312342999999999E-8</v>
      </c>
      <c r="AT39" s="35">
        <v>1.9374857000000001E-8</v>
      </c>
      <c r="AU39" s="35">
        <v>1.1624914000000001E-8</v>
      </c>
      <c r="AV39" s="35">
        <v>1.8651031000000001E-7</v>
      </c>
      <c r="AW39" s="35">
        <v>1.1896827E-9</v>
      </c>
      <c r="AX39" s="35">
        <v>4.7270207999999999E-8</v>
      </c>
      <c r="AY39" s="35">
        <v>-4.6074361E-7</v>
      </c>
    </row>
    <row r="40" spans="1:51" x14ac:dyDescent="0.25">
      <c r="A40" t="s">
        <v>143</v>
      </c>
      <c r="B40" t="s">
        <v>159</v>
      </c>
      <c r="C40" s="35">
        <v>3.7990477000000002E-6</v>
      </c>
      <c r="D40" s="35">
        <v>4.6872408999999999E-9</v>
      </c>
      <c r="E40" s="35">
        <v>6.1357219999999999E-7</v>
      </c>
      <c r="F40" s="35">
        <v>3.3790801999999998E-8</v>
      </c>
      <c r="G40" s="35">
        <v>1.002407E-7</v>
      </c>
      <c r="H40">
        <v>0</v>
      </c>
      <c r="I40" s="35">
        <v>6.2578756999999999E-8</v>
      </c>
      <c r="J40">
        <v>0</v>
      </c>
      <c r="K40" s="35">
        <v>1.0705759E-7</v>
      </c>
      <c r="L40" s="35">
        <v>3.9371701000000001E-7</v>
      </c>
      <c r="M40" s="35">
        <v>1.4142074999999999E-8</v>
      </c>
      <c r="N40" s="35">
        <v>3.9031337999999998E-7</v>
      </c>
      <c r="O40" s="35">
        <v>5.7394118999999999E-8</v>
      </c>
      <c r="P40" s="35">
        <v>2.3418803000000001E-7</v>
      </c>
      <c r="Q40" s="35">
        <v>1.1087364E-6</v>
      </c>
      <c r="R40" s="35">
        <v>4.3524730000000001E-8</v>
      </c>
      <c r="S40" s="35">
        <v>6.3194285999999995E-8</v>
      </c>
      <c r="T40" s="35">
        <v>2.6593230999999999E-8</v>
      </c>
      <c r="U40" s="35">
        <v>1.8095895E-9</v>
      </c>
      <c r="V40" s="35">
        <v>1.2265155000000001E-8</v>
      </c>
      <c r="W40" s="35">
        <v>3.2047746000000002E-8</v>
      </c>
      <c r="X40" s="35">
        <v>4.0651556000000003E-9</v>
      </c>
      <c r="Y40" s="35">
        <v>1.7538242999999999E-8</v>
      </c>
      <c r="Z40" s="35">
        <v>1.8629146000000001E-8</v>
      </c>
      <c r="AA40" s="35">
        <v>1.3965629000000001E-7</v>
      </c>
      <c r="AB40" s="35">
        <v>1.3965629000000001E-7</v>
      </c>
      <c r="AC40" s="35">
        <v>3.7167137E-9</v>
      </c>
      <c r="AD40" s="35">
        <v>1.7020534000000001E-8</v>
      </c>
      <c r="AE40" s="35">
        <v>7.6293682000000006E-8</v>
      </c>
      <c r="AF40" s="35">
        <v>9.6938842000000001E-9</v>
      </c>
      <c r="AG40" s="35">
        <v>4.7353000999999998E-8</v>
      </c>
      <c r="AH40" s="35">
        <v>1.3288122E-9</v>
      </c>
      <c r="AI40" s="35">
        <v>1.711349E-9</v>
      </c>
      <c r="AJ40" s="35">
        <v>5.0333795000000001E-10</v>
      </c>
      <c r="AK40" s="35">
        <v>1.3967627999999999E-9</v>
      </c>
      <c r="AL40" s="35">
        <v>2.8186924999999999E-9</v>
      </c>
      <c r="AM40" s="35">
        <v>6.6063105999999999E-10</v>
      </c>
      <c r="AN40" s="35">
        <v>5.0333795000000001E-10</v>
      </c>
      <c r="AO40" s="35">
        <v>5.8890541000000001E-10</v>
      </c>
      <c r="AP40" s="35">
        <v>4.4042071000000002E-10</v>
      </c>
      <c r="AQ40" s="35">
        <v>8.2295754999999996E-10</v>
      </c>
      <c r="AR40" s="35">
        <v>5.6625519999999999E-10</v>
      </c>
      <c r="AS40" s="35">
        <v>1.1073434999999999E-9</v>
      </c>
      <c r="AT40" s="35">
        <v>1.0066759E-9</v>
      </c>
      <c r="AU40" s="35">
        <v>6.0400553999999995E-10</v>
      </c>
      <c r="AV40" s="35">
        <v>1.2620732E-8</v>
      </c>
      <c r="AW40" s="35">
        <v>2.8514918000000001E-10</v>
      </c>
      <c r="AX40" s="35">
        <v>2.7159223E-8</v>
      </c>
      <c r="AY40" s="35">
        <v>-2.8552865000000001E-8</v>
      </c>
    </row>
    <row r="41" spans="1:51" s="36" customFormat="1" x14ac:dyDescent="0.25">
      <c r="A41" s="36" t="s">
        <v>144</v>
      </c>
      <c r="B41" s="36" t="s">
        <v>160</v>
      </c>
      <c r="C41" s="36">
        <v>0.67384275000000005</v>
      </c>
      <c r="D41" s="36">
        <v>2.8306783999999998E-3</v>
      </c>
      <c r="E41" s="36">
        <v>9.9342300999999994E-2</v>
      </c>
      <c r="F41" s="36">
        <v>1.0193275999999999E-2</v>
      </c>
      <c r="G41" s="36">
        <v>4.1330324999999998E-3</v>
      </c>
      <c r="H41" s="36">
        <v>0</v>
      </c>
      <c r="I41" s="36">
        <v>2.2090906E-2</v>
      </c>
      <c r="J41" s="36">
        <v>0</v>
      </c>
      <c r="K41" s="36">
        <v>3.4563001000000003E-2</v>
      </c>
      <c r="L41" s="36">
        <v>1.0615859E-2</v>
      </c>
      <c r="M41" s="36">
        <v>8.5405611999999995E-3</v>
      </c>
      <c r="N41" s="36">
        <v>1.0100829E-2</v>
      </c>
      <c r="O41" s="36">
        <v>1.2877631E-2</v>
      </c>
      <c r="P41" s="36">
        <v>6.0604973000000003E-3</v>
      </c>
      <c r="Q41" s="36">
        <v>8.5009687E-2</v>
      </c>
      <c r="R41" s="36">
        <v>0.18847506</v>
      </c>
      <c r="S41" s="36">
        <v>2.3743077000000001E-2</v>
      </c>
      <c r="T41" s="36">
        <v>1.0816423E-2</v>
      </c>
      <c r="U41" s="36">
        <v>6.7042645000000005E-4</v>
      </c>
      <c r="V41" s="36">
        <v>5.3028457999999999E-3</v>
      </c>
      <c r="W41" s="36">
        <v>3.4591185999999999E-3</v>
      </c>
      <c r="X41" s="36">
        <v>1.757572E-3</v>
      </c>
      <c r="Y41" s="36">
        <v>7.5826677999999998E-3</v>
      </c>
      <c r="Z41" s="36">
        <v>8.1354897999999995E-3</v>
      </c>
      <c r="AA41" s="36">
        <v>1.2166878000000001E-2</v>
      </c>
      <c r="AB41" s="36">
        <v>1.2166878000000001E-2</v>
      </c>
      <c r="AC41" s="36">
        <v>1.6069229999999999E-3</v>
      </c>
      <c r="AD41" s="36">
        <v>5.9113430000000003E-3</v>
      </c>
      <c r="AE41" s="36">
        <v>5.6014356000000003E-3</v>
      </c>
      <c r="AF41" s="36">
        <v>6.9559082000000003E-3</v>
      </c>
      <c r="AG41" s="36">
        <v>5.3820440999999997E-2</v>
      </c>
      <c r="AH41" s="36">
        <v>6.9851655999999998E-4</v>
      </c>
      <c r="AI41" s="36">
        <v>8.9960465999999999E-4</v>
      </c>
      <c r="AJ41" s="36">
        <v>2.6458961000000003E-4</v>
      </c>
      <c r="AK41" s="36">
        <v>7.3423615999999999E-4</v>
      </c>
      <c r="AL41" s="36">
        <v>1.4817018E-3</v>
      </c>
      <c r="AM41" s="36">
        <v>3.4727386000000003E-4</v>
      </c>
      <c r="AN41" s="36">
        <v>2.6458961000000003E-4</v>
      </c>
      <c r="AO41" s="36">
        <v>3.0956983999999999E-4</v>
      </c>
      <c r="AP41" s="36">
        <v>2.3151591E-4</v>
      </c>
      <c r="AQ41" s="36">
        <v>4.3260401000000002E-4</v>
      </c>
      <c r="AR41" s="36">
        <v>2.9766330999999999E-4</v>
      </c>
      <c r="AS41" s="36">
        <v>5.8209712999999998E-4</v>
      </c>
      <c r="AT41" s="36">
        <v>5.2917920999999998E-4</v>
      </c>
      <c r="AU41" s="36">
        <v>3.1750753000000002E-4</v>
      </c>
      <c r="AV41" s="36">
        <v>2.3103977000000001E-2</v>
      </c>
      <c r="AW41" s="37">
        <v>1.6071646999999999E-5</v>
      </c>
      <c r="AX41" s="36">
        <v>1.7125082E-3</v>
      </c>
      <c r="AY41" s="36">
        <v>-1.2911204000000001E-2</v>
      </c>
    </row>
    <row r="42" spans="1:51" x14ac:dyDescent="0.25">
      <c r="A42" t="s">
        <v>145</v>
      </c>
      <c r="B42" t="s">
        <v>161</v>
      </c>
      <c r="C42">
        <v>6.7524454999999999E-3</v>
      </c>
      <c r="D42" s="35">
        <v>1.5820711999999999E-5</v>
      </c>
      <c r="E42">
        <v>3.9200044999999998E-4</v>
      </c>
      <c r="F42">
        <v>1.1297251E-4</v>
      </c>
      <c r="G42">
        <v>1.4823707999999999E-4</v>
      </c>
      <c r="H42">
        <v>0</v>
      </c>
      <c r="I42">
        <v>2.1267914E-4</v>
      </c>
      <c r="J42">
        <v>0</v>
      </c>
      <c r="K42">
        <v>3.5223663E-4</v>
      </c>
      <c r="L42">
        <v>5.7606332000000005E-4</v>
      </c>
      <c r="M42" s="35">
        <v>4.7733347000000001E-5</v>
      </c>
      <c r="N42">
        <v>5.5700366999999996E-4</v>
      </c>
      <c r="O42" s="35">
        <v>9.1441605000000003E-5</v>
      </c>
      <c r="P42">
        <v>3.3420219999999998E-4</v>
      </c>
      <c r="Q42">
        <v>4.5325029999999998E-4</v>
      </c>
      <c r="R42">
        <v>1.7177286E-3</v>
      </c>
      <c r="S42">
        <v>2.4365286E-4</v>
      </c>
      <c r="T42">
        <v>1.6274198999999999E-4</v>
      </c>
      <c r="U42" s="35">
        <v>9.7947208000000005E-6</v>
      </c>
      <c r="V42" s="35">
        <v>8.1014496000000004E-5</v>
      </c>
      <c r="W42" s="35">
        <v>4.2559036999999998E-5</v>
      </c>
      <c r="X42" s="35">
        <v>2.6851395000000001E-5</v>
      </c>
      <c r="Y42">
        <v>1.1584459E-4</v>
      </c>
      <c r="Z42">
        <v>1.1941729000000001E-4</v>
      </c>
      <c r="AA42">
        <v>1.8371511999999999E-4</v>
      </c>
      <c r="AB42">
        <v>1.8371511999999999E-4</v>
      </c>
      <c r="AC42" s="35">
        <v>2.4549846999999999E-5</v>
      </c>
      <c r="AD42" s="35">
        <v>8.4984610999999996E-5</v>
      </c>
      <c r="AE42" s="35">
        <v>9.3457996000000001E-5</v>
      </c>
      <c r="AF42" s="35">
        <v>8.6054453000000006E-5</v>
      </c>
      <c r="AG42">
        <v>3.0746414000000001E-4</v>
      </c>
      <c r="AH42" s="35">
        <v>2.3919209999999999E-6</v>
      </c>
      <c r="AI42" s="35">
        <v>3.0805042999999999E-6</v>
      </c>
      <c r="AJ42" s="35">
        <v>9.0603068E-7</v>
      </c>
      <c r="AK42" s="35">
        <v>2.5142350999999998E-6</v>
      </c>
      <c r="AL42" s="35">
        <v>5.0737717999999998E-6</v>
      </c>
      <c r="AM42" s="35">
        <v>1.1891653000000001E-6</v>
      </c>
      <c r="AN42" s="35">
        <v>9.0603068E-7</v>
      </c>
      <c r="AO42" s="35">
        <v>1.0600558999999999E-6</v>
      </c>
      <c r="AP42" s="35">
        <v>7.9277685000000004E-7</v>
      </c>
      <c r="AQ42" s="35">
        <v>1.4813602E-6</v>
      </c>
      <c r="AR42" s="35">
        <v>1.0192845E-6</v>
      </c>
      <c r="AS42" s="35">
        <v>1.9932674999999999E-6</v>
      </c>
      <c r="AT42" s="35">
        <v>1.8120613999999999E-6</v>
      </c>
      <c r="AU42" s="35">
        <v>1.0872368E-6</v>
      </c>
      <c r="AV42" s="35">
        <v>2.6623754000000002E-5</v>
      </c>
      <c r="AW42" s="35">
        <v>2.3290041999999999E-7</v>
      </c>
      <c r="AX42" s="35">
        <v>6.7666068999999994E-5</v>
      </c>
      <c r="AY42">
        <v>-1.4457211999999999E-4</v>
      </c>
    </row>
    <row r="43" spans="1:51" x14ac:dyDescent="0.25">
      <c r="A43" t="s">
        <v>146</v>
      </c>
      <c r="B43" t="s">
        <v>162</v>
      </c>
      <c r="C43">
        <v>0.12946268999999999</v>
      </c>
      <c r="D43">
        <v>5.2974732000000003E-4</v>
      </c>
      <c r="E43">
        <v>1.7242257E-2</v>
      </c>
      <c r="F43">
        <v>1.9977393999999998E-3</v>
      </c>
      <c r="G43">
        <v>7.2875651000000002E-4</v>
      </c>
      <c r="H43">
        <v>0</v>
      </c>
      <c r="I43">
        <v>4.9244533999999998E-3</v>
      </c>
      <c r="J43">
        <v>0</v>
      </c>
      <c r="K43">
        <v>7.9136078999999995E-3</v>
      </c>
      <c r="L43">
        <v>1.8085013E-3</v>
      </c>
      <c r="M43">
        <v>1.5983232999999999E-3</v>
      </c>
      <c r="N43">
        <v>1.7114401000000001E-3</v>
      </c>
      <c r="O43">
        <v>2.9093984999999998E-3</v>
      </c>
      <c r="P43">
        <v>1.0268641E-3</v>
      </c>
      <c r="Q43">
        <v>7.5458417999999996E-3</v>
      </c>
      <c r="R43">
        <v>3.2379064999999999E-2</v>
      </c>
      <c r="S43">
        <v>6.4744770999999998E-3</v>
      </c>
      <c r="T43">
        <v>1.5855725000000001E-3</v>
      </c>
      <c r="U43" s="35">
        <v>8.0569577000000006E-5</v>
      </c>
      <c r="V43">
        <v>6.5574560999999995E-4</v>
      </c>
      <c r="W43">
        <v>4.4101326999999998E-4</v>
      </c>
      <c r="X43">
        <v>2.1733993000000001E-4</v>
      </c>
      <c r="Y43">
        <v>9.3766654999999995E-4</v>
      </c>
      <c r="Z43">
        <v>1.1057702999999999E-3</v>
      </c>
      <c r="AA43">
        <v>1.9690577E-3</v>
      </c>
      <c r="AB43">
        <v>1.9690577E-3</v>
      </c>
      <c r="AC43">
        <v>1.9871078999999999E-4</v>
      </c>
      <c r="AD43">
        <v>1.2580394E-3</v>
      </c>
      <c r="AE43">
        <v>9.4379263999999998E-4</v>
      </c>
      <c r="AF43">
        <v>1.1720044000000001E-3</v>
      </c>
      <c r="AG43">
        <v>6.2291760999999999E-3</v>
      </c>
      <c r="AH43">
        <v>2.0343101E-4</v>
      </c>
      <c r="AI43">
        <v>2.6199448999999998E-4</v>
      </c>
      <c r="AJ43" s="35">
        <v>7.7057201999999997E-5</v>
      </c>
      <c r="AK43">
        <v>2.1383373999999999E-4</v>
      </c>
      <c r="AL43">
        <v>4.3152033E-4</v>
      </c>
      <c r="AM43">
        <v>1.0113758E-4</v>
      </c>
      <c r="AN43" s="35">
        <v>7.7057201999999997E-5</v>
      </c>
      <c r="AO43" s="35">
        <v>9.0156925999999995E-5</v>
      </c>
      <c r="AP43" s="35">
        <v>6.7425051999999995E-5</v>
      </c>
      <c r="AQ43">
        <v>1.2598853E-4</v>
      </c>
      <c r="AR43" s="35">
        <v>8.6689351999999999E-5</v>
      </c>
      <c r="AS43">
        <v>1.6952583999999999E-4</v>
      </c>
      <c r="AT43">
        <v>1.5411440000000001E-4</v>
      </c>
      <c r="AU43" s="35">
        <v>9.2468642000000006E-5</v>
      </c>
      <c r="AV43">
        <v>4.9305038000000004E-3</v>
      </c>
      <c r="AW43" s="35">
        <v>2.3155914E-6</v>
      </c>
      <c r="AX43">
        <v>1.6422303999999999E-2</v>
      </c>
      <c r="AY43">
        <v>-1.5988205000000001E-3</v>
      </c>
    </row>
    <row r="44" spans="1:51" x14ac:dyDescent="0.25">
      <c r="A44" t="s">
        <v>147</v>
      </c>
      <c r="B44" t="s">
        <v>163</v>
      </c>
      <c r="C44">
        <v>1.6635386999999999</v>
      </c>
      <c r="D44">
        <v>5.6860909999999999E-3</v>
      </c>
      <c r="E44">
        <v>0.17499988</v>
      </c>
      <c r="F44">
        <v>1.7903781000000001E-2</v>
      </c>
      <c r="G44">
        <v>8.3308778000000007E-3</v>
      </c>
      <c r="H44">
        <v>0</v>
      </c>
      <c r="I44">
        <v>4.1539147999999998E-2</v>
      </c>
      <c r="J44">
        <v>0</v>
      </c>
      <c r="K44">
        <v>6.7704602000000003E-2</v>
      </c>
      <c r="L44">
        <v>2.1420527000000002E-2</v>
      </c>
      <c r="M44">
        <v>1.7155749000000001E-2</v>
      </c>
      <c r="N44">
        <v>2.0404711999999998E-2</v>
      </c>
      <c r="O44">
        <v>2.9099541E-2</v>
      </c>
      <c r="P44">
        <v>1.2242827E-2</v>
      </c>
      <c r="Q44">
        <v>8.4372120999999994E-2</v>
      </c>
      <c r="R44">
        <v>0.81412379000000001</v>
      </c>
      <c r="S44">
        <v>5.5328106000000002E-2</v>
      </c>
      <c r="T44">
        <v>1.7524848999999999E-2</v>
      </c>
      <c r="U44">
        <v>1.0304773E-3</v>
      </c>
      <c r="V44">
        <v>8.1765443999999993E-3</v>
      </c>
      <c r="W44">
        <v>8.5929461999999998E-3</v>
      </c>
      <c r="X44">
        <v>2.7100289E-3</v>
      </c>
      <c r="Y44">
        <v>1.1691839000000001E-2</v>
      </c>
      <c r="Z44">
        <v>1.3683336000000001E-2</v>
      </c>
      <c r="AA44">
        <v>2.0921525E-2</v>
      </c>
      <c r="AB44">
        <v>2.0921525E-2</v>
      </c>
      <c r="AC44">
        <v>2.4777407000000002E-3</v>
      </c>
      <c r="AD44">
        <v>1.0914307999999999E-2</v>
      </c>
      <c r="AE44">
        <v>9.5052876000000005E-3</v>
      </c>
      <c r="AF44">
        <v>1.2492085E-2</v>
      </c>
      <c r="AG44">
        <v>9.9002081000000006E-2</v>
      </c>
      <c r="AH44">
        <v>2.2509252E-3</v>
      </c>
      <c r="AI44">
        <v>2.8989188000000002E-3</v>
      </c>
      <c r="AJ44">
        <v>8.5262317999999998E-4</v>
      </c>
      <c r="AK44">
        <v>2.3660293000000001E-3</v>
      </c>
      <c r="AL44">
        <v>4.7746897999999998E-3</v>
      </c>
      <c r="AM44">
        <v>1.1190678999999999E-3</v>
      </c>
      <c r="AN44">
        <v>8.5262317999999998E-4</v>
      </c>
      <c r="AO44">
        <v>9.9756911999999997E-4</v>
      </c>
      <c r="AP44">
        <v>7.4604528000000005E-4</v>
      </c>
      <c r="AQ44">
        <v>1.3940389000000001E-3</v>
      </c>
      <c r="AR44">
        <v>9.5920106999999996E-4</v>
      </c>
      <c r="AS44">
        <v>1.875771E-3</v>
      </c>
      <c r="AT44">
        <v>1.7052464E-3</v>
      </c>
      <c r="AU44">
        <v>1.0231477999999999E-3</v>
      </c>
      <c r="AV44">
        <v>5.501735E-2</v>
      </c>
      <c r="AW44" s="35">
        <v>2.7717412999999999E-5</v>
      </c>
      <c r="AX44">
        <v>5.1270617000000003E-3</v>
      </c>
      <c r="AY44">
        <v>-3.0405667000000001E-2</v>
      </c>
    </row>
    <row r="45" spans="1:51" x14ac:dyDescent="0.25">
      <c r="A45" t="s">
        <v>148</v>
      </c>
      <c r="B45" t="s">
        <v>164</v>
      </c>
      <c r="C45">
        <v>90.075428000000002</v>
      </c>
      <c r="D45">
        <v>0.31496565999999998</v>
      </c>
      <c r="E45">
        <v>12.800141999999999</v>
      </c>
      <c r="F45">
        <v>1.3956647</v>
      </c>
      <c r="G45">
        <v>1.3495321</v>
      </c>
      <c r="H45">
        <v>0</v>
      </c>
      <c r="I45">
        <v>2.8706323</v>
      </c>
      <c r="J45">
        <v>0</v>
      </c>
      <c r="K45">
        <v>4.8921545999999996</v>
      </c>
      <c r="L45">
        <v>4.9919073999999997</v>
      </c>
      <c r="M45">
        <v>0.95029638000000005</v>
      </c>
      <c r="N45">
        <v>4.6825264000000004</v>
      </c>
      <c r="O45">
        <v>1.5941312999999999</v>
      </c>
      <c r="P45">
        <v>2.8095159000000001</v>
      </c>
      <c r="Q45">
        <v>15.237842000000001</v>
      </c>
      <c r="R45">
        <v>12.307394</v>
      </c>
      <c r="S45">
        <v>5.4246186999999999</v>
      </c>
      <c r="T45">
        <v>0.89734177999999998</v>
      </c>
      <c r="U45">
        <v>4.7139573999999997E-2</v>
      </c>
      <c r="V45">
        <v>0.39165736000000001</v>
      </c>
      <c r="W45">
        <v>0.55273090999999996</v>
      </c>
      <c r="X45">
        <v>0.12981068000000001</v>
      </c>
      <c r="Y45">
        <v>0.56004034999999996</v>
      </c>
      <c r="Z45">
        <v>0.62926864999999998</v>
      </c>
      <c r="AA45">
        <v>2.2785500000000001</v>
      </c>
      <c r="AB45">
        <v>2.2785500000000001</v>
      </c>
      <c r="AC45">
        <v>0.11868405</v>
      </c>
      <c r="AD45">
        <v>0.64583327000000001</v>
      </c>
      <c r="AE45">
        <v>1.1461380000000001</v>
      </c>
      <c r="AF45">
        <v>0.44491501999999999</v>
      </c>
      <c r="AG45">
        <v>1.9374233000000001</v>
      </c>
      <c r="AH45">
        <v>0.43035324000000003</v>
      </c>
      <c r="AI45">
        <v>0.55424280999999997</v>
      </c>
      <c r="AJ45">
        <v>0.16301259000000001</v>
      </c>
      <c r="AK45">
        <v>0.45235994000000002</v>
      </c>
      <c r="AL45">
        <v>0.91287050999999997</v>
      </c>
      <c r="AM45">
        <v>0.21395402999999999</v>
      </c>
      <c r="AN45">
        <v>0.16301259000000001</v>
      </c>
      <c r="AO45">
        <v>0.19072473000000001</v>
      </c>
      <c r="AP45">
        <v>0.14263602</v>
      </c>
      <c r="AQ45">
        <v>0.26652558999999998</v>
      </c>
      <c r="AR45">
        <v>0.18338916</v>
      </c>
      <c r="AS45">
        <v>0.35862769999999999</v>
      </c>
      <c r="AT45">
        <v>0.32602518000000003</v>
      </c>
      <c r="AU45">
        <v>0.19561511000000001</v>
      </c>
      <c r="AV45">
        <v>2.8146523000000001</v>
      </c>
      <c r="AW45">
        <v>3.8954635999999998E-3</v>
      </c>
      <c r="AX45">
        <v>1.1672697000000001</v>
      </c>
      <c r="AY45">
        <v>-2.1431456</v>
      </c>
    </row>
    <row r="46" spans="1:51" x14ac:dyDescent="0.25">
      <c r="A46" t="s">
        <v>149</v>
      </c>
      <c r="B46" t="s">
        <v>165</v>
      </c>
      <c r="C46">
        <v>2326.1569</v>
      </c>
      <c r="D46">
        <v>0.50709687999999997</v>
      </c>
      <c r="E46">
        <v>15.312449000000001</v>
      </c>
      <c r="F46">
        <v>5.6934800000000001</v>
      </c>
      <c r="G46">
        <v>2.6755555000000002</v>
      </c>
      <c r="H46">
        <v>0</v>
      </c>
      <c r="I46">
        <v>3.9072431999999999</v>
      </c>
      <c r="J46">
        <v>0</v>
      </c>
      <c r="K46">
        <v>35.064217999999997</v>
      </c>
      <c r="L46">
        <v>9.5500979000000008</v>
      </c>
      <c r="M46">
        <v>1.5299837000000001</v>
      </c>
      <c r="N46">
        <v>9.5500979000000008</v>
      </c>
      <c r="O46">
        <v>1.501925</v>
      </c>
      <c r="P46">
        <v>5.7300588000000001</v>
      </c>
      <c r="Q46">
        <v>26.727979999999999</v>
      </c>
      <c r="R46">
        <v>1940.6404</v>
      </c>
      <c r="S46">
        <v>315.96381000000002</v>
      </c>
      <c r="T46">
        <v>40.662888000000002</v>
      </c>
      <c r="U46">
        <v>5.1111098999999998</v>
      </c>
      <c r="V46">
        <v>21.933655000000002</v>
      </c>
      <c r="W46">
        <v>3.6211595000000001</v>
      </c>
      <c r="X46">
        <v>7.2696774</v>
      </c>
      <c r="Y46">
        <v>31.363465000000001</v>
      </c>
      <c r="Z46">
        <v>39.695514000000003</v>
      </c>
      <c r="AA46">
        <v>17.960629999999998</v>
      </c>
      <c r="AB46">
        <v>17.960629999999998</v>
      </c>
      <c r="AC46">
        <v>6.6465622</v>
      </c>
      <c r="AD46">
        <v>15.788913000000001</v>
      </c>
      <c r="AE46">
        <v>8.5182070000000003</v>
      </c>
      <c r="AF46">
        <v>8.4254820000000006</v>
      </c>
      <c r="AG46">
        <v>77.508889999999994</v>
      </c>
      <c r="AH46">
        <v>2.6830984</v>
      </c>
      <c r="AI46">
        <v>3.4555055000000001</v>
      </c>
      <c r="AJ46">
        <v>1.0163251</v>
      </c>
      <c r="AK46">
        <v>2.8203022999999998</v>
      </c>
      <c r="AL46">
        <v>5.6914208000000004</v>
      </c>
      <c r="AM46">
        <v>1.3339266999999999</v>
      </c>
      <c r="AN46">
        <v>1.0163251</v>
      </c>
      <c r="AO46">
        <v>1.1891004000000001</v>
      </c>
      <c r="AP46">
        <v>0.88928450000000003</v>
      </c>
      <c r="AQ46">
        <v>1.6616915999999999</v>
      </c>
      <c r="AR46">
        <v>1.1433658</v>
      </c>
      <c r="AS46">
        <v>2.2359152999999998</v>
      </c>
      <c r="AT46">
        <v>2.0326502999999998</v>
      </c>
      <c r="AU46">
        <v>1.2195902000000001</v>
      </c>
      <c r="AV46">
        <v>18.023358000000002</v>
      </c>
      <c r="AW46">
        <v>2.3560996000000001E-2</v>
      </c>
      <c r="AX46">
        <v>11.79332</v>
      </c>
      <c r="AY46">
        <v>-408.89294000000001</v>
      </c>
    </row>
    <row r="47" spans="1:51" x14ac:dyDescent="0.25">
      <c r="A47" t="s">
        <v>150</v>
      </c>
      <c r="B47" t="s">
        <v>166</v>
      </c>
      <c r="C47">
        <v>47.414135000000002</v>
      </c>
      <c r="D47">
        <v>0.23688911000000001</v>
      </c>
      <c r="E47">
        <v>7.0253492</v>
      </c>
      <c r="F47">
        <v>1.3905482</v>
      </c>
      <c r="G47">
        <v>0.23651191999999999</v>
      </c>
      <c r="H47">
        <v>0</v>
      </c>
      <c r="I47">
        <v>3.2776458000000002</v>
      </c>
      <c r="J47">
        <v>0</v>
      </c>
      <c r="K47">
        <v>5.6537449999999998</v>
      </c>
      <c r="L47">
        <v>2.2591795000000001</v>
      </c>
      <c r="M47">
        <v>0.71472829000000004</v>
      </c>
      <c r="N47">
        <v>0.40783563</v>
      </c>
      <c r="O47">
        <v>0.97144156999999998</v>
      </c>
      <c r="P47">
        <v>0.24470138</v>
      </c>
      <c r="Q47">
        <v>5.0406256999999997</v>
      </c>
      <c r="R47">
        <v>7.3842319999999999</v>
      </c>
      <c r="S47">
        <v>1.4305943000000001</v>
      </c>
      <c r="T47">
        <v>0.66462794999999997</v>
      </c>
      <c r="U47">
        <v>0.14071127</v>
      </c>
      <c r="V47">
        <v>0.42821083999999998</v>
      </c>
      <c r="W47">
        <v>5.0067526000000001E-2</v>
      </c>
      <c r="X47">
        <v>0.14192594</v>
      </c>
      <c r="Y47">
        <v>0.61230905000000002</v>
      </c>
      <c r="Z47">
        <v>0.63831188000000005</v>
      </c>
      <c r="AA47">
        <v>0.44958691000000001</v>
      </c>
      <c r="AB47">
        <v>0.44958691000000001</v>
      </c>
      <c r="AC47">
        <v>0.12976086000000001</v>
      </c>
      <c r="AD47">
        <v>3.3625269999999999E-2</v>
      </c>
      <c r="AE47">
        <v>0.11122137999999999</v>
      </c>
      <c r="AF47">
        <v>0.63765632000000005</v>
      </c>
      <c r="AG47">
        <v>6.5462255000000003</v>
      </c>
      <c r="AH47">
        <v>1.3377867999999999E-2</v>
      </c>
      <c r="AI47">
        <v>1.7229072000000002E-2</v>
      </c>
      <c r="AJ47">
        <v>5.0673743E-3</v>
      </c>
      <c r="AK47">
        <v>1.4061964E-2</v>
      </c>
      <c r="AL47">
        <v>2.8377296E-2</v>
      </c>
      <c r="AM47">
        <v>6.6509287000000002E-3</v>
      </c>
      <c r="AN47">
        <v>5.0673743E-3</v>
      </c>
      <c r="AO47">
        <v>5.9288279000000001E-3</v>
      </c>
      <c r="AP47">
        <v>4.4339525000000003E-3</v>
      </c>
      <c r="AQ47">
        <v>8.2851569E-3</v>
      </c>
      <c r="AR47">
        <v>5.7007960000000002E-3</v>
      </c>
      <c r="AS47">
        <v>1.1148223000000001E-2</v>
      </c>
      <c r="AT47">
        <v>1.0134749E-2</v>
      </c>
      <c r="AU47">
        <v>6.0808490999999998E-3</v>
      </c>
      <c r="AV47">
        <v>0.14194788</v>
      </c>
      <c r="AW47">
        <v>0.25521759999999999</v>
      </c>
      <c r="AX47">
        <v>2.8917233000000001E-2</v>
      </c>
      <c r="AY47">
        <v>-0.46134740000000002</v>
      </c>
    </row>
    <row r="48" spans="1:51" s="36" customFormat="1" x14ac:dyDescent="0.25">
      <c r="A48" s="36" t="s">
        <v>151</v>
      </c>
      <c r="B48" s="36" t="s">
        <v>167</v>
      </c>
      <c r="C48" s="36">
        <v>1364.096</v>
      </c>
      <c r="D48" s="36">
        <v>24.963595999999999</v>
      </c>
      <c r="E48" s="36">
        <v>219.91436999999999</v>
      </c>
      <c r="F48" s="36">
        <v>43.004460999999999</v>
      </c>
      <c r="G48" s="36">
        <v>18.374181</v>
      </c>
      <c r="H48" s="36">
        <v>0</v>
      </c>
      <c r="I48" s="36">
        <v>120.87554</v>
      </c>
      <c r="J48" s="36">
        <v>0</v>
      </c>
      <c r="K48" s="36">
        <v>143.71283</v>
      </c>
      <c r="L48" s="36">
        <v>22.476907000000001</v>
      </c>
      <c r="M48" s="36">
        <v>75.318735000000004</v>
      </c>
      <c r="N48" s="36">
        <v>16.779433999999998</v>
      </c>
      <c r="O48" s="36">
        <v>38.225368000000003</v>
      </c>
      <c r="P48" s="36">
        <v>10.06766</v>
      </c>
      <c r="Q48" s="36">
        <v>79.001644999999996</v>
      </c>
      <c r="R48" s="36">
        <v>30.349381999999999</v>
      </c>
      <c r="S48" s="36">
        <v>92.327658999999997</v>
      </c>
      <c r="T48" s="36">
        <v>42.010969000000003</v>
      </c>
      <c r="U48" s="36">
        <v>2.0681297000000001</v>
      </c>
      <c r="V48" s="36">
        <v>22.793904000000001</v>
      </c>
      <c r="W48" s="36">
        <v>4.8861806999999997</v>
      </c>
      <c r="X48" s="36">
        <v>7.5547978999999996</v>
      </c>
      <c r="Y48" s="36">
        <v>32.593556</v>
      </c>
      <c r="Z48" s="36">
        <v>33.585034</v>
      </c>
      <c r="AA48" s="36">
        <v>29.145845999999999</v>
      </c>
      <c r="AB48" s="36">
        <v>29.145845999999999</v>
      </c>
      <c r="AC48" s="36">
        <v>6.9072437999999998</v>
      </c>
      <c r="AD48" s="36">
        <v>15.883845000000001</v>
      </c>
      <c r="AE48" s="36">
        <v>11.334237</v>
      </c>
      <c r="AF48" s="36">
        <v>17.066725000000002</v>
      </c>
      <c r="AG48" s="36">
        <v>131.43781999999999</v>
      </c>
      <c r="AH48" s="36">
        <v>2.6450898999999999</v>
      </c>
      <c r="AI48" s="36">
        <v>3.4065550999999998</v>
      </c>
      <c r="AJ48" s="36">
        <v>1.0019279999999999</v>
      </c>
      <c r="AK48" s="36">
        <v>2.7803501000000002</v>
      </c>
      <c r="AL48" s="36">
        <v>5.6107966999999999</v>
      </c>
      <c r="AM48" s="36">
        <v>1.3150305</v>
      </c>
      <c r="AN48" s="36">
        <v>1.0019279999999999</v>
      </c>
      <c r="AO48" s="36">
        <v>1.1722557</v>
      </c>
      <c r="AP48" s="36">
        <v>0.87668698</v>
      </c>
      <c r="AQ48" s="36">
        <v>1.6381521999999999</v>
      </c>
      <c r="AR48" s="36">
        <v>1.1271690000000001</v>
      </c>
      <c r="AS48" s="36">
        <v>2.2042416</v>
      </c>
      <c r="AT48" s="36">
        <v>2.0038559999999999</v>
      </c>
      <c r="AU48" s="36">
        <v>1.2023136000000001</v>
      </c>
      <c r="AV48" s="36">
        <v>26.900537</v>
      </c>
      <c r="AW48" s="36">
        <v>4.5327863000000003E-2</v>
      </c>
      <c r="AX48" s="36">
        <v>3.9264047999999998</v>
      </c>
      <c r="AY48" s="36">
        <v>-16.568574999999999</v>
      </c>
    </row>
    <row r="49" spans="1:51" x14ac:dyDescent="0.25">
      <c r="A49" t="s">
        <v>152</v>
      </c>
      <c r="B49" t="s">
        <v>168</v>
      </c>
      <c r="C49">
        <v>4.5251948E-4</v>
      </c>
      <c r="D49" s="35">
        <v>8.1839787999999996E-8</v>
      </c>
      <c r="E49">
        <v>1.1351429E-4</v>
      </c>
      <c r="F49" s="35">
        <v>5.3341958999999996E-6</v>
      </c>
      <c r="G49" s="35">
        <v>7.5013598999999997E-6</v>
      </c>
      <c r="H49">
        <v>0</v>
      </c>
      <c r="I49" s="35">
        <v>3.1145785000000002E-6</v>
      </c>
      <c r="J49">
        <v>0</v>
      </c>
      <c r="K49" s="35">
        <v>7.7089685000000007E-6</v>
      </c>
      <c r="L49" s="35">
        <v>2.9947201999999999E-5</v>
      </c>
      <c r="M49" s="35">
        <v>2.4692233000000002E-7</v>
      </c>
      <c r="N49" s="35">
        <v>2.9819500000000001E-5</v>
      </c>
      <c r="O49" s="35">
        <v>2.4016717999999999E-5</v>
      </c>
      <c r="P49" s="35">
        <v>1.78917E-5</v>
      </c>
      <c r="Q49" s="35">
        <v>1.7723452999999999E-5</v>
      </c>
      <c r="R49" s="35">
        <v>1.5672744E-5</v>
      </c>
      <c r="S49" s="35">
        <v>3.9526607999999997E-5</v>
      </c>
      <c r="T49" s="35">
        <v>4.5834949999999999E-6</v>
      </c>
      <c r="U49" s="35">
        <v>2.5469007999999999E-7</v>
      </c>
      <c r="V49" s="35">
        <v>1.3762290999999999E-6</v>
      </c>
      <c r="W49" s="35">
        <v>1.5755581E-5</v>
      </c>
      <c r="X49" s="35">
        <v>4.5613654999999999E-7</v>
      </c>
      <c r="Y49" s="35">
        <v>1.9679033999999999E-6</v>
      </c>
      <c r="Z49" s="35">
        <v>2.0378619999999998E-6</v>
      </c>
      <c r="AA49" s="35">
        <v>9.1249186000000002E-6</v>
      </c>
      <c r="AB49" s="35">
        <v>9.1249186000000002E-6</v>
      </c>
      <c r="AC49" s="35">
        <v>4.1703913E-7</v>
      </c>
      <c r="AD49" s="35">
        <v>5.3088861000000001E-6</v>
      </c>
      <c r="AE49" s="35">
        <v>4.5730053000000003E-6</v>
      </c>
      <c r="AF49" s="35">
        <v>2.9671719E-7</v>
      </c>
      <c r="AG49" s="35">
        <v>5.7563057000000002E-6</v>
      </c>
      <c r="AH49" s="35">
        <v>4.7560327E-7</v>
      </c>
      <c r="AI49" s="35">
        <v>6.1251937000000003E-7</v>
      </c>
      <c r="AJ49" s="35">
        <v>1.8015275E-7</v>
      </c>
      <c r="AK49" s="35">
        <v>4.9992389000000002E-7</v>
      </c>
      <c r="AL49" s="35">
        <v>1.0088554E-6</v>
      </c>
      <c r="AM49" s="35">
        <v>2.3645049000000001E-7</v>
      </c>
      <c r="AN49" s="35">
        <v>1.8015275E-7</v>
      </c>
      <c r="AO49" s="35">
        <v>2.1077872E-7</v>
      </c>
      <c r="AP49" s="35">
        <v>1.5763366E-7</v>
      </c>
      <c r="AQ49" s="35">
        <v>2.9454974999999999E-7</v>
      </c>
      <c r="AR49" s="35">
        <v>2.0267184999999999E-7</v>
      </c>
      <c r="AS49" s="35">
        <v>3.9633606000000002E-7</v>
      </c>
      <c r="AT49" s="35">
        <v>3.6030550999999999E-7</v>
      </c>
      <c r="AU49" s="35">
        <v>2.1618331000000001E-7</v>
      </c>
      <c r="AV49" s="35">
        <v>3.1075013E-6</v>
      </c>
      <c r="AW49" s="35">
        <v>1.0314338999999999E-8</v>
      </c>
      <c r="AX49" s="35">
        <v>2.6634377000000001E-7</v>
      </c>
      <c r="AY49" s="35">
        <v>7.0969445000000002E-5</v>
      </c>
    </row>
    <row r="50" spans="1:51" s="36" customFormat="1" x14ac:dyDescent="0.25">
      <c r="A50" s="36" t="s">
        <v>118</v>
      </c>
      <c r="B50" s="36" t="s">
        <v>7</v>
      </c>
      <c r="C50" s="36">
        <v>96.744219999999999</v>
      </c>
      <c r="D50" s="36">
        <v>0.77527592000000001</v>
      </c>
      <c r="E50" s="36">
        <v>20.874528000000002</v>
      </c>
      <c r="F50" s="36">
        <v>2.1907157000000002</v>
      </c>
      <c r="G50" s="36">
        <v>0.98764238000000004</v>
      </c>
      <c r="H50" s="36">
        <v>0</v>
      </c>
      <c r="I50" s="36">
        <v>5.1002317000000001</v>
      </c>
      <c r="J50" s="36">
        <v>0</v>
      </c>
      <c r="K50" s="36">
        <v>7.2462626999999999</v>
      </c>
      <c r="L50" s="36">
        <v>2.4612661999999998</v>
      </c>
      <c r="M50" s="36">
        <v>2.3391182000000001</v>
      </c>
      <c r="N50" s="36">
        <v>2.1891425999999998</v>
      </c>
      <c r="O50" s="36">
        <v>3.4135390999999999</v>
      </c>
      <c r="P50" s="36">
        <v>1.3134855999999999</v>
      </c>
      <c r="Q50" s="36">
        <v>10.415483999999999</v>
      </c>
      <c r="R50" s="36">
        <v>4.1992817999999996</v>
      </c>
      <c r="S50" s="36">
        <v>5.1301012000000004</v>
      </c>
      <c r="T50" s="36">
        <v>2.2680486000000002</v>
      </c>
      <c r="U50" s="36">
        <v>0.11520211</v>
      </c>
      <c r="V50" s="36">
        <v>1.1158123</v>
      </c>
      <c r="W50" s="36">
        <v>0.45589664000000002</v>
      </c>
      <c r="X50" s="36">
        <v>0.36982415000000002</v>
      </c>
      <c r="Y50" s="36">
        <v>1.5955269999999999</v>
      </c>
      <c r="Z50" s="36">
        <v>1.6508567999999999</v>
      </c>
      <c r="AA50" s="36">
        <v>2.4223271</v>
      </c>
      <c r="AB50" s="36">
        <v>2.4223271</v>
      </c>
      <c r="AC50" s="36">
        <v>0.33812492999999999</v>
      </c>
      <c r="AD50" s="36">
        <v>1.2270258000000001</v>
      </c>
      <c r="AE50" s="36">
        <v>1.0610609</v>
      </c>
      <c r="AF50" s="36">
        <v>1.5805548</v>
      </c>
      <c r="AG50" s="36">
        <v>9.0551951000000006</v>
      </c>
      <c r="AH50" s="36">
        <v>0.17470374</v>
      </c>
      <c r="AI50" s="36">
        <v>0.22499723999999999</v>
      </c>
      <c r="AJ50" s="36">
        <v>6.6175657999999998E-2</v>
      </c>
      <c r="AK50" s="36">
        <v>0.18363745000000001</v>
      </c>
      <c r="AL50" s="36">
        <v>0.37058369000000002</v>
      </c>
      <c r="AM50" s="36">
        <v>8.6855552000000003E-2</v>
      </c>
      <c r="AN50" s="36">
        <v>6.6175657999999998E-2</v>
      </c>
      <c r="AO50" s="36">
        <v>7.7425519999999998E-2</v>
      </c>
      <c r="AP50" s="36">
        <v>5.7903701000000002E-2</v>
      </c>
      <c r="AQ50" s="36">
        <v>0.10819719999999999</v>
      </c>
      <c r="AR50" s="36">
        <v>7.4447615999999994E-2</v>
      </c>
      <c r="AS50" s="36">
        <v>0.14558645000000001</v>
      </c>
      <c r="AT50" s="36">
        <v>0.13235131999999999</v>
      </c>
      <c r="AU50" s="36">
        <v>7.9410789999999995E-2</v>
      </c>
      <c r="AV50" s="36">
        <v>1.8334357999999999</v>
      </c>
      <c r="AW50" s="36">
        <v>2.9129836999999999E-3</v>
      </c>
      <c r="AX50" s="36">
        <v>0.67931533</v>
      </c>
      <c r="AY50" s="36">
        <v>-1.9337542999999999</v>
      </c>
    </row>
    <row r="51" spans="1:51" x14ac:dyDescent="0.25">
      <c r="A51" t="s">
        <v>153</v>
      </c>
      <c r="B51" t="s">
        <v>7</v>
      </c>
      <c r="C51">
        <v>15.22653</v>
      </c>
      <c r="D51">
        <v>1.0424759E-3</v>
      </c>
      <c r="E51">
        <v>3.1995220999999997E-2</v>
      </c>
      <c r="F51">
        <v>7.6896508000000004E-3</v>
      </c>
      <c r="G51">
        <v>7.8481557999999997E-4</v>
      </c>
      <c r="H51">
        <v>0</v>
      </c>
      <c r="I51">
        <v>2.1200146999999999E-2</v>
      </c>
      <c r="J51">
        <v>0</v>
      </c>
      <c r="K51">
        <v>3.5603995999999999E-2</v>
      </c>
      <c r="L51">
        <v>7.7075717999999999E-4</v>
      </c>
      <c r="M51">
        <v>3.1452986000000001E-3</v>
      </c>
      <c r="N51">
        <v>7.7075717999999999E-4</v>
      </c>
      <c r="O51">
        <v>1.7901019E-3</v>
      </c>
      <c r="P51">
        <v>4.6245431000000001E-4</v>
      </c>
      <c r="Q51">
        <v>4.9788941000000003E-2</v>
      </c>
      <c r="R51">
        <v>4.7565290999999998</v>
      </c>
      <c r="S51">
        <v>5.6789868E-2</v>
      </c>
      <c r="T51">
        <v>4.3173971999999998E-2</v>
      </c>
      <c r="U51">
        <v>2.1730765999999999E-4</v>
      </c>
      <c r="V51">
        <v>1.8016180000000001E-3</v>
      </c>
      <c r="W51">
        <v>1.2874185999999999E-2</v>
      </c>
      <c r="X51">
        <v>5.9712717E-4</v>
      </c>
      <c r="Y51">
        <v>2.5761771999999999E-3</v>
      </c>
      <c r="Z51">
        <v>3.0709518E-3</v>
      </c>
      <c r="AA51">
        <v>5.2841355E-2</v>
      </c>
      <c r="AB51">
        <v>5.2841355E-2</v>
      </c>
      <c r="AC51">
        <v>5.4594484000000003E-4</v>
      </c>
      <c r="AD51">
        <v>8.5944027000000006E-2</v>
      </c>
      <c r="AE51">
        <v>3.0816456999999998E-2</v>
      </c>
      <c r="AF51">
        <v>6.3583558999999999E-4</v>
      </c>
      <c r="AG51">
        <v>4.8170611000000002E-2</v>
      </c>
      <c r="AH51" s="35">
        <v>3.6622972999999998E-5</v>
      </c>
      <c r="AI51" s="35">
        <v>4.7165949000000003E-5</v>
      </c>
      <c r="AJ51" s="35">
        <v>1.3872338E-5</v>
      </c>
      <c r="AK51" s="35">
        <v>3.8495738000000002E-5</v>
      </c>
      <c r="AL51" s="35">
        <v>7.7685092999999993E-5</v>
      </c>
      <c r="AM51" s="35">
        <v>1.8207444000000002E-5</v>
      </c>
      <c r="AN51" s="35">
        <v>1.3872338E-5</v>
      </c>
      <c r="AO51" s="35">
        <v>1.6230635999999999E-5</v>
      </c>
      <c r="AP51" s="35">
        <v>1.2138295999999999E-5</v>
      </c>
      <c r="AQ51" s="35">
        <v>2.2681272999999999E-5</v>
      </c>
      <c r="AR51" s="35">
        <v>1.5606379999999999E-5</v>
      </c>
      <c r="AS51" s="35">
        <v>3.0519143999999998E-5</v>
      </c>
      <c r="AT51" s="35">
        <v>2.7744676E-5</v>
      </c>
      <c r="AU51" s="35">
        <v>1.6646806000000001E-5</v>
      </c>
      <c r="AV51">
        <v>5.0307966999999995E-4</v>
      </c>
      <c r="AW51" s="35">
        <v>7.2856402000000003E-6</v>
      </c>
      <c r="AX51">
        <v>9.1310456000000002</v>
      </c>
      <c r="AY51">
        <v>0.79011620999999999</v>
      </c>
    </row>
    <row r="52" spans="1:51" x14ac:dyDescent="0.25">
      <c r="A52" t="s">
        <v>154</v>
      </c>
      <c r="B52" t="s">
        <v>7</v>
      </c>
      <c r="C52">
        <v>1.3850899999999999</v>
      </c>
      <c r="D52" s="35">
        <v>1.4566969E-5</v>
      </c>
      <c r="E52">
        <v>0.11762748000000001</v>
      </c>
      <c r="F52">
        <v>7.3296742999999997E-4</v>
      </c>
      <c r="G52">
        <v>1.8665001E-4</v>
      </c>
      <c r="H52">
        <v>0</v>
      </c>
      <c r="I52">
        <v>2.3960023E-4</v>
      </c>
      <c r="J52">
        <v>0</v>
      </c>
      <c r="K52">
        <v>7.6978243999999997E-4</v>
      </c>
      <c r="L52">
        <v>7.1350389000000001E-4</v>
      </c>
      <c r="M52" s="35">
        <v>4.3950628000000002E-5</v>
      </c>
      <c r="N52">
        <v>7.1350389000000001E-4</v>
      </c>
      <c r="O52" s="35">
        <v>9.0340460999999993E-5</v>
      </c>
      <c r="P52">
        <v>4.2810234000000003E-4</v>
      </c>
      <c r="Q52">
        <v>0.24975663000000001</v>
      </c>
      <c r="R52">
        <v>0.94239620999999996</v>
      </c>
      <c r="S52">
        <v>3.0864803999999999E-2</v>
      </c>
      <c r="T52">
        <v>3.1123882999999999E-3</v>
      </c>
      <c r="U52">
        <v>1.9528923E-4</v>
      </c>
      <c r="V52">
        <v>1.5820661000000001E-3</v>
      </c>
      <c r="W52">
        <v>4.7153274000000001E-4</v>
      </c>
      <c r="X52">
        <v>5.2435901999999999E-4</v>
      </c>
      <c r="Y52">
        <v>2.2622345999999999E-3</v>
      </c>
      <c r="Z52">
        <v>2.4179808E-3</v>
      </c>
      <c r="AA52">
        <v>3.4444408999999999E-3</v>
      </c>
      <c r="AB52">
        <v>3.4444408999999999E-3</v>
      </c>
      <c r="AC52">
        <v>4.7941396E-4</v>
      </c>
      <c r="AD52">
        <v>1.5200518E-3</v>
      </c>
      <c r="AE52">
        <v>1.0432566E-3</v>
      </c>
      <c r="AF52">
        <v>2.9354475000000001E-2</v>
      </c>
      <c r="AG52">
        <v>1.0050300999999999E-2</v>
      </c>
      <c r="AH52" s="35">
        <v>5.4511993999999999E-5</v>
      </c>
      <c r="AI52" s="35">
        <v>7.0204840999999995E-5</v>
      </c>
      <c r="AJ52" s="35">
        <v>2.0648483000000001E-5</v>
      </c>
      <c r="AK52" s="35">
        <v>5.7299539999999999E-5</v>
      </c>
      <c r="AL52">
        <v>1.156315E-4</v>
      </c>
      <c r="AM52" s="35">
        <v>2.7101134E-5</v>
      </c>
      <c r="AN52" s="35">
        <v>2.0648483000000001E-5</v>
      </c>
      <c r="AO52" s="35">
        <v>2.4158725000000001E-5</v>
      </c>
      <c r="AP52" s="35">
        <v>1.8067421999999999E-5</v>
      </c>
      <c r="AQ52" s="35">
        <v>3.3760268999999998E-5</v>
      </c>
      <c r="AR52" s="35">
        <v>2.3229542999999999E-5</v>
      </c>
      <c r="AS52" s="35">
        <v>4.5426661999999999E-5</v>
      </c>
      <c r="AT52" s="35">
        <v>4.1296966000000002E-5</v>
      </c>
      <c r="AU52" s="35">
        <v>2.4778178999999999E-5</v>
      </c>
      <c r="AV52">
        <v>7.3478172000000005E-4</v>
      </c>
      <c r="AW52" s="35">
        <v>4.1527527000000002E-6</v>
      </c>
      <c r="AX52" s="35">
        <v>8.8645925000000006E-5</v>
      </c>
      <c r="AY52">
        <v>-2.0794661999999998E-2</v>
      </c>
    </row>
  </sheetData>
  <sheetProtection algorithmName="SHA-512" hashValue="ELWroqo64QTki0+1WqiA3YuqeYt+ec6Xk5HT6bjEduA2KzGQGTkYvitDI6AnN7jcHLACNOlTTqaceFafQRmrUA==" saltValue="aRoRmlSFbYES6zYm1UO5H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B8" sqref="B8"/>
    </sheetView>
  </sheetViews>
  <sheetFormatPr defaultRowHeight="15" x14ac:dyDescent="0.25"/>
  <cols>
    <col min="1" max="1" width="28.28515625" style="51" customWidth="1"/>
    <col min="2" max="2" width="31" style="51" customWidth="1"/>
    <col min="3" max="3" width="16.140625" customWidth="1"/>
    <col min="4" max="4" width="10" customWidth="1"/>
  </cols>
  <sheetData>
    <row r="1" spans="1:10" ht="28.5" x14ac:dyDescent="0.45">
      <c r="A1" s="220" t="s">
        <v>200</v>
      </c>
      <c r="B1" s="220"/>
      <c r="C1" s="220"/>
      <c r="D1" s="220"/>
      <c r="E1" s="220"/>
      <c r="F1" s="220"/>
      <c r="G1" s="220"/>
      <c r="H1" s="220"/>
      <c r="I1" s="220"/>
      <c r="J1" s="220"/>
    </row>
    <row r="2" spans="1:10" ht="15.75" x14ac:dyDescent="0.25">
      <c r="A2" s="52" t="s">
        <v>198</v>
      </c>
      <c r="B2" s="49" t="s">
        <v>201</v>
      </c>
    </row>
    <row r="3" spans="1:10" x14ac:dyDescent="0.25">
      <c r="A3" s="50" t="s">
        <v>12</v>
      </c>
    </row>
    <row r="4" spans="1:10" x14ac:dyDescent="0.25">
      <c r="A4" s="51" t="s">
        <v>28</v>
      </c>
      <c r="B4" s="55" t="s">
        <v>132</v>
      </c>
      <c r="C4" s="56">
        <f>IF(Ecodesign_tool!$B$5='Allocazione_Fine _vita_sedia_RI'!A4,Ecodesign_tool!$C$5,"-")</f>
        <v>1</v>
      </c>
      <c r="D4" s="56" t="str">
        <f>IF(Ecodesign_tool!$B$6='Allocazione_Fine _vita_sedia_RI'!A4,Ecodesign_tool!$C$6,"-")</f>
        <v>-</v>
      </c>
    </row>
    <row r="5" spans="1:10" x14ac:dyDescent="0.25">
      <c r="A5" s="51" t="s">
        <v>29</v>
      </c>
      <c r="B5" s="55" t="s">
        <v>132</v>
      </c>
      <c r="C5" s="56" t="str">
        <f>IF(Ecodesign_tool!$B$5='Allocazione_Fine _vita_sedia_RI'!A5,Ecodesign_tool!$C$5,"-")</f>
        <v>-</v>
      </c>
      <c r="D5" s="56" t="str">
        <f>IF(Ecodesign_tool!$B$6='Allocazione_Fine _vita_sedia_RI'!A5,Ecodesign_tool!$C$6,"-")</f>
        <v>-</v>
      </c>
    </row>
    <row r="6" spans="1:10" x14ac:dyDescent="0.25">
      <c r="A6" s="51" t="s">
        <v>30</v>
      </c>
      <c r="B6" s="55" t="s">
        <v>132</v>
      </c>
      <c r="C6" s="56" t="str">
        <f>IF(Ecodesign_tool!$B$5='Allocazione_Fine _vita_sedia_RI'!A6,Ecodesign_tool!$C$5,"-")</f>
        <v>-</v>
      </c>
      <c r="D6" s="56" t="str">
        <f>IF(Ecodesign_tool!$B$6='Allocazione_Fine _vita_sedia_RI'!A6,Ecodesign_tool!$C$6,"-")</f>
        <v>-</v>
      </c>
    </row>
    <row r="7" spans="1:10" x14ac:dyDescent="0.25">
      <c r="A7" s="51" t="s">
        <v>22</v>
      </c>
      <c r="B7" s="55" t="s">
        <v>131</v>
      </c>
      <c r="C7" s="56" t="str">
        <f>IF(Ecodesign_tool!$B$5='Allocazione_Fine _vita_sedia_RI'!A7,Ecodesign_tool!$C$5,"-")</f>
        <v>-</v>
      </c>
      <c r="D7" s="56" t="str">
        <f>IF(Ecodesign_tool!$B$6='Allocazione_Fine _vita_sedia_RI'!A7,Ecodesign_tool!$C$6,"-")</f>
        <v>-</v>
      </c>
    </row>
    <row r="8" spans="1:10" x14ac:dyDescent="0.25">
      <c r="A8" s="51" t="s">
        <v>20</v>
      </c>
      <c r="B8" s="55" t="s">
        <v>131</v>
      </c>
      <c r="C8" s="56" t="str">
        <f>IF(Ecodesign_tool!$B$5='Allocazione_Fine _vita_sedia_RI'!A8,Ecodesign_tool!$C$5,"-")</f>
        <v>-</v>
      </c>
      <c r="D8" s="56" t="str">
        <f>IF(Ecodesign_tool!$B$6='Allocazione_Fine _vita_sedia_RI'!A8,Ecodesign_tool!$C$6,"-")</f>
        <v>-</v>
      </c>
    </row>
    <row r="9" spans="1:10" x14ac:dyDescent="0.25">
      <c r="A9" s="51" t="s">
        <v>21</v>
      </c>
      <c r="B9" s="55" t="s">
        <v>131</v>
      </c>
      <c r="C9" s="56" t="str">
        <f>IF(Ecodesign_tool!$B$5='Allocazione_Fine _vita_sedia_RI'!A9,Ecodesign_tool!$C$5,"-")</f>
        <v>-</v>
      </c>
      <c r="D9" s="56" t="str">
        <f>IF(Ecodesign_tool!$B$6='Allocazione_Fine _vita_sedia_RI'!A9,Ecodesign_tool!$C$6,"-")</f>
        <v>-</v>
      </c>
    </row>
    <row r="10" spans="1:10" s="54" customFormat="1" x14ac:dyDescent="0.25">
      <c r="A10" s="55" t="s">
        <v>23</v>
      </c>
      <c r="B10" s="55" t="s">
        <v>23</v>
      </c>
      <c r="C10" s="56" t="str">
        <f>IF(Ecodesign_tool!$B$5='Allocazione_Fine _vita_sedia_RI'!A10,Ecodesign_tool!$C$5,"-")</f>
        <v>-</v>
      </c>
      <c r="D10" s="56">
        <f>IF(Ecodesign_tool!$B$6='Allocazione_Fine _vita_sedia_RI'!A10,Ecodesign_tool!$C$6,"-")</f>
        <v>2</v>
      </c>
    </row>
    <row r="11" spans="1:10" x14ac:dyDescent="0.25">
      <c r="A11" s="50" t="s">
        <v>13</v>
      </c>
    </row>
    <row r="12" spans="1:10" x14ac:dyDescent="0.25">
      <c r="A12" s="51" t="s">
        <v>28</v>
      </c>
      <c r="B12" s="55" t="s">
        <v>132</v>
      </c>
      <c r="C12" s="56" t="str">
        <f>IF(Ecodesign_tool!$B$16='Allocazione_Fine _vita_sedia_RI'!A12,Ecodesign_tool!$C$16,"-")</f>
        <v>-</v>
      </c>
      <c r="D12" s="56" t="str">
        <f>IF(Ecodesign_tool!$B$17='Allocazione_Fine _vita_sedia_RI'!A12,Ecodesign_tool!$C$17,"-")</f>
        <v>-</v>
      </c>
      <c r="E12" s="56" t="str">
        <f>IF(Ecodesign_tool!$B$18='Allocazione_Fine _vita_sedia_RI'!A12,Ecodesign_tool!$C$18,"-")</f>
        <v>-</v>
      </c>
    </row>
    <row r="13" spans="1:10" x14ac:dyDescent="0.25">
      <c r="A13" s="51" t="s">
        <v>29</v>
      </c>
      <c r="B13" s="55" t="s">
        <v>132</v>
      </c>
      <c r="C13" s="56">
        <f>IF(Ecodesign_tool!$B$16='Allocazione_Fine _vita_sedia_RI'!A13,Ecodesign_tool!$C$16,"-")</f>
        <v>0.05</v>
      </c>
      <c r="D13" s="56" t="str">
        <f>IF(Ecodesign_tool!$B$17='Allocazione_Fine _vita_sedia_RI'!A13,Ecodesign_tool!$C$17,"-")</f>
        <v>-</v>
      </c>
      <c r="E13" s="56" t="str">
        <f>IF(Ecodesign_tool!$B$18='Allocazione_Fine _vita_sedia_RI'!A13,Ecodesign_tool!$C$18,"-")</f>
        <v>-</v>
      </c>
    </row>
    <row r="14" spans="1:10" x14ac:dyDescent="0.25">
      <c r="A14" s="51" t="s">
        <v>30</v>
      </c>
      <c r="B14" s="55" t="s">
        <v>132</v>
      </c>
      <c r="C14" s="56" t="str">
        <f>IF(Ecodesign_tool!$B$16='Allocazione_Fine _vita_sedia_RI'!A14,Ecodesign_tool!$C$16,"-")</f>
        <v>-</v>
      </c>
      <c r="D14" s="56" t="str">
        <f>IF(Ecodesign_tool!$B$17='Allocazione_Fine _vita_sedia_RI'!A14,Ecodesign_tool!$C$17,"-")</f>
        <v>-</v>
      </c>
      <c r="E14" s="56" t="str">
        <f>IF(Ecodesign_tool!$B$18='Allocazione_Fine _vita_sedia_RI'!A14,Ecodesign_tool!$C$18,"-")</f>
        <v>-</v>
      </c>
    </row>
    <row r="15" spans="1:10" x14ac:dyDescent="0.25">
      <c r="A15" s="55" t="s">
        <v>23</v>
      </c>
      <c r="B15" s="55" t="s">
        <v>23</v>
      </c>
      <c r="C15" s="56" t="str">
        <f>IF(Ecodesign_tool!$B$16='Allocazione_Fine _vita_sedia_RI'!A15,Ecodesign_tool!$C$16,"-")</f>
        <v>-</v>
      </c>
      <c r="D15" s="56" t="str">
        <f>IF(Ecodesign_tool!$B$17='Allocazione_Fine _vita_sedia_RI'!A15,Ecodesign_tool!$C$17,"-")</f>
        <v>-</v>
      </c>
      <c r="E15" s="56">
        <f>IF(Ecodesign_tool!$B$18='Allocazione_Fine _vita_sedia_RI'!A15,Ecodesign_tool!$C$18,"-")</f>
        <v>1</v>
      </c>
    </row>
    <row r="16" spans="1:10" s="54" customFormat="1" x14ac:dyDescent="0.25">
      <c r="A16" s="53" t="s">
        <v>24</v>
      </c>
      <c r="B16" s="55" t="s">
        <v>132</v>
      </c>
      <c r="C16" s="56" t="str">
        <f>IF(Ecodesign_tool!$B$16='Allocazione_Fine _vita_sedia_RI'!A16,Ecodesign_tool!$C$16,"-")</f>
        <v>-</v>
      </c>
      <c r="D16" s="56">
        <f>IF(Ecodesign_tool!$B$17='Allocazione_Fine _vita_sedia_RI'!A16,Ecodesign_tool!$C$17,"-")</f>
        <v>1</v>
      </c>
      <c r="E16" s="56" t="str">
        <f>IF(Ecodesign_tool!$B$18='Allocazione_Fine _vita_sedia_RI'!A16,Ecodesign_tool!$C$18,"-")</f>
        <v>-</v>
      </c>
    </row>
    <row r="17" spans="1:5" x14ac:dyDescent="0.25">
      <c r="A17" s="50" t="s">
        <v>26</v>
      </c>
    </row>
    <row r="18" spans="1:5" x14ac:dyDescent="0.25">
      <c r="A18" s="51" t="s">
        <v>37</v>
      </c>
      <c r="B18" s="51" t="s">
        <v>132</v>
      </c>
      <c r="C18" s="56" t="str">
        <f>IF(Ecodesign_tool!$B$28='Allocazione_Fine _vita_sedia_RI'!A18,Ecodesign_tool!$C$28,"-")</f>
        <v>-</v>
      </c>
    </row>
    <row r="19" spans="1:5" x14ac:dyDescent="0.25">
      <c r="A19" s="51" t="s">
        <v>38</v>
      </c>
      <c r="B19" s="51" t="s">
        <v>132</v>
      </c>
      <c r="C19" s="56" t="str">
        <f>IF(Ecodesign_tool!$B$28='Allocazione_Fine _vita_sedia_RI'!A19,Ecodesign_tool!$C$28,"-")</f>
        <v>-</v>
      </c>
    </row>
    <row r="20" spans="1:5" x14ac:dyDescent="0.25">
      <c r="A20" s="51" t="s">
        <v>39</v>
      </c>
      <c r="B20" s="51" t="s">
        <v>132</v>
      </c>
      <c r="C20" s="56" t="str">
        <f>IF(Ecodesign_tool!$B$28='Allocazione_Fine _vita_sedia_RI'!A20,Ecodesign_tool!$C$28,"-")</f>
        <v>-</v>
      </c>
    </row>
    <row r="21" spans="1:5" x14ac:dyDescent="0.25">
      <c r="A21" s="51" t="s">
        <v>25</v>
      </c>
      <c r="B21" s="51" t="s">
        <v>132</v>
      </c>
      <c r="C21" s="56" t="str">
        <f>IF(Ecodesign_tool!$B$28='Allocazione_Fine _vita_sedia_RI'!A21,Ecodesign_tool!$C$28,"-")</f>
        <v>-</v>
      </c>
    </row>
    <row r="22" spans="1:5" x14ac:dyDescent="0.25">
      <c r="A22" s="51" t="s">
        <v>27</v>
      </c>
      <c r="B22" s="51" t="s">
        <v>132</v>
      </c>
      <c r="C22" s="56">
        <f>IF(Ecodesign_tool!$B$28='Allocazione_Fine _vita_sedia_RI'!A22,Ecodesign_tool!$C$28,"-")</f>
        <v>1</v>
      </c>
    </row>
    <row r="23" spans="1:5" s="54" customFormat="1" x14ac:dyDescent="0.25">
      <c r="A23" s="53" t="s">
        <v>36</v>
      </c>
      <c r="B23" s="53" t="s">
        <v>132</v>
      </c>
      <c r="C23" s="56" t="str">
        <f>IF(Ecodesign_tool!$B$28='Allocazione_Fine _vita_sedia_RI'!A23,Ecodesign_tool!$C$28,"-")</f>
        <v>-</v>
      </c>
    </row>
    <row r="24" spans="1:5" x14ac:dyDescent="0.25">
      <c r="A24" s="50" t="s">
        <v>14</v>
      </c>
    </row>
    <row r="25" spans="1:5" x14ac:dyDescent="0.25">
      <c r="A25" s="51" t="s">
        <v>28</v>
      </c>
      <c r="B25" s="51" t="s">
        <v>132</v>
      </c>
      <c r="C25" s="56" t="str">
        <f>IF(Ecodesign_tool!$B$38='Allocazione_Fine _vita_sedia_RI'!A25,Ecodesign_tool!$C$38,"-")</f>
        <v>-</v>
      </c>
      <c r="D25" s="56" t="str">
        <f>IF(Ecodesign_tool!$B$39='Allocazione_Fine _vita_sedia_RI'!A25,Ecodesign_tool!$C$39,"-")</f>
        <v>-</v>
      </c>
      <c r="E25" s="56" t="str">
        <f>IF(Ecodesign_tool!$B$40='Allocazione_Fine _vita_sedia_RI'!A25,Ecodesign_tool!$C$40,"-")</f>
        <v>-</v>
      </c>
    </row>
    <row r="26" spans="1:5" x14ac:dyDescent="0.25">
      <c r="A26" s="51" t="s">
        <v>29</v>
      </c>
      <c r="B26" s="51" t="s">
        <v>132</v>
      </c>
      <c r="C26" s="56" t="str">
        <f>IF(Ecodesign_tool!$B$38='Allocazione_Fine _vita_sedia_RI'!A26,Ecodesign_tool!$C$38,"-")</f>
        <v>-</v>
      </c>
      <c r="D26" s="56" t="str">
        <f>IF(Ecodesign_tool!$B$39='Allocazione_Fine _vita_sedia_RI'!A26,Ecodesign_tool!$C$39,"-")</f>
        <v>-</v>
      </c>
      <c r="E26" s="56" t="str">
        <f>IF(Ecodesign_tool!$B$40='Allocazione_Fine _vita_sedia_RI'!A26,Ecodesign_tool!$C$40,"-")</f>
        <v>-</v>
      </c>
    </row>
    <row r="27" spans="1:5" x14ac:dyDescent="0.25">
      <c r="A27" s="51" t="s">
        <v>30</v>
      </c>
      <c r="B27" s="51" t="s">
        <v>132</v>
      </c>
      <c r="C27" s="56">
        <f>IF(Ecodesign_tool!$B$38='Allocazione_Fine _vita_sedia_RI'!A27,Ecodesign_tool!$C$38,"-")</f>
        <v>3</v>
      </c>
      <c r="D27" s="56" t="str">
        <f>IF(Ecodesign_tool!$B$39='Allocazione_Fine _vita_sedia_RI'!A27,Ecodesign_tool!$C$39,"-")</f>
        <v>-</v>
      </c>
      <c r="E27" s="56" t="str">
        <f>IF(Ecodesign_tool!$B$40='Allocazione_Fine _vita_sedia_RI'!A27,Ecodesign_tool!$C$40,"-")</f>
        <v>-</v>
      </c>
    </row>
    <row r="28" spans="1:5" x14ac:dyDescent="0.25">
      <c r="A28" s="51" t="s">
        <v>23</v>
      </c>
      <c r="B28" s="51" t="s">
        <v>23</v>
      </c>
      <c r="C28" s="56" t="str">
        <f>IF(Ecodesign_tool!$B$38='Allocazione_Fine _vita_sedia_RI'!A28,Ecodesign_tool!$C$38,"-")</f>
        <v>-</v>
      </c>
      <c r="D28" s="56" t="str">
        <f>IF(Ecodesign_tool!$B$39='Allocazione_Fine _vita_sedia_RI'!A28,Ecodesign_tool!$C$39,"-")</f>
        <v>-</v>
      </c>
      <c r="E28" s="56">
        <f>IF(Ecodesign_tool!$B$40='Allocazione_Fine _vita_sedia_RI'!A28,Ecodesign_tool!$C$40,"-")</f>
        <v>0.5</v>
      </c>
    </row>
    <row r="29" spans="1:5" s="54" customFormat="1" x14ac:dyDescent="0.25">
      <c r="A29" s="53" t="s">
        <v>24</v>
      </c>
      <c r="B29" s="53" t="s">
        <v>132</v>
      </c>
      <c r="C29" s="56" t="str">
        <f>IF(Ecodesign_tool!$B$38='Allocazione_Fine _vita_sedia_RI'!A29,Ecodesign_tool!$C$38,"-")</f>
        <v>-</v>
      </c>
      <c r="D29" s="56">
        <f>IF(Ecodesign_tool!$B$39='Allocazione_Fine _vita_sedia_RI'!A29,Ecodesign_tool!$C$39,"-")</f>
        <v>0.5</v>
      </c>
      <c r="E29" s="56" t="str">
        <f>IF(Ecodesign_tool!$B$40='Allocazione_Fine _vita_sedia_RI'!A29,Ecodesign_tool!$C$40,"-")</f>
        <v>-</v>
      </c>
    </row>
    <row r="30" spans="1:5" x14ac:dyDescent="0.25">
      <c r="A30" s="50" t="s">
        <v>31</v>
      </c>
    </row>
    <row r="31" spans="1:5" x14ac:dyDescent="0.25">
      <c r="A31" s="51" t="s">
        <v>37</v>
      </c>
      <c r="B31" s="51" t="s">
        <v>132</v>
      </c>
      <c r="C31" s="56" t="str">
        <f>IF(Ecodesign_tool!$B$50='Allocazione_Fine _vita_sedia_RI'!A31,Ecodesign_tool!$C$50,"-")</f>
        <v>-</v>
      </c>
    </row>
    <row r="32" spans="1:5" x14ac:dyDescent="0.25">
      <c r="A32" s="51" t="s">
        <v>38</v>
      </c>
      <c r="B32" s="51" t="s">
        <v>132</v>
      </c>
      <c r="C32" s="56" t="str">
        <f>IF(Ecodesign_tool!$B$50='Allocazione_Fine _vita_sedia_RI'!A32,Ecodesign_tool!$C$50,"-")</f>
        <v>-</v>
      </c>
    </row>
    <row r="33" spans="1:5" x14ac:dyDescent="0.25">
      <c r="A33" s="51" t="s">
        <v>39</v>
      </c>
      <c r="B33" s="51" t="s">
        <v>132</v>
      </c>
      <c r="C33" s="56">
        <f>IF(Ecodesign_tool!$B$50='Allocazione_Fine _vita_sedia_RI'!A33,Ecodesign_tool!$C$50,"-")</f>
        <v>1</v>
      </c>
    </row>
    <row r="34" spans="1:5" x14ac:dyDescent="0.25">
      <c r="A34" s="51" t="s">
        <v>25</v>
      </c>
      <c r="B34" s="51" t="s">
        <v>132</v>
      </c>
      <c r="C34" s="56" t="str">
        <f>IF(Ecodesign_tool!$B$50='Allocazione_Fine _vita_sedia_RI'!A34,Ecodesign_tool!$C$50,"-")</f>
        <v>-</v>
      </c>
    </row>
    <row r="35" spans="1:5" x14ac:dyDescent="0.25">
      <c r="A35" s="51" t="s">
        <v>27</v>
      </c>
      <c r="B35" s="51" t="s">
        <v>132</v>
      </c>
      <c r="C35" s="56" t="str">
        <f>IF(Ecodesign_tool!$B$50='Allocazione_Fine _vita_sedia_RI'!A35,Ecodesign_tool!$C$50,"-")</f>
        <v>-</v>
      </c>
    </row>
    <row r="36" spans="1:5" s="54" customFormat="1" x14ac:dyDescent="0.25">
      <c r="A36" s="53" t="s">
        <v>36</v>
      </c>
      <c r="B36" s="53" t="s">
        <v>132</v>
      </c>
      <c r="C36" s="56" t="str">
        <f>IF(Ecodesign_tool!$B$50='Allocazione_Fine _vita_sedia_RI'!A36,Ecodesign_tool!$C$50,"-")</f>
        <v>-</v>
      </c>
    </row>
    <row r="37" spans="1:5" x14ac:dyDescent="0.25">
      <c r="A37" s="50" t="s">
        <v>15</v>
      </c>
    </row>
    <row r="38" spans="1:5" x14ac:dyDescent="0.25">
      <c r="A38" s="51" t="s">
        <v>32</v>
      </c>
      <c r="B38" s="51" t="s">
        <v>132</v>
      </c>
      <c r="C38" s="56">
        <f>IF(Ecodesign_tool!$B$60='Allocazione_Fine _vita_sedia_RI'!A38,Ecodesign_tool!$C$60,"-")</f>
        <v>0.2</v>
      </c>
      <c r="D38" s="56" t="str">
        <f>IF(Ecodesign_tool!$B$61='Allocazione_Fine _vita_sedia_RI'!A38,Ecodesign_tool!$C$61,"-")</f>
        <v>-</v>
      </c>
      <c r="E38" s="56" t="str">
        <f>IF(Ecodesign_tool!$B$63='Allocazione_Fine _vita_sedia_RI'!A38,Ecodesign_tool!$C$63,"-")</f>
        <v>-</v>
      </c>
    </row>
    <row r="39" spans="1:5" x14ac:dyDescent="0.25">
      <c r="A39" s="51" t="s">
        <v>33</v>
      </c>
      <c r="B39" s="51" t="s">
        <v>132</v>
      </c>
      <c r="C39" s="56" t="str">
        <f>IF(Ecodesign_tool!$B$60='Allocazione_Fine _vita_sedia_RI'!A39,Ecodesign_tool!$C$60,"-")</f>
        <v>-</v>
      </c>
      <c r="D39" s="56" t="str">
        <f>IF(Ecodesign_tool!$B$61='Allocazione_Fine _vita_sedia_RI'!A39,Ecodesign_tool!$C$61,"-")</f>
        <v>-</v>
      </c>
      <c r="E39" s="56" t="str">
        <f>IF(Ecodesign_tool!$B$63='Allocazione_Fine _vita_sedia_RI'!A39,Ecodesign_tool!$C$63,"-")</f>
        <v>-</v>
      </c>
    </row>
    <row r="40" spans="1:5" x14ac:dyDescent="0.25">
      <c r="A40" s="51" t="s">
        <v>28</v>
      </c>
      <c r="B40" s="51" t="s">
        <v>132</v>
      </c>
      <c r="C40" s="56" t="str">
        <f>IF(Ecodesign_tool!$B$60='Allocazione_Fine _vita_sedia_RI'!A40,Ecodesign_tool!$C$60,"-")</f>
        <v>-</v>
      </c>
      <c r="D40" s="56" t="str">
        <f>IF(Ecodesign_tool!$B$61='Allocazione_Fine _vita_sedia_RI'!A40,Ecodesign_tool!$C$61,"-")</f>
        <v>-</v>
      </c>
      <c r="E40" s="56" t="str">
        <f>IF(Ecodesign_tool!$B$63='Allocazione_Fine _vita_sedia_RI'!A40,Ecodesign_tool!$C$63,"-")</f>
        <v>-</v>
      </c>
    </row>
    <row r="41" spans="1:5" x14ac:dyDescent="0.25">
      <c r="A41" s="51" t="s">
        <v>29</v>
      </c>
      <c r="B41" s="51" t="s">
        <v>132</v>
      </c>
      <c r="C41" s="56" t="str">
        <f>IF(Ecodesign_tool!$B$60='Allocazione_Fine _vita_sedia_RI'!A41,Ecodesign_tool!$C$60,"-")</f>
        <v>-</v>
      </c>
      <c r="D41" s="56" t="str">
        <f>IF(Ecodesign_tool!$B$61='Allocazione_Fine _vita_sedia_RI'!A41,Ecodesign_tool!$C$61,"-")</f>
        <v>-</v>
      </c>
      <c r="E41" s="56" t="str">
        <f>IF(Ecodesign_tool!$B$63='Allocazione_Fine _vita_sedia_RI'!A41,Ecodesign_tool!$C$63,"-")</f>
        <v>-</v>
      </c>
    </row>
    <row r="42" spans="1:5" x14ac:dyDescent="0.25">
      <c r="A42" s="51" t="s">
        <v>30</v>
      </c>
      <c r="B42" s="51" t="s">
        <v>132</v>
      </c>
      <c r="C42" s="56" t="str">
        <f>IF(Ecodesign_tool!$B$60='Allocazione_Fine _vita_sedia_RI'!A42,Ecodesign_tool!$C$60,"-")</f>
        <v>-</v>
      </c>
      <c r="D42" s="56" t="str">
        <f>IF(Ecodesign_tool!$B$61='Allocazione_Fine _vita_sedia_RI'!A42,Ecodesign_tool!$C$61,"-")</f>
        <v>-</v>
      </c>
      <c r="E42" s="56" t="str">
        <f>IF(Ecodesign_tool!$B$63='Allocazione_Fine _vita_sedia_RI'!A42,Ecodesign_tool!$C$63,"-")</f>
        <v>-</v>
      </c>
    </row>
    <row r="43" spans="1:5" x14ac:dyDescent="0.25">
      <c r="A43" s="51" t="s">
        <v>22</v>
      </c>
      <c r="B43" s="51" t="s">
        <v>131</v>
      </c>
      <c r="C43" s="56" t="str">
        <f>IF(Ecodesign_tool!$B$60='Allocazione_Fine _vita_sedia_RI'!A43,Ecodesign_tool!$C$60,"-")</f>
        <v>-</v>
      </c>
      <c r="D43" s="56" t="str">
        <f>IF(Ecodesign_tool!$B$61='Allocazione_Fine _vita_sedia_RI'!A43,Ecodesign_tool!$C$61,"-")</f>
        <v>-</v>
      </c>
      <c r="E43" s="56" t="str">
        <f>IF(Ecodesign_tool!$B$63='Allocazione_Fine _vita_sedia_RI'!A43,Ecodesign_tool!$C$63,"-")</f>
        <v>-</v>
      </c>
    </row>
    <row r="44" spans="1:5" x14ac:dyDescent="0.25">
      <c r="A44" s="51" t="s">
        <v>23</v>
      </c>
      <c r="B44" s="51" t="s">
        <v>23</v>
      </c>
      <c r="C44" s="56" t="str">
        <f>IF(Ecodesign_tool!$B$60='Allocazione_Fine _vita_sedia_RI'!A44,Ecodesign_tool!$C$60,"-")</f>
        <v>-</v>
      </c>
      <c r="D44" s="56">
        <f>IF(Ecodesign_tool!$B$61='Allocazione_Fine _vita_sedia_RI'!A44,Ecodesign_tool!$C$61,"-")</f>
        <v>0.2</v>
      </c>
      <c r="E44" s="56" t="str">
        <f>IF(Ecodesign_tool!$B$63='Allocazione_Fine _vita_sedia_RI'!A44,Ecodesign_tool!$C$63,"-")</f>
        <v>-</v>
      </c>
    </row>
    <row r="45" spans="1:5" s="54" customFormat="1" x14ac:dyDescent="0.25">
      <c r="A45" s="53" t="s">
        <v>24</v>
      </c>
      <c r="B45" s="53" t="s">
        <v>132</v>
      </c>
      <c r="C45" s="56" t="str">
        <f>IF(Ecodesign_tool!$B$60='Allocazione_Fine _vita_sedia_RI'!A45,Ecodesign_tool!$C$60,"-")</f>
        <v>-</v>
      </c>
      <c r="D45" s="56" t="str">
        <f>IF(Ecodesign_tool!$B$61='Allocazione_Fine _vita_sedia_RI'!A45,Ecodesign_tool!$C$61,"-")</f>
        <v>-</v>
      </c>
      <c r="E45" s="56" t="str">
        <f>IF(Ecodesign_tool!$B$63='Allocazione_Fine _vita_sedia_RI'!A45,Ecodesign_tool!$C$63,"-")</f>
        <v>-</v>
      </c>
    </row>
    <row r="46" spans="1:5" x14ac:dyDescent="0.25">
      <c r="A46" s="50" t="s">
        <v>16</v>
      </c>
    </row>
    <row r="47" spans="1:5" x14ac:dyDescent="0.25">
      <c r="A47" s="51" t="s">
        <v>34</v>
      </c>
      <c r="B47" s="51" t="s">
        <v>132</v>
      </c>
      <c r="C47" s="56">
        <f>IF(Ecodesign_tool!$B$71='Allocazione_Fine _vita_sedia_RI'!A47,Ecodesign_tool!$C$71,"-")</f>
        <v>0.2</v>
      </c>
      <c r="D47" s="56" t="str">
        <f>IF(Ecodesign_tool!$B$72='Allocazione_Fine _vita_sedia_RI'!A47,Ecodesign_tool!$C$72,"-")</f>
        <v>-</v>
      </c>
    </row>
    <row r="48" spans="1:5" s="54" customFormat="1" x14ac:dyDescent="0.25">
      <c r="A48" s="53" t="s">
        <v>23</v>
      </c>
      <c r="B48" s="53" t="s">
        <v>23</v>
      </c>
      <c r="C48" s="56" t="str">
        <f>IF(Ecodesign_tool!$B$71='Allocazione_Fine _vita_sedia_RI'!A48,Ecodesign_tool!$C$71,"-")</f>
        <v>-</v>
      </c>
      <c r="D48" s="56">
        <f>IF(Ecodesign_tool!$B$72='Allocazione_Fine _vita_sedia_RI'!A48,Ecodesign_tool!$C$72,"-")</f>
        <v>0.2</v>
      </c>
    </row>
    <row r="49" spans="1:5" x14ac:dyDescent="0.25">
      <c r="A49" s="50" t="s">
        <v>17</v>
      </c>
    </row>
    <row r="50" spans="1:5" x14ac:dyDescent="0.25">
      <c r="A50" s="51" t="s">
        <v>34</v>
      </c>
      <c r="B50" s="51" t="s">
        <v>132</v>
      </c>
      <c r="C50" s="56">
        <f>IF(Ecodesign_tool!$B$82='Allocazione_Fine _vita_sedia_RI'!A50,Ecodesign_tool!$C$82,"-")</f>
        <v>0.2</v>
      </c>
      <c r="D50" s="56" t="str">
        <f>IF(Ecodesign_tool!$B$83='Allocazione_Fine _vita_sedia_RI'!A50,Ecodesign_tool!$C$83,"-")</f>
        <v>-</v>
      </c>
    </row>
    <row r="51" spans="1:5" s="54" customFormat="1" x14ac:dyDescent="0.25">
      <c r="A51" s="53" t="s">
        <v>23</v>
      </c>
      <c r="B51" s="53" t="s">
        <v>23</v>
      </c>
      <c r="C51" s="56" t="str">
        <f>IF(Ecodesign_tool!$B$82='Allocazione_Fine _vita_sedia_RI'!A51,Ecodesign_tool!$C$82,"-")</f>
        <v>-</v>
      </c>
      <c r="D51" s="56">
        <f>IF(Ecodesign_tool!$B$83='Allocazione_Fine _vita_sedia_RI'!A51,Ecodesign_tool!$C$83,"-")</f>
        <v>0.2</v>
      </c>
    </row>
    <row r="52" spans="1:5" x14ac:dyDescent="0.25">
      <c r="A52" s="50" t="s">
        <v>18</v>
      </c>
    </row>
    <row r="53" spans="1:5" x14ac:dyDescent="0.25">
      <c r="A53" s="51" t="s">
        <v>23</v>
      </c>
      <c r="B53" s="51" t="s">
        <v>23</v>
      </c>
      <c r="C53" s="56">
        <f>IF(Ecodesign_tool!$B$93='Allocazione_Fine _vita_sedia_RI'!A53,Ecodesign_tool!$C$93,"-")</f>
        <v>0.2</v>
      </c>
      <c r="D53" s="56" t="str">
        <f>IF(Ecodesign_tool!$B$94='Allocazione_Fine _vita_sedia_RI'!A53,Ecodesign_tool!$C$94,"-")</f>
        <v>-</v>
      </c>
      <c r="E53" s="56" t="str">
        <f>IF(Ecodesign_tool!$B$95='Allocazione_Fine _vita_sedia_RI'!A53,Ecodesign_tool!$C$95,"-")</f>
        <v>-</v>
      </c>
    </row>
    <row r="54" spans="1:5" x14ac:dyDescent="0.25">
      <c r="A54" s="51" t="s">
        <v>40</v>
      </c>
      <c r="B54" s="51" t="s">
        <v>132</v>
      </c>
      <c r="C54" s="56" t="str">
        <f>IF(Ecodesign_tool!$B$93='Allocazione_Fine _vita_sedia_RI'!A54,Ecodesign_tool!$C$93,"-")</f>
        <v>-</v>
      </c>
      <c r="D54" s="56">
        <f>IF(Ecodesign_tool!$B$94='Allocazione_Fine _vita_sedia_RI'!A54,Ecodesign_tool!$C$94,"-")</f>
        <v>0.2</v>
      </c>
      <c r="E54" s="56" t="str">
        <f>IF(Ecodesign_tool!$B$95='Allocazione_Fine _vita_sedia_RI'!A54,Ecodesign_tool!$C$95,"-")</f>
        <v>-</v>
      </c>
    </row>
    <row r="55" spans="1:5" s="54" customFormat="1" x14ac:dyDescent="0.25">
      <c r="A55" s="53" t="s">
        <v>35</v>
      </c>
      <c r="B55" s="53" t="s">
        <v>132</v>
      </c>
      <c r="C55" s="56" t="str">
        <f>IF(Ecodesign_tool!$B$93='Allocazione_Fine _vita_sedia_RI'!A55,Ecodesign_tool!$C$93,"-")</f>
        <v>-</v>
      </c>
      <c r="D55" s="56" t="str">
        <f>IF(Ecodesign_tool!$B$94='Allocazione_Fine _vita_sedia_RI'!A55,Ecodesign_tool!$C$94,"-")</f>
        <v>-</v>
      </c>
      <c r="E55" s="56">
        <f>IF(Ecodesign_tool!$B$95='Allocazione_Fine _vita_sedia_RI'!A55,Ecodesign_tool!$C$95,"-")</f>
        <v>0.1</v>
      </c>
    </row>
    <row r="56" spans="1:5" x14ac:dyDescent="0.25">
      <c r="A56" s="50" t="s">
        <v>19</v>
      </c>
    </row>
    <row r="57" spans="1:5" x14ac:dyDescent="0.25">
      <c r="A57" s="51" t="s">
        <v>34</v>
      </c>
      <c r="B57" s="51" t="s">
        <v>132</v>
      </c>
      <c r="C57" s="56">
        <f>IF(Ecodesign_tool!$B$105='Allocazione_Fine _vita_sedia_RI'!A57,Ecodesign_tool!$C$105,"-")</f>
        <v>0.2</v>
      </c>
      <c r="D57" s="56" t="str">
        <f>IF(Ecodesign_tool!$B$106='Allocazione_Fine _vita_sedia_RI'!A57,Ecodesign_tool!$C$106,"-")</f>
        <v>-</v>
      </c>
      <c r="E57" s="56" t="str">
        <f>IF(Ecodesign_tool!$B$107='Allocazione_Fine _vita_sedia_RI'!A57,Ecodesign_tool!$C$107,"-")</f>
        <v>-</v>
      </c>
    </row>
    <row r="58" spans="1:5" x14ac:dyDescent="0.25">
      <c r="A58" s="51" t="s">
        <v>23</v>
      </c>
      <c r="B58" s="51" t="s">
        <v>23</v>
      </c>
      <c r="C58" s="56" t="str">
        <f>IF(Ecodesign_tool!$B$105='Allocazione_Fine _vita_sedia_RI'!A58,Ecodesign_tool!$C$105,"-")</f>
        <v>-</v>
      </c>
      <c r="D58" s="56">
        <f>IF(Ecodesign_tool!$B$106='Allocazione_Fine _vita_sedia_RI'!A58,Ecodesign_tool!$C$106,"-")</f>
        <v>0.2</v>
      </c>
      <c r="E58" s="56" t="str">
        <f>IF(Ecodesign_tool!$B$107='Allocazione_Fine _vita_sedia_RI'!A58,Ecodesign_tool!$C$107,"-")</f>
        <v>-</v>
      </c>
    </row>
    <row r="59" spans="1:5" s="54" customFormat="1" x14ac:dyDescent="0.25">
      <c r="A59" s="53" t="s">
        <v>22</v>
      </c>
      <c r="B59" s="53" t="s">
        <v>131</v>
      </c>
      <c r="C59" s="56" t="str">
        <f>IF(Ecodesign_tool!$B$105='Allocazione_Fine _vita_sedia_RI'!A59,Ecodesign_tool!$C$105,"-")</f>
        <v>-</v>
      </c>
      <c r="D59" s="56" t="str">
        <f>IF(Ecodesign_tool!$B$106='Allocazione_Fine _vita_sedia_RI'!A59,Ecodesign_tool!$C$106,"-")</f>
        <v>-</v>
      </c>
      <c r="E59" s="56">
        <f>IF(Ecodesign_tool!$B$107='Allocazione_Fine _vita_sedia_RI'!A59,Ecodesign_tool!$C$107,"-")</f>
        <v>0.2</v>
      </c>
    </row>
    <row r="64" spans="1:5" ht="15.75" x14ac:dyDescent="0.25">
      <c r="C64" s="57" t="s">
        <v>131</v>
      </c>
      <c r="D64" s="58">
        <f>SUM(C7:D9,C43:E43,C59:E59)</f>
        <v>0.2</v>
      </c>
      <c r="E64" t="s">
        <v>3</v>
      </c>
    </row>
    <row r="65" spans="3:5" ht="15.75" x14ac:dyDescent="0.25">
      <c r="C65" s="57" t="s">
        <v>23</v>
      </c>
      <c r="D65" s="58">
        <f>SUM(C10:D10,C15:E15,C28:E28,C44:E44,C48:D48,C51:D51,C53:E53,C58:E58)</f>
        <v>4.5000000000000009</v>
      </c>
      <c r="E65" t="s">
        <v>3</v>
      </c>
    </row>
    <row r="66" spans="3:5" ht="15.75" x14ac:dyDescent="0.25">
      <c r="C66" s="57" t="s">
        <v>132</v>
      </c>
      <c r="D66" s="58">
        <f>SUM(C4:D6,C12:E14,C16:E16,C18:C23,C25:E27,C29:E29,C31:C36,C38:E42,C45:E45,C47:D47,C50:D50,C54:E55,C57:E57)</f>
        <v>8.6499999999999986</v>
      </c>
      <c r="E66" t="s">
        <v>3</v>
      </c>
    </row>
    <row r="67" spans="3:5" x14ac:dyDescent="0.25">
      <c r="C67" s="56" t="s">
        <v>199</v>
      </c>
      <c r="D67" s="56">
        <f>SUM(D64:D66)</f>
        <v>13.35</v>
      </c>
      <c r="E67" t="s">
        <v>3</v>
      </c>
    </row>
  </sheetData>
  <sheetProtection algorithmName="SHA-512" hashValue="+HvYgvRWexnizQ4BL7i72DuiM/CbQjqinihT0labU3utEtYNEDQFlyz6H2vPhO2b6XTJSikH9IzBbdqf7GTk/g==" saltValue="oaIxSa1rLnZfQx61L9beXw==" spinCount="100000" sheet="1" objects="1" scenarios="1"/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9"/>
  <sheetViews>
    <sheetView tabSelected="1" zoomScale="85" zoomScaleNormal="85" workbookViewId="0">
      <selection activeCell="E1" sqref="E1:J1"/>
    </sheetView>
  </sheetViews>
  <sheetFormatPr defaultRowHeight="15" x14ac:dyDescent="0.25"/>
  <cols>
    <col min="1" max="1" width="9.140625" style="59"/>
    <col min="2" max="2" width="17" style="59" customWidth="1"/>
    <col min="3" max="4" width="9.140625" style="59"/>
    <col min="5" max="5" width="10.42578125" style="59" customWidth="1"/>
    <col min="6" max="7" width="9.140625" style="59"/>
    <col min="8" max="8" width="38.42578125" style="59" customWidth="1"/>
    <col min="9" max="9" width="15.5703125" style="59" customWidth="1"/>
    <col min="10" max="11" width="9.140625" style="59"/>
    <col min="12" max="12" width="18" style="59" customWidth="1"/>
    <col min="13" max="13" width="17.85546875" style="59" customWidth="1"/>
    <col min="14" max="14" width="21" style="59" customWidth="1"/>
    <col min="15" max="16384" width="9.140625" style="59"/>
  </cols>
  <sheetData>
    <row r="1" spans="2:12" ht="72" customHeight="1" x14ac:dyDescent="0.55000000000000004">
      <c r="E1" s="267" t="s">
        <v>237</v>
      </c>
      <c r="F1" s="267"/>
      <c r="G1" s="267"/>
      <c r="H1" s="267"/>
      <c r="I1" s="267"/>
      <c r="J1" s="267"/>
    </row>
    <row r="2" spans="2:12" ht="33.75" customHeight="1" thickBot="1" x14ac:dyDescent="0.3">
      <c r="E2" s="268" t="s">
        <v>184</v>
      </c>
      <c r="F2" s="268"/>
      <c r="G2" s="268"/>
      <c r="H2" s="268"/>
      <c r="I2" s="268"/>
      <c r="J2" s="268"/>
    </row>
    <row r="3" spans="2:12" ht="37.5" customHeight="1" thickTop="1" x14ac:dyDescent="0.55000000000000004">
      <c r="E3" s="265" t="s">
        <v>235</v>
      </c>
      <c r="F3" s="265"/>
      <c r="G3" s="265"/>
      <c r="H3" s="265"/>
      <c r="I3" s="265"/>
      <c r="J3" s="265"/>
    </row>
    <row r="4" spans="2:12" ht="33.75" customHeight="1" x14ac:dyDescent="0.25">
      <c r="E4" s="269" t="s">
        <v>240</v>
      </c>
      <c r="F4" s="269"/>
      <c r="G4" s="269"/>
      <c r="H4" s="269"/>
      <c r="I4" s="269"/>
      <c r="J4" s="269"/>
    </row>
    <row r="5" spans="2:12" ht="61.5" customHeight="1" x14ac:dyDescent="0.25">
      <c r="E5" s="269" t="s">
        <v>241</v>
      </c>
      <c r="F5" s="269"/>
      <c r="G5" s="269"/>
      <c r="H5" s="269"/>
      <c r="I5" s="269"/>
      <c r="J5" s="269"/>
    </row>
    <row r="6" spans="2:12" ht="50.25" customHeight="1" x14ac:dyDescent="0.25">
      <c r="E6" s="269" t="s">
        <v>242</v>
      </c>
      <c r="F6" s="269"/>
      <c r="G6" s="269"/>
      <c r="H6" s="269"/>
      <c r="I6" s="269"/>
      <c r="J6" s="269"/>
    </row>
    <row r="7" spans="2:12" ht="61.5" customHeight="1" x14ac:dyDescent="0.25">
      <c r="E7" s="269" t="s">
        <v>243</v>
      </c>
      <c r="F7" s="269"/>
      <c r="G7" s="269"/>
      <c r="H7" s="269"/>
      <c r="I7" s="269"/>
      <c r="J7" s="269"/>
    </row>
    <row r="8" spans="2:12" ht="35.25" customHeight="1" x14ac:dyDescent="0.25">
      <c r="E8" s="269" t="s">
        <v>238</v>
      </c>
      <c r="F8" s="269"/>
      <c r="G8" s="269"/>
      <c r="H8" s="269"/>
      <c r="I8" s="269"/>
      <c r="J8" s="269"/>
    </row>
    <row r="9" spans="2:12" ht="38.25" customHeight="1" thickBot="1" x14ac:dyDescent="0.3">
      <c r="E9" s="270" t="s">
        <v>239</v>
      </c>
      <c r="F9" s="270"/>
      <c r="G9" s="270"/>
      <c r="H9" s="270"/>
      <c r="I9" s="270"/>
      <c r="J9" s="270"/>
    </row>
    <row r="10" spans="2:12" ht="45" customHeight="1" thickTop="1" x14ac:dyDescent="0.55000000000000004">
      <c r="E10" s="266" t="s">
        <v>236</v>
      </c>
      <c r="F10" s="266"/>
      <c r="G10" s="266"/>
      <c r="H10" s="266"/>
      <c r="I10" s="266"/>
      <c r="J10" s="266"/>
    </row>
    <row r="11" spans="2:12" s="47" customFormat="1" x14ac:dyDescent="0.25"/>
    <row r="12" spans="2:12" ht="52.5" x14ac:dyDescent="0.3">
      <c r="E12" s="60"/>
      <c r="L12" s="61" t="s">
        <v>211</v>
      </c>
    </row>
    <row r="16" spans="2:12" ht="67.5" x14ac:dyDescent="0.25">
      <c r="B16" s="62" t="s">
        <v>212</v>
      </c>
    </row>
    <row r="20" spans="2:9" s="47" customFormat="1" x14ac:dyDescent="0.25"/>
    <row r="25" spans="2:9" ht="82.5" x14ac:dyDescent="0.25">
      <c r="I25" s="62" t="s">
        <v>231</v>
      </c>
    </row>
    <row r="29" spans="2:9" s="47" customFormat="1" x14ac:dyDescent="0.25"/>
    <row r="30" spans="2:9" x14ac:dyDescent="0.25">
      <c r="B30" s="61"/>
    </row>
    <row r="33" spans="2:2" x14ac:dyDescent="0.25">
      <c r="B33" s="59" t="s">
        <v>213</v>
      </c>
    </row>
    <row r="56" spans="2:2" s="47" customFormat="1" x14ac:dyDescent="0.25"/>
    <row r="59" spans="2:2" ht="21" x14ac:dyDescent="0.35">
      <c r="B59" s="59" t="s">
        <v>230</v>
      </c>
    </row>
  </sheetData>
  <sheetProtection algorithmName="SHA-512" hashValue="Cf9aYgJOM4yl6Ie2ga0IfPFLZZITjuejOUFOCuX2yIwMfHZu0/SwEID1nhh85k6NO2xSnZv1e/1z600mlePO9A==" saltValue="Byb8cRkqZlXHJdjuPsLFqA==" spinCount="100000" sheet="1" objects="1" scenarios="1"/>
  <mergeCells count="10">
    <mergeCell ref="E1:J1"/>
    <mergeCell ref="E2:J2"/>
    <mergeCell ref="E3:J3"/>
    <mergeCell ref="E10:J10"/>
    <mergeCell ref="E4:J4"/>
    <mergeCell ref="E5:J5"/>
    <mergeCell ref="E6:J6"/>
    <mergeCell ref="E7:J7"/>
    <mergeCell ref="E8:J8"/>
    <mergeCell ref="E9:J9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02"/>
  <sheetViews>
    <sheetView zoomScale="85" zoomScaleNormal="85" workbookViewId="0">
      <pane ySplit="2" topLeftCell="A3" activePane="bottomLeft" state="frozen"/>
      <selection pane="bottomLeft" activeCell="B5" sqref="B5"/>
    </sheetView>
  </sheetViews>
  <sheetFormatPr defaultRowHeight="15.75" x14ac:dyDescent="0.25"/>
  <cols>
    <col min="1" max="1" width="24.7109375" style="102" customWidth="1"/>
    <col min="2" max="2" width="37.42578125" style="102" customWidth="1"/>
    <col min="3" max="3" width="15.85546875" style="216" customWidth="1"/>
    <col min="4" max="4" width="5.5703125" style="179" customWidth="1"/>
    <col min="5" max="7" width="17.28515625" style="102" customWidth="1"/>
    <col min="8" max="8" width="17.28515625" style="103" customWidth="1"/>
    <col min="9" max="12" width="17.28515625" style="102" customWidth="1"/>
    <col min="13" max="16384" width="9.140625" style="102"/>
  </cols>
  <sheetData>
    <row r="1" spans="1:12" ht="19.5" customHeight="1" thickBot="1" x14ac:dyDescent="0.45">
      <c r="B1" s="177" t="s">
        <v>186</v>
      </c>
      <c r="C1" s="178"/>
      <c r="E1" s="240" t="s">
        <v>182</v>
      </c>
      <c r="F1" s="240"/>
      <c r="G1" s="240"/>
      <c r="H1" s="240"/>
      <c r="I1" s="240" t="s">
        <v>185</v>
      </c>
      <c r="J1" s="240"/>
      <c r="K1" s="240"/>
      <c r="L1" s="240"/>
    </row>
    <row r="2" spans="1:12" s="180" customFormat="1" ht="61.5" customHeight="1" thickTop="1" thickBot="1" x14ac:dyDescent="0.3">
      <c r="B2" s="181" t="s">
        <v>184</v>
      </c>
      <c r="C2" s="182"/>
      <c r="D2" s="183"/>
      <c r="E2" s="184" t="s">
        <v>204</v>
      </c>
      <c r="F2" s="185" t="s">
        <v>205</v>
      </c>
      <c r="G2" s="185" t="s">
        <v>206</v>
      </c>
      <c r="H2" s="186" t="s">
        <v>207</v>
      </c>
      <c r="I2" s="185" t="s">
        <v>204</v>
      </c>
      <c r="J2" s="185" t="s">
        <v>205</v>
      </c>
      <c r="K2" s="185" t="s">
        <v>206</v>
      </c>
      <c r="L2" s="185" t="s">
        <v>207</v>
      </c>
    </row>
    <row r="3" spans="1:12" s="103" customFormat="1" ht="23.25" thickTop="1" x14ac:dyDescent="0.25">
      <c r="A3" s="187" t="s">
        <v>183</v>
      </c>
      <c r="B3" s="187"/>
      <c r="C3" s="187"/>
      <c r="D3" s="188"/>
      <c r="E3" s="189"/>
      <c r="F3" s="189"/>
      <c r="G3" s="189"/>
      <c r="H3" s="190"/>
    </row>
    <row r="4" spans="1:12" ht="19.5" customHeight="1" thickBot="1" x14ac:dyDescent="0.35">
      <c r="A4" s="223" t="s">
        <v>232</v>
      </c>
      <c r="B4" s="174" t="s">
        <v>181</v>
      </c>
      <c r="C4" s="191" t="s">
        <v>9</v>
      </c>
      <c r="D4" s="192"/>
      <c r="H4" s="193"/>
    </row>
    <row r="5" spans="1:12" ht="15.75" customHeight="1" thickBot="1" x14ac:dyDescent="0.3">
      <c r="A5" s="224"/>
      <c r="B5" s="153" t="s">
        <v>28</v>
      </c>
      <c r="C5" s="154">
        <v>1</v>
      </c>
      <c r="D5" s="194" t="s">
        <v>3</v>
      </c>
      <c r="E5" s="75">
        <f>IFERROR((VLOOKUP(B5, 'Impatti al kg'!$B$4:$F$10, 2,FALSE)*C5), "-" )</f>
        <v>3.2717151000000002</v>
      </c>
      <c r="F5" s="75">
        <f>IFERROR((VLOOKUP(B5, 'Impatti al kg'!$B$4:$F$10, 3,FALSE)*C5), "-" )</f>
        <v>92.909696999999994</v>
      </c>
      <c r="G5" s="76">
        <f>IFERROR((VLOOKUP(B5, 'Impatti al kg'!$B$4:$F$10, 4,FALSE)*C5), "-" )</f>
        <v>9.6879211000000001E-8</v>
      </c>
      <c r="H5" s="77">
        <f>IFERROR((VLOOKUP(B5, 'Impatti al kg'!$B$4:$F$10, 5,FALSE)*C5), "-" )</f>
        <v>1.3109287000000001E-2</v>
      </c>
      <c r="I5" s="78"/>
      <c r="J5" s="78"/>
      <c r="K5" s="79"/>
      <c r="L5" s="78"/>
    </row>
    <row r="6" spans="1:12" ht="16.5" customHeight="1" thickBot="1" x14ac:dyDescent="0.3">
      <c r="A6" s="224"/>
      <c r="B6" s="153" t="s">
        <v>23</v>
      </c>
      <c r="C6" s="155">
        <v>2</v>
      </c>
      <c r="D6" s="194" t="s">
        <v>3</v>
      </c>
      <c r="E6" s="80">
        <f>IFERROR((VLOOKUP(B6, 'Impatti al kg'!$B$4:$C$10, 2,FALSE)*C6), "-" )</f>
        <v>9.8939436000000001</v>
      </c>
      <c r="F6" s="81">
        <f>IFERROR((VLOOKUP(B6, 'Impatti al kg'!$B$4:$F$10, 3,FALSE)*C6), "-" )</f>
        <v>89.174569999999989</v>
      </c>
      <c r="G6" s="82">
        <f>IFERROR((VLOOKUP(B6, 'Impatti al kg'!$B$4:$F$10, 4,FALSE)*C6), "-" )</f>
        <v>6.8933863999999999E-7</v>
      </c>
      <c r="H6" s="83">
        <f>IFERROR((VLOOKUP(B6, 'Impatti al kg'!$B$4:$F$10, 5,FALSE)*C6), "-" )</f>
        <v>4.8591386E-2</v>
      </c>
      <c r="I6" s="84"/>
      <c r="J6" s="84"/>
      <c r="K6" s="85"/>
      <c r="L6" s="84"/>
    </row>
    <row r="7" spans="1:12" ht="23.1" customHeight="1" thickBot="1" x14ac:dyDescent="0.3">
      <c r="A7" s="224"/>
      <c r="B7" s="195"/>
      <c r="C7" s="178"/>
      <c r="D7" s="196"/>
      <c r="E7" s="86">
        <f>SUM(E5:E6)</f>
        <v>13.1656587</v>
      </c>
      <c r="F7" s="86">
        <f t="shared" ref="F7:H7" si="0">SUM(F5:F6)</f>
        <v>182.08426699999998</v>
      </c>
      <c r="G7" s="87">
        <f t="shared" si="0"/>
        <v>7.8621785100000005E-7</v>
      </c>
      <c r="H7" s="88">
        <f t="shared" si="0"/>
        <v>6.1700672999999998E-2</v>
      </c>
      <c r="I7" s="89">
        <f>Impatti_Pr!M15+Impatti_Pr!V15</f>
        <v>3.4549305000000001</v>
      </c>
      <c r="J7" s="90">
        <f>Impatti_Pr!M16+Impatti_Pr!V16</f>
        <v>98.112639000000001</v>
      </c>
      <c r="K7" s="91">
        <f>Impatti_Pr!M17+Impatti_Pr!V17</f>
        <v>1.0230444700000001E-7</v>
      </c>
      <c r="L7" s="90">
        <f>Impatti_Pr!M18+Impatti_Pr!V18</f>
        <v>1.3843406999999999E-2</v>
      </c>
    </row>
    <row r="8" spans="1:12" ht="19.5" customHeight="1" thickTop="1" thickBot="1" x14ac:dyDescent="0.35">
      <c r="A8" s="224"/>
      <c r="B8" s="174" t="s">
        <v>2</v>
      </c>
      <c r="C8" s="191" t="s">
        <v>203</v>
      </c>
      <c r="D8" s="197"/>
      <c r="E8" s="78"/>
      <c r="F8" s="78"/>
      <c r="G8" s="79"/>
      <c r="H8" s="92"/>
      <c r="I8" s="78"/>
      <c r="J8" s="78"/>
      <c r="K8" s="79"/>
      <c r="L8" s="78"/>
    </row>
    <row r="9" spans="1:12" ht="16.5" customHeight="1" thickBot="1" x14ac:dyDescent="0.3">
      <c r="A9" s="224"/>
      <c r="B9" s="153" t="s">
        <v>233</v>
      </c>
      <c r="C9" s="154">
        <v>100</v>
      </c>
      <c r="D9" s="194" t="s">
        <v>0</v>
      </c>
      <c r="E9" s="93">
        <f>IFERROR((VLOOKUP(B9, 'Impatti al kg'!$B$81:$F$84, 2,FALSE)*C9*($C$5+$C$6)), "-" )</f>
        <v>4.9631771999999991E-2</v>
      </c>
      <c r="F9" s="94">
        <f>IFERROR((VLOOKUP(B9, 'Impatti al kg'!$B$81:$F$84, 3,FALSE)*C9*($C$5+$C$6)), "-" )</f>
        <v>0.75144599999999995</v>
      </c>
      <c r="G9" s="95">
        <f>IFERROR((VLOOKUP(B9, 'Impatti al kg'!$B$81:$F$84, 4,FALSE)*C9*($C$5+$C$6)), "-" )</f>
        <v>3.4605918000000001E-9</v>
      </c>
      <c r="H9" s="96">
        <f>IFERROR((VLOOKUP(B9, 'Impatti al kg'!$B$81:$F$84, 5,FALSE)*C9*($C$5+$C$6)), "-" )</f>
        <v>1.9844220600000003E-4</v>
      </c>
      <c r="I9" s="78"/>
      <c r="J9" s="78"/>
      <c r="K9" s="79"/>
      <c r="L9" s="78"/>
    </row>
    <row r="10" spans="1:12" ht="16.5" customHeight="1" thickBot="1" x14ac:dyDescent="0.3">
      <c r="A10" s="224"/>
      <c r="B10" s="153" t="s">
        <v>6</v>
      </c>
      <c r="C10" s="155">
        <v>700</v>
      </c>
      <c r="D10" s="194" t="s">
        <v>0</v>
      </c>
      <c r="E10" s="93">
        <f>IFERROR((VLOOKUP(B10, 'Impatti al kg'!$B$81:$F$84, 2,FALSE)*C10*($C$5+$C$6)), "-" )</f>
        <v>2.43509448E-2</v>
      </c>
      <c r="F10" s="94">
        <f>IFERROR((VLOOKUP(B10, 'Impatti al kg'!$B$81:$F$84, 3,FALSE)*C10*($C$5+$C$6)), "-" )</f>
        <v>0.34101456899999999</v>
      </c>
      <c r="G10" s="95">
        <f>IFERROR((VLOOKUP(B10, 'Impatti al kg'!$B$81:$F$84, 4,FALSE)*C10*($C$5+$C$6)), "-" )</f>
        <v>7.1543610600000003E-10</v>
      </c>
      <c r="H10" s="96">
        <f>IFERROR((VLOOKUP(B10, 'Impatti al kg'!$B$81:$F$84, 5,FALSE)*C10*($C$5+$C$6)), "-" )</f>
        <v>6.0575090100000004E-4</v>
      </c>
      <c r="I10" s="78"/>
      <c r="J10" s="78"/>
      <c r="K10" s="79"/>
      <c r="L10" s="78"/>
    </row>
    <row r="11" spans="1:12" ht="16.5" customHeight="1" thickBot="1" x14ac:dyDescent="0.3">
      <c r="A11" s="224"/>
      <c r="B11" s="153"/>
      <c r="C11" s="154"/>
      <c r="D11" s="194" t="s">
        <v>0</v>
      </c>
      <c r="E11" s="75" t="str">
        <f>IFERROR((VLOOKUP(B11, 'Impatti al kg'!$B$81:$F$84, 2,FALSE)*C11*($C$5+$C$6)), "-" )</f>
        <v>-</v>
      </c>
      <c r="F11" s="75" t="str">
        <f>IFERROR((VLOOKUP(B11, 'Impatti al kg'!$B$81:$F$84, 3,FALSE)*C11*($C$5+$C$6)), "-" )</f>
        <v>-</v>
      </c>
      <c r="G11" s="76" t="str">
        <f>IFERROR((VLOOKUP(B11, 'Impatti al kg'!$B$81:$F$84, 4,FALSE)*C11*($C$5+$C$6)), "-" )</f>
        <v>-</v>
      </c>
      <c r="H11" s="77" t="str">
        <f>IFERROR((VLOOKUP(B11, 'Impatti al kg'!$B$81:$F$84, 5,FALSE)*C11*($C$5+$C$6)), "-" )</f>
        <v>-</v>
      </c>
      <c r="I11" s="78"/>
      <c r="J11" s="78"/>
      <c r="K11" s="79"/>
      <c r="L11" s="78"/>
    </row>
    <row r="12" spans="1:12" s="103" customFormat="1" ht="16.5" customHeight="1" thickBot="1" x14ac:dyDescent="0.3">
      <c r="A12" s="224"/>
      <c r="B12" s="153"/>
      <c r="C12" s="155"/>
      <c r="D12" s="197" t="s">
        <v>0</v>
      </c>
      <c r="E12" s="80" t="str">
        <f>IFERROR((VLOOKUP(B12, 'Impatti al kg'!$B$81:$F$84, 2,FALSE)*C12*($C$5+$C$6)), "-" )</f>
        <v>-</v>
      </c>
      <c r="F12" s="81" t="str">
        <f>IFERROR((VLOOKUP(B12, 'Impatti al kg'!$B$81:$F$84, 3,FALSE)*C12*($C$5+$C$6)), "-" )</f>
        <v>-</v>
      </c>
      <c r="G12" s="82" t="str">
        <f>IFERROR((VLOOKUP(B12, 'Impatti al kg'!$B$81:$F$84, 4,FALSE)*C12*($C$5+$C$6)), "-" )</f>
        <v>-</v>
      </c>
      <c r="H12" s="83" t="str">
        <f>IFERROR((VLOOKUP(B12, 'Impatti al kg'!$B$81:$F$84, 5,FALSE)*C12*($C$5+$C$6)), "-" )</f>
        <v>-</v>
      </c>
      <c r="I12" s="84"/>
      <c r="J12" s="84"/>
      <c r="K12" s="85"/>
      <c r="L12" s="84"/>
    </row>
    <row r="13" spans="1:12" s="103" customFormat="1" ht="23.1" customHeight="1" thickBot="1" x14ac:dyDescent="0.3">
      <c r="A13" s="224"/>
      <c r="B13" s="195"/>
      <c r="C13" s="178"/>
      <c r="D13" s="196"/>
      <c r="E13" s="86">
        <f>SUM(E9:E12)</f>
        <v>7.3982716799999987E-2</v>
      </c>
      <c r="F13" s="86">
        <f t="shared" ref="F13:H13" si="1">SUM(F9:F12)</f>
        <v>1.092460569</v>
      </c>
      <c r="G13" s="87">
        <f t="shared" si="1"/>
        <v>4.1760279060000003E-9</v>
      </c>
      <c r="H13" s="88">
        <f t="shared" si="1"/>
        <v>8.0419310700000004E-4</v>
      </c>
      <c r="I13" s="89">
        <f>Impatti_Pr!AH15</f>
        <v>0.17470374</v>
      </c>
      <c r="J13" s="90">
        <f>Impatti_Pr!AH16</f>
        <v>2.6450898999999999</v>
      </c>
      <c r="K13" s="91">
        <f>Impatti_Pr!AH17</f>
        <v>1.2181282999999999E-8</v>
      </c>
      <c r="L13" s="90">
        <f>Impatti_Pr!AH18</f>
        <v>6.9851655999999998E-4</v>
      </c>
    </row>
    <row r="14" spans="1:12" s="201" customFormat="1" ht="23.1" customHeight="1" thickTop="1" thickBot="1" x14ac:dyDescent="0.3">
      <c r="A14" s="225"/>
      <c r="B14" s="198"/>
      <c r="C14" s="199"/>
      <c r="D14" s="200"/>
      <c r="E14" s="97"/>
      <c r="F14" s="97"/>
      <c r="G14" s="98"/>
      <c r="H14" s="99"/>
      <c r="I14" s="100"/>
      <c r="J14" s="100"/>
      <c r="K14" s="101"/>
      <c r="L14" s="100"/>
    </row>
    <row r="15" spans="1:12" ht="18" customHeight="1" thickTop="1" thickBot="1" x14ac:dyDescent="0.35">
      <c r="A15" s="229" t="s">
        <v>13</v>
      </c>
      <c r="B15" s="174" t="s">
        <v>181</v>
      </c>
      <c r="C15" s="191" t="s">
        <v>9</v>
      </c>
      <c r="D15" s="192"/>
      <c r="E15" s="78"/>
      <c r="F15" s="78"/>
      <c r="G15" s="79"/>
      <c r="H15" s="92"/>
      <c r="I15" s="78"/>
      <c r="J15" s="78"/>
      <c r="K15" s="79"/>
      <c r="L15" s="78"/>
    </row>
    <row r="16" spans="1:12" ht="15.75" customHeight="1" thickBot="1" x14ac:dyDescent="0.3">
      <c r="A16" s="224"/>
      <c r="B16" s="153" t="s">
        <v>29</v>
      </c>
      <c r="C16" s="154">
        <v>0.05</v>
      </c>
      <c r="D16" s="194" t="s">
        <v>3</v>
      </c>
      <c r="E16" s="93">
        <f>IFERROR((VLOOKUP(B16, 'Impatti al kg'!$B$12:$F$16, 2,FALSE)*C16), "-" )</f>
        <v>0.13452892999999999</v>
      </c>
      <c r="F16" s="94">
        <f>IFERROR((VLOOKUP(B16, 'Impatti al kg'!$B$12:$F$16, 3,FALSE)*C16), "-" )</f>
        <v>3.6317762000000005</v>
      </c>
      <c r="G16" s="95">
        <f>IFERROR((VLOOKUP(B16, 'Impatti al kg'!$B$12:$F$16, 4,FALSE)*C16), "-" )</f>
        <v>3.7928421500000006E-9</v>
      </c>
      <c r="H16" s="96">
        <f>IFERROR((VLOOKUP(B16, 'Impatti al kg'!$B$12:$F$16, 5,FALSE)*C16), "-" )</f>
        <v>5.7234055000000004E-4</v>
      </c>
      <c r="I16" s="78"/>
      <c r="J16" s="78"/>
      <c r="K16" s="79"/>
      <c r="L16" s="78"/>
    </row>
    <row r="17" spans="1:12" ht="15.75" customHeight="1" thickBot="1" x14ac:dyDescent="0.3">
      <c r="A17" s="224"/>
      <c r="B17" s="153" t="s">
        <v>24</v>
      </c>
      <c r="C17" s="155">
        <v>1</v>
      </c>
      <c r="D17" s="194" t="s">
        <v>3</v>
      </c>
      <c r="E17" s="75">
        <f>IFERROR((VLOOKUP(B17, 'Impatti al kg'!$B$12:$F$16, 2,FALSE)*C17), "-" )</f>
        <v>0.14219519</v>
      </c>
      <c r="F17" s="75">
        <f>IFERROR((VLOOKUP(B17, 'Impatti al kg'!$B$12:$F$16, 3,FALSE)*C17), "-" )</f>
        <v>1.8308306999999999</v>
      </c>
      <c r="G17" s="76">
        <f>IFERROR((VLOOKUP(B17, 'Impatti al kg'!$B$12:$F$16, 4,FALSE)*C17), "-" )</f>
        <v>3.9219343000000002E-8</v>
      </c>
      <c r="H17" s="77">
        <f>IFERROR((VLOOKUP(B17, 'Impatti al kg'!$B$12:$F$16, 5,FALSE)*C17), "-" )</f>
        <v>9.6019317E-4</v>
      </c>
      <c r="I17" s="78"/>
      <c r="J17" s="78"/>
      <c r="K17" s="79"/>
      <c r="L17" s="78"/>
    </row>
    <row r="18" spans="1:12" ht="15.75" customHeight="1" thickBot="1" x14ac:dyDescent="0.3">
      <c r="A18" s="224"/>
      <c r="B18" s="153" t="s">
        <v>23</v>
      </c>
      <c r="C18" s="155">
        <v>1</v>
      </c>
      <c r="D18" s="194" t="s">
        <v>3</v>
      </c>
      <c r="E18" s="80">
        <f>IFERROR((VLOOKUP(B18, 'Impatti al kg'!$B$12:$F$16, 2,FALSE)*C18), "-" )</f>
        <v>4.9469718</v>
      </c>
      <c r="F18" s="81">
        <f>IFERROR((VLOOKUP(B18, 'Impatti al kg'!$B$12:$F$16, 3,FALSE)*C18), "-" )</f>
        <v>44.587284999999994</v>
      </c>
      <c r="G18" s="82">
        <f>IFERROR((VLOOKUP(B18, 'Impatti al kg'!$B$12:$F$16, 4,FALSE)*C18), "-" )</f>
        <v>3.4466932E-7</v>
      </c>
      <c r="H18" s="83">
        <f>IFERROR((VLOOKUP(B18, 'Impatti al kg'!$B$12:$F$16, 5,FALSE)*C18), "-" )</f>
        <v>2.4295693E-2</v>
      </c>
      <c r="I18" s="78"/>
      <c r="J18" s="78"/>
      <c r="K18" s="79"/>
      <c r="L18" s="78"/>
    </row>
    <row r="19" spans="1:12" ht="23.1" customHeight="1" thickBot="1" x14ac:dyDescent="0.3">
      <c r="A19" s="224"/>
      <c r="B19" s="195"/>
      <c r="C19" s="178"/>
      <c r="D19" s="197"/>
      <c r="E19" s="86">
        <f>SUM(E16:E18)</f>
        <v>5.2236959199999999</v>
      </c>
      <c r="F19" s="86">
        <f t="shared" ref="F19:H19" si="2">SUM(F16:F18)</f>
        <v>50.049891899999992</v>
      </c>
      <c r="G19" s="87">
        <f t="shared" si="2"/>
        <v>3.8768150515E-7</v>
      </c>
      <c r="H19" s="88">
        <f t="shared" si="2"/>
        <v>2.582822672E-2</v>
      </c>
      <c r="I19" s="89">
        <f>Impatti_Pr!I15+Impatti_Pr!Y15+Impatti_Pr!X15/2</f>
        <v>6.8806707749999996</v>
      </c>
      <c r="J19" s="90">
        <f>Impatti_Pr!I16+Impatti_Pr!Y16+Impatti_Pr!X16/2</f>
        <v>157.24649495</v>
      </c>
      <c r="K19" s="91">
        <f>Impatti_Pr!I17+Impatti_Pr!Y17+Impatti_Pr!X17/2</f>
        <v>3.7015979750000003E-7</v>
      </c>
      <c r="L19" s="90">
        <f>Impatti_Pr!I18+Impatti_Pr!Y18+Impatti_Pr!X18/2</f>
        <v>3.0552359799999998E-2</v>
      </c>
    </row>
    <row r="20" spans="1:12" ht="17.25" customHeight="1" thickTop="1" thickBot="1" x14ac:dyDescent="0.35">
      <c r="A20" s="224"/>
      <c r="B20" s="174" t="s">
        <v>2</v>
      </c>
      <c r="C20" s="191" t="s">
        <v>203</v>
      </c>
      <c r="D20" s="197"/>
      <c r="E20" s="78"/>
      <c r="F20" s="78"/>
      <c r="G20" s="79"/>
      <c r="H20" s="92"/>
      <c r="J20" s="78"/>
      <c r="K20" s="79"/>
      <c r="L20" s="78"/>
    </row>
    <row r="21" spans="1:12" ht="15.75" customHeight="1" thickBot="1" x14ac:dyDescent="0.3">
      <c r="A21" s="224"/>
      <c r="B21" s="153" t="s">
        <v>233</v>
      </c>
      <c r="C21" s="154">
        <v>200</v>
      </c>
      <c r="D21" s="194" t="s">
        <v>0</v>
      </c>
      <c r="E21" s="93">
        <f>IFERROR((VLOOKUP(B21, 'Impatti al kg'!$B$81:$F$84, 2,FALSE)*C21*($C$17+$C$18+$C$16)), "-" )</f>
        <v>6.7830088399999988E-2</v>
      </c>
      <c r="F21" s="94">
        <f>IFERROR((VLOOKUP(B21, 'Impatti al kg'!$B$81:$F$84, 3,FALSE)*C21*($C$17+$C$18+$C$16)), "-" )</f>
        <v>1.0269761999999998</v>
      </c>
      <c r="G21" s="95">
        <f>IFERROR((VLOOKUP(B21, 'Impatti al kg'!$B$81:$F$84, 4,FALSE)*C21*($C$17+$C$18+$C$16)), "-" )</f>
        <v>4.7294754599999997E-9</v>
      </c>
      <c r="H21" s="96">
        <f>IFERROR((VLOOKUP(B21, 'Impatti al kg'!$B$81:$F$84, 5,FALSE)*C21*($C$17+$C$18+$C$16)), "-" )</f>
        <v>2.7120434820000002E-4</v>
      </c>
      <c r="J21" s="78"/>
      <c r="K21" s="79"/>
      <c r="L21" s="78"/>
    </row>
    <row r="22" spans="1:12" ht="15.75" customHeight="1" thickBot="1" x14ac:dyDescent="0.3">
      <c r="A22" s="224"/>
      <c r="B22" s="153" t="s">
        <v>6</v>
      </c>
      <c r="C22" s="155">
        <v>700</v>
      </c>
      <c r="D22" s="194" t="s">
        <v>0</v>
      </c>
      <c r="E22" s="93">
        <f>IFERROR((VLOOKUP(B22, 'Impatti al kg'!$B$81:$F$84, 2,FALSE)*C22*($C$17+$C$18+$C$16)), "-" )</f>
        <v>1.6639812279999999E-2</v>
      </c>
      <c r="F22" s="94">
        <f>IFERROR((VLOOKUP(B22, 'Impatti al kg'!$B$81:$F$84, 3,FALSE)*C22*($C$17+$C$18+$C$16)), "-" )</f>
        <v>0.23302662214999997</v>
      </c>
      <c r="G22" s="95">
        <f>IFERROR((VLOOKUP(B22, 'Impatti al kg'!$B$81:$F$84, 4,FALSE)*C22*($C$17+$C$18+$C$16)), "-" )</f>
        <v>4.8888133910000004E-10</v>
      </c>
      <c r="H22" s="96">
        <f>IFERROR((VLOOKUP(B22, 'Impatti al kg'!$B$81:$F$84, 5,FALSE)*C22*($C$17+$C$18+$C$16)), "-" )</f>
        <v>4.1392978234999994E-4</v>
      </c>
      <c r="J22" s="78"/>
      <c r="K22" s="79"/>
      <c r="L22" s="78"/>
    </row>
    <row r="23" spans="1:12" ht="15.75" customHeight="1" thickBot="1" x14ac:dyDescent="0.3">
      <c r="A23" s="224"/>
      <c r="B23" s="153"/>
      <c r="C23" s="154"/>
      <c r="D23" s="194" t="s">
        <v>0</v>
      </c>
      <c r="E23" s="75" t="str">
        <f>IFERROR((VLOOKUP(B23, 'Impatti al kg'!$B$81:$F$84, 2,FALSE)*C23*($C$17+$C$18+$C$16)), "-" )</f>
        <v>-</v>
      </c>
      <c r="F23" s="75" t="str">
        <f>IFERROR((VLOOKUP(B23, 'Impatti al kg'!$B$81:$F$84, 3,FALSE)*C23*($C$17+$C$18+$C$16)), "-" )</f>
        <v>-</v>
      </c>
      <c r="G23" s="76" t="str">
        <f>IFERROR((VLOOKUP(B23, 'Impatti al kg'!$B$81:$F$84, 4,FALSE)*C23*($C$17+$C$18+$C$16)), "-" )</f>
        <v>-</v>
      </c>
      <c r="H23" s="77" t="str">
        <f>IFERROR((VLOOKUP(B23, 'Impatti al kg'!$B$81:$F$84, 5,FALSE)*C23*($C$17+$C$18+$C$16)), "-" )</f>
        <v>-</v>
      </c>
      <c r="J23" s="78"/>
      <c r="K23" s="79"/>
      <c r="L23" s="78"/>
    </row>
    <row r="24" spans="1:12" s="103" customFormat="1" ht="16.5" customHeight="1" thickBot="1" x14ac:dyDescent="0.3">
      <c r="A24" s="224"/>
      <c r="B24" s="153"/>
      <c r="C24" s="155"/>
      <c r="D24" s="197" t="s">
        <v>0</v>
      </c>
      <c r="E24" s="80" t="str">
        <f>IFERROR((VLOOKUP(B24, 'Impatti al kg'!$B$81:$F$84, 2,FALSE)*C24*($C$17+$C$18+$C$16)), "-" )</f>
        <v>-</v>
      </c>
      <c r="F24" s="81" t="str">
        <f>IFERROR((VLOOKUP(B24, 'Impatti al kg'!$B$81:$F$84, 3,FALSE)*C24*($C$17+$C$18+$C$16)), "-" )</f>
        <v>-</v>
      </c>
      <c r="G24" s="82" t="str">
        <f>IFERROR((VLOOKUP(B24, 'Impatti al kg'!$B$81:$F$84, 4,FALSE)*C24*($C$17+$C$18+$C$16)), "-" )</f>
        <v>-</v>
      </c>
      <c r="H24" s="83" t="str">
        <f>IFERROR((VLOOKUP(B24, 'Impatti al kg'!$B$81:$F$84, 5,FALSE)*C24*($C$17+$C$18+$C$16)), "-" )</f>
        <v>-</v>
      </c>
      <c r="J24" s="84"/>
      <c r="K24" s="85"/>
      <c r="L24" s="84"/>
    </row>
    <row r="25" spans="1:12" s="103" customFormat="1" ht="23.1" customHeight="1" thickBot="1" x14ac:dyDescent="0.3">
      <c r="A25" s="224"/>
      <c r="B25" s="195"/>
      <c r="C25" s="178"/>
      <c r="D25" s="197"/>
      <c r="E25" s="86">
        <f>SUM(E21:E24)</f>
        <v>8.4469900679999987E-2</v>
      </c>
      <c r="F25" s="86">
        <f t="shared" ref="F25:H25" si="3">SUM(F21:F24)</f>
        <v>1.2600028221499997</v>
      </c>
      <c r="G25" s="87">
        <f t="shared" si="3"/>
        <v>5.2183567990999998E-9</v>
      </c>
      <c r="H25" s="88">
        <f t="shared" si="3"/>
        <v>6.8513413054999996E-4</v>
      </c>
      <c r="I25" s="89">
        <f>Impatti_Pr!AO15+Impatti_Pr!AP15/2</f>
        <v>0.1063773705</v>
      </c>
      <c r="J25" s="90">
        <f>Impatti_Pr!AO16+Impatti_Pr!AP16/2</f>
        <v>1.6105991900000001</v>
      </c>
      <c r="K25" s="91">
        <f>Impatti_Pr!AO17+Impatti_Pr!AP17/2</f>
        <v>7.4172019000000002E-9</v>
      </c>
      <c r="L25" s="90">
        <f>Impatti_Pr!AO18+Impatti_Pr!AP18/2</f>
        <v>4.25327795E-4</v>
      </c>
    </row>
    <row r="26" spans="1:12" s="201" customFormat="1" ht="23.1" customHeight="1" thickTop="1" thickBot="1" x14ac:dyDescent="0.3">
      <c r="A26" s="225"/>
      <c r="B26" s="198"/>
      <c r="C26" s="199"/>
      <c r="D26" s="202"/>
      <c r="E26" s="104"/>
      <c r="F26" s="104"/>
      <c r="G26" s="105"/>
      <c r="H26" s="106"/>
      <c r="I26" s="100"/>
      <c r="J26" s="100"/>
      <c r="K26" s="101"/>
      <c r="L26" s="100"/>
    </row>
    <row r="27" spans="1:12" ht="19.5" customHeight="1" thickTop="1" thickBot="1" x14ac:dyDescent="0.35">
      <c r="A27" s="226" t="s">
        <v>208</v>
      </c>
      <c r="B27" s="174" t="s">
        <v>181</v>
      </c>
      <c r="C27" s="191" t="s">
        <v>9</v>
      </c>
      <c r="D27" s="192"/>
      <c r="E27" s="78"/>
      <c r="F27" s="78"/>
      <c r="G27" s="79"/>
      <c r="H27" s="92"/>
      <c r="I27" s="78"/>
      <c r="J27" s="78"/>
      <c r="K27" s="79"/>
      <c r="L27" s="78"/>
    </row>
    <row r="28" spans="1:12" ht="16.5" customHeight="1" thickBot="1" x14ac:dyDescent="0.3">
      <c r="A28" s="227"/>
      <c r="B28" s="153" t="s">
        <v>27</v>
      </c>
      <c r="C28" s="154">
        <v>1</v>
      </c>
      <c r="D28" s="194" t="s">
        <v>3</v>
      </c>
      <c r="E28" s="107">
        <f>IFERROR((VLOOKUP(B28, 'Impatti al kg'!$B$18:$F$23, 2,FALSE)*C28), "-" )</f>
        <v>6.8198917999999997</v>
      </c>
      <c r="F28" s="108">
        <f>IFERROR((VLOOKUP(B28, 'Impatti al kg'!$B$18:$F$23, 3,FALSE)*C28), "-" )</f>
        <v>109.94715500000001</v>
      </c>
      <c r="G28" s="109">
        <f>IFERROR((VLOOKUP(B28, 'Impatti al kg'!$B$18:$F$23, 4,FALSE)*C28), "-" )</f>
        <v>1.9055459499999999E-7</v>
      </c>
      <c r="H28" s="110">
        <f>IFERROR((VLOOKUP(B28, 'Impatti al kg'!$B$18:$F$23, 5,FALSE)*C28), "-" )</f>
        <v>3.0268548999999999E-2</v>
      </c>
      <c r="I28" s="78"/>
      <c r="J28" s="78"/>
      <c r="K28" s="79"/>
      <c r="L28" s="78"/>
    </row>
    <row r="29" spans="1:12" ht="23.1" customHeight="1" thickBot="1" x14ac:dyDescent="0.3">
      <c r="A29" s="227"/>
      <c r="B29" s="195"/>
      <c r="C29" s="178"/>
      <c r="D29" s="197"/>
      <c r="E29" s="86">
        <f>SUM(E28)</f>
        <v>6.8198917999999997</v>
      </c>
      <c r="F29" s="86">
        <f t="shared" ref="F29:H29" si="4">SUM(F28)</f>
        <v>109.94715500000001</v>
      </c>
      <c r="G29" s="87">
        <f t="shared" si="4"/>
        <v>1.9055459499999999E-7</v>
      </c>
      <c r="H29" s="88">
        <f t="shared" si="4"/>
        <v>3.0268548999999999E-2</v>
      </c>
      <c r="I29" s="89">
        <f>Impatti_Pr!R15+Impatti_Pr!AF15+Impatti_Pr!F15+Impatti_Pr!U15</f>
        <v>8.0857544099999998</v>
      </c>
      <c r="J29" s="90">
        <f>Impatti_Pr!R16+Impatti_Pr!AF16+Impatti_Pr!F16+Impatti_Pr!U16</f>
        <v>92.488697700000003</v>
      </c>
      <c r="K29" s="91">
        <f>Impatti_Pr!R17+Impatti_Pr!AF17+Impatti_Pr!F17+Impatti_Pr!U17</f>
        <v>1.5041164394999999E-6</v>
      </c>
      <c r="L29" s="90">
        <f>Impatti_Pr!R18+Impatti_Pr!AF18+Impatti_Pr!F18+Impatti_Pr!U18</f>
        <v>0.20629467065000001</v>
      </c>
    </row>
    <row r="30" spans="1:12" ht="19.5" customHeight="1" thickTop="1" thickBot="1" x14ac:dyDescent="0.35">
      <c r="A30" s="227"/>
      <c r="B30" s="174" t="s">
        <v>2</v>
      </c>
      <c r="C30" s="191" t="s">
        <v>203</v>
      </c>
      <c r="D30" s="197"/>
      <c r="E30" s="78"/>
      <c r="F30" s="78"/>
      <c r="G30" s="79"/>
      <c r="H30" s="92"/>
      <c r="J30" s="78"/>
      <c r="K30" s="79"/>
      <c r="L30" s="78"/>
    </row>
    <row r="31" spans="1:12" ht="16.5" customHeight="1" thickBot="1" x14ac:dyDescent="0.3">
      <c r="A31" s="227"/>
      <c r="B31" s="153" t="s">
        <v>233</v>
      </c>
      <c r="C31" s="154">
        <v>50</v>
      </c>
      <c r="D31" s="194" t="s">
        <v>0</v>
      </c>
      <c r="E31" s="93">
        <f>IFERROR((VLOOKUP(B31, 'Impatti al kg'!$B$81:$F$84, 2,FALSE)*C31*($C$28)), "-" )</f>
        <v>8.271961999999999E-3</v>
      </c>
      <c r="F31" s="94">
        <f>IFERROR((VLOOKUP(B31, 'Impatti al kg'!$B$81:$F$84, 3,FALSE)*C31*($C$28)), "-" )</f>
        <v>0.12524099999999999</v>
      </c>
      <c r="G31" s="95">
        <f>IFERROR((VLOOKUP(B31, 'Impatti al kg'!$B$81:$F$84, 4,FALSE)*C31*($C$28)), "-" )</f>
        <v>5.7676530000000002E-10</v>
      </c>
      <c r="H31" s="96">
        <f>IFERROR((VLOOKUP(B31, 'Impatti al kg'!$B$81:$F$84, 5,FALSE)*C31*($C$28)), "-" )</f>
        <v>3.3073701000000004E-5</v>
      </c>
      <c r="J31" s="78"/>
      <c r="K31" s="79"/>
      <c r="L31" s="78"/>
    </row>
    <row r="32" spans="1:12" ht="16.5" customHeight="1" thickBot="1" x14ac:dyDescent="0.3">
      <c r="A32" s="227"/>
      <c r="B32" s="153" t="s">
        <v>6</v>
      </c>
      <c r="C32" s="155">
        <v>600</v>
      </c>
      <c r="D32" s="194" t="s">
        <v>0</v>
      </c>
      <c r="E32" s="93">
        <f>IFERROR((VLOOKUP(B32, 'Impatti al kg'!$B$81:$F$84, 2,FALSE)*C32*($C$28)), "-" )</f>
        <v>6.9574127999999999E-3</v>
      </c>
      <c r="F32" s="94">
        <f>IFERROR((VLOOKUP(B32, 'Impatti al kg'!$B$81:$F$84, 3,FALSE)*C32*($C$28)), "-" )</f>
        <v>9.7432733999999993E-2</v>
      </c>
      <c r="G32" s="95">
        <f>IFERROR((VLOOKUP(B32, 'Impatti al kg'!$B$81:$F$84, 4,FALSE)*C32*($C$28)), "-" )</f>
        <v>2.04410316E-10</v>
      </c>
      <c r="H32" s="96">
        <f>IFERROR((VLOOKUP(B32, 'Impatti al kg'!$B$81:$F$84, 5,FALSE)*C32*($C$28)), "-" )</f>
        <v>1.7307168600000001E-4</v>
      </c>
      <c r="J32" s="78"/>
      <c r="K32" s="79"/>
      <c r="L32" s="78"/>
    </row>
    <row r="33" spans="1:12" ht="16.5" customHeight="1" thickBot="1" x14ac:dyDescent="0.3">
      <c r="A33" s="227"/>
      <c r="B33" s="153"/>
      <c r="C33" s="154"/>
      <c r="D33" s="194" t="s">
        <v>0</v>
      </c>
      <c r="E33" s="75" t="str">
        <f>IFERROR((VLOOKUP(B33, 'Impatti al kg'!$B$81:$F$84, 2,FALSE)*C33*($C$28)), "-" )</f>
        <v>-</v>
      </c>
      <c r="F33" s="75" t="str">
        <f>IFERROR((VLOOKUP(B33, 'Impatti al kg'!$B$81:$F$84, 3,FALSE)*C33*($C$28)), "-" )</f>
        <v>-</v>
      </c>
      <c r="G33" s="76" t="str">
        <f>IFERROR((VLOOKUP(B33, 'Impatti al kg'!$B$81:$F$84, 4,FALSE)*C33*($C$28)), "-" )</f>
        <v>-</v>
      </c>
      <c r="H33" s="77" t="str">
        <f>IFERROR((VLOOKUP(B33, 'Impatti al kg'!$B$81:$F$84, 5,FALSE)*C33*($C$28)), "-" )</f>
        <v>-</v>
      </c>
      <c r="J33" s="78"/>
      <c r="K33" s="79"/>
      <c r="L33" s="78"/>
    </row>
    <row r="34" spans="1:12" s="103" customFormat="1" ht="16.5" customHeight="1" thickBot="1" x14ac:dyDescent="0.3">
      <c r="A34" s="227"/>
      <c r="B34" s="153"/>
      <c r="C34" s="155"/>
      <c r="D34" s="197" t="s">
        <v>0</v>
      </c>
      <c r="E34" s="80" t="str">
        <f>IFERROR((VLOOKUP(B34, 'Impatti al kg'!$B$81:$F$84, 2,FALSE)*C34*($C$28)), "-" )</f>
        <v>-</v>
      </c>
      <c r="F34" s="81" t="str">
        <f>IFERROR((VLOOKUP(B34, 'Impatti al kg'!$B$81:$F$84, 3,FALSE)*C34*($C$28)), "-" )</f>
        <v>-</v>
      </c>
      <c r="G34" s="82" t="str">
        <f>IFERROR((VLOOKUP(B34, 'Impatti al kg'!$B$81:$F$84, 4,FALSE)*C34*($C$28)), "-" )</f>
        <v>-</v>
      </c>
      <c r="H34" s="83" t="str">
        <f>IFERROR((VLOOKUP(B34, 'Impatti al kg'!$B$81:$F$84, 5,FALSE)*C34*($C$28)), "-" )</f>
        <v>-</v>
      </c>
      <c r="J34" s="84"/>
      <c r="K34" s="85"/>
      <c r="L34" s="84"/>
    </row>
    <row r="35" spans="1:12" s="103" customFormat="1" ht="23.1" customHeight="1" thickBot="1" x14ac:dyDescent="0.3">
      <c r="A35" s="227"/>
      <c r="B35" s="195"/>
      <c r="C35" s="178"/>
      <c r="D35" s="197"/>
      <c r="E35" s="86">
        <f>SUM(E31:E34)</f>
        <v>1.5229374799999999E-2</v>
      </c>
      <c r="F35" s="86">
        <f t="shared" ref="F35" si="5">SUM(F31:F34)</f>
        <v>0.22267373399999998</v>
      </c>
      <c r="G35" s="87">
        <f t="shared" ref="G35" si="6">SUM(G31:G34)</f>
        <v>7.8117561600000004E-10</v>
      </c>
      <c r="H35" s="88">
        <f t="shared" ref="H35" si="7">SUM(H31:H34)</f>
        <v>2.06145387E-4</v>
      </c>
      <c r="I35" s="89">
        <f>Impatti_Pr!AR15+Impatti_Pr!AM15</f>
        <v>0.161303168</v>
      </c>
      <c r="J35" s="90">
        <f>Impatti_Pr!AR16+Impatti_Pr!AM16</f>
        <v>2.4421995000000001</v>
      </c>
      <c r="K35" s="91">
        <f>Impatti_Pr!AR17+Impatti_Pr!AM17</f>
        <v>1.12469235E-8</v>
      </c>
      <c r="L35" s="90">
        <f>Impatti_Pr!AR18+Impatti_Pr!AM18</f>
        <v>6.4493717000000002E-4</v>
      </c>
    </row>
    <row r="36" spans="1:12" s="201" customFormat="1" ht="23.1" customHeight="1" thickTop="1" thickBot="1" x14ac:dyDescent="0.3">
      <c r="A36" s="228"/>
      <c r="B36" s="198"/>
      <c r="C36" s="199"/>
      <c r="D36" s="202"/>
      <c r="E36" s="104"/>
      <c r="F36" s="104"/>
      <c r="G36" s="105"/>
      <c r="H36" s="106"/>
      <c r="I36" s="100"/>
      <c r="J36" s="100"/>
      <c r="K36" s="101"/>
      <c r="L36" s="100"/>
    </row>
    <row r="37" spans="1:12" ht="20.25" customHeight="1" thickTop="1" thickBot="1" x14ac:dyDescent="0.35">
      <c r="A37" s="224" t="s">
        <v>14</v>
      </c>
      <c r="B37" s="174" t="s">
        <v>181</v>
      </c>
      <c r="C37" s="191" t="s">
        <v>9</v>
      </c>
      <c r="D37" s="192"/>
      <c r="E37" s="78"/>
      <c r="F37" s="78"/>
      <c r="G37" s="79"/>
      <c r="H37" s="92"/>
      <c r="I37" s="78"/>
      <c r="J37" s="78"/>
      <c r="K37" s="79"/>
      <c r="L37" s="78"/>
    </row>
    <row r="38" spans="1:12" ht="16.5" customHeight="1" thickBot="1" x14ac:dyDescent="0.3">
      <c r="A38" s="224"/>
      <c r="B38" s="157" t="s">
        <v>30</v>
      </c>
      <c r="C38" s="154">
        <v>3</v>
      </c>
      <c r="D38" s="194" t="s">
        <v>3</v>
      </c>
      <c r="E38" s="93">
        <f>IFERROR((VLOOKUP(B38, 'Impatti al kg'!$B$25:$F$29, 2,FALSE)*C38), "-" )</f>
        <v>6.7656054000000001</v>
      </c>
      <c r="F38" s="93">
        <f>IFERROR((VLOOKUP(B38, 'Impatti al kg'!$B$25:$F$29, 3,FALSE)*C38), "-" )</f>
        <v>107.41456500000001</v>
      </c>
      <c r="G38" s="95">
        <f>IFERROR((VLOOKUP(B38, 'Impatti al kg'!$B$25:$F$29,4,FALSE)*C38), "-" )</f>
        <v>1.22361987E-7</v>
      </c>
      <c r="H38" s="96">
        <f>IFERROR((VLOOKUP(B38, 'Impatti al kg'!$B$25:$F$29, 5,FALSE)*C38), "-" )</f>
        <v>1.4572290000000002E-2</v>
      </c>
      <c r="I38" s="78"/>
      <c r="J38" s="78"/>
      <c r="K38" s="79"/>
      <c r="L38" s="78"/>
    </row>
    <row r="39" spans="1:12" ht="16.5" customHeight="1" thickBot="1" x14ac:dyDescent="0.3">
      <c r="A39" s="224"/>
      <c r="B39" s="157" t="s">
        <v>24</v>
      </c>
      <c r="C39" s="155">
        <v>0.5</v>
      </c>
      <c r="D39" s="194" t="s">
        <v>3</v>
      </c>
      <c r="E39" s="93">
        <f>IFERROR((VLOOKUP(B39, 'Impatti al kg'!$B$25:$F$29, 2,FALSE)*C39), "-" )</f>
        <v>7.1097595E-2</v>
      </c>
      <c r="F39" s="93">
        <f>IFERROR((VLOOKUP(B39, 'Impatti al kg'!$B$25:$F$29, 3,FALSE)*C39), "-" )</f>
        <v>0.91541534999999996</v>
      </c>
      <c r="G39" s="95">
        <f>IFERROR((VLOOKUP(B39, 'Impatti al kg'!$B$25:$F$29,4,FALSE)*C39), "-" )</f>
        <v>1.9609671500000001E-8</v>
      </c>
      <c r="H39" s="96">
        <f>IFERROR((VLOOKUP(B39, 'Impatti al kg'!$B$25:$F$29, 5,FALSE)*C39), "-" )</f>
        <v>4.80096585E-4</v>
      </c>
      <c r="I39" s="78"/>
      <c r="J39" s="78"/>
      <c r="K39" s="79"/>
      <c r="L39" s="78"/>
    </row>
    <row r="40" spans="1:12" ht="16.5" customHeight="1" thickBot="1" x14ac:dyDescent="0.3">
      <c r="A40" s="224"/>
      <c r="B40" s="157" t="s">
        <v>23</v>
      </c>
      <c r="C40" s="158">
        <v>0.5</v>
      </c>
      <c r="D40" s="194" t="s">
        <v>3</v>
      </c>
      <c r="E40" s="107">
        <f>IFERROR((VLOOKUP(B40, 'Impatti al kg'!$B$25:$F$29, 2,FALSE)*C40), "-" )</f>
        <v>2.4734859</v>
      </c>
      <c r="F40" s="108">
        <f>IFERROR((VLOOKUP(B40, 'Impatti al kg'!$B$25:$F$29, 3,FALSE)*C40), "-" )</f>
        <v>22.293642499999997</v>
      </c>
      <c r="G40" s="109">
        <f>IFERROR((VLOOKUP(B40, 'Impatti al kg'!$B$25:$F$29,4,FALSE)*C40), "-" )</f>
        <v>1.7233466E-7</v>
      </c>
      <c r="H40" s="110">
        <f>IFERROR((VLOOKUP(B40, 'Impatti al kg'!$B$25:$F$29, 5,FALSE)*C40), "-" )</f>
        <v>1.21478465E-2</v>
      </c>
      <c r="I40" s="78"/>
      <c r="J40" s="78"/>
      <c r="K40" s="79"/>
      <c r="L40" s="78"/>
    </row>
    <row r="41" spans="1:12" ht="23.1" customHeight="1" thickBot="1" x14ac:dyDescent="0.3">
      <c r="A41" s="224"/>
      <c r="B41" s="195"/>
      <c r="C41" s="178"/>
      <c r="D41" s="197"/>
      <c r="E41" s="86">
        <f>SUM(E38:E40)</f>
        <v>9.3101888949999996</v>
      </c>
      <c r="F41" s="86">
        <f t="shared" ref="F41:H41" si="8">SUM(F38:F40)</f>
        <v>130.62362285</v>
      </c>
      <c r="G41" s="87">
        <f t="shared" si="8"/>
        <v>3.143063185E-7</v>
      </c>
      <c r="H41" s="88">
        <f t="shared" si="8"/>
        <v>2.7200233085000001E-2</v>
      </c>
      <c r="I41" s="89">
        <f>Impatti_Pr!Z15+Impatti_Pr!X15/2</f>
        <v>1.8357688749999999</v>
      </c>
      <c r="J41" s="90">
        <f>Impatti_Pr!Z16+Impatti_Pr!X16/2</f>
        <v>37.362432949999999</v>
      </c>
      <c r="K41" s="91">
        <f>Impatti_Pr!Z17+Impatti_Pr!X17/2</f>
        <v>6.85661295E-8</v>
      </c>
      <c r="L41" s="90">
        <f>Impatti_Pr!Z18+Impatti_Pr!X18/2</f>
        <v>9.014275799999999E-3</v>
      </c>
    </row>
    <row r="42" spans="1:12" ht="19.5" customHeight="1" thickTop="1" thickBot="1" x14ac:dyDescent="0.35">
      <c r="A42" s="224"/>
      <c r="B42" s="174" t="s">
        <v>2</v>
      </c>
      <c r="C42" s="191" t="s">
        <v>203</v>
      </c>
      <c r="D42" s="197"/>
      <c r="E42" s="111"/>
      <c r="F42" s="111"/>
      <c r="G42" s="112"/>
      <c r="H42" s="113"/>
      <c r="J42" s="78"/>
      <c r="K42" s="79"/>
    </row>
    <row r="43" spans="1:12" ht="16.5" customHeight="1" thickBot="1" x14ac:dyDescent="0.3">
      <c r="A43" s="224"/>
      <c r="B43" s="157" t="s">
        <v>233</v>
      </c>
      <c r="C43" s="154">
        <v>50</v>
      </c>
      <c r="D43" s="194" t="s">
        <v>0</v>
      </c>
      <c r="E43" s="93">
        <f>IFERROR((VLOOKUP(B43, 'Impatti al kg'!$B$81:$F$84, 2,FALSE)*C43*($C$39+$C$40+$C$38)), "-" )</f>
        <v>3.3087847999999996E-2</v>
      </c>
      <c r="F43" s="94">
        <f>IFERROR((VLOOKUP(B43, 'Impatti al kg'!$B$81:$F$84, 3,FALSE)*C43*($C$39+$C$40+$C$38)), "-" )</f>
        <v>0.50096399999999996</v>
      </c>
      <c r="G43" s="95">
        <f>IFERROR((VLOOKUP(B43, 'Impatti al kg'!$B$81:$F$84, 4,FALSE)*C43*($C$39+$C$40+$C$38)), "-" )</f>
        <v>2.3070612000000001E-9</v>
      </c>
      <c r="H43" s="96">
        <f>IFERROR((VLOOKUP(B43, 'Impatti al kg'!$B$81:$F$84, 5,FALSE)*C43*($C$39+$C$40+$C$38)), "-" )</f>
        <v>1.3229480400000002E-4</v>
      </c>
      <c r="J43" s="78"/>
      <c r="K43" s="79"/>
      <c r="L43" s="78"/>
    </row>
    <row r="44" spans="1:12" ht="16.5" customHeight="1" thickBot="1" x14ac:dyDescent="0.3">
      <c r="A44" s="224"/>
      <c r="B44" s="157" t="s">
        <v>6</v>
      </c>
      <c r="C44" s="155">
        <v>600</v>
      </c>
      <c r="D44" s="194" t="s">
        <v>0</v>
      </c>
      <c r="E44" s="93">
        <f>IFERROR((VLOOKUP(B44, 'Impatti al kg'!$B$81:$F$84, 2,FALSE)*C44*($C$39+$C$40+$C$38)), "-" )</f>
        <v>2.78296512E-2</v>
      </c>
      <c r="F44" s="94">
        <f>IFERROR((VLOOKUP(B44, 'Impatti al kg'!$B$81:$F$84, 3,FALSE)*C44*($C$39+$C$40+$C$38)), "-" )</f>
        <v>0.38973093599999997</v>
      </c>
      <c r="G44" s="95">
        <f>IFERROR((VLOOKUP(B44, 'Impatti al kg'!$B$81:$F$84, 4,FALSE)*C44*($C$39+$C$40+$C$38)), "-" )</f>
        <v>8.1764126399999999E-10</v>
      </c>
      <c r="H44" s="96">
        <f>IFERROR((VLOOKUP(B44, 'Impatti al kg'!$B$81:$F$84, 5,FALSE)*C44*($C$39+$C$40+$C$38)), "-" )</f>
        <v>6.9228674400000003E-4</v>
      </c>
      <c r="J44" s="78"/>
      <c r="K44" s="79"/>
      <c r="L44" s="78"/>
    </row>
    <row r="45" spans="1:12" ht="16.5" customHeight="1" thickBot="1" x14ac:dyDescent="0.3">
      <c r="A45" s="224"/>
      <c r="B45" s="157"/>
      <c r="C45" s="154"/>
      <c r="D45" s="194" t="s">
        <v>0</v>
      </c>
      <c r="E45" s="75" t="str">
        <f>IFERROR((VLOOKUP(B45, 'Impatti al kg'!$B$81:$F$84, 2,FALSE)*C45*($C$39+$C$40+$C$38)), "-" )</f>
        <v>-</v>
      </c>
      <c r="F45" s="75" t="str">
        <f>IFERROR((VLOOKUP(B45, 'Impatti al kg'!$B$81:$F$84, 3,FALSE)*C45*($C$39+$C$40+$C$38)), "-" )</f>
        <v>-</v>
      </c>
      <c r="G45" s="76" t="str">
        <f>IFERROR((VLOOKUP(B45, 'Impatti al kg'!$B$81:$F$84, 4,FALSE)*C45*($C$39+$C$40+$C$38)), "-" )</f>
        <v>-</v>
      </c>
      <c r="H45" s="77" t="str">
        <f>IFERROR((VLOOKUP(B45, 'Impatti al kg'!$B$81:$F$84, 5,FALSE)*C45*($C$39+$C$40+$C$38)), "-" )</f>
        <v>-</v>
      </c>
      <c r="J45" s="78"/>
      <c r="K45" s="79"/>
      <c r="L45" s="78"/>
    </row>
    <row r="46" spans="1:12" s="103" customFormat="1" ht="15.75" customHeight="1" thickBot="1" x14ac:dyDescent="0.3">
      <c r="A46" s="224"/>
      <c r="B46" s="159"/>
      <c r="C46" s="160"/>
      <c r="D46" s="197" t="s">
        <v>0</v>
      </c>
      <c r="E46" s="80" t="str">
        <f>IFERROR((VLOOKUP(B46, 'Impatti al kg'!$B$81:$F$84, 2,FALSE)*C46*($C$39+$C$40+$C$38)), "-" )</f>
        <v>-</v>
      </c>
      <c r="F46" s="81" t="str">
        <f>IFERROR((VLOOKUP(B46, 'Impatti al kg'!$B$81:$F$84, 3,FALSE)*C46*($C$39+$C$40+$C$38)), "-" )</f>
        <v>-</v>
      </c>
      <c r="G46" s="82" t="str">
        <f>IFERROR((VLOOKUP(B46, 'Impatti al kg'!$B$81:$F$84, 4,FALSE)*C46*($C$39+$C$40+$C$38)), "-" )</f>
        <v>-</v>
      </c>
      <c r="H46" s="83" t="str">
        <f>IFERROR((VLOOKUP(B46, 'Impatti al kg'!$B$81:$F$84, 5,FALSE)*C46*($C$39+$C$40+$C$38)), "-" )</f>
        <v>-</v>
      </c>
      <c r="J46" s="84"/>
      <c r="K46" s="85"/>
      <c r="L46" s="84"/>
    </row>
    <row r="47" spans="1:12" s="103" customFormat="1" ht="23.1" customHeight="1" thickTop="1" thickBot="1" x14ac:dyDescent="0.3">
      <c r="A47" s="224"/>
      <c r="B47" s="195"/>
      <c r="C47" s="178"/>
      <c r="D47" s="197"/>
      <c r="E47" s="86">
        <f>SUM(E43:E46)</f>
        <v>6.0917499199999996E-2</v>
      </c>
      <c r="F47" s="86">
        <f t="shared" ref="F47:H47" si="9">SUM(F43:F46)</f>
        <v>0.89069493599999994</v>
      </c>
      <c r="G47" s="87">
        <f t="shared" si="9"/>
        <v>3.1247024640000002E-9</v>
      </c>
      <c r="H47" s="88">
        <f t="shared" si="9"/>
        <v>8.2458154799999999E-4</v>
      </c>
      <c r="I47" s="89">
        <f>Impatti_Pr!AQ15+Impatti_Pr!AP15/2</f>
        <v>0.13714905049999998</v>
      </c>
      <c r="J47" s="90">
        <f>Impatti_Pr!AQ16+Impatti_Pr!AP16/2</f>
        <v>2.0764956899999998</v>
      </c>
      <c r="K47" s="91">
        <f>Impatti_Pr!AQ17+Impatti_Pr!AP17/2</f>
        <v>9.5627688000000001E-9</v>
      </c>
      <c r="L47" s="90">
        <f>Impatti_Pr!AQ18+Impatti_Pr!AP18/2</f>
        <v>5.4836196500000008E-4</v>
      </c>
    </row>
    <row r="48" spans="1:12" s="201" customFormat="1" ht="23.1" customHeight="1" thickTop="1" thickBot="1" x14ac:dyDescent="0.3">
      <c r="A48" s="225"/>
      <c r="B48" s="198"/>
      <c r="C48" s="199"/>
      <c r="D48" s="202"/>
      <c r="E48" s="104"/>
      <c r="F48" s="104"/>
      <c r="G48" s="105"/>
      <c r="H48" s="106"/>
      <c r="I48" s="100"/>
      <c r="J48" s="100"/>
      <c r="K48" s="101"/>
      <c r="L48" s="100"/>
    </row>
    <row r="49" spans="1:13" ht="18" customHeight="1" thickTop="1" thickBot="1" x14ac:dyDescent="0.35">
      <c r="A49" s="226" t="s">
        <v>209</v>
      </c>
      <c r="B49" s="174" t="s">
        <v>181</v>
      </c>
      <c r="C49" s="191" t="s">
        <v>9</v>
      </c>
      <c r="D49" s="192"/>
      <c r="E49" s="78"/>
      <c r="F49" s="78"/>
      <c r="G49" s="79"/>
      <c r="H49" s="92"/>
      <c r="I49" s="78"/>
      <c r="J49" s="78"/>
      <c r="K49" s="79"/>
      <c r="L49" s="78"/>
    </row>
    <row r="50" spans="1:13" ht="15.75" customHeight="1" thickBot="1" x14ac:dyDescent="0.3">
      <c r="A50" s="227"/>
      <c r="B50" s="157" t="s">
        <v>39</v>
      </c>
      <c r="C50" s="154">
        <v>1</v>
      </c>
      <c r="D50" s="194" t="s">
        <v>3</v>
      </c>
      <c r="E50" s="107">
        <f>IFERROR((VLOOKUP(B50, 'Impatti al kg'!$B$31:$F$36, 2,FALSE)*C50), "-" )</f>
        <v>2.5238345999999998</v>
      </c>
      <c r="F50" s="108">
        <f>IFERROR((VLOOKUP(B50, 'Impatti al kg'!$B$31:$F$36, 3,FALSE)*C50), "-" )</f>
        <v>25.519551</v>
      </c>
      <c r="G50" s="109">
        <f>IFERROR((VLOOKUP(B50, 'Impatti al kg'!$B$31:$F$36, 4,FALSE)*C50), "-" )</f>
        <v>2.4038330999999998E-7</v>
      </c>
      <c r="H50" s="114">
        <f>IFERROR((VLOOKUP(B50, 'Impatti al kg'!$B$31:$F$36, 5,FALSE)*C50), "-" )</f>
        <v>3.4605371000000003E-2</v>
      </c>
      <c r="I50" s="84"/>
      <c r="J50" s="84"/>
      <c r="K50" s="85"/>
      <c r="L50" s="84"/>
      <c r="M50" s="103"/>
    </row>
    <row r="51" spans="1:13" ht="23.1" customHeight="1" thickBot="1" x14ac:dyDescent="0.3">
      <c r="A51" s="227"/>
      <c r="B51" s="195"/>
      <c r="C51" s="178"/>
      <c r="D51" s="197"/>
      <c r="E51" s="86">
        <f>SUM(E50)</f>
        <v>2.5238345999999998</v>
      </c>
      <c r="F51" s="86">
        <f t="shared" ref="F51:H51" si="10">SUM(F50)</f>
        <v>25.519551</v>
      </c>
      <c r="G51" s="87">
        <f t="shared" si="10"/>
        <v>2.4038330999999998E-7</v>
      </c>
      <c r="H51" s="115">
        <f t="shared" si="10"/>
        <v>3.4605371000000003E-2</v>
      </c>
      <c r="I51" s="84"/>
      <c r="J51" s="84"/>
      <c r="K51" s="85"/>
      <c r="L51" s="84"/>
      <c r="M51" s="103"/>
    </row>
    <row r="52" spans="1:13" ht="19.5" customHeight="1" thickTop="1" thickBot="1" x14ac:dyDescent="0.4">
      <c r="A52" s="227"/>
      <c r="B52" s="174" t="s">
        <v>2</v>
      </c>
      <c r="C52" s="191" t="s">
        <v>203</v>
      </c>
      <c r="D52" s="197"/>
      <c r="E52" s="78"/>
      <c r="F52" s="78"/>
      <c r="G52" s="79"/>
      <c r="H52" s="92"/>
      <c r="I52" s="84"/>
      <c r="J52" s="116" t="s">
        <v>210</v>
      </c>
      <c r="L52" s="84"/>
      <c r="M52" s="103"/>
    </row>
    <row r="53" spans="1:13" ht="16.5" customHeight="1" thickBot="1" x14ac:dyDescent="0.3">
      <c r="A53" s="227"/>
      <c r="B53" s="157" t="s">
        <v>233</v>
      </c>
      <c r="C53" s="154">
        <v>50</v>
      </c>
      <c r="D53" s="194" t="s">
        <v>0</v>
      </c>
      <c r="E53" s="94">
        <f>IFERROR((VLOOKUP(B53, 'Impatti al kg'!$B$81:$F$84, 2,FALSE)*C53*($C$50)), "-" )</f>
        <v>8.271961999999999E-3</v>
      </c>
      <c r="F53" s="94">
        <f>IFERROR((VLOOKUP(B53, 'Impatti al kg'!$B$81:$F$84, 3,FALSE)*C53*($C$50)), "-" )</f>
        <v>0.12524099999999999</v>
      </c>
      <c r="G53" s="95">
        <f>IFERROR((VLOOKUP(B53, 'Impatti al kg'!$B$81:$F$84, 4,FALSE)*C53*($C$50)), "-" )</f>
        <v>5.7676530000000002E-10</v>
      </c>
      <c r="H53" s="96">
        <f>IFERROR((VLOOKUP(B53, 'Impatti al kg'!$B$81:$F$84, 5,FALSE)*C53*($C$50)), "-" )</f>
        <v>3.3073701000000004E-5</v>
      </c>
      <c r="I53" s="84"/>
      <c r="K53" s="85"/>
      <c r="L53" s="84"/>
      <c r="M53" s="103"/>
    </row>
    <row r="54" spans="1:13" ht="16.5" customHeight="1" thickBot="1" x14ac:dyDescent="0.3">
      <c r="A54" s="227"/>
      <c r="B54" s="157" t="s">
        <v>6</v>
      </c>
      <c r="C54" s="155">
        <v>600</v>
      </c>
      <c r="D54" s="194" t="s">
        <v>0</v>
      </c>
      <c r="E54" s="94">
        <f>IFERROR((VLOOKUP(B54, 'Impatti al kg'!$B$81:$F$84, 2,FALSE)*C54*($C$50)), "-" )</f>
        <v>6.9574127999999999E-3</v>
      </c>
      <c r="F54" s="94">
        <f>IFERROR((VLOOKUP(B54, 'Impatti al kg'!$B$81:$F$84, 3,FALSE)*C54*($C$50)), "-" )</f>
        <v>9.7432733999999993E-2</v>
      </c>
      <c r="G54" s="95">
        <f>IFERROR((VLOOKUP(B54, 'Impatti al kg'!$B$81:$F$84, 4,FALSE)*C54*($C$50)), "-" )</f>
        <v>2.04410316E-10</v>
      </c>
      <c r="H54" s="96">
        <f>IFERROR((VLOOKUP(B54, 'Impatti al kg'!$B$81:$F$84, 5,FALSE)*C54*($C$50)), "-" )</f>
        <v>1.7307168600000001E-4</v>
      </c>
      <c r="I54" s="84"/>
      <c r="J54" s="84"/>
      <c r="K54" s="85"/>
      <c r="L54" s="84"/>
      <c r="M54" s="103"/>
    </row>
    <row r="55" spans="1:13" ht="16.5" customHeight="1" thickBot="1" x14ac:dyDescent="0.3">
      <c r="A55" s="227"/>
      <c r="B55" s="157"/>
      <c r="C55" s="154"/>
      <c r="D55" s="194" t="s">
        <v>0</v>
      </c>
      <c r="E55" s="117" t="str">
        <f>IFERROR((VLOOKUP(B55, 'Impatti al kg'!$B$81:$F$84, 2,FALSE)*C55*($C$50)), "-" )</f>
        <v>-</v>
      </c>
      <c r="F55" s="75" t="str">
        <f>IFERROR((VLOOKUP(B55, 'Impatti al kg'!$B$81:$F$84, 3,FALSE)*C55*($C$50)), "-" )</f>
        <v>-</v>
      </c>
      <c r="G55" s="76" t="str">
        <f>IFERROR((VLOOKUP(B55, 'Impatti al kg'!$B$81:$F$84, 4,FALSE)*C55*($C$50)), "-" )</f>
        <v>-</v>
      </c>
      <c r="H55" s="77" t="str">
        <f>IFERROR((VLOOKUP(B55, 'Impatti al kg'!$B$81:$F$84, 5,FALSE)*C55*($C$50)), "-" )</f>
        <v>-</v>
      </c>
      <c r="I55" s="84"/>
      <c r="J55" s="84"/>
      <c r="K55" s="85"/>
      <c r="L55" s="84"/>
      <c r="M55" s="103"/>
    </row>
    <row r="56" spans="1:13" s="103" customFormat="1" ht="15.75" customHeight="1" thickBot="1" x14ac:dyDescent="0.3">
      <c r="A56" s="227"/>
      <c r="B56" s="159"/>
      <c r="C56" s="160"/>
      <c r="D56" s="197" t="s">
        <v>0</v>
      </c>
      <c r="E56" s="80" t="str">
        <f>IFERROR((VLOOKUP(B56, 'Impatti al kg'!$B$81:$F$84, 2,FALSE)*C56*($C$50)), "-" )</f>
        <v>-</v>
      </c>
      <c r="F56" s="81" t="str">
        <f>IFERROR((VLOOKUP(B56, 'Impatti al kg'!$B$81:$F$84, 3,FALSE)*C56*($C$50)), "-" )</f>
        <v>-</v>
      </c>
      <c r="G56" s="82" t="str">
        <f>IFERROR((VLOOKUP(B56, 'Impatti al kg'!$B$81:$F$84, 4,FALSE)*C56*($C$50)), "-" )</f>
        <v>-</v>
      </c>
      <c r="H56" s="83" t="str">
        <f>IFERROR((VLOOKUP(B56, 'Impatti al kg'!$B$81:$F$84, 5,FALSE)*C56*($C$50)), "-" )</f>
        <v>-</v>
      </c>
      <c r="I56" s="84"/>
      <c r="J56" s="84"/>
      <c r="K56" s="85"/>
      <c r="L56" s="84"/>
    </row>
    <row r="57" spans="1:13" s="103" customFormat="1" ht="23.1" customHeight="1" thickTop="1" thickBot="1" x14ac:dyDescent="0.3">
      <c r="A57" s="227"/>
      <c r="B57" s="195"/>
      <c r="C57" s="178"/>
      <c r="D57" s="197"/>
      <c r="E57" s="86">
        <f>SUM(E53:E56)</f>
        <v>1.5229374799999999E-2</v>
      </c>
      <c r="F57" s="86">
        <f t="shared" ref="F57:H57" si="11">SUM(F53:F56)</f>
        <v>0.22267373399999998</v>
      </c>
      <c r="G57" s="87">
        <f t="shared" si="11"/>
        <v>7.8117561600000004E-10</v>
      </c>
      <c r="H57" s="88">
        <f t="shared" si="11"/>
        <v>2.06145387E-4</v>
      </c>
      <c r="I57" s="84"/>
      <c r="J57" s="84"/>
      <c r="K57" s="85"/>
      <c r="L57" s="84"/>
    </row>
    <row r="58" spans="1:13" s="201" customFormat="1" ht="23.1" customHeight="1" thickTop="1" thickBot="1" x14ac:dyDescent="0.3">
      <c r="A58" s="228"/>
      <c r="B58" s="198"/>
      <c r="C58" s="199"/>
      <c r="D58" s="202"/>
      <c r="E58" s="104"/>
      <c r="F58" s="104"/>
      <c r="G58" s="105"/>
      <c r="H58" s="106"/>
      <c r="I58" s="100"/>
      <c r="J58" s="100"/>
      <c r="K58" s="101"/>
      <c r="L58" s="100"/>
    </row>
    <row r="59" spans="1:13" ht="19.5" customHeight="1" thickTop="1" thickBot="1" x14ac:dyDescent="0.35">
      <c r="A59" s="229" t="s">
        <v>15</v>
      </c>
      <c r="B59" s="174" t="s">
        <v>181</v>
      </c>
      <c r="C59" s="191" t="s">
        <v>9</v>
      </c>
      <c r="D59" s="197"/>
      <c r="E59" s="78"/>
      <c r="F59" s="78"/>
      <c r="G59" s="79"/>
      <c r="H59" s="92"/>
      <c r="I59" s="78"/>
      <c r="J59" s="78"/>
      <c r="K59" s="79"/>
      <c r="L59" s="78"/>
    </row>
    <row r="60" spans="1:13" ht="15" customHeight="1" thickBot="1" x14ac:dyDescent="0.3">
      <c r="A60" s="224"/>
      <c r="B60" s="157" t="s">
        <v>32</v>
      </c>
      <c r="C60" s="154">
        <v>0.2</v>
      </c>
      <c r="D60" s="194" t="s">
        <v>3</v>
      </c>
      <c r="E60" s="93">
        <f>IFERROR((VLOOKUP(B60, 'Impatti al kg'!$B$38:$F$45, 2,FALSE)*C60), "-" )</f>
        <v>1.8902602600000002</v>
      </c>
      <c r="F60" s="93">
        <f>IFERROR((VLOOKUP(B60, 'Impatti al kg'!$B$38:$F$45, 3,FALSE)*C60), "-" )</f>
        <v>26.663224000000003</v>
      </c>
      <c r="G60" s="95">
        <f>IFERROR((VLOOKUP(B60, 'Impatti al kg'!$B$38:$F$45, 4,FALSE)*C60), "-" )</f>
        <v>2.7086911999999998E-8</v>
      </c>
      <c r="H60" s="96">
        <f>IFERROR((VLOOKUP(B60, 'Impatti al kg'!$B$38:$F$45, 5,FALSE)*C60), "-" )</f>
        <v>7.9995644000000008E-3</v>
      </c>
      <c r="I60" s="78"/>
      <c r="J60" s="78"/>
      <c r="K60" s="79"/>
      <c r="L60" s="78"/>
    </row>
    <row r="61" spans="1:13" ht="15" customHeight="1" thickBot="1" x14ac:dyDescent="0.3">
      <c r="A61" s="224"/>
      <c r="B61" s="157" t="s">
        <v>23</v>
      </c>
      <c r="C61" s="155">
        <v>0.2</v>
      </c>
      <c r="D61" s="194" t="s">
        <v>3</v>
      </c>
      <c r="E61" s="107">
        <f>IFERROR((VLOOKUP(B61, 'Impatti al kg'!$B$38:$F$45, 2,FALSE)*C61), "-" )</f>
        <v>0.98939436000000003</v>
      </c>
      <c r="F61" s="108">
        <f>IFERROR((VLOOKUP(B61, 'Impatti al kg'!$B$38:$F$45, 3,FALSE)*C61), "-" )</f>
        <v>8.9174569999999989</v>
      </c>
      <c r="G61" s="109">
        <f>IFERROR((VLOOKUP(B61, 'Impatti al kg'!$B$38:$F$45, 4,FALSE)*C61), "-" )</f>
        <v>6.8933863999999997E-8</v>
      </c>
      <c r="H61" s="110">
        <f>IFERROR((VLOOKUP(B61, 'Impatti al kg'!$B$38:$F$45, 5,FALSE)*C61), "-" )</f>
        <v>4.8591386E-3</v>
      </c>
      <c r="I61" s="78"/>
      <c r="J61" s="78"/>
      <c r="K61" s="79"/>
      <c r="L61" s="78"/>
    </row>
    <row r="62" spans="1:13" ht="23.1" customHeight="1" thickBot="1" x14ac:dyDescent="0.3">
      <c r="A62" s="224"/>
      <c r="B62" s="195"/>
      <c r="C62" s="178"/>
      <c r="D62" s="197"/>
      <c r="E62" s="86">
        <f>SUM(E60:E61)</f>
        <v>2.8796546200000002</v>
      </c>
      <c r="F62" s="86">
        <f t="shared" ref="F62:H62" si="12">SUM(F60:F61)</f>
        <v>35.580680999999998</v>
      </c>
      <c r="G62" s="87">
        <f t="shared" si="12"/>
        <v>9.6020775999999991E-8</v>
      </c>
      <c r="H62" s="88">
        <f t="shared" si="12"/>
        <v>1.2858703000000001E-2</v>
      </c>
      <c r="I62" s="89">
        <f>Impatti_Pr!Q15+Impatti_Pr!AD15+Impatti_Pr!N15+Impatti_Pr!AB15</f>
        <v>16.2539795</v>
      </c>
      <c r="J62" s="90">
        <f>Impatti_Pr!Q16+Impatti_Pr!AD16+Impatti_Pr!N16+Impatti_Pr!AB16</f>
        <v>140.81076999999999</v>
      </c>
      <c r="K62" s="91">
        <f>Impatti_Pr!Q17+Impatti_Pr!AD17+Impatti_Pr!N17+Impatti_Pr!AB17</f>
        <v>1.4708616429999998E-6</v>
      </c>
      <c r="L62" s="90">
        <f>Impatti_Pr!Q18+Impatti_Pr!AD18+Impatti_Pr!N18+Impatti_Pr!AB18</f>
        <v>0.11318873700000001</v>
      </c>
    </row>
    <row r="63" spans="1:13" ht="15" customHeight="1" thickTop="1" thickBot="1" x14ac:dyDescent="0.35">
      <c r="A63" s="224"/>
      <c r="B63" s="174" t="s">
        <v>2</v>
      </c>
      <c r="C63" s="191" t="s">
        <v>203</v>
      </c>
      <c r="D63" s="197"/>
      <c r="E63" s="78"/>
      <c r="F63" s="78"/>
      <c r="G63" s="79"/>
      <c r="H63" s="92"/>
      <c r="J63" s="78"/>
      <c r="K63" s="79"/>
      <c r="L63" s="78"/>
    </row>
    <row r="64" spans="1:13" ht="15" customHeight="1" thickBot="1" x14ac:dyDescent="0.3">
      <c r="A64" s="224"/>
      <c r="B64" s="157" t="s">
        <v>233</v>
      </c>
      <c r="C64" s="154">
        <v>100</v>
      </c>
      <c r="D64" s="194" t="s">
        <v>0</v>
      </c>
      <c r="E64" s="93">
        <f>IFERROR((VLOOKUP(B64, 'Impatti al kg'!$B$81:$F$84, 2,FALSE)*C64*($C$60+$C$61)), "-" )</f>
        <v>6.6175695999999996E-3</v>
      </c>
      <c r="F64" s="94">
        <f>IFERROR((VLOOKUP(B64, 'Impatti al kg'!$B$81:$F$84,3,FALSE)*C64*($C$60+$C$61)), "-" )</f>
        <v>0.1001928</v>
      </c>
      <c r="G64" s="95">
        <f>IFERROR((VLOOKUP(B64, 'Impatti al kg'!$B$81:$F$84, 4,FALSE)*C64*($C$60+$C$61)), "-" )</f>
        <v>4.6141224000000001E-10</v>
      </c>
      <c r="H64" s="96">
        <f>IFERROR((VLOOKUP(B64, 'Impatti al kg'!$B$81:$F$84, 5,FALSE)*C64*($C$60+$C$61)), "-" )</f>
        <v>2.6458960800000005E-5</v>
      </c>
      <c r="J64" s="78"/>
      <c r="K64" s="79"/>
      <c r="L64" s="78"/>
    </row>
    <row r="65" spans="1:12" ht="15" customHeight="1" thickBot="1" x14ac:dyDescent="0.3">
      <c r="A65" s="224"/>
      <c r="B65" s="157" t="s">
        <v>6</v>
      </c>
      <c r="C65" s="155">
        <v>500</v>
      </c>
      <c r="D65" s="194" t="s">
        <v>0</v>
      </c>
      <c r="E65" s="93">
        <f>IFERROR((VLOOKUP(B65, 'Impatti al kg'!$B$81:$F$84, 2,FALSE)*C65*($C$60+$C$61)), "-" )</f>
        <v>2.3191376E-3</v>
      </c>
      <c r="F65" s="94">
        <f>IFERROR((VLOOKUP(B65, 'Impatti al kg'!$B$81:$F$84,3,FALSE)*C65*($C$60+$C$61)), "-" )</f>
        <v>3.2477578E-2</v>
      </c>
      <c r="G65" s="95">
        <f>IFERROR((VLOOKUP(B65, 'Impatti al kg'!$B$81:$F$84, 4,FALSE)*C65*($C$60+$C$61)), "-" )</f>
        <v>6.8136771999999995E-11</v>
      </c>
      <c r="H65" s="96">
        <f>IFERROR((VLOOKUP(B65, 'Impatti al kg'!$B$81:$F$84, 5,FALSE)*C65*($C$60+$C$61)), "-" )</f>
        <v>5.7690562000000002E-5</v>
      </c>
      <c r="J65" s="78"/>
      <c r="K65" s="79"/>
      <c r="L65" s="78"/>
    </row>
    <row r="66" spans="1:12" ht="15" customHeight="1" thickBot="1" x14ac:dyDescent="0.3">
      <c r="A66" s="224"/>
      <c r="B66" s="157"/>
      <c r="C66" s="154"/>
      <c r="D66" s="194" t="s">
        <v>0</v>
      </c>
      <c r="E66" s="75" t="str">
        <f>IFERROR((VLOOKUP(B66, 'Impatti al kg'!$B$81:$F$84, 2,FALSE)*C66*($C$60+$C$61)), "-" )</f>
        <v>-</v>
      </c>
      <c r="F66" s="75" t="str">
        <f>IFERROR((VLOOKUP(B66, 'Impatti al kg'!$B$81:$F$84,3,FALSE)*C66*($C$60+$C$61)), "-" )</f>
        <v>-</v>
      </c>
      <c r="G66" s="76" t="str">
        <f>IFERROR((VLOOKUP(B66, 'Impatti al kg'!$B$81:$F$84, 4,FALSE)*C66*($C$60+$C$61)), "-" )</f>
        <v>-</v>
      </c>
      <c r="H66" s="77" t="str">
        <f>IFERROR((VLOOKUP(B66, 'Impatti al kg'!$B$81:$F$84, 5,FALSE)*C66*($C$60+$C$61)), "-" )</f>
        <v>-</v>
      </c>
      <c r="J66" s="78"/>
      <c r="K66" s="79"/>
      <c r="L66" s="78"/>
    </row>
    <row r="67" spans="1:12" s="103" customFormat="1" ht="15" customHeight="1" thickBot="1" x14ac:dyDescent="0.3">
      <c r="A67" s="224"/>
      <c r="B67" s="157"/>
      <c r="C67" s="155"/>
      <c r="D67" s="197" t="s">
        <v>0</v>
      </c>
      <c r="E67" s="80" t="str">
        <f>IFERROR((VLOOKUP(B67, 'Impatti al kg'!$B$81:$F$84, 2,FALSE)*C67*($C$60+$C$61)), "-" )</f>
        <v>-</v>
      </c>
      <c r="F67" s="81" t="str">
        <f>IFERROR((VLOOKUP(B67, 'Impatti al kg'!$B$81:$F$84,3,FALSE)*C67*($C$60+$C$61)), "-" )</f>
        <v>-</v>
      </c>
      <c r="G67" s="82" t="str">
        <f>IFERROR((VLOOKUP(B67, 'Impatti al kg'!$B$81:$F$84, 4,FALSE)*C67*($C$60+$C$61)), "-" )</f>
        <v>-</v>
      </c>
      <c r="H67" s="83" t="str">
        <f>IFERROR((VLOOKUP(B67, 'Impatti al kg'!$B$81:$F$84, 5,FALSE)*C67*($C$60+$C$61)), "-" )</f>
        <v>-</v>
      </c>
      <c r="J67" s="84"/>
      <c r="K67" s="85"/>
      <c r="L67" s="84"/>
    </row>
    <row r="68" spans="1:12" s="103" customFormat="1" ht="23.1" customHeight="1" thickBot="1" x14ac:dyDescent="0.3">
      <c r="A68" s="224"/>
      <c r="B68" s="156"/>
      <c r="C68" s="152"/>
      <c r="D68" s="197"/>
      <c r="E68" s="86">
        <f>SUM(E64:E67)</f>
        <v>8.9367071999999995E-3</v>
      </c>
      <c r="F68" s="86">
        <f t="shared" ref="F68:H68" si="13">SUM(F64:F67)</f>
        <v>0.13267037800000001</v>
      </c>
      <c r="G68" s="87">
        <f t="shared" si="13"/>
        <v>5.2954901200000002E-10</v>
      </c>
      <c r="H68" s="88">
        <f t="shared" si="13"/>
        <v>8.4149522800000011E-5</v>
      </c>
      <c r="I68" s="89">
        <f>Impatti_Pr!AI15+Impatti_Pr!AT15</f>
        <v>0.35734855999999998</v>
      </c>
      <c r="J68" s="90">
        <f>Impatti_Pr!AI16+Impatti_Pr!AT16</f>
        <v>5.4104110999999993</v>
      </c>
      <c r="K68" s="91">
        <f>Impatti_Pr!AI17+Impatti_Pr!AT17</f>
        <v>2.4916260900000002E-8</v>
      </c>
      <c r="L68" s="90">
        <f>Impatti_Pr!AI18+Impatti_Pr!AT18</f>
        <v>1.4287838699999999E-3</v>
      </c>
    </row>
    <row r="69" spans="1:12" s="201" customFormat="1" ht="23.1" customHeight="1" thickTop="1" thickBot="1" x14ac:dyDescent="0.3">
      <c r="A69" s="225"/>
      <c r="B69" s="198"/>
      <c r="C69" s="199"/>
      <c r="D69" s="202"/>
      <c r="E69" s="104"/>
      <c r="F69" s="104"/>
      <c r="G69" s="105"/>
      <c r="H69" s="106"/>
      <c r="I69" s="100"/>
      <c r="J69" s="100"/>
      <c r="K69" s="101"/>
      <c r="L69" s="100"/>
    </row>
    <row r="70" spans="1:12" ht="18.75" customHeight="1" thickTop="1" thickBot="1" x14ac:dyDescent="0.35">
      <c r="A70" s="229" t="s">
        <v>16</v>
      </c>
      <c r="B70" s="174" t="s">
        <v>181</v>
      </c>
      <c r="C70" s="191" t="s">
        <v>9</v>
      </c>
      <c r="D70" s="197"/>
      <c r="E70" s="78"/>
      <c r="F70" s="78"/>
      <c r="G70" s="79"/>
      <c r="H70" s="92"/>
      <c r="I70" s="78"/>
      <c r="J70" s="78"/>
      <c r="K70" s="79"/>
      <c r="L70" s="78"/>
    </row>
    <row r="71" spans="1:12" ht="15" customHeight="1" thickBot="1" x14ac:dyDescent="0.3">
      <c r="A71" s="224"/>
      <c r="B71" s="157" t="s">
        <v>34</v>
      </c>
      <c r="C71" s="154">
        <v>0.2</v>
      </c>
      <c r="D71" s="194" t="s">
        <v>3</v>
      </c>
      <c r="E71" s="118">
        <f>IFERROR((VLOOKUP(B71, 'Impatti al kg'!$B$47:$F$48, 2,FALSE)*C71), "-" )</f>
        <v>2.2079688000000002</v>
      </c>
      <c r="F71" s="118">
        <f>IFERROR((VLOOKUP(B71, 'Impatti al kg'!$B$47:$F$48, 3,FALSE)*C71), "-" )</f>
        <v>27.159168000000001</v>
      </c>
      <c r="G71" s="119">
        <f>IFERROR((VLOOKUP(B71, 'Impatti al kg'!$B$47:$F$48, 4,FALSE)*C71), "-" )</f>
        <v>7.3605818000000006E-8</v>
      </c>
      <c r="H71" s="120">
        <f>IFERROR((VLOOKUP(B71, 'Impatti al kg'!$B$47:$F$48, 5,FALSE)*C71), "-" )</f>
        <v>8.4215446000000006E-3</v>
      </c>
      <c r="I71" s="78"/>
      <c r="J71" s="78"/>
      <c r="K71" s="79"/>
      <c r="L71" s="78"/>
    </row>
    <row r="72" spans="1:12" ht="16.5" customHeight="1" thickBot="1" x14ac:dyDescent="0.3">
      <c r="A72" s="224"/>
      <c r="B72" s="157" t="s">
        <v>23</v>
      </c>
      <c r="C72" s="155">
        <v>0.2</v>
      </c>
      <c r="D72" s="194" t="s">
        <v>3</v>
      </c>
      <c r="E72" s="121">
        <f>IFERROR((VLOOKUP(B72, 'Impatti al kg'!$B$47:$F$48, 2,FALSE)*C72), "-" )</f>
        <v>0.98939436000000003</v>
      </c>
      <c r="F72" s="122">
        <f>IFERROR((VLOOKUP(B72, 'Impatti al kg'!$B$47:$F$48, 3,FALSE)*C72), "-" )</f>
        <v>8.9174569999999989</v>
      </c>
      <c r="G72" s="123">
        <f>IFERROR((VLOOKUP(B72, 'Impatti al kg'!$B$47:$F$48, 4,FALSE)*C72), "-" )</f>
        <v>6.8933863999999997E-8</v>
      </c>
      <c r="H72" s="124">
        <f>IFERROR((VLOOKUP(B72, 'Impatti al kg'!$B$47:$F$48, 5,FALSE)*C72), "-" )</f>
        <v>4.8591386E-3</v>
      </c>
      <c r="I72" s="78"/>
      <c r="J72" s="78"/>
      <c r="K72" s="79"/>
      <c r="L72" s="78"/>
    </row>
    <row r="73" spans="1:12" ht="23.1" customHeight="1" thickBot="1" x14ac:dyDescent="0.3">
      <c r="A73" s="224"/>
      <c r="B73" s="195"/>
      <c r="C73" s="178"/>
      <c r="D73" s="197"/>
      <c r="E73" s="86">
        <f>SUM(E71:E72)</f>
        <v>3.1973631600000001</v>
      </c>
      <c r="F73" s="86">
        <f t="shared" ref="F73:H73" si="14">SUM(F71:F72)</f>
        <v>36.076625</v>
      </c>
      <c r="G73" s="87">
        <f t="shared" si="14"/>
        <v>1.4253968200000002E-7</v>
      </c>
      <c r="H73" s="88">
        <f t="shared" si="14"/>
        <v>1.3280683200000001E-2</v>
      </c>
      <c r="I73" s="89">
        <f>Impatti_Pr!O15+Impatti_Pr!AC15</f>
        <v>3.7516640299999997</v>
      </c>
      <c r="J73" s="90">
        <f>Impatti_Pr!O16+Impatti_Pr!AC16</f>
        <v>45.132611800000006</v>
      </c>
      <c r="K73" s="91">
        <f>Impatti_Pr!O17+Impatti_Pr!AC17</f>
        <v>1.3544252429999998E-7</v>
      </c>
      <c r="L73" s="90">
        <f>Impatti_Pr!O18+Impatti_Pr!AC18</f>
        <v>1.4484554E-2</v>
      </c>
    </row>
    <row r="74" spans="1:12" ht="19.5" customHeight="1" thickTop="1" thickBot="1" x14ac:dyDescent="0.35">
      <c r="A74" s="224"/>
      <c r="B74" s="174" t="s">
        <v>2</v>
      </c>
      <c r="C74" s="191" t="s">
        <v>203</v>
      </c>
      <c r="D74" s="197"/>
      <c r="E74" s="78"/>
      <c r="F74" s="78"/>
      <c r="G74" s="79"/>
      <c r="H74" s="92"/>
      <c r="J74" s="78"/>
      <c r="K74" s="79"/>
      <c r="L74" s="78"/>
    </row>
    <row r="75" spans="1:12" ht="16.5" customHeight="1" thickBot="1" x14ac:dyDescent="0.3">
      <c r="A75" s="224"/>
      <c r="B75" s="157" t="s">
        <v>233</v>
      </c>
      <c r="C75" s="154">
        <v>100</v>
      </c>
      <c r="D75" s="194" t="s">
        <v>0</v>
      </c>
      <c r="E75" s="93">
        <f>IFERROR((VLOOKUP(B75, 'Impatti al kg'!$B$81:$F$84, 2,FALSE)*C75*($C$71+$C$72)), "-" )</f>
        <v>6.6175695999999996E-3</v>
      </c>
      <c r="F75" s="94">
        <f>IFERROR((VLOOKUP(B75, 'Impatti al kg'!$B$81:$F$84, 3,FALSE)*C75*($C$71+$C$72)), "-" )</f>
        <v>0.1001928</v>
      </c>
      <c r="G75" s="95">
        <f>IFERROR((VLOOKUP(B75, 'Impatti al kg'!$B$81:$F$84, 4,FALSE)*C75*($C$71+$C$72)), "-" )</f>
        <v>4.6141224000000001E-10</v>
      </c>
      <c r="H75" s="96">
        <f>IFERROR((VLOOKUP(B75, 'Impatti al kg'!$B$81:$F$84, 5,FALSE)*C75*($C$71+$C$72)), "-" )</f>
        <v>2.6458960800000005E-5</v>
      </c>
      <c r="J75" s="78"/>
      <c r="K75" s="79"/>
      <c r="L75" s="78"/>
    </row>
    <row r="76" spans="1:12" ht="16.5" customHeight="1" thickBot="1" x14ac:dyDescent="0.3">
      <c r="A76" s="224"/>
      <c r="B76" s="157" t="s">
        <v>6</v>
      </c>
      <c r="C76" s="155">
        <v>500</v>
      </c>
      <c r="D76" s="194" t="s">
        <v>0</v>
      </c>
      <c r="E76" s="93">
        <f>IFERROR((VLOOKUP(B76, 'Impatti al kg'!$B$81:$F$84, 2,FALSE)*C76*($C$71+$C$72)), "-" )</f>
        <v>2.3191376E-3</v>
      </c>
      <c r="F76" s="94">
        <f>IFERROR((VLOOKUP(B76, 'Impatti al kg'!$B$81:$F$84, 3,FALSE)*C76*($C$71+$C$72)), "-" )</f>
        <v>3.2477578E-2</v>
      </c>
      <c r="G76" s="95">
        <f>IFERROR((VLOOKUP(B76, 'Impatti al kg'!$B$81:$F$84, 4,FALSE)*C76*($C$71+$C$72)), "-" )</f>
        <v>6.8136771999999995E-11</v>
      </c>
      <c r="H76" s="96">
        <f>IFERROR((VLOOKUP(B76, 'Impatti al kg'!$B$81:$F$84, 5,FALSE)*C76*($C$71+$C$72)), "-" )</f>
        <v>5.7690562000000002E-5</v>
      </c>
      <c r="J76" s="78"/>
      <c r="K76" s="79"/>
      <c r="L76" s="78"/>
    </row>
    <row r="77" spans="1:12" ht="16.5" customHeight="1" thickBot="1" x14ac:dyDescent="0.3">
      <c r="A77" s="224"/>
      <c r="B77" s="157"/>
      <c r="C77" s="154"/>
      <c r="D77" s="194" t="s">
        <v>0</v>
      </c>
      <c r="E77" s="75" t="str">
        <f>IFERROR((VLOOKUP(B77, 'Impatti al kg'!$B$81:$F$84, 2,FALSE)*C77*($C$71+$C$72)), "-" )</f>
        <v>-</v>
      </c>
      <c r="F77" s="75" t="str">
        <f>IFERROR((VLOOKUP(B77, 'Impatti al kg'!$B$81:$F$84, 3,FALSE)*C77*($C$71+$C$72)), "-" )</f>
        <v>-</v>
      </c>
      <c r="G77" s="76" t="str">
        <f>IFERROR((VLOOKUP(B77, 'Impatti al kg'!$B$81:$F$84, 4,FALSE)*C77*($C$71+$C$72)), "-" )</f>
        <v>-</v>
      </c>
      <c r="H77" s="77" t="str">
        <f>IFERROR((VLOOKUP(B77, 'Impatti al kg'!$B$81:$F$84, 5,FALSE)*C77*($C$71+$C$72)), "-" )</f>
        <v>-</v>
      </c>
      <c r="J77" s="78"/>
      <c r="K77" s="79"/>
      <c r="L77" s="78"/>
    </row>
    <row r="78" spans="1:12" s="103" customFormat="1" ht="15.75" customHeight="1" thickBot="1" x14ac:dyDescent="0.3">
      <c r="A78" s="224"/>
      <c r="B78" s="159"/>
      <c r="C78" s="160"/>
      <c r="D78" s="197" t="s">
        <v>0</v>
      </c>
      <c r="E78" s="80" t="str">
        <f>IFERROR((VLOOKUP(B78, 'Impatti al kg'!$B$81:$F$84, 2,FALSE)*C78*($C$71+$C$72)), "-" )</f>
        <v>-</v>
      </c>
      <c r="F78" s="81" t="str">
        <f>IFERROR((VLOOKUP(B78, 'Impatti al kg'!$B$81:$F$84, 3,FALSE)*C78*($C$71+$C$72)), "-" )</f>
        <v>-</v>
      </c>
      <c r="G78" s="82" t="str">
        <f>IFERROR((VLOOKUP(B78, 'Impatti al kg'!$B$81:$F$84, 4,FALSE)*C78*($C$71+$C$72)), "-" )</f>
        <v>-</v>
      </c>
      <c r="H78" s="83" t="str">
        <f>IFERROR((VLOOKUP(B78, 'Impatti al kg'!$B$81:$F$84, 5,FALSE)*C78*($C$71+$C$72)), "-" )</f>
        <v>-</v>
      </c>
      <c r="J78" s="84"/>
      <c r="K78" s="85"/>
      <c r="L78" s="84"/>
    </row>
    <row r="79" spans="1:12" s="204" customFormat="1" ht="23.1" customHeight="1" thickTop="1" thickBot="1" x14ac:dyDescent="0.3">
      <c r="A79" s="224"/>
      <c r="B79" s="203"/>
      <c r="C79" s="178"/>
      <c r="D79" s="197"/>
      <c r="E79" s="86">
        <f>SUM(E75:E78)</f>
        <v>8.9367071999999995E-3</v>
      </c>
      <c r="F79" s="86">
        <f t="shared" ref="F79:H79" si="15">SUM(F75:F78)</f>
        <v>0.13267037800000001</v>
      </c>
      <c r="G79" s="87">
        <f t="shared" si="15"/>
        <v>5.2954901200000002E-10</v>
      </c>
      <c r="H79" s="88">
        <f t="shared" si="15"/>
        <v>8.4149522800000011E-5</v>
      </c>
      <c r="I79" s="89">
        <f>Impatti_Pr!AJ15</f>
        <v>6.6175657999999998E-2</v>
      </c>
      <c r="J79" s="90">
        <f>Impatti_Pr!AJ16</f>
        <v>1.0019279999999999</v>
      </c>
      <c r="K79" s="91">
        <f>Impatti_Pr!AJ17</f>
        <v>4.6141225000000002E-9</v>
      </c>
      <c r="L79" s="90">
        <f>Impatti_Pr!AJ18</f>
        <v>2.6458961000000003E-4</v>
      </c>
    </row>
    <row r="80" spans="1:12" s="206" customFormat="1" ht="23.1" customHeight="1" thickTop="1" thickBot="1" x14ac:dyDescent="0.3">
      <c r="A80" s="225"/>
      <c r="B80" s="205"/>
      <c r="C80" s="199"/>
      <c r="D80" s="202"/>
      <c r="E80" s="125"/>
      <c r="F80" s="125"/>
      <c r="G80" s="126"/>
      <c r="H80" s="127"/>
      <c r="I80" s="128"/>
      <c r="J80" s="128"/>
      <c r="K80" s="129"/>
      <c r="L80" s="128"/>
    </row>
    <row r="81" spans="1:12" ht="20.25" customHeight="1" thickTop="1" thickBot="1" x14ac:dyDescent="0.35">
      <c r="A81" s="229" t="s">
        <v>17</v>
      </c>
      <c r="B81" s="174" t="s">
        <v>181</v>
      </c>
      <c r="C81" s="191" t="s">
        <v>9</v>
      </c>
      <c r="D81" s="197"/>
      <c r="E81" s="78"/>
      <c r="F81" s="78"/>
      <c r="G81" s="79"/>
      <c r="H81" s="92"/>
      <c r="I81" s="78"/>
      <c r="J81" s="78"/>
      <c r="K81" s="79"/>
      <c r="L81" s="78"/>
    </row>
    <row r="82" spans="1:12" ht="16.5" customHeight="1" thickBot="1" x14ac:dyDescent="0.3">
      <c r="A82" s="224"/>
      <c r="B82" s="153" t="s">
        <v>34</v>
      </c>
      <c r="C82" s="154">
        <v>0.2</v>
      </c>
      <c r="D82" s="194" t="s">
        <v>3</v>
      </c>
      <c r="E82" s="93">
        <f>IFERROR((VLOOKUP(B82, 'Impatti al kg'!$B$50:$F$51, 2,FALSE)*C82), "-" )</f>
        <v>2.2079688000000002</v>
      </c>
      <c r="F82" s="93">
        <f>IFERROR((VLOOKUP(B82, 'Impatti al kg'!$B$50:$F$51, 3,FALSE)*C82), "-" )</f>
        <v>27.159168000000001</v>
      </c>
      <c r="G82" s="95">
        <f>IFERROR((VLOOKUP(B82, 'Impatti al kg'!$B$50:$F$51, 4,FALSE)*C82), "-" )</f>
        <v>7.3605818000000006E-8</v>
      </c>
      <c r="H82" s="96">
        <f>IFERROR((VLOOKUP(B82, 'Impatti al kg'!$B$50:$F$51, 5,FALSE)*C82), "-" )</f>
        <v>8.4215446000000006E-3</v>
      </c>
    </row>
    <row r="83" spans="1:12" ht="16.5" customHeight="1" thickBot="1" x14ac:dyDescent="0.3">
      <c r="A83" s="224"/>
      <c r="B83" s="153" t="s">
        <v>23</v>
      </c>
      <c r="C83" s="155">
        <v>0.2</v>
      </c>
      <c r="D83" s="194" t="s">
        <v>3</v>
      </c>
      <c r="E83" s="107">
        <f>IFERROR((VLOOKUP(B83, 'Impatti al kg'!$B$50:$F$51, 2,FALSE)*C83), "-" )</f>
        <v>0.98939436000000003</v>
      </c>
      <c r="F83" s="108">
        <f>IFERROR((VLOOKUP(B83, 'Impatti al kg'!$B$50:$F$51, 3,FALSE)*C83), "-" )</f>
        <v>8.9174569999999989</v>
      </c>
      <c r="G83" s="109">
        <f>IFERROR((VLOOKUP(B83, 'Impatti al kg'!$B$50:$F$51, 4,FALSE)*C83), "-" )</f>
        <v>6.8933863999999997E-8</v>
      </c>
      <c r="H83" s="110">
        <f>IFERROR((VLOOKUP(B83, 'Impatti al kg'!$B$50:$F$51, 5,FALSE)*C83), "-" )</f>
        <v>4.8591386E-3</v>
      </c>
      <c r="I83" s="78"/>
      <c r="K83" s="79"/>
      <c r="L83" s="78"/>
    </row>
    <row r="84" spans="1:12" ht="23.1" customHeight="1" thickBot="1" x14ac:dyDescent="0.3">
      <c r="A84" s="224"/>
      <c r="B84" s="195"/>
      <c r="C84" s="178"/>
      <c r="D84" s="197"/>
      <c r="E84" s="86">
        <f>SUM(E82:E83)</f>
        <v>3.1973631600000001</v>
      </c>
      <c r="F84" s="86">
        <f t="shared" ref="F84:H84" si="16">SUM(F82:F83)</f>
        <v>36.076625</v>
      </c>
      <c r="G84" s="87">
        <f t="shared" si="16"/>
        <v>1.4253968200000002E-7</v>
      </c>
      <c r="H84" s="88">
        <f t="shared" si="16"/>
        <v>1.3280683200000001E-2</v>
      </c>
      <c r="I84" s="78"/>
      <c r="K84" s="79"/>
      <c r="L84" s="78"/>
    </row>
    <row r="85" spans="1:12" ht="19.5" customHeight="1" thickTop="1" thickBot="1" x14ac:dyDescent="0.4">
      <c r="A85" s="224"/>
      <c r="B85" s="174" t="s">
        <v>2</v>
      </c>
      <c r="C85" s="191" t="s">
        <v>203</v>
      </c>
      <c r="D85" s="197"/>
      <c r="E85" s="78"/>
      <c r="F85" s="78"/>
      <c r="G85" s="79"/>
      <c r="H85" s="92"/>
      <c r="J85" s="116" t="s">
        <v>210</v>
      </c>
      <c r="K85" s="79"/>
      <c r="L85" s="78"/>
    </row>
    <row r="86" spans="1:12" ht="16.5" customHeight="1" thickBot="1" x14ac:dyDescent="0.3">
      <c r="A86" s="224"/>
      <c r="B86" s="153" t="s">
        <v>233</v>
      </c>
      <c r="C86" s="154">
        <v>100</v>
      </c>
      <c r="D86" s="194" t="s">
        <v>0</v>
      </c>
      <c r="E86" s="93">
        <f>IFERROR((VLOOKUP(B86, 'Impatti al kg'!$B$81:$F$84, 2,FALSE)*C86*($C$82+$C$83)), "-" )</f>
        <v>6.6175695999999996E-3</v>
      </c>
      <c r="F86" s="94">
        <f>IFERROR((VLOOKUP(B86, 'Impatti al kg'!$B$81:$F$84, 3,FALSE)*C86*($C$82+$C$83)), "-" )</f>
        <v>0.1001928</v>
      </c>
      <c r="G86" s="95">
        <f>IFERROR((VLOOKUP(B86, 'Impatti al kg'!$B$81:$F$84,4,FALSE)*C86*($C$82+$C$83)), "-" )</f>
        <v>4.6141224000000001E-10</v>
      </c>
      <c r="H86" s="96">
        <f>IFERROR((VLOOKUP(B86, 'Impatti al kg'!$B$81:$F$84, 5,FALSE)*C86*($C$82+$C$83)), "-" )</f>
        <v>2.6458960800000005E-5</v>
      </c>
      <c r="I86" s="78"/>
      <c r="J86" s="78"/>
      <c r="K86" s="79"/>
      <c r="L86" s="78"/>
    </row>
    <row r="87" spans="1:12" ht="16.5" customHeight="1" thickBot="1" x14ac:dyDescent="0.3">
      <c r="A87" s="224"/>
      <c r="B87" s="153" t="s">
        <v>6</v>
      </c>
      <c r="C87" s="155">
        <v>500</v>
      </c>
      <c r="D87" s="194" t="s">
        <v>0</v>
      </c>
      <c r="E87" s="93">
        <f>IFERROR((VLOOKUP(B87, 'Impatti al kg'!$B$81:$F$84, 2,FALSE)*C87*($C$82+$C$83)), "-" )</f>
        <v>2.3191376E-3</v>
      </c>
      <c r="F87" s="94">
        <f>IFERROR((VLOOKUP(B87, 'Impatti al kg'!$B$81:$F$84, 3,FALSE)*C87*($C$82+$C$83)), "-" )</f>
        <v>3.2477578E-2</v>
      </c>
      <c r="G87" s="95">
        <f>IFERROR((VLOOKUP(B87, 'Impatti al kg'!$B$81:$F$84,4,FALSE)*C87*($C$82+$C$83)), "-" )</f>
        <v>6.8136771999999995E-11</v>
      </c>
      <c r="H87" s="96">
        <f>IFERROR((VLOOKUP(B87, 'Impatti al kg'!$B$81:$F$84, 5,FALSE)*C87*($C$82+$C$83)), "-" )</f>
        <v>5.7690562000000002E-5</v>
      </c>
      <c r="I87" s="78"/>
      <c r="J87" s="78"/>
      <c r="K87" s="79"/>
      <c r="L87" s="78"/>
    </row>
    <row r="88" spans="1:12" ht="16.5" customHeight="1" thickBot="1" x14ac:dyDescent="0.3">
      <c r="A88" s="224"/>
      <c r="B88" s="153"/>
      <c r="C88" s="154"/>
      <c r="D88" s="194" t="s">
        <v>0</v>
      </c>
      <c r="E88" s="75" t="str">
        <f>IFERROR((VLOOKUP(B88, 'Impatti al kg'!$B$81:$F$84, 2,FALSE)*C88*($C$82+$C$83)), "-" )</f>
        <v>-</v>
      </c>
      <c r="F88" s="75" t="str">
        <f>IFERROR((VLOOKUP(B88, 'Impatti al kg'!$B$81:$F$84, 3,FALSE)*C88*($C$82+$C$83)), "-" )</f>
        <v>-</v>
      </c>
      <c r="G88" s="76" t="str">
        <f>IFERROR((VLOOKUP(B88, 'Impatti al kg'!$B$81:$F$84,4,FALSE)*C88*($C$82+$C$83)), "-" )</f>
        <v>-</v>
      </c>
      <c r="H88" s="77" t="str">
        <f>IFERROR((VLOOKUP(B88, 'Impatti al kg'!$B$81:$F$84, 5,FALSE)*C88*($C$82+$C$83)), "-" )</f>
        <v>-</v>
      </c>
    </row>
    <row r="89" spans="1:12" s="103" customFormat="1" ht="16.5" customHeight="1" thickBot="1" x14ac:dyDescent="0.3">
      <c r="A89" s="224"/>
      <c r="B89" s="161"/>
      <c r="C89" s="160"/>
      <c r="D89" s="197" t="s">
        <v>0</v>
      </c>
      <c r="E89" s="80" t="str">
        <f>IFERROR((VLOOKUP(B89, 'Impatti al kg'!$B$81:$F$84, 2,FALSE)*C89*($C$82+$C$83)), "-" )</f>
        <v>-</v>
      </c>
      <c r="F89" s="81" t="str">
        <f>IFERROR((VLOOKUP(B89, 'Impatti al kg'!$B$81:$F$84, 3,FALSE)*C89*($C$82+$C$83)), "-" )</f>
        <v>-</v>
      </c>
      <c r="G89" s="82" t="str">
        <f>IFERROR((VLOOKUP(B89, 'Impatti al kg'!$B$81:$F$84,4,FALSE)*C89*($C$82+$C$83)), "-" )</f>
        <v>-</v>
      </c>
      <c r="H89" s="83" t="str">
        <f>IFERROR((VLOOKUP(B89, 'Impatti al kg'!$B$81:$F$84, 5,FALSE)*C89*($C$82+$C$83)), "-" )</f>
        <v>-</v>
      </c>
      <c r="I89" s="84"/>
      <c r="J89" s="84"/>
      <c r="K89" s="85"/>
      <c r="L89" s="84"/>
    </row>
    <row r="90" spans="1:12" s="103" customFormat="1" ht="23.1" customHeight="1" thickTop="1" thickBot="1" x14ac:dyDescent="0.3">
      <c r="A90" s="224"/>
      <c r="B90" s="195"/>
      <c r="C90" s="178"/>
      <c r="D90" s="197"/>
      <c r="E90" s="86">
        <f>SUM(E86:E89)</f>
        <v>8.9367071999999995E-3</v>
      </c>
      <c r="F90" s="86">
        <f t="shared" ref="F90:H90" si="17">SUM(F86:F89)</f>
        <v>0.13267037800000001</v>
      </c>
      <c r="G90" s="87">
        <f t="shared" si="17"/>
        <v>5.2954901200000002E-10</v>
      </c>
      <c r="H90" s="88">
        <f t="shared" si="17"/>
        <v>8.4149522800000011E-5</v>
      </c>
      <c r="I90" s="78"/>
      <c r="J90" s="78"/>
      <c r="K90" s="79"/>
      <c r="L90" s="78"/>
    </row>
    <row r="91" spans="1:12" s="201" customFormat="1" ht="23.1" customHeight="1" thickTop="1" thickBot="1" x14ac:dyDescent="0.3">
      <c r="A91" s="225"/>
      <c r="B91" s="198"/>
      <c r="C91" s="199"/>
      <c r="D91" s="202"/>
      <c r="E91" s="130"/>
      <c r="F91" s="130"/>
      <c r="G91" s="131"/>
      <c r="H91" s="132"/>
      <c r="I91" s="100"/>
      <c r="J91" s="100"/>
      <c r="K91" s="101"/>
      <c r="L91" s="100"/>
    </row>
    <row r="92" spans="1:12" ht="18" customHeight="1" thickTop="1" thickBot="1" x14ac:dyDescent="0.35">
      <c r="A92" s="229" t="s">
        <v>18</v>
      </c>
      <c r="B92" s="174" t="s">
        <v>181</v>
      </c>
      <c r="C92" s="191" t="s">
        <v>9</v>
      </c>
      <c r="D92" s="197"/>
      <c r="E92" s="78"/>
      <c r="F92" s="78"/>
      <c r="G92" s="79"/>
      <c r="H92" s="92"/>
      <c r="I92" s="78"/>
      <c r="J92" s="78"/>
      <c r="K92" s="79"/>
      <c r="L92" s="78"/>
    </row>
    <row r="93" spans="1:12" ht="15.75" customHeight="1" thickBot="1" x14ac:dyDescent="0.3">
      <c r="A93" s="224"/>
      <c r="B93" s="153" t="s">
        <v>23</v>
      </c>
      <c r="C93" s="154">
        <v>0.2</v>
      </c>
      <c r="D93" s="194" t="s">
        <v>3</v>
      </c>
      <c r="E93" s="93">
        <f>IFERROR((VLOOKUP(B93, 'Impatti al kg'!$B$53:$F$55, 2,FALSE)*C93), "-" )</f>
        <v>0.98939436000000003</v>
      </c>
      <c r="F93" s="93">
        <f>IFERROR((VLOOKUP(B93, 'Impatti al kg'!$B$53:$F$55, 3,FALSE)*C93), "-" )</f>
        <v>8.9174569999999989</v>
      </c>
      <c r="G93" s="95">
        <f>IFERROR((VLOOKUP(B93, 'Impatti al kg'!$B$53:$F$55, 4,FALSE)*C93), "-" )</f>
        <v>6.8933863999999997E-8</v>
      </c>
      <c r="H93" s="96">
        <f>IFERROR((VLOOKUP(B93, 'Impatti al kg'!$B$53:$F$55, 5,FALSE)*C93), "-" )</f>
        <v>4.8591386E-3</v>
      </c>
      <c r="I93" s="78"/>
      <c r="J93" s="78"/>
      <c r="K93" s="79"/>
      <c r="L93" s="78"/>
    </row>
    <row r="94" spans="1:12" ht="15.75" customHeight="1" thickBot="1" x14ac:dyDescent="0.3">
      <c r="A94" s="224"/>
      <c r="B94" s="153" t="s">
        <v>40</v>
      </c>
      <c r="C94" s="155">
        <v>0.2</v>
      </c>
      <c r="D94" s="194" t="s">
        <v>3</v>
      </c>
      <c r="E94" s="93">
        <f>IFERROR((VLOOKUP(B94, 'Impatti al kg'!$B$53:$F$55, 2,FALSE)*C94), "-" )</f>
        <v>0.68030888000000012</v>
      </c>
      <c r="F94" s="93">
        <f>IFERROR((VLOOKUP(B94, 'Impatti al kg'!$B$53:$F$55, 3,FALSE)*C94), "-" )</f>
        <v>14.243682000000002</v>
      </c>
      <c r="G94" s="95">
        <f>IFERROR((VLOOKUP(B94, 'Impatti al kg'!$B$53:$F$55, 4,FALSE)*C94), "-" )</f>
        <v>1.0997766000000002E-8</v>
      </c>
      <c r="H94" s="96">
        <f>IFERROR((VLOOKUP(B94, 'Impatti al kg'!$B$53:$F$55, 5,FALSE)*C94), "-" )</f>
        <v>1.2875746800000002E-3</v>
      </c>
      <c r="I94" s="78"/>
      <c r="J94" s="78"/>
      <c r="K94" s="79"/>
      <c r="L94" s="78"/>
    </row>
    <row r="95" spans="1:12" ht="15.75" customHeight="1" thickBot="1" x14ac:dyDescent="0.3">
      <c r="A95" s="224"/>
      <c r="B95" s="153" t="s">
        <v>35</v>
      </c>
      <c r="C95" s="155">
        <v>0.1</v>
      </c>
      <c r="D95" s="194" t="s">
        <v>3</v>
      </c>
      <c r="E95" s="107">
        <f>IFERROR((VLOOKUP(B95, 'Impatti al kg'!$B$53:$F$55, 2,FALSE)*C95), "-" )</f>
        <v>9.0273044999999996E-3</v>
      </c>
      <c r="F95" s="108">
        <f>IFERROR((VLOOKUP(B95, 'Impatti al kg'!$B$53:$F$55, 3,FALSE)*C95), "-" )</f>
        <v>0.16615120000000003</v>
      </c>
      <c r="G95" s="109">
        <f>IFERROR((VLOOKUP(B95, 'Impatti al kg'!$B$53:$F$55, 4,FALSE)*C95), "-" )</f>
        <v>7.6716499000000007E-10</v>
      </c>
      <c r="H95" s="110">
        <f>IFERROR((VLOOKUP(B95, 'Impatti al kg'!$B$53:$F$55, 5,FALSE)*C95), "-" )</f>
        <v>7.6195968000000006E-5</v>
      </c>
      <c r="I95" s="78"/>
      <c r="J95" s="78"/>
      <c r="K95" s="79"/>
      <c r="L95" s="78"/>
    </row>
    <row r="96" spans="1:12" ht="23.1" customHeight="1" thickBot="1" x14ac:dyDescent="0.3">
      <c r="A96" s="224"/>
      <c r="B96" s="195"/>
      <c r="C96" s="178"/>
      <c r="D96" s="197"/>
      <c r="E96" s="86">
        <f>SUM(E93:E95)</f>
        <v>1.6787305445</v>
      </c>
      <c r="F96" s="86">
        <f t="shared" ref="F96:H96" si="18">SUM(F93:F95)</f>
        <v>23.3272902</v>
      </c>
      <c r="G96" s="87">
        <f t="shared" si="18"/>
        <v>8.0698794989999993E-8</v>
      </c>
      <c r="H96" s="88">
        <f t="shared" si="18"/>
        <v>6.2229092480000003E-3</v>
      </c>
      <c r="I96" s="89">
        <f>Impatti_Pr!L15+Impatti_Pr!AA15</f>
        <v>4.8835932999999994</v>
      </c>
      <c r="J96" s="90">
        <f>Impatti_Pr!L16+Impatti_Pr!AA16</f>
        <v>51.622753000000003</v>
      </c>
      <c r="K96" s="91">
        <f>Impatti_Pr!L17+Impatti_Pr!AA17</f>
        <v>2.9577015000000002E-7</v>
      </c>
      <c r="L96" s="90">
        <f>Impatti_Pr!L18+Impatti_Pr!AA18</f>
        <v>2.2782737000000001E-2</v>
      </c>
    </row>
    <row r="97" spans="1:12" ht="17.25" customHeight="1" thickTop="1" thickBot="1" x14ac:dyDescent="0.35">
      <c r="A97" s="224"/>
      <c r="B97" s="174" t="s">
        <v>2</v>
      </c>
      <c r="C97" s="191" t="s">
        <v>203</v>
      </c>
      <c r="D97" s="197"/>
      <c r="E97" s="78"/>
      <c r="F97" s="78"/>
      <c r="G97" s="79"/>
      <c r="H97" s="92"/>
      <c r="J97" s="78"/>
      <c r="K97" s="79"/>
      <c r="L97" s="78"/>
    </row>
    <row r="98" spans="1:12" ht="15.75" customHeight="1" thickBot="1" x14ac:dyDescent="0.3">
      <c r="A98" s="224"/>
      <c r="B98" s="153" t="s">
        <v>233</v>
      </c>
      <c r="C98" s="154">
        <v>100</v>
      </c>
      <c r="D98" s="194" t="s">
        <v>0</v>
      </c>
      <c r="E98" s="93">
        <f>IFERROR((VLOOKUP(B98, 'Impatti al kg'!$B$81:$F$84, 2,FALSE)*C98*($C$93+$C$94+$C$95)), "-" )</f>
        <v>8.271961999999999E-3</v>
      </c>
      <c r="F98" s="94">
        <f>IFERROR((VLOOKUP(B98, 'Impatti al kg'!$B$81:$F$84, 3,FALSE)*C98*($C$93+$C$94+$C$95)), "-" )</f>
        <v>0.12524099999999999</v>
      </c>
      <c r="G98" s="95">
        <f>IFERROR((VLOOKUP(B98, 'Impatti al kg'!$B$81:$F$84, 4,FALSE)*C98*($C$93+$C$94+$C$95)), "-" )</f>
        <v>5.7676530000000002E-10</v>
      </c>
      <c r="H98" s="96">
        <f>IFERROR((VLOOKUP(B98, 'Impatti al kg'!$B$81:$F$84, 5,FALSE)*C98*($C$93+$C$94+$C$95)), "-" )</f>
        <v>3.3073701000000004E-5</v>
      </c>
      <c r="J98" s="78"/>
      <c r="K98" s="79"/>
      <c r="L98" s="78"/>
    </row>
    <row r="99" spans="1:12" ht="15.75" customHeight="1" thickBot="1" x14ac:dyDescent="0.3">
      <c r="A99" s="224"/>
      <c r="B99" s="153" t="s">
        <v>6</v>
      </c>
      <c r="C99" s="155">
        <v>500</v>
      </c>
      <c r="D99" s="194" t="s">
        <v>0</v>
      </c>
      <c r="E99" s="93">
        <f>IFERROR((VLOOKUP(B99, 'Impatti al kg'!$B$81:$F$84, 2,FALSE)*C99*($C$93+$C$94+$C$95)), "-" )</f>
        <v>2.898922E-3</v>
      </c>
      <c r="F99" s="94">
        <f>IFERROR((VLOOKUP(B99, 'Impatti al kg'!$B$81:$F$84, 3,FALSE)*C99*($C$93+$C$94+$C$95)), "-" )</f>
        <v>4.0596972500000002E-2</v>
      </c>
      <c r="G99" s="95">
        <f>IFERROR((VLOOKUP(B99, 'Impatti al kg'!$B$81:$F$84, 4,FALSE)*C99*($C$93+$C$94+$C$95)), "-" )</f>
        <v>8.5170964999999996E-11</v>
      </c>
      <c r="H99" s="96">
        <f>IFERROR((VLOOKUP(B99, 'Impatti al kg'!$B$81:$F$84, 5,FALSE)*C99*($C$93+$C$94+$C$95)), "-" )</f>
        <v>7.2113202499999996E-5</v>
      </c>
      <c r="J99" s="78"/>
      <c r="K99" s="79"/>
      <c r="L99" s="78"/>
    </row>
    <row r="100" spans="1:12" ht="15.75" customHeight="1" thickBot="1" x14ac:dyDescent="0.3">
      <c r="A100" s="224"/>
      <c r="B100" s="153"/>
      <c r="C100" s="154"/>
      <c r="D100" s="194" t="s">
        <v>0</v>
      </c>
      <c r="E100" s="75" t="str">
        <f>IFERROR((VLOOKUP(B100, 'Impatti al kg'!$B$81:$F$84, 2,FALSE)*C100*($C$93+$C$94+$C$95)), "-" )</f>
        <v>-</v>
      </c>
      <c r="F100" s="75" t="str">
        <f>IFERROR((VLOOKUP(B100, 'Impatti al kg'!$B$81:$F$84, 3,FALSE)*C100*($C$93+$C$94+$C$95)), "-" )</f>
        <v>-</v>
      </c>
      <c r="G100" s="76" t="str">
        <f>IFERROR((VLOOKUP(B100, 'Impatti al kg'!$B$81:$F$84, 4,FALSE)*C100*($C$93+$C$94+$C$95)), "-" )</f>
        <v>-</v>
      </c>
      <c r="H100" s="77" t="str">
        <f>IFERROR((VLOOKUP(B100, 'Impatti al kg'!$B$81:$F$84, 5,FALSE)*C100*($C$93+$C$94+$C$95)), "-" )</f>
        <v>-</v>
      </c>
      <c r="J100" s="78"/>
      <c r="K100" s="79"/>
      <c r="L100" s="78"/>
    </row>
    <row r="101" spans="1:12" s="103" customFormat="1" ht="15" customHeight="1" thickBot="1" x14ac:dyDescent="0.3">
      <c r="A101" s="224"/>
      <c r="B101" s="161"/>
      <c r="C101" s="160"/>
      <c r="D101" s="197" t="s">
        <v>0</v>
      </c>
      <c r="E101" s="80" t="str">
        <f>IFERROR((VLOOKUP(B101, 'Impatti al kg'!$B$81:$F$84, 2,FALSE)*C101*($C$93+$C$94+$C$95)), "-" )</f>
        <v>-</v>
      </c>
      <c r="F101" s="81" t="str">
        <f>IFERROR((VLOOKUP(B101, 'Impatti al kg'!$B$81:$F$84, 3,FALSE)*C101*($C$93+$C$94+$C$95)), "-" )</f>
        <v>-</v>
      </c>
      <c r="G101" s="82" t="str">
        <f>IFERROR((VLOOKUP(B101, 'Impatti al kg'!$B$81:$F$84, 4,FALSE)*C101*($C$93+$C$94+$C$95)), "-" )</f>
        <v>-</v>
      </c>
      <c r="H101" s="83" t="str">
        <f>IFERROR((VLOOKUP(B101, 'Impatti al kg'!$B$81:$F$84, 5,FALSE)*C101*($C$93+$C$94+$C$95)), "-" )</f>
        <v>-</v>
      </c>
      <c r="J101" s="84"/>
      <c r="K101" s="85"/>
      <c r="L101" s="84"/>
    </row>
    <row r="102" spans="1:12" s="103" customFormat="1" ht="23.1" customHeight="1" thickTop="1" thickBot="1" x14ac:dyDescent="0.3">
      <c r="A102" s="224"/>
      <c r="B102" s="195"/>
      <c r="C102" s="178"/>
      <c r="D102" s="197"/>
      <c r="E102" s="86">
        <f>SUM(E98:E101)</f>
        <v>1.1170883999999999E-2</v>
      </c>
      <c r="F102" s="86">
        <f>SUM(F98:F101)</f>
        <v>0.16583797249999999</v>
      </c>
      <c r="G102" s="87">
        <f>SUM(G98:G101)</f>
        <v>6.61936265E-10</v>
      </c>
      <c r="H102" s="88">
        <f>SUM(H98:H101)</f>
        <v>1.051869035E-4</v>
      </c>
      <c r="I102" s="89">
        <f>Impatti_Pr!AS15</f>
        <v>0.14558645000000001</v>
      </c>
      <c r="J102" s="90">
        <f>Impatti_Pr!AS16</f>
        <v>2.2042416</v>
      </c>
      <c r="K102" s="91">
        <f>Impatti_Pr!AS17</f>
        <v>1.0151069E-8</v>
      </c>
      <c r="L102" s="90">
        <f>Impatti_Pr!AS18</f>
        <v>5.8209712999999998E-4</v>
      </c>
    </row>
    <row r="103" spans="1:12" s="201" customFormat="1" ht="23.1" customHeight="1" thickTop="1" thickBot="1" x14ac:dyDescent="0.3">
      <c r="A103" s="225"/>
      <c r="B103" s="198"/>
      <c r="C103" s="199"/>
      <c r="D103" s="202"/>
      <c r="E103" s="104"/>
      <c r="F103" s="104"/>
      <c r="G103" s="105"/>
      <c r="H103" s="106"/>
      <c r="I103" s="100"/>
      <c r="J103" s="100"/>
      <c r="K103" s="101"/>
      <c r="L103" s="100"/>
    </row>
    <row r="104" spans="1:12" ht="20.25" customHeight="1" thickTop="1" thickBot="1" x14ac:dyDescent="0.35">
      <c r="A104" s="229" t="s">
        <v>19</v>
      </c>
      <c r="B104" s="174" t="s">
        <v>181</v>
      </c>
      <c r="C104" s="191" t="s">
        <v>9</v>
      </c>
      <c r="D104" s="197"/>
      <c r="E104" s="84"/>
      <c r="F104" s="84"/>
      <c r="G104" s="85"/>
      <c r="H104" s="92"/>
      <c r="I104" s="84"/>
      <c r="J104" s="84"/>
      <c r="K104" s="85"/>
      <c r="L104" s="84"/>
    </row>
    <row r="105" spans="1:12" ht="16.5" customHeight="1" thickBot="1" x14ac:dyDescent="0.3">
      <c r="A105" s="224"/>
      <c r="B105" s="153" t="s">
        <v>34</v>
      </c>
      <c r="C105" s="154">
        <v>0.2</v>
      </c>
      <c r="D105" s="194" t="s">
        <v>3</v>
      </c>
      <c r="E105" s="93">
        <f>IFERROR((VLOOKUP(B105, 'Impatti al kg'!$B$57:$F$59, 2,FALSE)*C105), "-" )</f>
        <v>2.2079688000000002</v>
      </c>
      <c r="F105" s="93">
        <f>IFERROR((VLOOKUP(B105, 'Impatti al kg'!$B$57:$F$59,3,FALSE)*C105), "-" )</f>
        <v>27.159168000000001</v>
      </c>
      <c r="G105" s="95">
        <f>IFERROR((VLOOKUP(B105, 'Impatti al kg'!$B$57:$F$59, 4,FALSE)*C105), "-" )</f>
        <v>7.3605818000000006E-8</v>
      </c>
      <c r="H105" s="96">
        <f>IFERROR((VLOOKUP(B105, 'Impatti al kg'!$B$57:$F$59, 5,FALSE)*C105), "-" )</f>
        <v>8.4215446000000006E-3</v>
      </c>
      <c r="I105" s="78"/>
      <c r="J105" s="78"/>
      <c r="K105" s="79"/>
      <c r="L105" s="78"/>
    </row>
    <row r="106" spans="1:12" ht="16.5" customHeight="1" thickBot="1" x14ac:dyDescent="0.3">
      <c r="A106" s="224"/>
      <c r="B106" s="153" t="s">
        <v>23</v>
      </c>
      <c r="C106" s="155">
        <v>0.2</v>
      </c>
      <c r="D106" s="194" t="s">
        <v>3</v>
      </c>
      <c r="E106" s="93">
        <f>IFERROR((VLOOKUP(B106, 'Impatti al kg'!$B$57:$F$59, 2,FALSE)*C106), "-" )</f>
        <v>0.98939436000000003</v>
      </c>
      <c r="F106" s="93">
        <f>IFERROR((VLOOKUP(B106, 'Impatti al kg'!$B$57:$F$59,3,FALSE)*C106), "-" )</f>
        <v>8.9174569999999989</v>
      </c>
      <c r="G106" s="95">
        <f>IFERROR((VLOOKUP(B106, 'Impatti al kg'!$B$57:$F$59, 4,FALSE)*C106), "-" )</f>
        <v>6.8933863999999997E-8</v>
      </c>
      <c r="H106" s="96">
        <f>IFERROR((VLOOKUP(B106, 'Impatti al kg'!$B$57:$F$59, 5,FALSE)*C106), "-" )</f>
        <v>4.8591386E-3</v>
      </c>
      <c r="I106" s="78"/>
      <c r="J106" s="78"/>
      <c r="K106" s="79"/>
      <c r="L106" s="78"/>
    </row>
    <row r="107" spans="1:12" ht="16.5" customHeight="1" thickBot="1" x14ac:dyDescent="0.3">
      <c r="A107" s="224"/>
      <c r="B107" s="153" t="s">
        <v>22</v>
      </c>
      <c r="C107" s="155">
        <v>0.2</v>
      </c>
      <c r="D107" s="194" t="s">
        <v>3</v>
      </c>
      <c r="E107" s="107">
        <f>IFERROR((VLOOKUP(B107, 'Impatti al kg'!$B$57:$F$59, 2,FALSE)*C107), "-" )</f>
        <v>4.5207973739999998</v>
      </c>
      <c r="F107" s="108">
        <f>IFERROR((VLOOKUP(B107, 'Impatti al kg'!$B$57:$F$59,3,FALSE)*C107), "-" )</f>
        <v>38.0376756</v>
      </c>
      <c r="G107" s="109">
        <f>IFERROR((VLOOKUP(B107, 'Impatti al kg'!$B$57:$F$59, 4,FALSE)*C107), "-" )</f>
        <v>2.8401569100000001E-7</v>
      </c>
      <c r="H107" s="110">
        <f>IFERROR((VLOOKUP(B107, 'Impatti al kg'!$B$57:$F$59, 5,FALSE)*C107), "-" )</f>
        <v>2.7968057139999999E-2</v>
      </c>
      <c r="I107" s="78"/>
      <c r="J107" s="78"/>
      <c r="K107" s="79"/>
      <c r="L107" s="78"/>
    </row>
    <row r="108" spans="1:12" ht="23.1" customHeight="1" thickBot="1" x14ac:dyDescent="0.3">
      <c r="A108" s="224"/>
      <c r="B108" s="195"/>
      <c r="C108" s="178"/>
      <c r="D108" s="197"/>
      <c r="E108" s="86">
        <f>SUM(E105:E107)</f>
        <v>7.7181605339999999</v>
      </c>
      <c r="F108" s="86">
        <f t="shared" ref="F108:H108" si="19">SUM(F105:F107)</f>
        <v>74.114300600000007</v>
      </c>
      <c r="G108" s="87">
        <f t="shared" si="19"/>
        <v>4.2655537300000003E-7</v>
      </c>
      <c r="H108" s="88">
        <f t="shared" si="19"/>
        <v>4.1248740339999999E-2</v>
      </c>
      <c r="I108" s="89">
        <f>Impatti_Pr!E15+Impatti_Pr!T15</f>
        <v>23.142576600000002</v>
      </c>
      <c r="J108" s="90">
        <f>Impatti_Pr!E16+Impatti_Pr!T16</f>
        <v>261.92533900000001</v>
      </c>
      <c r="K108" s="91">
        <f>Impatti_Pr!E17+Impatti_Pr!T17</f>
        <v>1.1439009290000001E-6</v>
      </c>
      <c r="L108" s="90">
        <f>Impatti_Pr!E18+Impatti_Pr!T18</f>
        <v>0.110158724</v>
      </c>
    </row>
    <row r="109" spans="1:12" ht="19.5" customHeight="1" thickTop="1" thickBot="1" x14ac:dyDescent="0.35">
      <c r="A109" s="224"/>
      <c r="B109" s="174" t="s">
        <v>2</v>
      </c>
      <c r="C109" s="191" t="s">
        <v>203</v>
      </c>
      <c r="D109" s="197"/>
      <c r="E109" s="84"/>
      <c r="F109" s="84"/>
      <c r="G109" s="85"/>
      <c r="H109" s="92"/>
      <c r="J109" s="84"/>
      <c r="K109" s="85"/>
      <c r="L109" s="84"/>
    </row>
    <row r="110" spans="1:12" ht="16.5" customHeight="1" thickBot="1" x14ac:dyDescent="0.3">
      <c r="A110" s="224"/>
      <c r="B110" s="153" t="s">
        <v>233</v>
      </c>
      <c r="C110" s="154">
        <v>100</v>
      </c>
      <c r="D110" s="194" t="s">
        <v>0</v>
      </c>
      <c r="E110" s="93">
        <f>IFERROR((VLOOKUP(B110, 'Impatti al kg'!$B$81:$F$84, 2,FALSE)*C110*($C$105+$C$106+$C$107)), "-" )</f>
        <v>9.9263544000000002E-3</v>
      </c>
      <c r="F110" s="94">
        <f>IFERROR((VLOOKUP(B110, 'Impatti al kg'!$B$81:$F$84, 3,FALSE)*C110*($C$105+$C$106+$C$107)), "-" )</f>
        <v>0.15028920000000001</v>
      </c>
      <c r="G110" s="95">
        <f>IFERROR((VLOOKUP(B110, 'Impatti al kg'!$B$81:$F$84, 4,FALSE)*C110*($C$105+$C$106+$C$107)), "-" )</f>
        <v>6.9211836000000012E-10</v>
      </c>
      <c r="H110" s="96">
        <f>IFERROR((VLOOKUP(B110, 'Impatti al kg'!$B$81:$F$84, 5,FALSE)*C110*($C$105+$C$106+$C$107)), "-" )</f>
        <v>3.9688441200000013E-5</v>
      </c>
      <c r="J110" s="78"/>
      <c r="K110" s="79"/>
      <c r="L110" s="78"/>
    </row>
    <row r="111" spans="1:12" ht="16.5" customHeight="1" thickBot="1" x14ac:dyDescent="0.3">
      <c r="A111" s="224"/>
      <c r="B111" s="153" t="s">
        <v>6</v>
      </c>
      <c r="C111" s="155">
        <v>500</v>
      </c>
      <c r="D111" s="194" t="s">
        <v>0</v>
      </c>
      <c r="E111" s="93">
        <f>IFERROR((VLOOKUP(B111, 'Impatti al kg'!$B$81:$F$84, 2,FALSE)*C111*($C$105+$C$106+$C$107)), "-" )</f>
        <v>3.4787064000000004E-3</v>
      </c>
      <c r="F111" s="94">
        <f>IFERROR((VLOOKUP(B111, 'Impatti al kg'!$B$81:$F$84, 3,FALSE)*C111*($C$105+$C$106+$C$107)), "-" )</f>
        <v>4.871636700000001E-2</v>
      </c>
      <c r="G111" s="95">
        <f>IFERROR((VLOOKUP(B111, 'Impatti al kg'!$B$81:$F$84, 4,FALSE)*C111*($C$105+$C$106+$C$107)), "-" )</f>
        <v>1.0220515800000001E-10</v>
      </c>
      <c r="H111" s="96">
        <f>IFERROR((VLOOKUP(B111, 'Impatti al kg'!$B$81:$F$84, 5,FALSE)*C111*($C$105+$C$106+$C$107)), "-" )</f>
        <v>8.6535843000000003E-5</v>
      </c>
      <c r="J111" s="78"/>
      <c r="K111" s="79"/>
      <c r="L111" s="78"/>
    </row>
    <row r="112" spans="1:12" ht="16.5" customHeight="1" thickBot="1" x14ac:dyDescent="0.3">
      <c r="A112" s="224"/>
      <c r="B112" s="153"/>
      <c r="C112" s="154"/>
      <c r="D112" s="194" t="s">
        <v>0</v>
      </c>
      <c r="E112" s="75" t="str">
        <f>IFERROR((VLOOKUP(B112, 'Impatti al kg'!$B$81:$F$84, 2,FALSE)*C112*($C$105+$C$106+$C$107)), "-" )</f>
        <v>-</v>
      </c>
      <c r="F112" s="75" t="str">
        <f>IFERROR((VLOOKUP(B112, 'Impatti al kg'!$B$81:$F$84, 3,FALSE)*C112*($C$105+$C$106+$C$107)), "-" )</f>
        <v>-</v>
      </c>
      <c r="G112" s="76" t="str">
        <f>IFERROR((VLOOKUP(B112, 'Impatti al kg'!$B$81:$F$84, 4,FALSE)*C112*($C$105+$C$106+$C$107)), "-" )</f>
        <v>-</v>
      </c>
      <c r="H112" s="77" t="str">
        <f>IFERROR((VLOOKUP(B112, 'Impatti al kg'!$B$81:$F$84, 5,FALSE)*C112*($C$105+$C$106+$C$107)), "-" )</f>
        <v>-</v>
      </c>
      <c r="J112" s="78"/>
      <c r="K112" s="79"/>
      <c r="L112" s="78"/>
    </row>
    <row r="113" spans="1:12" s="103" customFormat="1" ht="16.5" customHeight="1" thickBot="1" x14ac:dyDescent="0.3">
      <c r="A113" s="224"/>
      <c r="B113" s="161"/>
      <c r="C113" s="160"/>
      <c r="D113" s="197" t="s">
        <v>0</v>
      </c>
      <c r="E113" s="80" t="str">
        <f>IFERROR((VLOOKUP(B113, 'Impatti al kg'!$B$81:$F$84, 2,FALSE)*C113*($C$105+$C$106+$C$107)), "-" )</f>
        <v>-</v>
      </c>
      <c r="F113" s="81" t="str">
        <f>IFERROR((VLOOKUP(B113, 'Impatti al kg'!$B$81:$F$84, 3,FALSE)*C113*($C$105+$C$106+$C$107)), "-" )</f>
        <v>-</v>
      </c>
      <c r="G113" s="82" t="str">
        <f>IFERROR((VLOOKUP(B113, 'Impatti al kg'!$B$81:$F$84, 4,FALSE)*C113*($C$105+$C$106+$C$107)), "-" )</f>
        <v>-</v>
      </c>
      <c r="H113" s="83" t="str">
        <f>IFERROR((VLOOKUP(B113, 'Impatti al kg'!$B$81:$F$84, 5,FALSE)*C113*($C$105+$C$106+$C$107)), "-" )</f>
        <v>-</v>
      </c>
      <c r="J113" s="84"/>
      <c r="K113" s="85"/>
      <c r="L113" s="84"/>
    </row>
    <row r="114" spans="1:12" s="103" customFormat="1" ht="23.1" customHeight="1" thickTop="1" thickBot="1" x14ac:dyDescent="0.3">
      <c r="A114" s="224"/>
      <c r="B114" s="195"/>
      <c r="C114" s="178"/>
      <c r="D114" s="197"/>
      <c r="E114" s="86">
        <f>SUM(E110:E113)</f>
        <v>1.34050608E-2</v>
      </c>
      <c r="F114" s="86">
        <f>SUM(F110:F113)</f>
        <v>0.19900556700000002</v>
      </c>
      <c r="G114" s="87">
        <f>SUM(G110:G113)</f>
        <v>7.9432351800000008E-10</v>
      </c>
      <c r="H114" s="88">
        <f>SUM(H110:H113)</f>
        <v>1.2622428420000002E-4</v>
      </c>
      <c r="I114" s="89">
        <f>Impatti_Pr!AL15</f>
        <v>0.37058369000000002</v>
      </c>
      <c r="J114" s="90">
        <f>Impatti_Pr!AL16</f>
        <v>5.6107966999999999</v>
      </c>
      <c r="K114" s="91">
        <f>Impatti_Pr!AL17</f>
        <v>2.5839086000000002E-8</v>
      </c>
      <c r="L114" s="90">
        <f>Impatti_Pr!AL18</f>
        <v>1.4817018E-3</v>
      </c>
    </row>
    <row r="115" spans="1:12" s="201" customFormat="1" ht="28.5" customHeight="1" thickTop="1" thickBot="1" x14ac:dyDescent="0.3">
      <c r="A115" s="225"/>
      <c r="B115" s="198"/>
      <c r="C115" s="199"/>
      <c r="D115" s="202"/>
      <c r="E115" s="104"/>
      <c r="F115" s="104"/>
      <c r="G115" s="105"/>
      <c r="H115" s="106"/>
      <c r="I115" s="100"/>
      <c r="J115" s="100"/>
      <c r="K115" s="101"/>
      <c r="L115" s="100"/>
    </row>
    <row r="116" spans="1:12" ht="21" customHeight="1" thickTop="1" x14ac:dyDescent="0.25">
      <c r="A116" s="243" t="s">
        <v>190</v>
      </c>
      <c r="B116" s="243"/>
      <c r="C116" s="169" t="s">
        <v>9</v>
      </c>
      <c r="D116" s="194"/>
      <c r="E116" s="236">
        <f>SUM(E5:E6,E9:E12,E16:E18,E21:E24,E28,E31:E34,E38:E40,E43:E46,E50,E53:E56,E60:E61,E64:E67,E71:E72,E75:E78,E82:E83,E86:E89,E93:E95,E98:E101,E105:E107,E110:E113)</f>
        <v>56.015756866180006</v>
      </c>
      <c r="F116" s="236">
        <f>SUM(F5:F6,F9:F12,F16:F18,F21:F24,F28,F31:F34,F38:F40,F43:F46,F50,F53:F56,F60:F61,F64:F67,F71:F72,F75:F78,F82:F83,F86:F89,F93:F95,F98:F101,F105:F107,F110:F113)</f>
        <v>707.85137001864985</v>
      </c>
      <c r="G116" s="238">
        <f>SUM(G5:G6,G9:G12,G16:G18,G21:G24,G28,G31:G34,G38:G40,G43:G46,G50,G53:G56,G60:G61,G64:G67,G71:G72,G75:G78,G82:G83,G86:G89,G93:G95,G98:G101,G105:G107,G110:G113)</f>
        <v>2.8246242328601004E-6</v>
      </c>
      <c r="H116" s="241">
        <f>SUM(H5:H6,H9:H12,H16:H18,H21:H24,H28,H31:H34,H38:H40,H43:H46,H50,H53:H56,H60:H61,H64:H67,H71:H72,H75:H78,H82:H83,H86:H89,H93:H95,H98:H101,H105:H107,H110:H113)</f>
        <v>0.26970483110865001</v>
      </c>
      <c r="I116" s="230">
        <f>SUM(I7,I13,I19,I25,I29,I35,I41,I47,I62,I68,I73,I79,I96,I102,I108,I114)</f>
        <v>69.808165677000005</v>
      </c>
      <c r="J116" s="230">
        <f t="shared" ref="J116:K116" si="20">SUM(J7,J13,J19,J25,J29,J35,J41,J47,J62,J68,J73,J79,J96,J102,J108,J114)</f>
        <v>907.70350008000014</v>
      </c>
      <c r="K116" s="232">
        <f t="shared" si="20"/>
        <v>5.1970507753999999E-6</v>
      </c>
      <c r="L116" s="230">
        <f>SUM(L7,L13,L19,L25,L29,L35,L41,L47,L62,L68,L73,L79,L96,L102,L108,L114)</f>
        <v>0.52639378115000002</v>
      </c>
    </row>
    <row r="117" spans="1:12" s="201" customFormat="1" ht="21" customHeight="1" thickBot="1" x14ac:dyDescent="0.3">
      <c r="A117" s="244"/>
      <c r="B117" s="244"/>
      <c r="C117" s="165">
        <f>SUM(C5:C6,C16:C18,C28,C38:C40,C50,C60:C61,C71:C72,C82:C83,C93:C95,C105:C107)</f>
        <v>13.349999999999993</v>
      </c>
      <c r="D117" s="207" t="s">
        <v>3</v>
      </c>
      <c r="E117" s="237"/>
      <c r="F117" s="237"/>
      <c r="G117" s="239"/>
      <c r="H117" s="242"/>
      <c r="I117" s="231"/>
      <c r="J117" s="231"/>
      <c r="K117" s="233"/>
      <c r="L117" s="231"/>
    </row>
    <row r="118" spans="1:12" s="103" customFormat="1" ht="27" customHeight="1" thickTop="1" x14ac:dyDescent="0.25">
      <c r="A118" s="234" t="s">
        <v>187</v>
      </c>
      <c r="B118" s="234"/>
      <c r="C118" s="234"/>
      <c r="D118" s="235"/>
      <c r="E118" s="84"/>
      <c r="F118" s="84"/>
      <c r="G118" s="85"/>
      <c r="H118" s="92"/>
      <c r="I118" s="84"/>
      <c r="J118" s="84"/>
      <c r="K118" s="85"/>
      <c r="L118" s="84"/>
    </row>
    <row r="119" spans="1:12" ht="23.25" customHeight="1" thickBot="1" x14ac:dyDescent="0.35">
      <c r="A119" s="223" t="s">
        <v>188</v>
      </c>
      <c r="B119" s="174" t="s">
        <v>181</v>
      </c>
      <c r="C119" s="191" t="s">
        <v>9</v>
      </c>
      <c r="D119" s="197"/>
      <c r="E119" s="78"/>
      <c r="F119" s="78"/>
      <c r="G119" s="79"/>
      <c r="H119" s="92"/>
      <c r="I119" s="78"/>
      <c r="J119" s="78"/>
      <c r="K119" s="79"/>
      <c r="L119" s="78"/>
    </row>
    <row r="120" spans="1:12" ht="15" customHeight="1" thickBot="1" x14ac:dyDescent="0.3">
      <c r="A120" s="224"/>
      <c r="B120" s="153" t="s">
        <v>42</v>
      </c>
      <c r="C120" s="154">
        <v>2</v>
      </c>
      <c r="D120" s="194" t="s">
        <v>3</v>
      </c>
      <c r="E120" s="94">
        <f>IFERROR((VLOOKUP(B120, 'Impatti al kg'!$B$64:$F$66, 2,FALSE)*C120), "-" )</f>
        <v>2.2302865999999999</v>
      </c>
      <c r="F120" s="94">
        <f>IFERROR((VLOOKUP(B120, 'Impatti al kg'!$B$64:$F$66, 3,FALSE)*C120), "-" )</f>
        <v>31.002434000000001</v>
      </c>
      <c r="G120" s="133">
        <f>IFERROR((VLOOKUP(B120, 'Impatti al kg'!$B$64:$F$66, 3,FALSE)*C120), "-" )</f>
        <v>31.002434000000001</v>
      </c>
      <c r="H120" s="134">
        <f>IFERROR((VLOOKUP(B120, 'Impatti al kg'!$B$64:$F$66,4,FALSE)*C120), "-" )</f>
        <v>1.0282463E-7</v>
      </c>
      <c r="I120" s="78"/>
      <c r="J120" s="78"/>
      <c r="K120" s="79"/>
      <c r="L120" s="78"/>
    </row>
    <row r="121" spans="1:12" ht="15" customHeight="1" thickBot="1" x14ac:dyDescent="0.3">
      <c r="A121" s="224"/>
      <c r="B121" s="153" t="s">
        <v>43</v>
      </c>
      <c r="C121" s="155">
        <v>1</v>
      </c>
      <c r="D121" s="194" t="s">
        <v>3</v>
      </c>
      <c r="E121" s="94">
        <f>IFERROR((VLOOKUP(B121, 'Impatti al kg'!$B$64:$F$66, 2,FALSE)*C121), "-" )</f>
        <v>3.1232856999999998</v>
      </c>
      <c r="F121" s="94">
        <f>IFERROR((VLOOKUP(B121, 'Impatti al kg'!$B$64:$F$66, 3,FALSE)*C121), "-" )</f>
        <v>85.447528000000005</v>
      </c>
      <c r="G121" s="133">
        <f>IFERROR((VLOOKUP(B121, 'Impatti al kg'!$B$64:$F$66, 3,FALSE)*C121), "-" )</f>
        <v>85.447528000000005</v>
      </c>
      <c r="H121" s="134">
        <f>IFERROR((VLOOKUP(B121, 'Impatti al kg'!$B$64:$F$66,4,FALSE)*C121), "-" )</f>
        <v>1.2774756000000001E-7</v>
      </c>
      <c r="I121" s="78"/>
      <c r="J121" s="78"/>
      <c r="K121" s="79"/>
      <c r="L121" s="78"/>
    </row>
    <row r="122" spans="1:12" ht="15" customHeight="1" x14ac:dyDescent="0.25">
      <c r="A122" s="224"/>
      <c r="B122" s="161" t="s">
        <v>44</v>
      </c>
      <c r="C122" s="160">
        <v>0.1</v>
      </c>
      <c r="D122" s="194" t="s">
        <v>3</v>
      </c>
      <c r="E122" s="94">
        <f>IFERROR((VLOOKUP(B122, 'Impatti al kg'!$B$64:$F$66, 2,FALSE)*C122), "-" )</f>
        <v>0.31232857000000003</v>
      </c>
      <c r="F122" s="94">
        <f>IFERROR((VLOOKUP(B122, 'Impatti al kg'!$B$64:$F$66, 3,FALSE)*C122), "-" )</f>
        <v>8.5447528000000013</v>
      </c>
      <c r="G122" s="133">
        <f>IFERROR((VLOOKUP(B122, 'Impatti al kg'!$B$64:$F$66, 3,FALSE)*C122), "-" )</f>
        <v>8.5447528000000013</v>
      </c>
      <c r="H122" s="134">
        <f>IFERROR((VLOOKUP(B122, 'Impatti al kg'!$B$64:$F$66,4,FALSE)*C122), "-" )</f>
        <v>1.2774756000000002E-8</v>
      </c>
      <c r="I122" s="78"/>
      <c r="J122" s="78"/>
      <c r="K122" s="79"/>
      <c r="L122" s="78"/>
    </row>
    <row r="123" spans="1:12" s="103" customFormat="1" ht="23.1" customHeight="1" thickBot="1" x14ac:dyDescent="0.3">
      <c r="A123" s="224"/>
      <c r="B123" s="195"/>
      <c r="C123" s="178"/>
      <c r="D123" s="197"/>
      <c r="E123" s="86">
        <f>SUM(E120:E122)</f>
        <v>5.6659008699999998</v>
      </c>
      <c r="F123" s="86">
        <f t="shared" ref="F123:G123" si="21">SUM(F120:F122)</f>
        <v>124.9947148</v>
      </c>
      <c r="G123" s="87">
        <f t="shared" si="21"/>
        <v>124.9947148</v>
      </c>
      <c r="H123" s="88">
        <f>SUM(H120:H122)</f>
        <v>2.43346946E-7</v>
      </c>
      <c r="I123" s="89">
        <f>Impatti_Pr!S15</f>
        <v>5.1301012000000004</v>
      </c>
      <c r="J123" s="90">
        <f>Impatti_Pr!S16</f>
        <v>92.327658999999997</v>
      </c>
      <c r="K123" s="91">
        <f>Impatti_Pr!S17</f>
        <v>2.2839319E-7</v>
      </c>
      <c r="L123" s="90">
        <f>Impatti_Pr!S18</f>
        <v>2.3743077000000001E-2</v>
      </c>
    </row>
    <row r="124" spans="1:12" ht="15" customHeight="1" thickTop="1" thickBot="1" x14ac:dyDescent="0.35">
      <c r="A124" s="224"/>
      <c r="B124" s="174" t="s">
        <v>2</v>
      </c>
      <c r="C124" s="191" t="s">
        <v>203</v>
      </c>
      <c r="D124" s="197"/>
      <c r="E124" s="78"/>
      <c r="F124" s="78"/>
      <c r="G124" s="79"/>
      <c r="H124" s="92"/>
      <c r="J124" s="78"/>
      <c r="K124" s="79"/>
      <c r="L124" s="78"/>
    </row>
    <row r="125" spans="1:12" ht="15.75" customHeight="1" thickBot="1" x14ac:dyDescent="0.3">
      <c r="A125" s="224"/>
      <c r="B125" s="153" t="s">
        <v>233</v>
      </c>
      <c r="C125" s="154">
        <v>100</v>
      </c>
      <c r="D125" s="194" t="s">
        <v>0</v>
      </c>
      <c r="E125" s="93">
        <f>IFERROR((VLOOKUP(B125, 'Impatti al kg'!$B$81:$F$84, 2,FALSE)*C125*($C$120+$C$121+$C$122)), "-" )</f>
        <v>5.1286164399999994E-2</v>
      </c>
      <c r="F125" s="94">
        <f>IFERROR((VLOOKUP(B125, 'Impatti al kg'!$B$81:$F$84, 3,FALSE)*C125*($C$120+$C$121+$C$122)), "-" )</f>
        <v>0.77649420000000002</v>
      </c>
      <c r="G125" s="95">
        <f>IFERROR((VLOOKUP(B125, 'Impatti al kg'!$B$81:$F$84, 4,FALSE)*C125*($C$120+$C$121+$C$122)), "-" )</f>
        <v>3.5759448600000001E-9</v>
      </c>
      <c r="H125" s="96">
        <f>IFERROR((VLOOKUP(B125, 'Impatti al kg'!$B$81:$F$84, 5,FALSE)*C125*($C$120+$C$121+$C$122)), "-" )</f>
        <v>2.0505694620000003E-4</v>
      </c>
      <c r="J125" s="78"/>
      <c r="K125" s="79"/>
      <c r="L125" s="78"/>
    </row>
    <row r="126" spans="1:12" ht="15" customHeight="1" thickBot="1" x14ac:dyDescent="0.3">
      <c r="A126" s="224"/>
      <c r="B126" s="153" t="s">
        <v>6</v>
      </c>
      <c r="C126" s="155">
        <v>500</v>
      </c>
      <c r="D126" s="194" t="s">
        <v>0</v>
      </c>
      <c r="E126" s="93">
        <f>IFERROR((VLOOKUP(B126, 'Impatti al kg'!$B$81:$F$84, 2,FALSE)*C126*($C$120+$C$121+$C$122)), "-" )</f>
        <v>1.7973316400000001E-2</v>
      </c>
      <c r="F126" s="94">
        <f>IFERROR((VLOOKUP(B126, 'Impatti al kg'!$B$81:$F$84, 3,FALSE)*C126*($C$120+$C$121+$C$122)), "-" )</f>
        <v>0.25170122950000001</v>
      </c>
      <c r="G126" s="95">
        <f>IFERROR((VLOOKUP(B126, 'Impatti al kg'!$B$81:$F$84, 4,FALSE)*C126*($C$120+$C$121+$C$122)), "-" )</f>
        <v>5.2805998299999998E-10</v>
      </c>
      <c r="H126" s="96">
        <f>IFERROR((VLOOKUP(B126, 'Impatti al kg'!$B$81:$F$84, 5,FALSE)*C126*($C$120+$C$121+$C$122)), "-" )</f>
        <v>4.4710185549999998E-4</v>
      </c>
      <c r="J126" s="78"/>
      <c r="K126" s="79"/>
      <c r="L126" s="78"/>
    </row>
    <row r="127" spans="1:12" ht="15" customHeight="1" thickBot="1" x14ac:dyDescent="0.3">
      <c r="A127" s="224"/>
      <c r="B127" s="153"/>
      <c r="C127" s="154"/>
      <c r="D127" s="194" t="s">
        <v>0</v>
      </c>
      <c r="E127" s="75" t="str">
        <f>IFERROR((VLOOKUP(B127, 'Impatti al kg'!$B$81:$F$84, 2,FALSE)*C127*($C$120+$C$121+$C$122)), "-" )</f>
        <v>-</v>
      </c>
      <c r="F127" s="75" t="str">
        <f>IFERROR((VLOOKUP(B127, 'Impatti al kg'!$B$81:$F$84, 3,FALSE)*C127*($C$120+$C$121+$C$122)), "-" )</f>
        <v>-</v>
      </c>
      <c r="G127" s="76" t="str">
        <f>IFERROR((VLOOKUP(B127, 'Impatti al kg'!$B$81:$F$84, 4,FALSE)*C127*($C$120+$C$121+$C$122)), "-" )</f>
        <v>-</v>
      </c>
      <c r="H127" s="77" t="str">
        <f>IFERROR((VLOOKUP(B127, 'Impatti al kg'!$B$81:$F$84, 5,FALSE)*C127*($C$120+$C$121+$C$122)), "-" )</f>
        <v>-</v>
      </c>
      <c r="J127" s="78"/>
      <c r="K127" s="79"/>
      <c r="L127" s="78"/>
    </row>
    <row r="128" spans="1:12" s="103" customFormat="1" ht="15.75" customHeight="1" thickBot="1" x14ac:dyDescent="0.3">
      <c r="A128" s="224"/>
      <c r="B128" s="161"/>
      <c r="C128" s="160"/>
      <c r="D128" s="197" t="s">
        <v>0</v>
      </c>
      <c r="E128" s="80" t="str">
        <f>IFERROR((VLOOKUP(B128, 'Impatti al kg'!$B$81:$F$84, 2,FALSE)*C128*($C$120+$C$121+$C$122)), "-" )</f>
        <v>-</v>
      </c>
      <c r="F128" s="81" t="str">
        <f>IFERROR((VLOOKUP(B128, 'Impatti al kg'!$B$81:$F$84, 3,FALSE)*C128*($C$120+$C$121+$C$122)), "-" )</f>
        <v>-</v>
      </c>
      <c r="G128" s="82" t="str">
        <f>IFERROR((VLOOKUP(B128, 'Impatti al kg'!$B$81:$F$84, 4,FALSE)*C128*($C$120+$C$121+$C$122)), "-" )</f>
        <v>-</v>
      </c>
      <c r="H128" s="83" t="str">
        <f>IFERROR((VLOOKUP(B128, 'Impatti al kg'!$B$81:$F$84, 5,FALSE)*C128*($C$120+$C$121+$C$122)), "-" )</f>
        <v>-</v>
      </c>
      <c r="J128" s="84"/>
      <c r="K128" s="85"/>
      <c r="L128" s="84"/>
    </row>
    <row r="129" spans="1:12" s="103" customFormat="1" ht="23.1" customHeight="1" thickTop="1" thickBot="1" x14ac:dyDescent="0.3">
      <c r="A129" s="224"/>
      <c r="B129" s="195"/>
      <c r="C129" s="178"/>
      <c r="D129" s="197"/>
      <c r="E129" s="86">
        <f>SUM(E125:E128)</f>
        <v>6.9259480799999995E-2</v>
      </c>
      <c r="F129" s="86">
        <f t="shared" ref="F129:H129" si="22">SUM(F125:F128)</f>
        <v>1.0281954295</v>
      </c>
      <c r="G129" s="87">
        <f t="shared" si="22"/>
        <v>4.1040048430000004E-9</v>
      </c>
      <c r="H129" s="88">
        <f t="shared" si="22"/>
        <v>6.5215880170000002E-4</v>
      </c>
      <c r="I129" s="89">
        <f>Impatti_Pr!AK15</f>
        <v>0.18363745000000001</v>
      </c>
      <c r="J129" s="90">
        <f>Impatti_Pr!AK16</f>
        <v>2.7803501000000002</v>
      </c>
      <c r="K129" s="91">
        <f>Impatti_Pr!AK17</f>
        <v>1.2804189999999999E-8</v>
      </c>
      <c r="L129" s="90">
        <f>Impatti_Pr!AK18</f>
        <v>7.3423615999999999E-4</v>
      </c>
    </row>
    <row r="130" spans="1:12" s="201" customFormat="1" ht="23.1" customHeight="1" thickTop="1" thickBot="1" x14ac:dyDescent="0.3">
      <c r="A130" s="225"/>
      <c r="B130" s="198"/>
      <c r="C130" s="199"/>
      <c r="D130" s="202"/>
      <c r="E130" s="135"/>
      <c r="F130" s="135"/>
      <c r="G130" s="136"/>
      <c r="H130" s="137"/>
      <c r="I130" s="100"/>
      <c r="J130" s="100"/>
      <c r="K130" s="101"/>
      <c r="L130" s="100"/>
    </row>
    <row r="131" spans="1:12" ht="21" customHeight="1" thickTop="1" x14ac:dyDescent="0.25">
      <c r="A131" s="245" t="s">
        <v>189</v>
      </c>
      <c r="B131" s="245"/>
      <c r="C131" s="169" t="s">
        <v>9</v>
      </c>
      <c r="D131" s="194"/>
      <c r="E131" s="236">
        <f>SUM(E120:E122,E125:E128)</f>
        <v>5.7351603507999993</v>
      </c>
      <c r="F131" s="236">
        <f t="shared" ref="F131:H131" si="23">SUM(F120:F122,F125:F128)</f>
        <v>126.0229102295</v>
      </c>
      <c r="G131" s="238">
        <f t="shared" si="23"/>
        <v>124.99471480410401</v>
      </c>
      <c r="H131" s="241">
        <f t="shared" si="23"/>
        <v>6.5240214864600008E-4</v>
      </c>
      <c r="I131" s="246">
        <f>SUM(I123,I129)</f>
        <v>5.3137386500000003</v>
      </c>
      <c r="J131" s="221">
        <f t="shared" ref="J131:K131" si="24">SUM(J123,J129)</f>
        <v>95.108009100000004</v>
      </c>
      <c r="K131" s="232">
        <f t="shared" si="24"/>
        <v>2.4119737999999999E-7</v>
      </c>
      <c r="L131" s="221">
        <f>SUM(L123,L129)</f>
        <v>2.447731316E-2</v>
      </c>
    </row>
    <row r="132" spans="1:12" s="201" customFormat="1" ht="21" customHeight="1" thickBot="1" x14ac:dyDescent="0.3">
      <c r="A132" s="244"/>
      <c r="B132" s="244"/>
      <c r="C132" s="165">
        <f>SUM(C120:C122)</f>
        <v>3.1</v>
      </c>
      <c r="D132" s="207" t="s">
        <v>3</v>
      </c>
      <c r="E132" s="237"/>
      <c r="F132" s="237"/>
      <c r="G132" s="239"/>
      <c r="H132" s="242"/>
      <c r="I132" s="231"/>
      <c r="J132" s="222"/>
      <c r="K132" s="233"/>
      <c r="L132" s="222"/>
    </row>
    <row r="133" spans="1:12" s="103" customFormat="1" ht="27" customHeight="1" thickTop="1" x14ac:dyDescent="0.25">
      <c r="A133" s="234" t="s">
        <v>191</v>
      </c>
      <c r="B133" s="234"/>
      <c r="C133" s="234"/>
      <c r="D133" s="235"/>
      <c r="E133" s="84"/>
      <c r="F133" s="84"/>
      <c r="G133" s="85"/>
      <c r="H133" s="92"/>
      <c r="I133" s="84"/>
      <c r="J133" s="84"/>
      <c r="K133" s="85"/>
      <c r="L133" s="84"/>
    </row>
    <row r="134" spans="1:12" ht="15.75" customHeight="1" thickBot="1" x14ac:dyDescent="0.35">
      <c r="A134" s="247" t="s">
        <v>192</v>
      </c>
      <c r="B134" s="174" t="s">
        <v>122</v>
      </c>
      <c r="C134" s="191" t="s">
        <v>8</v>
      </c>
      <c r="D134" s="197"/>
      <c r="E134" s="78"/>
      <c r="F134" s="78"/>
      <c r="G134" s="79"/>
      <c r="H134" s="92"/>
      <c r="I134" s="78"/>
      <c r="J134" s="78"/>
      <c r="K134" s="79"/>
      <c r="L134" s="78"/>
    </row>
    <row r="135" spans="1:12" ht="15.75" customHeight="1" thickBot="1" x14ac:dyDescent="0.3">
      <c r="A135" s="247"/>
      <c r="B135" s="153" t="s">
        <v>121</v>
      </c>
      <c r="C135" s="154">
        <v>10</v>
      </c>
      <c r="D135" s="194" t="s">
        <v>167</v>
      </c>
      <c r="E135" s="93">
        <f>IFERROR((VLOOKUP(B135, 'Impatti al kg'!$B$71:$F$76, 2,FALSE)*C135), "-" )</f>
        <v>4.4052307000000006</v>
      </c>
      <c r="F135" s="94">
        <f>IFERROR((VLOOKUP(B135, 'Impatti al kg'!$B$71:$F$76, 3,FALSE)*C135), "-" )</f>
        <v>63.942723999999998</v>
      </c>
      <c r="G135" s="95">
        <f>IFERROR((VLOOKUP(B135, 'Impatti al kg'!$B$71:$F$76, 4,FALSE)*C135), "-" )</f>
        <v>9.5668379000000005E-8</v>
      </c>
      <c r="H135" s="138">
        <f>IFERROR((VLOOKUP(B135, 'Impatti al kg'!$B$71:$F$76, 5,FALSE)*C135), "-" )</f>
        <v>2.6182917E-2</v>
      </c>
      <c r="I135" s="78"/>
      <c r="J135" s="84"/>
      <c r="K135" s="85"/>
      <c r="L135" s="84"/>
    </row>
    <row r="136" spans="1:12" ht="16.5" customHeight="1" thickBot="1" x14ac:dyDescent="0.3">
      <c r="A136" s="247"/>
      <c r="B136" s="153" t="s">
        <v>126</v>
      </c>
      <c r="C136" s="155">
        <v>10</v>
      </c>
      <c r="D136" s="194" t="s">
        <v>167</v>
      </c>
      <c r="E136" s="93">
        <f>IFERROR((VLOOKUP(B136, 'Impatti al kg'!$B$71:$F$76, 2,FALSE)*C136), "-" )</f>
        <v>0.77464627999999991</v>
      </c>
      <c r="F136" s="94">
        <f>IFERROR((VLOOKUP(B136, 'Impatti al kg'!$B$71:$F$76, 3,FALSE)*C136), "-" )</f>
        <v>9.4455935000000011</v>
      </c>
      <c r="G136" s="95">
        <f>IFERROR((VLOOKUP(B136, 'Impatti al kg'!$B$71:$F$76, 4,FALSE)*C136), "-" )</f>
        <v>4.2788849000000002E-8</v>
      </c>
      <c r="H136" s="138">
        <f>IFERROR((VLOOKUP(B136, 'Impatti al kg'!$B$71:$F$76, 5,FALSE)*C136), "-" )</f>
        <v>5.5574230000000006E-3</v>
      </c>
      <c r="I136" s="78"/>
      <c r="J136" s="84"/>
      <c r="K136" s="85"/>
      <c r="L136" s="84"/>
    </row>
    <row r="137" spans="1:12" s="209" customFormat="1" ht="14.25" customHeight="1" thickBot="1" x14ac:dyDescent="0.3">
      <c r="A137" s="247"/>
      <c r="B137" s="162" t="s">
        <v>125</v>
      </c>
      <c r="C137" s="163">
        <v>30</v>
      </c>
      <c r="D137" s="208" t="s">
        <v>167</v>
      </c>
      <c r="E137" s="107">
        <f>IFERROR((VLOOKUP(B137, 'Impatti al kg'!$B$71:$F$76, 2,FALSE)*C137), "-" )</f>
        <v>6.1935842999999995</v>
      </c>
      <c r="F137" s="139">
        <f>IFERROR((VLOOKUP(B137, 'Impatti al kg'!$B$71:$F$76, 3,FALSE)*C137), "-" )</f>
        <v>99.111198000000002</v>
      </c>
      <c r="G137" s="140">
        <f>IFERROR((VLOOKUP(B137, 'Impatti al kg'!$B$71:$F$76, 4,FALSE)*C137), "-" )</f>
        <v>1.81742703E-8</v>
      </c>
      <c r="H137" s="141">
        <f>IFERROR((VLOOKUP(B137, 'Impatti al kg'!$B$71:$F$76, 5,FALSE)*C137), "-" )</f>
        <v>5.4712502999999992E-3</v>
      </c>
      <c r="I137" s="78"/>
      <c r="J137" s="100"/>
      <c r="K137" s="101"/>
      <c r="L137" s="100"/>
    </row>
    <row r="138" spans="1:12" ht="21" customHeight="1" thickTop="1" x14ac:dyDescent="0.25">
      <c r="A138" s="245" t="s">
        <v>128</v>
      </c>
      <c r="B138" s="245"/>
      <c r="C138" s="169" t="s">
        <v>9</v>
      </c>
      <c r="D138" s="194"/>
      <c r="E138" s="236">
        <f>SUM(E135:E137)</f>
        <v>11.373461280000001</v>
      </c>
      <c r="F138" s="251">
        <f t="shared" ref="F138:H138" si="25">SUM(F135:F137)</f>
        <v>172.4995155</v>
      </c>
      <c r="G138" s="238">
        <f t="shared" si="25"/>
        <v>1.5663149830000001E-7</v>
      </c>
      <c r="H138" s="241">
        <f t="shared" si="25"/>
        <v>3.72115903E-2</v>
      </c>
      <c r="I138" s="246">
        <f>Impatti_Pr!AG15</f>
        <v>9.0551951000000006</v>
      </c>
      <c r="J138" s="221">
        <f>Impatti_Pr!AG16</f>
        <v>131.43781999999999</v>
      </c>
      <c r="K138" s="232">
        <f>Impatti_Pr!AG17</f>
        <v>1.9665167E-7</v>
      </c>
      <c r="L138" s="221">
        <f>Impatti_Pr!AG18</f>
        <v>5.3820440999999997E-2</v>
      </c>
    </row>
    <row r="139" spans="1:12" s="209" customFormat="1" ht="21" customHeight="1" thickBot="1" x14ac:dyDescent="0.3">
      <c r="A139" s="244"/>
      <c r="B139" s="244"/>
      <c r="C139" s="166">
        <f>C117</f>
        <v>13.349999999999993</v>
      </c>
      <c r="D139" s="210" t="s">
        <v>3</v>
      </c>
      <c r="E139" s="237"/>
      <c r="F139" s="252"/>
      <c r="G139" s="239"/>
      <c r="H139" s="242"/>
      <c r="I139" s="231"/>
      <c r="J139" s="222"/>
      <c r="K139" s="233"/>
      <c r="L139" s="222"/>
    </row>
    <row r="140" spans="1:12" ht="30" customHeight="1" thickTop="1" x14ac:dyDescent="0.25">
      <c r="A140" s="248" t="s">
        <v>193</v>
      </c>
      <c r="B140" s="248"/>
      <c r="C140" s="248"/>
      <c r="D140" s="249"/>
      <c r="E140" s="78"/>
      <c r="F140" s="78"/>
      <c r="G140" s="79"/>
      <c r="H140" s="92"/>
      <c r="I140" s="78"/>
      <c r="J140" s="78"/>
      <c r="K140" s="79"/>
      <c r="L140" s="78"/>
    </row>
    <row r="141" spans="1:12" ht="15.75" customHeight="1" thickBot="1" x14ac:dyDescent="0.35">
      <c r="A141" s="247" t="s">
        <v>194</v>
      </c>
      <c r="B141" s="174" t="s">
        <v>127</v>
      </c>
      <c r="C141" s="191" t="s">
        <v>203</v>
      </c>
      <c r="D141" s="197"/>
      <c r="E141" s="78"/>
      <c r="F141" s="78"/>
      <c r="G141" s="79"/>
      <c r="H141" s="92"/>
      <c r="I141" s="84"/>
      <c r="J141" s="84"/>
      <c r="K141" s="85"/>
      <c r="L141" s="84"/>
    </row>
    <row r="142" spans="1:12" ht="16.5" customHeight="1" thickBot="1" x14ac:dyDescent="0.3">
      <c r="A142" s="247"/>
      <c r="B142" s="153" t="s">
        <v>233</v>
      </c>
      <c r="C142" s="154">
        <v>700</v>
      </c>
      <c r="D142" s="211" t="s">
        <v>0</v>
      </c>
      <c r="E142" s="93">
        <f>IFERROR((VLOOKUP(B142, 'Impatti al kg'!$B$81:$F$84, 2,FALSE)*C142*($C$147)), "-" )</f>
        <v>1.905032848599999</v>
      </c>
      <c r="F142" s="94">
        <f>IFERROR((VLOOKUP(B142, 'Impatti al kg'!$B$81:$F$84, 3,FALSE)*C142*($C$147)), "-" )</f>
        <v>28.843002299999988</v>
      </c>
      <c r="G142" s="95">
        <f>IFERROR((VLOOKUP(B142, 'Impatti al kg'!$B$81:$F$84, 4,FALSE)*C142*($C$147)), "-" )</f>
        <v>1.3282904858999992E-7</v>
      </c>
      <c r="H142" s="96">
        <f>IFERROR((VLOOKUP(B142, 'Impatti al kg'!$B$81:$F$84, 5,FALSE)*C142*($C$147)), "-" )</f>
        <v>7.6168733402999971E-3</v>
      </c>
      <c r="I142" s="78"/>
      <c r="J142" s="78"/>
      <c r="K142" s="79"/>
      <c r="L142" s="78"/>
    </row>
    <row r="143" spans="1:12" ht="16.5" customHeight="1" thickBot="1" x14ac:dyDescent="0.3">
      <c r="A143" s="247"/>
      <c r="B143" s="153" t="s">
        <v>6</v>
      </c>
      <c r="C143" s="155">
        <v>500</v>
      </c>
      <c r="D143" s="211" t="s">
        <v>0</v>
      </c>
      <c r="E143" s="93">
        <f>IFERROR((VLOOKUP(B143, 'Impatti al kg'!$B$81:$F$84, 2,FALSE)*C143*($C$147)), "-" )</f>
        <v>9.5374533799999953E-2</v>
      </c>
      <c r="F143" s="94">
        <f>IFERROR((VLOOKUP(B143, 'Impatti al kg'!$B$81:$F$84, 3,FALSE)*C143*($C$147)), "-" )</f>
        <v>1.3356403952499993</v>
      </c>
      <c r="G143" s="95">
        <f>IFERROR((VLOOKUP(B143, 'Impatti al kg'!$B$81:$F$84, 4,FALSE)*C143*($C$147)), "-" )</f>
        <v>2.8021247484999986E-9</v>
      </c>
      <c r="H143" s="96">
        <f>IFERROR((VLOOKUP(B143, 'Impatti al kg'!$B$81:$F$84, 5,FALSE)*C143*($C$147)), "-" )</f>
        <v>2.3725243622499986E-3</v>
      </c>
      <c r="I143" s="78"/>
      <c r="J143" s="78"/>
      <c r="K143" s="79"/>
      <c r="L143" s="78"/>
    </row>
    <row r="144" spans="1:12" ht="16.5" customHeight="1" thickBot="1" x14ac:dyDescent="0.3">
      <c r="A144" s="247"/>
      <c r="B144" s="153"/>
      <c r="C144" s="154"/>
      <c r="D144" s="211" t="s">
        <v>0</v>
      </c>
      <c r="E144" s="93" t="str">
        <f>IFERROR((VLOOKUP(B144, 'Impatti al kg'!$B$81:$F$84, 2,FALSE)*C144*($C$147)), "-" )</f>
        <v>-</v>
      </c>
      <c r="F144" s="94" t="str">
        <f>IFERROR((VLOOKUP(B144, 'Impatti al kg'!$B$81:$F$84, 3,FALSE)*C144*($C$147)), "-" )</f>
        <v>-</v>
      </c>
      <c r="G144" s="95" t="str">
        <f>IFERROR((VLOOKUP(B144, 'Impatti al kg'!$B$81:$F$84, 4,FALSE)*C144*($C$147)), "-" )</f>
        <v>-</v>
      </c>
      <c r="H144" s="96" t="str">
        <f>IFERROR((VLOOKUP(B144, 'Impatti al kg'!$B$81:$F$84, 5,FALSE)*C144*($C$147)), "-" )</f>
        <v>-</v>
      </c>
      <c r="I144" s="78"/>
      <c r="J144" s="78"/>
      <c r="K144" s="79"/>
      <c r="L144" s="78"/>
    </row>
    <row r="145" spans="1:12" s="209" customFormat="1" ht="17.25" customHeight="1" thickBot="1" x14ac:dyDescent="0.3">
      <c r="A145" s="250"/>
      <c r="B145" s="162"/>
      <c r="C145" s="164"/>
      <c r="D145" s="212" t="s">
        <v>0</v>
      </c>
      <c r="E145" s="107" t="str">
        <f>IFERROR((VLOOKUP(B145, 'Impatti al kg'!$B$81:$F$84, 2,FALSE)*C145*($C$147)), "-" )</f>
        <v>-</v>
      </c>
      <c r="F145" s="139" t="str">
        <f>IFERROR((VLOOKUP(B145, 'Impatti al kg'!$B$81:$F$84, 3,FALSE)*C145*($C$147)), "-" )</f>
        <v>-</v>
      </c>
      <c r="G145" s="140" t="str">
        <f>IFERROR((VLOOKUP(B145, 'Impatti al kg'!$B$81:$F$84, 4,FALSE)*C145*($C$147)), "-" )</f>
        <v>-</v>
      </c>
      <c r="H145" s="142" t="str">
        <f>IFERROR((VLOOKUP(B145, 'Impatti al kg'!$B$81:$F$84, 5,FALSE)*C145*($C$147)), "-" )</f>
        <v>-</v>
      </c>
      <c r="I145" s="143"/>
      <c r="J145" s="143"/>
      <c r="K145" s="144"/>
      <c r="L145" s="143"/>
    </row>
    <row r="146" spans="1:12" ht="21" customHeight="1" thickTop="1" x14ac:dyDescent="0.25">
      <c r="A146" s="245" t="s">
        <v>129</v>
      </c>
      <c r="B146" s="245"/>
      <c r="C146" s="169" t="s">
        <v>9</v>
      </c>
      <c r="D146" s="211"/>
      <c r="E146" s="236">
        <f>SUM(E142:E145)</f>
        <v>2.0004073823999988</v>
      </c>
      <c r="F146" s="236">
        <f t="shared" ref="F146:H146" si="26">SUM(F142:F145)</f>
        <v>30.178642695249987</v>
      </c>
      <c r="G146" s="238">
        <f t="shared" si="26"/>
        <v>1.3563117333849991E-7</v>
      </c>
      <c r="H146" s="241">
        <f t="shared" si="26"/>
        <v>9.9893977025499962E-3</v>
      </c>
      <c r="I146" s="246">
        <f>Impatti_Pr!AV15</f>
        <v>1.8334357999999999</v>
      </c>
      <c r="J146" s="221">
        <f>Impatti_Pr!AV16</f>
        <v>26.900537</v>
      </c>
      <c r="K146" s="232">
        <f>Impatti_Pr!AV17</f>
        <v>9.7355544000000002E-8</v>
      </c>
      <c r="L146" s="221">
        <f>Impatti_Pr!AV18</f>
        <v>2.3103977000000001E-2</v>
      </c>
    </row>
    <row r="147" spans="1:12" s="209" customFormat="1" ht="21" customHeight="1" thickBot="1" x14ac:dyDescent="0.3">
      <c r="A147" s="244"/>
      <c r="B147" s="244"/>
      <c r="C147" s="166">
        <f>C139+C132</f>
        <v>16.449999999999992</v>
      </c>
      <c r="D147" s="213" t="s">
        <v>3</v>
      </c>
      <c r="E147" s="237"/>
      <c r="F147" s="237"/>
      <c r="G147" s="239"/>
      <c r="H147" s="242"/>
      <c r="I147" s="231"/>
      <c r="J147" s="222"/>
      <c r="K147" s="233"/>
      <c r="L147" s="222"/>
    </row>
    <row r="148" spans="1:12" ht="23.25" thickTop="1" x14ac:dyDescent="0.25">
      <c r="A148" s="248" t="s">
        <v>195</v>
      </c>
      <c r="B148" s="248"/>
      <c r="C148" s="248"/>
      <c r="D148" s="253"/>
      <c r="E148" s="78"/>
      <c r="F148" s="78"/>
      <c r="G148" s="79"/>
      <c r="H148" s="92"/>
      <c r="I148" s="78"/>
      <c r="J148" s="78"/>
      <c r="K148" s="79"/>
      <c r="L148" s="78"/>
    </row>
    <row r="149" spans="1:12" ht="16.5" customHeight="1" thickBot="1" x14ac:dyDescent="0.35">
      <c r="A149" s="247" t="s">
        <v>214</v>
      </c>
      <c r="B149" s="174" t="s">
        <v>181</v>
      </c>
      <c r="C149" s="191" t="s">
        <v>9</v>
      </c>
      <c r="D149" s="197"/>
      <c r="E149" s="78"/>
      <c r="F149" s="78"/>
      <c r="G149" s="79"/>
      <c r="H149" s="92"/>
      <c r="I149" s="84"/>
      <c r="J149" s="84"/>
      <c r="K149" s="85"/>
      <c r="L149" s="84"/>
    </row>
    <row r="150" spans="1:12" ht="16.5" customHeight="1" thickBot="1" x14ac:dyDescent="0.3">
      <c r="A150" s="247"/>
      <c r="B150" s="175" t="s">
        <v>131</v>
      </c>
      <c r="C150" s="167">
        <f>'Allocazione_Fine _vita_sedia_RI'!D64</f>
        <v>0.2</v>
      </c>
      <c r="D150" s="211" t="s">
        <v>3</v>
      </c>
      <c r="E150" s="118">
        <f>IFERROR((VLOOKUP(B150, 'Impatti al kg'!$G$3:$M$5, 2,FALSE)*C150), "-" )</f>
        <v>-1.0140484000000001</v>
      </c>
      <c r="F150" s="145">
        <f>IFERROR((VLOOKUP(B150, 'Impatti al kg'!$G$3:$M$5, 3,FALSE)*C150), "-" )</f>
        <v>-10.892173400000001</v>
      </c>
      <c r="G150" s="119">
        <f>IFERROR((VLOOKUP(B150, 'Impatti al kg'!$G$3:$M$5, 4,FALSE)*C150), "-" )</f>
        <v>-9.7561514000000021E-8</v>
      </c>
      <c r="H150" s="120">
        <f>IFERROR((VLOOKUP(B150, 'Impatti al kg'!$G$3:$M$5, 5,FALSE)*C150), "-" )</f>
        <v>-7.9976356000000005E-3</v>
      </c>
      <c r="I150" s="78"/>
      <c r="J150" s="78"/>
      <c r="K150" s="79"/>
      <c r="L150" s="78"/>
    </row>
    <row r="151" spans="1:12" ht="16.5" customHeight="1" thickBot="1" x14ac:dyDescent="0.3">
      <c r="A151" s="247"/>
      <c r="B151" s="175" t="s">
        <v>23</v>
      </c>
      <c r="C151" s="167">
        <f>'Allocazione_Fine _vita_sedia_RI'!D65</f>
        <v>4.5000000000000009</v>
      </c>
      <c r="D151" s="211" t="s">
        <v>3</v>
      </c>
      <c r="E151" s="118">
        <f>IFERROR((VLOOKUP(B151, 'Impatti al kg'!$G$3:$M$5, 2,FALSE)*C151), "-" )</f>
        <v>1.3055333850000002</v>
      </c>
      <c r="F151" s="145">
        <f>IFERROR((VLOOKUP(B151, 'Impatti al kg'!$G$3:$M$5, 3,FALSE)*C151), "-" )</f>
        <v>22.589303400000002</v>
      </c>
      <c r="G151" s="119">
        <f>IFERROR((VLOOKUP(B151, 'Impatti al kg'!$G$3:$M$5, 4,FALSE)*C151), "-" )</f>
        <v>1.5583359150000004E-7</v>
      </c>
      <c r="H151" s="120">
        <f>IFERROR((VLOOKUP(B151, 'Impatti al kg'!$G$3:$M$5, 5,FALSE)*C151), "-" )</f>
        <v>7.5613135500000022E-3</v>
      </c>
      <c r="I151" s="78"/>
      <c r="J151" s="78"/>
      <c r="K151" s="79"/>
      <c r="L151" s="78"/>
    </row>
    <row r="152" spans="1:12" s="209" customFormat="1" ht="16.5" customHeight="1" thickBot="1" x14ac:dyDescent="0.3">
      <c r="A152" s="247"/>
      <c r="B152" s="176" t="s">
        <v>132</v>
      </c>
      <c r="C152" s="168">
        <f>'Allocazione_Fine _vita_sedia_RI'!D66</f>
        <v>8.6499999999999986</v>
      </c>
      <c r="D152" s="212" t="s">
        <v>3</v>
      </c>
      <c r="E152" s="121">
        <f>IFERROR((VLOOKUP(B152, 'Impatti al kg'!$G$3:$M$5, 2,FALSE)*C152), "-" )</f>
        <v>0.45093081449999994</v>
      </c>
      <c r="F152" s="146">
        <f>IFERROR((VLOOKUP(B152, 'Impatti al kg'!$G$3:$M$5, 3,FALSE)*C152), "-" )</f>
        <v>2.6063541629999993</v>
      </c>
      <c r="G152" s="147">
        <f>IFERROR((VLOOKUP(B152, 'Impatti al kg'!$G$3:$M$5, 4,FALSE)*C152), "-" )</f>
        <v>1.4606430654999997E-8</v>
      </c>
      <c r="H152" s="148">
        <f>IFERROR((VLOOKUP(B152, 'Impatti al kg'!$G$3:$M$5, 5,FALSE)*C152), "-" )</f>
        <v>1.1367658729999998E-3</v>
      </c>
      <c r="I152" s="143"/>
      <c r="J152" s="143"/>
      <c r="K152" s="144"/>
      <c r="L152" s="143"/>
    </row>
    <row r="153" spans="1:12" ht="21" customHeight="1" thickTop="1" x14ac:dyDescent="0.25">
      <c r="A153" s="245" t="s">
        <v>130</v>
      </c>
      <c r="B153" s="245"/>
      <c r="C153" s="169" t="s">
        <v>9</v>
      </c>
      <c r="D153" s="211"/>
      <c r="E153" s="236">
        <f>SUM(E150:E152)</f>
        <v>0.74241579950000003</v>
      </c>
      <c r="F153" s="236">
        <f t="shared" ref="F153:H153" si="27">SUM(F150:F152)</f>
        <v>14.303484163</v>
      </c>
      <c r="G153" s="238">
        <f t="shared" si="27"/>
        <v>7.2878508155000017E-8</v>
      </c>
      <c r="H153" s="241">
        <f t="shared" si="27"/>
        <v>7.0044382300000151E-4</v>
      </c>
      <c r="I153" s="246">
        <f>Impatti_Pr!AX15</f>
        <v>0.67931533</v>
      </c>
      <c r="J153" s="221">
        <f>Impatti_Pr!AX16</f>
        <v>3.9264047999999998</v>
      </c>
      <c r="K153" s="232">
        <f>Impatti_Pr!AX17</f>
        <v>2.2004208E-8</v>
      </c>
      <c r="L153" s="221">
        <f>Impatti_Pr!AX18</f>
        <v>1.7125082E-3</v>
      </c>
    </row>
    <row r="154" spans="1:12" s="209" customFormat="1" ht="21" customHeight="1" thickBot="1" x14ac:dyDescent="0.3">
      <c r="A154" s="244"/>
      <c r="B154" s="244"/>
      <c r="C154" s="170">
        <f>'Allocazione_Fine _vita_sedia_RI'!D67</f>
        <v>13.35</v>
      </c>
      <c r="D154" s="213" t="s">
        <v>3</v>
      </c>
      <c r="E154" s="237"/>
      <c r="F154" s="237"/>
      <c r="G154" s="239"/>
      <c r="H154" s="242"/>
      <c r="I154" s="231"/>
      <c r="J154" s="222"/>
      <c r="K154" s="233"/>
      <c r="L154" s="222"/>
    </row>
    <row r="155" spans="1:12" ht="23.25" thickTop="1" x14ac:dyDescent="0.25">
      <c r="A155" s="248" t="s">
        <v>196</v>
      </c>
      <c r="B155" s="248"/>
      <c r="C155" s="248"/>
      <c r="D155" s="253"/>
      <c r="E155" s="78"/>
      <c r="F155" s="78"/>
      <c r="G155" s="79"/>
      <c r="H155" s="92"/>
      <c r="I155" s="78"/>
      <c r="J155" s="78"/>
      <c r="K155" s="79"/>
      <c r="L155" s="78"/>
    </row>
    <row r="156" spans="1:12" ht="19.5" customHeight="1" thickBot="1" x14ac:dyDescent="0.35">
      <c r="A156" s="247" t="s">
        <v>215</v>
      </c>
      <c r="B156" s="174" t="s">
        <v>181</v>
      </c>
      <c r="C156" s="191" t="s">
        <v>9</v>
      </c>
      <c r="D156" s="197"/>
      <c r="E156" s="78"/>
      <c r="F156" s="78"/>
      <c r="G156" s="79"/>
      <c r="H156" s="92"/>
      <c r="I156" s="84"/>
      <c r="J156" s="84"/>
      <c r="K156" s="85"/>
      <c r="L156" s="84"/>
    </row>
    <row r="157" spans="1:12" ht="16.5" customHeight="1" thickBot="1" x14ac:dyDescent="0.3">
      <c r="A157" s="247"/>
      <c r="B157" s="175" t="str">
        <f>B120</f>
        <v>Cartone</v>
      </c>
      <c r="C157" s="171">
        <f>C120</f>
        <v>2</v>
      </c>
      <c r="D157" s="211" t="s">
        <v>3</v>
      </c>
      <c r="E157" s="93">
        <f>IFERROR((VLOOKUP(B157, 'Impatti al kg'!$B$64:$J$66, 6,FALSE)*C157), "-" )</f>
        <v>-1.09532176</v>
      </c>
      <c r="F157" s="94">
        <f>IFERROR((VLOOKUP(B157, 'Impatti al kg'!$B$64:$J$66, 7,FALSE)*C157), "-" )</f>
        <v>-2.8043958</v>
      </c>
      <c r="G157" s="95">
        <f>IFERROR((VLOOKUP(B157, 'Impatti al kg'!$B$64:$J$66, 8,FALSE)*C157), "-" )</f>
        <v>-1.7015467200000001E-7</v>
      </c>
      <c r="H157" s="96">
        <f>IFERROR((VLOOKUP(B157, 'Impatti al kg'!$B$64:$J$66, 9,FALSE)*C157), "-" )</f>
        <v>-6.4952862000000004E-3</v>
      </c>
      <c r="I157" s="78"/>
      <c r="J157" s="78"/>
      <c r="K157" s="79"/>
      <c r="L157" s="78"/>
    </row>
    <row r="158" spans="1:12" ht="16.5" customHeight="1" thickBot="1" x14ac:dyDescent="0.3">
      <c r="A158" s="247"/>
      <c r="B158" s="175" t="str">
        <f t="shared" ref="B158:C158" si="28">B121</f>
        <v>Film PE</v>
      </c>
      <c r="C158" s="172">
        <f t="shared" si="28"/>
        <v>1</v>
      </c>
      <c r="D158" s="211" t="s">
        <v>3</v>
      </c>
      <c r="E158" s="93">
        <f>IFERROR((VLOOKUP(B158, 'Impatti al kg'!$B$64:$J$66, 6,FALSE)*C158), "-" )</f>
        <v>-0.36284222999999999</v>
      </c>
      <c r="F158" s="94">
        <f>IFERROR((VLOOKUP(B158, 'Impatti al kg'!$B$64:$J$66, 7,FALSE)*C158), "-" )</f>
        <v>-24.163081999999999</v>
      </c>
      <c r="G158" s="95">
        <f>IFERROR((VLOOKUP(B158, 'Impatti al kg'!$B$64:$J$66, 8,FALSE)*C158), "-" )</f>
        <v>-4.3470351000000001E-8</v>
      </c>
      <c r="H158" s="96">
        <f>IFERROR((VLOOKUP(B158, 'Impatti al kg'!$B$64:$J$66, 9,FALSE)*C158), "-" )</f>
        <v>-5.0374922999999999E-3</v>
      </c>
      <c r="I158" s="78"/>
      <c r="J158" s="78"/>
      <c r="K158" s="79"/>
      <c r="L158" s="78"/>
    </row>
    <row r="159" spans="1:12" s="209" customFormat="1" ht="16.5" customHeight="1" thickBot="1" x14ac:dyDescent="0.3">
      <c r="A159" s="250"/>
      <c r="B159" s="176" t="str">
        <f t="shared" ref="B159:C159" si="29">B122</f>
        <v>Sacco multibolle</v>
      </c>
      <c r="C159" s="173">
        <f t="shared" si="29"/>
        <v>0.1</v>
      </c>
      <c r="D159" s="212" t="s">
        <v>3</v>
      </c>
      <c r="E159" s="107">
        <f>IFERROR((VLOOKUP(B159, 'Impatti al kg'!$B$64:$J$66, 6,FALSE)*C159), "-" )</f>
        <v>-3.6284222999999997E-2</v>
      </c>
      <c r="F159" s="139">
        <f>IFERROR((VLOOKUP(B159, 'Impatti al kg'!$B$64:$J$66, 7,FALSE)*C159), "-" )</f>
        <v>-2.4163082</v>
      </c>
      <c r="G159" s="140">
        <f>IFERROR((VLOOKUP(B159, 'Impatti al kg'!$B$64:$J$66, 8,FALSE)*C159), "-" )</f>
        <v>-4.3470351000000004E-9</v>
      </c>
      <c r="H159" s="142">
        <f>IFERROR((VLOOKUP(B159, 'Impatti al kg'!$B$64:$J$66, 9,FALSE)*C159), "-" )</f>
        <v>-5.0374923000000001E-4</v>
      </c>
      <c r="I159" s="143"/>
      <c r="J159" s="143"/>
      <c r="K159" s="144"/>
      <c r="L159" s="143"/>
    </row>
    <row r="160" spans="1:12" ht="21" customHeight="1" thickTop="1" x14ac:dyDescent="0.25">
      <c r="A160" s="245" t="s">
        <v>197</v>
      </c>
      <c r="B160" s="245"/>
      <c r="C160" s="169" t="s">
        <v>9</v>
      </c>
      <c r="D160" s="211"/>
      <c r="E160" s="236">
        <f>SUM(E157:E159)</f>
        <v>-1.4944482130000001</v>
      </c>
      <c r="F160" s="236">
        <f t="shared" ref="F160:H160" si="30">SUM(F157:F159)</f>
        <v>-29.383785999999997</v>
      </c>
      <c r="G160" s="238">
        <f t="shared" si="30"/>
        <v>-2.1797205810000001E-7</v>
      </c>
      <c r="H160" s="241">
        <f t="shared" si="30"/>
        <v>-1.203652773E-2</v>
      </c>
      <c r="I160" s="246">
        <f>Impatti_Pr!AY15</f>
        <v>-1.9337542999999999</v>
      </c>
      <c r="J160" s="221">
        <f>Impatti_Pr!AY16</f>
        <v>-16.568574999999999</v>
      </c>
      <c r="K160" s="232">
        <f>Impatti_Pr!AY17</f>
        <v>-2.9398265000000002E-7</v>
      </c>
      <c r="L160" s="221">
        <f>Impatti_Pr!AY18</f>
        <v>-1.2911204000000001E-2</v>
      </c>
    </row>
    <row r="161" spans="1:12" s="209" customFormat="1" ht="21" customHeight="1" thickBot="1" x14ac:dyDescent="0.3">
      <c r="A161" s="244"/>
      <c r="B161" s="244"/>
      <c r="C161" s="170">
        <f>C132</f>
        <v>3.1</v>
      </c>
      <c r="D161" s="213" t="s">
        <v>3</v>
      </c>
      <c r="E161" s="237"/>
      <c r="F161" s="237"/>
      <c r="G161" s="239"/>
      <c r="H161" s="242"/>
      <c r="I161" s="231"/>
      <c r="J161" s="222"/>
      <c r="K161" s="233"/>
      <c r="L161" s="222"/>
    </row>
    <row r="162" spans="1:12" ht="17.25" thickTop="1" thickBot="1" x14ac:dyDescent="0.3">
      <c r="A162" s="209"/>
      <c r="B162" s="209"/>
      <c r="C162" s="214"/>
      <c r="D162" s="215"/>
      <c r="E162" s="149"/>
      <c r="F162" s="149"/>
      <c r="G162" s="150"/>
      <c r="H162" s="151"/>
      <c r="I162" s="78"/>
      <c r="J162" s="78"/>
      <c r="K162" s="79"/>
      <c r="L162" s="78"/>
    </row>
    <row r="163" spans="1:12" ht="21.95" customHeight="1" thickTop="1" x14ac:dyDescent="0.25">
      <c r="A163" s="254" t="s">
        <v>202</v>
      </c>
      <c r="B163" s="254"/>
      <c r="C163" s="254"/>
      <c r="D163" s="254"/>
      <c r="E163" s="256">
        <f>SUM(E160,E153,E146,E138,E131,E116)</f>
        <v>74.37275346588001</v>
      </c>
      <c r="F163" s="256">
        <f t="shared" ref="F163:H163" si="31">SUM(F160,F153,F146,F138,F131,F116)</f>
        <v>1021.4721366063998</v>
      </c>
      <c r="G163" s="258">
        <f t="shared" si="31"/>
        <v>124.99471777589736</v>
      </c>
      <c r="H163" s="260">
        <f t="shared" si="31"/>
        <v>0.30622213735284604</v>
      </c>
      <c r="I163" s="246">
        <f>SUM(I116,I131,I138,I146,I153,I160)</f>
        <v>84.75609625700001</v>
      </c>
      <c r="J163" s="221">
        <f>SUM(J116,J131,J138,J146,J153,J160)</f>
        <v>1148.5076959800001</v>
      </c>
      <c r="K163" s="232">
        <f t="shared" ref="K163:L163" si="32">SUM(K116,K131,K138,K146,K153,K160)</f>
        <v>5.4602769273999993E-6</v>
      </c>
      <c r="L163" s="221">
        <f t="shared" si="32"/>
        <v>0.61659681650999998</v>
      </c>
    </row>
    <row r="164" spans="1:12" ht="21.95" customHeight="1" thickBot="1" x14ac:dyDescent="0.3">
      <c r="A164" s="255"/>
      <c r="B164" s="255"/>
      <c r="C164" s="255"/>
      <c r="D164" s="255"/>
      <c r="E164" s="257"/>
      <c r="F164" s="257"/>
      <c r="G164" s="259"/>
      <c r="H164" s="261"/>
      <c r="I164" s="231"/>
      <c r="J164" s="222"/>
      <c r="K164" s="233"/>
      <c r="L164" s="222"/>
    </row>
    <row r="165" spans="1:12" ht="16.5" thickTop="1" x14ac:dyDescent="0.25">
      <c r="E165" s="78"/>
      <c r="F165" s="78"/>
      <c r="G165" s="78"/>
      <c r="H165" s="84"/>
      <c r="I165" s="78"/>
      <c r="J165" s="78"/>
      <c r="K165" s="79"/>
      <c r="L165" s="78"/>
    </row>
    <row r="166" spans="1:12" x14ac:dyDescent="0.25">
      <c r="E166" s="78"/>
      <c r="F166" s="78"/>
      <c r="G166" s="78"/>
      <c r="H166" s="84"/>
      <c r="I166" s="78"/>
      <c r="J166" s="78"/>
      <c r="K166" s="79"/>
      <c r="L166" s="78"/>
    </row>
    <row r="167" spans="1:12" x14ac:dyDescent="0.25">
      <c r="E167" s="78"/>
      <c r="F167" s="78"/>
      <c r="G167" s="78"/>
      <c r="H167" s="84"/>
      <c r="I167" s="78"/>
      <c r="J167" s="78"/>
      <c r="K167" s="79"/>
      <c r="L167" s="78"/>
    </row>
    <row r="168" spans="1:12" x14ac:dyDescent="0.25">
      <c r="E168" s="78"/>
      <c r="F168" s="78"/>
      <c r="G168" s="78"/>
      <c r="H168" s="84"/>
      <c r="I168" s="78"/>
      <c r="J168" s="78"/>
      <c r="K168" s="79"/>
      <c r="L168" s="78"/>
    </row>
    <row r="169" spans="1:12" x14ac:dyDescent="0.25">
      <c r="E169" s="78"/>
      <c r="F169" s="78"/>
      <c r="G169" s="78"/>
      <c r="H169" s="84"/>
      <c r="I169" s="78"/>
      <c r="J169" s="78"/>
      <c r="K169" s="79"/>
      <c r="L169" s="78"/>
    </row>
    <row r="170" spans="1:12" x14ac:dyDescent="0.25">
      <c r="E170" s="78"/>
      <c r="F170" s="78"/>
      <c r="G170" s="78"/>
      <c r="H170" s="84"/>
      <c r="I170" s="78"/>
      <c r="J170" s="78"/>
      <c r="K170" s="79"/>
      <c r="L170" s="78"/>
    </row>
    <row r="171" spans="1:12" x14ac:dyDescent="0.25">
      <c r="E171" s="78"/>
      <c r="F171" s="78"/>
      <c r="G171" s="78"/>
      <c r="H171" s="84"/>
      <c r="I171" s="78"/>
      <c r="J171" s="78"/>
      <c r="K171" s="79"/>
      <c r="L171" s="78"/>
    </row>
    <row r="172" spans="1:12" x14ac:dyDescent="0.25">
      <c r="E172" s="78"/>
      <c r="F172" s="78"/>
      <c r="G172" s="78"/>
      <c r="H172" s="84"/>
      <c r="I172" s="78"/>
      <c r="J172" s="78"/>
      <c r="K172" s="79"/>
      <c r="L172" s="78"/>
    </row>
    <row r="173" spans="1:12" x14ac:dyDescent="0.25">
      <c r="E173" s="78"/>
      <c r="F173" s="78"/>
      <c r="G173" s="78"/>
      <c r="H173" s="84"/>
      <c r="I173" s="78"/>
      <c r="J173" s="78"/>
      <c r="K173" s="79"/>
      <c r="L173" s="78"/>
    </row>
    <row r="174" spans="1:12" x14ac:dyDescent="0.25">
      <c r="E174" s="78"/>
      <c r="F174" s="78"/>
      <c r="G174" s="78"/>
      <c r="H174" s="84"/>
      <c r="I174" s="78"/>
      <c r="J174" s="78"/>
      <c r="K174" s="79"/>
      <c r="L174" s="78"/>
    </row>
    <row r="175" spans="1:12" x14ac:dyDescent="0.25">
      <c r="E175" s="78"/>
      <c r="F175" s="78"/>
      <c r="G175" s="78"/>
      <c r="H175" s="84"/>
      <c r="I175" s="78"/>
      <c r="J175" s="78"/>
      <c r="K175" s="79"/>
      <c r="L175" s="78"/>
    </row>
    <row r="176" spans="1:12" x14ac:dyDescent="0.25">
      <c r="E176" s="78"/>
      <c r="F176" s="78"/>
      <c r="G176" s="78"/>
      <c r="H176" s="84"/>
      <c r="I176" s="78"/>
      <c r="J176" s="78"/>
      <c r="K176" s="79"/>
      <c r="L176" s="78"/>
    </row>
    <row r="177" spans="5:12" x14ac:dyDescent="0.25">
      <c r="E177" s="78"/>
      <c r="F177" s="78"/>
      <c r="G177" s="78"/>
      <c r="H177" s="84"/>
      <c r="I177" s="78"/>
      <c r="J177" s="78"/>
      <c r="K177" s="79"/>
      <c r="L177" s="78"/>
    </row>
    <row r="178" spans="5:12" x14ac:dyDescent="0.25">
      <c r="E178" s="78"/>
      <c r="F178" s="78"/>
      <c r="G178" s="78"/>
      <c r="H178" s="84"/>
      <c r="I178" s="78"/>
      <c r="J178" s="78"/>
      <c r="K178" s="79"/>
      <c r="L178" s="78"/>
    </row>
    <row r="179" spans="5:12" x14ac:dyDescent="0.25">
      <c r="E179" s="78"/>
      <c r="F179" s="78"/>
      <c r="G179" s="78"/>
      <c r="H179" s="84"/>
      <c r="I179" s="78"/>
      <c r="J179" s="78"/>
      <c r="K179" s="79"/>
      <c r="L179" s="78"/>
    </row>
    <row r="180" spans="5:12" x14ac:dyDescent="0.25">
      <c r="E180" s="78"/>
      <c r="F180" s="78"/>
      <c r="G180" s="78"/>
      <c r="H180" s="84"/>
      <c r="I180" s="78"/>
      <c r="J180" s="78"/>
      <c r="K180" s="79"/>
      <c r="L180" s="78"/>
    </row>
    <row r="181" spans="5:12" x14ac:dyDescent="0.25">
      <c r="E181" s="78"/>
      <c r="F181" s="78"/>
      <c r="G181" s="78"/>
      <c r="H181" s="84"/>
      <c r="I181" s="78"/>
      <c r="J181" s="78"/>
      <c r="K181" s="79"/>
      <c r="L181" s="78"/>
    </row>
    <row r="182" spans="5:12" x14ac:dyDescent="0.25">
      <c r="E182" s="78"/>
      <c r="F182" s="78"/>
      <c r="G182" s="78"/>
      <c r="H182" s="84"/>
      <c r="I182" s="78"/>
      <c r="J182" s="78"/>
      <c r="K182" s="78"/>
      <c r="L182" s="78"/>
    </row>
    <row r="183" spans="5:12" x14ac:dyDescent="0.25">
      <c r="E183" s="78"/>
      <c r="F183" s="78"/>
      <c r="G183" s="78"/>
      <c r="H183" s="84"/>
      <c r="I183" s="78"/>
      <c r="J183" s="78"/>
      <c r="K183" s="78"/>
      <c r="L183" s="78"/>
    </row>
    <row r="184" spans="5:12" x14ac:dyDescent="0.25">
      <c r="E184" s="78"/>
      <c r="F184" s="78"/>
      <c r="G184" s="78"/>
      <c r="H184" s="84"/>
      <c r="I184" s="78"/>
      <c r="J184" s="78"/>
      <c r="K184" s="78"/>
      <c r="L184" s="78"/>
    </row>
    <row r="185" spans="5:12" x14ac:dyDescent="0.25">
      <c r="E185" s="78"/>
      <c r="F185" s="78"/>
      <c r="G185" s="78"/>
      <c r="H185" s="84"/>
      <c r="I185" s="78"/>
      <c r="J185" s="78"/>
      <c r="K185" s="78"/>
      <c r="L185" s="78"/>
    </row>
    <row r="186" spans="5:12" x14ac:dyDescent="0.25">
      <c r="E186" s="78"/>
      <c r="F186" s="78"/>
      <c r="G186" s="78"/>
      <c r="H186" s="84"/>
      <c r="I186" s="78"/>
      <c r="J186" s="78"/>
      <c r="K186" s="78"/>
      <c r="L186" s="78"/>
    </row>
    <row r="187" spans="5:12" x14ac:dyDescent="0.25">
      <c r="E187" s="78"/>
      <c r="F187" s="78"/>
      <c r="G187" s="78"/>
      <c r="H187" s="84"/>
      <c r="I187" s="78"/>
      <c r="J187" s="78"/>
      <c r="K187" s="78"/>
      <c r="L187" s="78"/>
    </row>
    <row r="188" spans="5:12" x14ac:dyDescent="0.25">
      <c r="E188" s="78"/>
      <c r="F188" s="78"/>
      <c r="G188" s="78"/>
      <c r="H188" s="84"/>
      <c r="I188" s="78"/>
      <c r="J188" s="78"/>
      <c r="K188" s="78"/>
      <c r="L188" s="78"/>
    </row>
    <row r="189" spans="5:12" x14ac:dyDescent="0.25">
      <c r="E189" s="78"/>
      <c r="F189" s="78"/>
      <c r="G189" s="78"/>
      <c r="H189" s="84"/>
      <c r="I189" s="78"/>
      <c r="J189" s="78"/>
      <c r="K189" s="78"/>
      <c r="L189" s="78"/>
    </row>
    <row r="190" spans="5:12" x14ac:dyDescent="0.25">
      <c r="E190" s="78"/>
      <c r="F190" s="78"/>
      <c r="G190" s="78"/>
      <c r="H190" s="84"/>
      <c r="I190" s="78"/>
      <c r="J190" s="78"/>
      <c r="K190" s="78"/>
      <c r="L190" s="78"/>
    </row>
    <row r="191" spans="5:12" x14ac:dyDescent="0.25">
      <c r="E191" s="78"/>
      <c r="F191" s="78"/>
      <c r="G191" s="78"/>
      <c r="H191" s="84"/>
      <c r="I191" s="78"/>
      <c r="J191" s="78"/>
      <c r="K191" s="78"/>
      <c r="L191" s="78"/>
    </row>
    <row r="192" spans="5:12" x14ac:dyDescent="0.25">
      <c r="E192" s="78"/>
      <c r="F192" s="78"/>
      <c r="G192" s="78"/>
      <c r="H192" s="84"/>
      <c r="I192" s="78"/>
      <c r="J192" s="78"/>
      <c r="K192" s="78"/>
      <c r="L192" s="78"/>
    </row>
    <row r="193" spans="5:12" x14ac:dyDescent="0.25">
      <c r="E193" s="78"/>
      <c r="F193" s="78"/>
      <c r="G193" s="78"/>
      <c r="H193" s="84"/>
      <c r="I193" s="78"/>
      <c r="J193" s="78"/>
      <c r="K193" s="78"/>
      <c r="L193" s="78"/>
    </row>
    <row r="194" spans="5:12" x14ac:dyDescent="0.25">
      <c r="E194" s="78"/>
      <c r="F194" s="78"/>
      <c r="G194" s="78"/>
      <c r="H194" s="84"/>
      <c r="I194" s="78"/>
      <c r="J194" s="78"/>
      <c r="K194" s="78"/>
      <c r="L194" s="78"/>
    </row>
    <row r="195" spans="5:12" x14ac:dyDescent="0.25">
      <c r="E195" s="78"/>
      <c r="F195" s="78"/>
      <c r="G195" s="78"/>
      <c r="H195" s="84"/>
      <c r="I195" s="78"/>
      <c r="J195" s="78"/>
      <c r="K195" s="78"/>
      <c r="L195" s="78"/>
    </row>
    <row r="196" spans="5:12" x14ac:dyDescent="0.25">
      <c r="E196" s="78"/>
      <c r="F196" s="78"/>
      <c r="G196" s="78"/>
      <c r="H196" s="84"/>
      <c r="I196" s="78"/>
      <c r="J196" s="78"/>
      <c r="K196" s="78"/>
      <c r="L196" s="78"/>
    </row>
    <row r="197" spans="5:12" x14ac:dyDescent="0.25">
      <c r="E197" s="78"/>
      <c r="F197" s="78"/>
      <c r="G197" s="78"/>
      <c r="H197" s="84"/>
      <c r="I197" s="78"/>
      <c r="J197" s="78"/>
      <c r="K197" s="78"/>
      <c r="L197" s="78"/>
    </row>
    <row r="198" spans="5:12" x14ac:dyDescent="0.25">
      <c r="E198" s="78"/>
      <c r="F198" s="78"/>
      <c r="G198" s="78"/>
      <c r="H198" s="84"/>
      <c r="I198" s="78"/>
      <c r="J198" s="78"/>
      <c r="K198" s="78"/>
      <c r="L198" s="78"/>
    </row>
    <row r="199" spans="5:12" x14ac:dyDescent="0.25">
      <c r="E199" s="78"/>
      <c r="F199" s="78"/>
      <c r="G199" s="78"/>
      <c r="H199" s="84"/>
      <c r="I199" s="78"/>
      <c r="J199" s="78"/>
      <c r="K199" s="78"/>
      <c r="L199" s="78"/>
    </row>
    <row r="200" spans="5:12" x14ac:dyDescent="0.25">
      <c r="E200" s="78"/>
      <c r="F200" s="78"/>
      <c r="G200" s="78"/>
      <c r="H200" s="84"/>
      <c r="I200" s="78"/>
      <c r="J200" s="78"/>
      <c r="K200" s="78"/>
      <c r="L200" s="78"/>
    </row>
    <row r="201" spans="5:12" x14ac:dyDescent="0.25">
      <c r="E201" s="78"/>
      <c r="F201" s="78"/>
      <c r="G201" s="78"/>
      <c r="H201" s="84"/>
      <c r="I201" s="78"/>
      <c r="J201" s="78"/>
      <c r="K201" s="78"/>
      <c r="L201" s="78"/>
    </row>
    <row r="202" spans="5:12" x14ac:dyDescent="0.25">
      <c r="E202" s="78"/>
      <c r="F202" s="78"/>
      <c r="G202" s="78"/>
      <c r="H202" s="84"/>
      <c r="I202" s="78"/>
      <c r="J202" s="78"/>
      <c r="K202" s="78"/>
      <c r="L202" s="78"/>
    </row>
  </sheetData>
  <sheetProtection algorithmName="SHA-512" hashValue="0oGHt3eDoeqUkHuGi33EY2TqIAAM7JJSmmYUAwjREY+XX6174P3Phn2eAJNDaA1KNkwyO0spY79G8ordxMaLZw==" saltValue="WVy4y4MMFHgUfVp4VYb8HA==" spinCount="100000" sheet="1" objects="1" scenarios="1"/>
  <dataConsolidate/>
  <mergeCells count="85">
    <mergeCell ref="I163:I164"/>
    <mergeCell ref="J163:J164"/>
    <mergeCell ref="K163:K164"/>
    <mergeCell ref="L163:L164"/>
    <mergeCell ref="A163:D164"/>
    <mergeCell ref="E163:E164"/>
    <mergeCell ref="F163:F164"/>
    <mergeCell ref="G163:G164"/>
    <mergeCell ref="H163:H164"/>
    <mergeCell ref="H153:H154"/>
    <mergeCell ref="A160:B161"/>
    <mergeCell ref="F160:F161"/>
    <mergeCell ref="G160:G161"/>
    <mergeCell ref="H160:H161"/>
    <mergeCell ref="A155:D155"/>
    <mergeCell ref="A156:A159"/>
    <mergeCell ref="E160:E161"/>
    <mergeCell ref="I153:I154"/>
    <mergeCell ref="J153:J154"/>
    <mergeCell ref="K153:K154"/>
    <mergeCell ref="L153:L154"/>
    <mergeCell ref="K160:K161"/>
    <mergeCell ref="L160:L161"/>
    <mergeCell ref="I160:I161"/>
    <mergeCell ref="J160:J161"/>
    <mergeCell ref="A149:A152"/>
    <mergeCell ref="A153:B154"/>
    <mergeCell ref="E153:E154"/>
    <mergeCell ref="F153:F154"/>
    <mergeCell ref="G153:G154"/>
    <mergeCell ref="I146:I147"/>
    <mergeCell ref="J146:J147"/>
    <mergeCell ref="K146:K147"/>
    <mergeCell ref="L146:L147"/>
    <mergeCell ref="A148:D148"/>
    <mergeCell ref="A146:B147"/>
    <mergeCell ref="E146:E147"/>
    <mergeCell ref="F146:F147"/>
    <mergeCell ref="G146:G147"/>
    <mergeCell ref="H146:H147"/>
    <mergeCell ref="K138:K139"/>
    <mergeCell ref="A140:D140"/>
    <mergeCell ref="A141:A145"/>
    <mergeCell ref="F138:F139"/>
    <mergeCell ref="G138:G139"/>
    <mergeCell ref="H138:H139"/>
    <mergeCell ref="I138:I139"/>
    <mergeCell ref="J138:J139"/>
    <mergeCell ref="A133:D133"/>
    <mergeCell ref="A134:A137"/>
    <mergeCell ref="A138:B139"/>
    <mergeCell ref="E138:E139"/>
    <mergeCell ref="J131:J132"/>
    <mergeCell ref="H116:H117"/>
    <mergeCell ref="I116:I117"/>
    <mergeCell ref="A116:B117"/>
    <mergeCell ref="K131:K132"/>
    <mergeCell ref="L131:L132"/>
    <mergeCell ref="A131:B132"/>
    <mergeCell ref="E131:E132"/>
    <mergeCell ref="F131:F132"/>
    <mergeCell ref="G131:G132"/>
    <mergeCell ref="H131:H132"/>
    <mergeCell ref="I131:I132"/>
    <mergeCell ref="A15:A26"/>
    <mergeCell ref="A27:A36"/>
    <mergeCell ref="E1:H1"/>
    <mergeCell ref="I1:L1"/>
    <mergeCell ref="A4:A14"/>
    <mergeCell ref="L138:L139"/>
    <mergeCell ref="A119:A130"/>
    <mergeCell ref="A49:A58"/>
    <mergeCell ref="A70:A80"/>
    <mergeCell ref="A37:A48"/>
    <mergeCell ref="A104:A115"/>
    <mergeCell ref="A92:A103"/>
    <mergeCell ref="A81:A91"/>
    <mergeCell ref="A59:A69"/>
    <mergeCell ref="J116:J117"/>
    <mergeCell ref="K116:K117"/>
    <mergeCell ref="L116:L117"/>
    <mergeCell ref="A118:D118"/>
    <mergeCell ref="E116:E117"/>
    <mergeCell ref="F116:F117"/>
    <mergeCell ref="G116:G117"/>
  </mergeCells>
  <conditionalFormatting sqref="E163:E164">
    <cfRule type="cellIs" dxfId="195" priority="193" operator="lessThan">
      <formula>$I$163</formula>
    </cfRule>
    <cfRule type="cellIs" dxfId="194" priority="197" operator="greaterThan">
      <formula>$I$163</formula>
    </cfRule>
  </conditionalFormatting>
  <conditionalFormatting sqref="F163:F164">
    <cfRule type="cellIs" dxfId="193" priority="192" operator="lessThan">
      <formula>$J$163</formula>
    </cfRule>
    <cfRule type="cellIs" dxfId="192" priority="196" operator="greaterThan">
      <formula>$J$163</formula>
    </cfRule>
  </conditionalFormatting>
  <conditionalFormatting sqref="G163:G164">
    <cfRule type="cellIs" dxfId="191" priority="191" operator="lessThan">
      <formula>$K$163</formula>
    </cfRule>
    <cfRule type="cellIs" dxfId="190" priority="195" operator="greaterThan">
      <formula>$K$163</formula>
    </cfRule>
  </conditionalFormatting>
  <conditionalFormatting sqref="H163:H164">
    <cfRule type="cellIs" dxfId="189" priority="190" operator="lessThan">
      <formula>$L$163</formula>
    </cfRule>
    <cfRule type="cellIs" dxfId="188" priority="194" operator="greaterThan">
      <formula>$L$163</formula>
    </cfRule>
  </conditionalFormatting>
  <conditionalFormatting sqref="E7">
    <cfRule type="cellIs" dxfId="187" priority="189" operator="greaterThan">
      <formula>$I$7</formula>
    </cfRule>
  </conditionalFormatting>
  <conditionalFormatting sqref="F7">
    <cfRule type="cellIs" dxfId="186" priority="188" operator="greaterThan">
      <formula>$J$7</formula>
    </cfRule>
  </conditionalFormatting>
  <conditionalFormatting sqref="G7">
    <cfRule type="cellIs" dxfId="185" priority="187" operator="greaterThan">
      <formula>$K$7</formula>
    </cfRule>
  </conditionalFormatting>
  <conditionalFormatting sqref="H7">
    <cfRule type="cellIs" dxfId="184" priority="186" operator="greaterThan">
      <formula>$L$7</formula>
    </cfRule>
  </conditionalFormatting>
  <conditionalFormatting sqref="E13">
    <cfRule type="cellIs" dxfId="183" priority="181" operator="lessThan">
      <formula>$I$13</formula>
    </cfRule>
    <cfRule type="cellIs" dxfId="182" priority="185" operator="greaterThan">
      <formula>$I$13</formula>
    </cfRule>
  </conditionalFormatting>
  <conditionalFormatting sqref="F13">
    <cfRule type="cellIs" dxfId="181" priority="180" operator="lessThan">
      <formula>$J$13</formula>
    </cfRule>
    <cfRule type="cellIs" dxfId="180" priority="184" operator="greaterThan">
      <formula>$J$13</formula>
    </cfRule>
  </conditionalFormatting>
  <conditionalFormatting sqref="G13">
    <cfRule type="cellIs" dxfId="179" priority="179" operator="lessThan">
      <formula>$K$13</formula>
    </cfRule>
    <cfRule type="cellIs" dxfId="178" priority="183" operator="greaterThan">
      <formula>$K$13</formula>
    </cfRule>
  </conditionalFormatting>
  <conditionalFormatting sqref="H13">
    <cfRule type="cellIs" dxfId="177" priority="178" operator="lessThan">
      <formula>$L$13</formula>
    </cfRule>
    <cfRule type="cellIs" dxfId="176" priority="182" operator="greaterThan">
      <formula>$L$13</formula>
    </cfRule>
  </conditionalFormatting>
  <conditionalFormatting sqref="E19">
    <cfRule type="cellIs" dxfId="175" priority="173" operator="lessThan">
      <formula>$I$19</formula>
    </cfRule>
    <cfRule type="cellIs" dxfId="174" priority="177" operator="greaterThan">
      <formula>$I$19</formula>
    </cfRule>
  </conditionalFormatting>
  <conditionalFormatting sqref="F19">
    <cfRule type="cellIs" dxfId="173" priority="172" operator="lessThan">
      <formula>$J$19</formula>
    </cfRule>
    <cfRule type="cellIs" dxfId="172" priority="176" operator="greaterThan">
      <formula>$J$19</formula>
    </cfRule>
  </conditionalFormatting>
  <conditionalFormatting sqref="G19">
    <cfRule type="cellIs" dxfId="171" priority="171" operator="lessThan">
      <formula>$K$19</formula>
    </cfRule>
    <cfRule type="cellIs" dxfId="170" priority="175" operator="greaterThan">
      <formula>$K$19</formula>
    </cfRule>
  </conditionalFormatting>
  <conditionalFormatting sqref="H19">
    <cfRule type="cellIs" dxfId="169" priority="170" operator="lessThan">
      <formula>$L$19</formula>
    </cfRule>
    <cfRule type="cellIs" dxfId="168" priority="174" operator="greaterThan">
      <formula>$L$19</formula>
    </cfRule>
  </conditionalFormatting>
  <conditionalFormatting sqref="E25">
    <cfRule type="cellIs" dxfId="167" priority="165" operator="lessThan">
      <formula>$I$25</formula>
    </cfRule>
    <cfRule type="cellIs" dxfId="166" priority="169" operator="greaterThan">
      <formula>$I$25</formula>
    </cfRule>
  </conditionalFormatting>
  <conditionalFormatting sqref="F25">
    <cfRule type="cellIs" dxfId="165" priority="164" operator="lessThan">
      <formula>$J$25</formula>
    </cfRule>
    <cfRule type="cellIs" dxfId="164" priority="168" operator="greaterThan">
      <formula>$J$25</formula>
    </cfRule>
  </conditionalFormatting>
  <conditionalFormatting sqref="G25">
    <cfRule type="cellIs" dxfId="163" priority="163" operator="lessThan">
      <formula>$K$25</formula>
    </cfRule>
    <cfRule type="cellIs" dxfId="162" priority="167" operator="greaterThan">
      <formula>$K$25</formula>
    </cfRule>
  </conditionalFormatting>
  <conditionalFormatting sqref="H25">
    <cfRule type="cellIs" dxfId="161" priority="162" operator="lessThan">
      <formula>$L$25</formula>
    </cfRule>
    <cfRule type="cellIs" dxfId="160" priority="166" operator="greaterThan">
      <formula>$L$25</formula>
    </cfRule>
  </conditionalFormatting>
  <conditionalFormatting sqref="E29">
    <cfRule type="cellIs" dxfId="159" priority="157" operator="lessThan">
      <formula>6.82</formula>
    </cfRule>
    <cfRule type="cellIs" dxfId="158" priority="161" operator="greaterThan">
      <formula>$I$29</formula>
    </cfRule>
  </conditionalFormatting>
  <conditionalFormatting sqref="F29">
    <cfRule type="cellIs" dxfId="157" priority="156" operator="lessThan">
      <formula>$J$29</formula>
    </cfRule>
    <cfRule type="cellIs" dxfId="156" priority="160" operator="greaterThan">
      <formula>$J$29</formula>
    </cfRule>
  </conditionalFormatting>
  <conditionalFormatting sqref="G29">
    <cfRule type="cellIs" dxfId="155" priority="155" operator="lessThan">
      <formula>$K$29</formula>
    </cfRule>
    <cfRule type="cellIs" dxfId="154" priority="159" operator="greaterThan">
      <formula>$K$29</formula>
    </cfRule>
  </conditionalFormatting>
  <conditionalFormatting sqref="H29">
    <cfRule type="cellIs" dxfId="153" priority="154" operator="lessThan">
      <formula>$L$29</formula>
    </cfRule>
    <cfRule type="cellIs" dxfId="152" priority="158" operator="greaterThan">
      <formula>$L$29</formula>
    </cfRule>
  </conditionalFormatting>
  <conditionalFormatting sqref="E35">
    <cfRule type="cellIs" dxfId="151" priority="149" operator="lessThan">
      <formula>$I$35</formula>
    </cfRule>
    <cfRule type="cellIs" dxfId="150" priority="153" operator="greaterThan">
      <formula>$I$35</formula>
    </cfRule>
  </conditionalFormatting>
  <conditionalFormatting sqref="F35">
    <cfRule type="cellIs" dxfId="149" priority="148" operator="lessThan">
      <formula>$J$35</formula>
    </cfRule>
    <cfRule type="cellIs" dxfId="148" priority="152" operator="greaterThan">
      <formula>$J$35</formula>
    </cfRule>
  </conditionalFormatting>
  <conditionalFormatting sqref="G35">
    <cfRule type="cellIs" dxfId="147" priority="147" operator="lessThan">
      <formula>$K$35</formula>
    </cfRule>
    <cfRule type="cellIs" dxfId="146" priority="151" operator="greaterThan">
      <formula>$K$35</formula>
    </cfRule>
  </conditionalFormatting>
  <conditionalFormatting sqref="H35">
    <cfRule type="cellIs" dxfId="145" priority="146" operator="lessThan">
      <formula>$L$35</formula>
    </cfRule>
    <cfRule type="cellIs" dxfId="144" priority="150" operator="greaterThan">
      <formula>$L$35</formula>
    </cfRule>
  </conditionalFormatting>
  <conditionalFormatting sqref="E41">
    <cfRule type="cellIs" dxfId="143" priority="141" operator="lessThan">
      <formula>$I$41</formula>
    </cfRule>
    <cfRule type="cellIs" dxfId="142" priority="145" operator="greaterThan">
      <formula>$I$41</formula>
    </cfRule>
  </conditionalFormatting>
  <conditionalFormatting sqref="F41">
    <cfRule type="cellIs" dxfId="141" priority="140" operator="lessThan">
      <formula>$J$41</formula>
    </cfRule>
    <cfRule type="cellIs" dxfId="140" priority="144" operator="greaterThan">
      <formula>$J$41</formula>
    </cfRule>
  </conditionalFormatting>
  <conditionalFormatting sqref="G41">
    <cfRule type="cellIs" dxfId="139" priority="139" operator="lessThan">
      <formula>$K$41</formula>
    </cfRule>
    <cfRule type="cellIs" dxfId="138" priority="143" operator="greaterThan">
      <formula>$K$41</formula>
    </cfRule>
  </conditionalFormatting>
  <conditionalFormatting sqref="H41">
    <cfRule type="cellIs" dxfId="137" priority="138" operator="lessThan">
      <formula>$L$41</formula>
    </cfRule>
    <cfRule type="cellIs" dxfId="136" priority="142" operator="greaterThan">
      <formula>$L$41</formula>
    </cfRule>
  </conditionalFormatting>
  <conditionalFormatting sqref="E47">
    <cfRule type="cellIs" dxfId="135" priority="133" operator="lessThan">
      <formula>$I$41</formula>
    </cfRule>
    <cfRule type="cellIs" dxfId="134" priority="137" operator="greaterThan">
      <formula>$I$47</formula>
    </cfRule>
  </conditionalFormatting>
  <conditionalFormatting sqref="F47">
    <cfRule type="cellIs" dxfId="133" priority="132" operator="lessThan">
      <formula>$J$47</formula>
    </cfRule>
    <cfRule type="cellIs" dxfId="132" priority="136" operator="greaterThan">
      <formula>$J$47</formula>
    </cfRule>
  </conditionalFormatting>
  <conditionalFormatting sqref="G47">
    <cfRule type="cellIs" dxfId="131" priority="131" operator="lessThan">
      <formula>$K$47</formula>
    </cfRule>
    <cfRule type="cellIs" dxfId="130" priority="135" operator="greaterThan">
      <formula>$K$47</formula>
    </cfRule>
  </conditionalFormatting>
  <conditionalFormatting sqref="H47">
    <cfRule type="cellIs" dxfId="129" priority="130" operator="lessThan">
      <formula>$L$47</formula>
    </cfRule>
    <cfRule type="cellIs" dxfId="128" priority="134" operator="greaterThan">
      <formula>$L$47</formula>
    </cfRule>
  </conditionalFormatting>
  <conditionalFormatting sqref="E62">
    <cfRule type="cellIs" dxfId="127" priority="125" operator="lessThan">
      <formula>$I$62</formula>
    </cfRule>
    <cfRule type="cellIs" dxfId="126" priority="129" operator="greaterThan">
      <formula>$I$62</formula>
    </cfRule>
  </conditionalFormatting>
  <conditionalFormatting sqref="F62">
    <cfRule type="cellIs" dxfId="125" priority="124" operator="lessThan">
      <formula>$J$62</formula>
    </cfRule>
    <cfRule type="cellIs" dxfId="124" priority="128" operator="greaterThan">
      <formula>$J$62</formula>
    </cfRule>
  </conditionalFormatting>
  <conditionalFormatting sqref="G62">
    <cfRule type="cellIs" dxfId="123" priority="123" operator="lessThan">
      <formula>$K$62</formula>
    </cfRule>
    <cfRule type="cellIs" dxfId="122" priority="127" operator="greaterThan">
      <formula>$K$62</formula>
    </cfRule>
  </conditionalFormatting>
  <conditionalFormatting sqref="H62">
    <cfRule type="cellIs" dxfId="121" priority="122" operator="lessThan">
      <formula>$L$62</formula>
    </cfRule>
    <cfRule type="cellIs" dxfId="120" priority="126" operator="greaterThan">
      <formula>$L$62</formula>
    </cfRule>
  </conditionalFormatting>
  <conditionalFormatting sqref="E68">
    <cfRule type="cellIs" dxfId="119" priority="117" operator="lessThan">
      <formula>$I$68</formula>
    </cfRule>
    <cfRule type="cellIs" dxfId="118" priority="121" operator="greaterThan">
      <formula>$I$68</formula>
    </cfRule>
  </conditionalFormatting>
  <conditionalFormatting sqref="F68">
    <cfRule type="cellIs" dxfId="117" priority="116" operator="lessThan">
      <formula>$J$68</formula>
    </cfRule>
    <cfRule type="cellIs" dxfId="116" priority="120" operator="greaterThan">
      <formula>$J$68</formula>
    </cfRule>
  </conditionalFormatting>
  <conditionalFormatting sqref="G68">
    <cfRule type="cellIs" dxfId="115" priority="115" operator="lessThan">
      <formula>$K$68</formula>
    </cfRule>
    <cfRule type="cellIs" dxfId="114" priority="119" operator="greaterThan">
      <formula>$K$68</formula>
    </cfRule>
  </conditionalFormatting>
  <conditionalFormatting sqref="H68">
    <cfRule type="cellIs" dxfId="113" priority="114" operator="lessThan">
      <formula>$L$68</formula>
    </cfRule>
    <cfRule type="cellIs" dxfId="112" priority="118" operator="greaterThan">
      <formula>$L$68</formula>
    </cfRule>
  </conditionalFormatting>
  <conditionalFormatting sqref="E73">
    <cfRule type="cellIs" dxfId="111" priority="109" operator="lessThan">
      <formula>$I$73</formula>
    </cfRule>
    <cfRule type="cellIs" dxfId="110" priority="113" operator="greaterThan">
      <formula>$I$73</formula>
    </cfRule>
  </conditionalFormatting>
  <conditionalFormatting sqref="F73">
    <cfRule type="cellIs" dxfId="109" priority="108" operator="lessThan">
      <formula>$J$73</formula>
    </cfRule>
    <cfRule type="cellIs" dxfId="108" priority="112" operator="greaterThan">
      <formula>$J$73</formula>
    </cfRule>
  </conditionalFormatting>
  <conditionalFormatting sqref="G73">
    <cfRule type="cellIs" dxfId="107" priority="107" operator="lessThan">
      <formula>$K$73</formula>
    </cfRule>
    <cfRule type="cellIs" dxfId="106" priority="111" operator="greaterThan">
      <formula>$K$73</formula>
    </cfRule>
  </conditionalFormatting>
  <conditionalFormatting sqref="H73">
    <cfRule type="cellIs" dxfId="105" priority="106" operator="lessThan">
      <formula>$L$73</formula>
    </cfRule>
    <cfRule type="cellIs" dxfId="104" priority="110" operator="greaterThan">
      <formula>$L$73</formula>
    </cfRule>
  </conditionalFormatting>
  <conditionalFormatting sqref="E79">
    <cfRule type="cellIs" dxfId="103" priority="101" operator="lessThan">
      <formula>$I$79</formula>
    </cfRule>
    <cfRule type="cellIs" dxfId="102" priority="105" operator="greaterThan">
      <formula>$I$79</formula>
    </cfRule>
  </conditionalFormatting>
  <conditionalFormatting sqref="F79">
    <cfRule type="cellIs" dxfId="101" priority="100" operator="lessThan">
      <formula>$J$79</formula>
    </cfRule>
    <cfRule type="cellIs" dxfId="100" priority="104" operator="greaterThan">
      <formula>$J$79</formula>
    </cfRule>
  </conditionalFormatting>
  <conditionalFormatting sqref="G79">
    <cfRule type="cellIs" dxfId="99" priority="99" operator="lessThan">
      <formula>$K$79</formula>
    </cfRule>
    <cfRule type="cellIs" dxfId="98" priority="103" operator="greaterThan">
      <formula>$K$79</formula>
    </cfRule>
  </conditionalFormatting>
  <conditionalFormatting sqref="H79">
    <cfRule type="cellIs" dxfId="97" priority="98" operator="lessThan">
      <formula>$L$79</formula>
    </cfRule>
    <cfRule type="cellIs" dxfId="96" priority="102" operator="greaterThan">
      <formula>$L$79</formula>
    </cfRule>
  </conditionalFormatting>
  <conditionalFormatting sqref="E96">
    <cfRule type="cellIs" dxfId="95" priority="93" operator="lessThan">
      <formula>$I$96</formula>
    </cfRule>
    <cfRule type="cellIs" dxfId="94" priority="97" operator="greaterThan">
      <formula>$I$96</formula>
    </cfRule>
  </conditionalFormatting>
  <conditionalFormatting sqref="F96">
    <cfRule type="cellIs" dxfId="93" priority="92" operator="lessThan">
      <formula>$J$96</formula>
    </cfRule>
    <cfRule type="cellIs" dxfId="92" priority="96" operator="greaterThan">
      <formula>$J$96</formula>
    </cfRule>
  </conditionalFormatting>
  <conditionalFormatting sqref="G96">
    <cfRule type="cellIs" dxfId="91" priority="91" operator="lessThan">
      <formula>$K$96</formula>
    </cfRule>
    <cfRule type="cellIs" dxfId="90" priority="95" operator="greaterThan">
      <formula>$K$96</formula>
    </cfRule>
  </conditionalFormatting>
  <conditionalFormatting sqref="H96">
    <cfRule type="cellIs" dxfId="89" priority="90" operator="lessThan">
      <formula>$L$96</formula>
    </cfRule>
    <cfRule type="cellIs" dxfId="88" priority="94" operator="greaterThan">
      <formula>$L$96</formula>
    </cfRule>
  </conditionalFormatting>
  <conditionalFormatting sqref="E102">
    <cfRule type="cellIs" dxfId="87" priority="85" operator="lessThan">
      <formula>$I$102</formula>
    </cfRule>
    <cfRule type="cellIs" dxfId="86" priority="89" operator="greaterThan">
      <formula>$I$102</formula>
    </cfRule>
  </conditionalFormatting>
  <conditionalFormatting sqref="F102">
    <cfRule type="cellIs" dxfId="85" priority="84" operator="lessThan">
      <formula>$J$102</formula>
    </cfRule>
    <cfRule type="cellIs" dxfId="84" priority="88" operator="greaterThan">
      <formula>$J$102</formula>
    </cfRule>
  </conditionalFormatting>
  <conditionalFormatting sqref="G102">
    <cfRule type="cellIs" dxfId="83" priority="83" operator="lessThan">
      <formula>$K$102</formula>
    </cfRule>
    <cfRule type="cellIs" dxfId="82" priority="87" operator="greaterThan">
      <formula>$K$102</formula>
    </cfRule>
  </conditionalFormatting>
  <conditionalFormatting sqref="H102">
    <cfRule type="cellIs" dxfId="81" priority="82" operator="lessThan">
      <formula>$L$102</formula>
    </cfRule>
    <cfRule type="cellIs" dxfId="80" priority="86" operator="greaterThan">
      <formula>$L$102</formula>
    </cfRule>
  </conditionalFormatting>
  <conditionalFormatting sqref="E108">
    <cfRule type="cellIs" dxfId="79" priority="77" operator="lessThan">
      <formula>$I$108</formula>
    </cfRule>
    <cfRule type="cellIs" dxfId="78" priority="81" operator="greaterThan">
      <formula>$I$108</formula>
    </cfRule>
  </conditionalFormatting>
  <conditionalFormatting sqref="F108">
    <cfRule type="cellIs" dxfId="77" priority="76" operator="lessThan">
      <formula>$J$108</formula>
    </cfRule>
    <cfRule type="cellIs" dxfId="76" priority="80" operator="greaterThan">
      <formula>$J$108</formula>
    </cfRule>
  </conditionalFormatting>
  <conditionalFormatting sqref="G108">
    <cfRule type="cellIs" dxfId="75" priority="75" operator="lessThan">
      <formula>$K$108</formula>
    </cfRule>
    <cfRule type="cellIs" dxfId="74" priority="79" operator="greaterThan">
      <formula>$K$108</formula>
    </cfRule>
  </conditionalFormatting>
  <conditionalFormatting sqref="H108">
    <cfRule type="cellIs" dxfId="73" priority="74" operator="lessThan">
      <formula>$L$108</formula>
    </cfRule>
    <cfRule type="cellIs" dxfId="72" priority="78" operator="greaterThan">
      <formula>$L$108</formula>
    </cfRule>
  </conditionalFormatting>
  <conditionalFormatting sqref="E114">
    <cfRule type="cellIs" dxfId="71" priority="69" operator="lessThan">
      <formula>$I$114</formula>
    </cfRule>
    <cfRule type="cellIs" dxfId="70" priority="73" operator="greaterThan">
      <formula>$I$114</formula>
    </cfRule>
  </conditionalFormatting>
  <conditionalFormatting sqref="F114">
    <cfRule type="cellIs" dxfId="69" priority="68" operator="lessThan">
      <formula>$J$114</formula>
    </cfRule>
    <cfRule type="cellIs" dxfId="68" priority="72" operator="greaterThan">
      <formula>$J$114</formula>
    </cfRule>
  </conditionalFormatting>
  <conditionalFormatting sqref="G114">
    <cfRule type="cellIs" dxfId="67" priority="67" operator="lessThan">
      <formula>$K$114</formula>
    </cfRule>
    <cfRule type="cellIs" dxfId="66" priority="71" operator="greaterThan">
      <formula>$K$114</formula>
    </cfRule>
  </conditionalFormatting>
  <conditionalFormatting sqref="H114">
    <cfRule type="cellIs" dxfId="65" priority="66" operator="lessThan">
      <formula>$L$114</formula>
    </cfRule>
    <cfRule type="cellIs" dxfId="64" priority="70" operator="greaterThan">
      <formula>$L$114</formula>
    </cfRule>
  </conditionalFormatting>
  <conditionalFormatting sqref="E116:E117">
    <cfRule type="cellIs" dxfId="63" priority="61" operator="lessThan">
      <formula>$I$116</formula>
    </cfRule>
    <cfRule type="cellIs" dxfId="62" priority="65" operator="greaterThan">
      <formula>$I$116</formula>
    </cfRule>
  </conditionalFormatting>
  <conditionalFormatting sqref="F116:F117">
    <cfRule type="cellIs" dxfId="61" priority="60" operator="lessThan">
      <formula>$J$116</formula>
    </cfRule>
    <cfRule type="cellIs" dxfId="60" priority="64" operator="greaterThan">
      <formula>$J$116</formula>
    </cfRule>
  </conditionalFormatting>
  <conditionalFormatting sqref="G116:G117">
    <cfRule type="cellIs" dxfId="59" priority="59" operator="lessThan">
      <formula>$K$116</formula>
    </cfRule>
    <cfRule type="cellIs" dxfId="58" priority="63" operator="greaterThan">
      <formula>$K$116</formula>
    </cfRule>
  </conditionalFormatting>
  <conditionalFormatting sqref="H116:H117">
    <cfRule type="cellIs" dxfId="57" priority="58" operator="lessThan">
      <formula>$L$116</formula>
    </cfRule>
    <cfRule type="cellIs" dxfId="56" priority="62" operator="greaterThan">
      <formula>$L$116</formula>
    </cfRule>
  </conditionalFormatting>
  <conditionalFormatting sqref="E123">
    <cfRule type="cellIs" dxfId="55" priority="53" operator="lessThan">
      <formula>$I$123</formula>
    </cfRule>
    <cfRule type="cellIs" dxfId="54" priority="57" operator="greaterThan">
      <formula>$I$123</formula>
    </cfRule>
  </conditionalFormatting>
  <conditionalFormatting sqref="F123">
    <cfRule type="cellIs" dxfId="53" priority="52" operator="lessThan">
      <formula>$J$123</formula>
    </cfRule>
    <cfRule type="cellIs" dxfId="52" priority="56" operator="greaterThan">
      <formula>$J$123</formula>
    </cfRule>
  </conditionalFormatting>
  <conditionalFormatting sqref="G123">
    <cfRule type="cellIs" dxfId="51" priority="51" operator="lessThan">
      <formula>$K$123</formula>
    </cfRule>
    <cfRule type="cellIs" dxfId="50" priority="55" operator="greaterThan">
      <formula>$K$123</formula>
    </cfRule>
  </conditionalFormatting>
  <conditionalFormatting sqref="H123">
    <cfRule type="cellIs" dxfId="49" priority="50" operator="lessThan">
      <formula>$L$123</formula>
    </cfRule>
    <cfRule type="cellIs" dxfId="48" priority="54" operator="greaterThan">
      <formula>$L$123</formula>
    </cfRule>
  </conditionalFormatting>
  <conditionalFormatting sqref="E129">
    <cfRule type="cellIs" dxfId="47" priority="45" operator="lessThan">
      <formula>$I$129</formula>
    </cfRule>
    <cfRule type="cellIs" dxfId="46" priority="49" operator="greaterThan">
      <formula>$I$129</formula>
    </cfRule>
  </conditionalFormatting>
  <conditionalFormatting sqref="F129">
    <cfRule type="cellIs" dxfId="45" priority="44" operator="lessThan">
      <formula>$J$129</formula>
    </cfRule>
    <cfRule type="cellIs" dxfId="44" priority="48" operator="greaterThan">
      <formula>$J$129</formula>
    </cfRule>
  </conditionalFormatting>
  <conditionalFormatting sqref="G129">
    <cfRule type="cellIs" dxfId="43" priority="43" operator="lessThan">
      <formula>$K$129</formula>
    </cfRule>
    <cfRule type="cellIs" dxfId="42" priority="47" operator="greaterThan">
      <formula>$K$129</formula>
    </cfRule>
  </conditionalFormatting>
  <conditionalFormatting sqref="H129">
    <cfRule type="cellIs" dxfId="41" priority="41" operator="lessThan">
      <formula>$L$129</formula>
    </cfRule>
    <cfRule type="cellIs" dxfId="40" priority="46" operator="greaterThan">
      <formula>$L$129</formula>
    </cfRule>
  </conditionalFormatting>
  <conditionalFormatting sqref="E131:E132">
    <cfRule type="cellIs" dxfId="39" priority="36" operator="lessThan">
      <formula>$I$131</formula>
    </cfRule>
    <cfRule type="cellIs" dxfId="38" priority="40" operator="greaterThan">
      <formula>$I$131</formula>
    </cfRule>
  </conditionalFormatting>
  <conditionalFormatting sqref="F131:F132">
    <cfRule type="cellIs" dxfId="37" priority="35" operator="lessThan">
      <formula>$J$131</formula>
    </cfRule>
    <cfRule type="cellIs" dxfId="36" priority="39" operator="greaterThan">
      <formula>$J$131</formula>
    </cfRule>
  </conditionalFormatting>
  <conditionalFormatting sqref="G131:G132">
    <cfRule type="cellIs" dxfId="35" priority="34" operator="lessThan">
      <formula>$K$131</formula>
    </cfRule>
    <cfRule type="cellIs" dxfId="34" priority="38" operator="greaterThan">
      <formula>$K$131</formula>
    </cfRule>
  </conditionalFormatting>
  <conditionalFormatting sqref="H131:H132">
    <cfRule type="cellIs" dxfId="33" priority="33" operator="lessThan">
      <formula>$L$131</formula>
    </cfRule>
    <cfRule type="cellIs" dxfId="32" priority="37" operator="greaterThan">
      <formula>$L$131</formula>
    </cfRule>
  </conditionalFormatting>
  <conditionalFormatting sqref="E138:E139">
    <cfRule type="cellIs" dxfId="31" priority="28" operator="lessThan">
      <formula>$I$138</formula>
    </cfRule>
    <cfRule type="cellIs" dxfId="30" priority="32" operator="greaterThan">
      <formula>$I$138</formula>
    </cfRule>
  </conditionalFormatting>
  <conditionalFormatting sqref="F138:F139">
    <cfRule type="cellIs" dxfId="29" priority="27" operator="lessThan">
      <formula>$J$138</formula>
    </cfRule>
    <cfRule type="cellIs" dxfId="28" priority="31" operator="greaterThan">
      <formula>$J$138</formula>
    </cfRule>
  </conditionalFormatting>
  <conditionalFormatting sqref="G138:G139">
    <cfRule type="cellIs" dxfId="27" priority="26" operator="lessThan">
      <formula>$K$138</formula>
    </cfRule>
    <cfRule type="cellIs" dxfId="26" priority="30" operator="greaterThan">
      <formula>$K$138</formula>
    </cfRule>
  </conditionalFormatting>
  <conditionalFormatting sqref="H138:H139">
    <cfRule type="cellIs" dxfId="25" priority="25" operator="lessThan">
      <formula>$L$138</formula>
    </cfRule>
    <cfRule type="cellIs" dxfId="24" priority="29" operator="greaterThan">
      <formula>$L$138</formula>
    </cfRule>
  </conditionalFormatting>
  <conditionalFormatting sqref="E146:E147">
    <cfRule type="cellIs" dxfId="23" priority="20" operator="lessThan">
      <formula>$I$146</formula>
    </cfRule>
    <cfRule type="cellIs" dxfId="22" priority="24" operator="greaterThan">
      <formula>$I$146</formula>
    </cfRule>
  </conditionalFormatting>
  <conditionalFormatting sqref="F146:F147">
    <cfRule type="cellIs" dxfId="21" priority="19" operator="lessThan">
      <formula>$J$146</formula>
    </cfRule>
    <cfRule type="cellIs" dxfId="20" priority="23" operator="greaterThan">
      <formula>$J$146</formula>
    </cfRule>
  </conditionalFormatting>
  <conditionalFormatting sqref="G146:G147">
    <cfRule type="cellIs" dxfId="19" priority="18" operator="lessThan">
      <formula>$K$146</formula>
    </cfRule>
    <cfRule type="cellIs" dxfId="18" priority="22" operator="greaterThan">
      <formula>$K$146</formula>
    </cfRule>
  </conditionalFormatting>
  <conditionalFormatting sqref="H146:H147">
    <cfRule type="cellIs" dxfId="17" priority="17" operator="lessThan">
      <formula>$L$146</formula>
    </cfRule>
    <cfRule type="cellIs" dxfId="16" priority="21" operator="greaterThan">
      <formula>$L$146</formula>
    </cfRule>
  </conditionalFormatting>
  <conditionalFormatting sqref="E153:E154">
    <cfRule type="cellIs" dxfId="15" priority="12" operator="lessThan">
      <formula>$I$153</formula>
    </cfRule>
    <cfRule type="cellIs" dxfId="14" priority="16" operator="greaterThan">
      <formula>$I$153</formula>
    </cfRule>
  </conditionalFormatting>
  <conditionalFormatting sqref="F153:F154">
    <cfRule type="cellIs" dxfId="13" priority="11" operator="lessThan">
      <formula>$J$153</formula>
    </cfRule>
    <cfRule type="cellIs" dxfId="12" priority="15" operator="greaterThan">
      <formula>$J$153</formula>
    </cfRule>
  </conditionalFormatting>
  <conditionalFormatting sqref="G153:G154">
    <cfRule type="cellIs" dxfId="11" priority="10" operator="lessThan">
      <formula>$K$153</formula>
    </cfRule>
    <cfRule type="cellIs" dxfId="10" priority="14" operator="greaterThan">
      <formula>$K$153</formula>
    </cfRule>
  </conditionalFormatting>
  <conditionalFormatting sqref="H153:H154">
    <cfRule type="cellIs" dxfId="9" priority="9" operator="lessThan">
      <formula>$L$153</formula>
    </cfRule>
    <cfRule type="cellIs" dxfId="8" priority="13" operator="greaterThan">
      <formula>$L$153</formula>
    </cfRule>
  </conditionalFormatting>
  <conditionalFormatting sqref="E160:E161">
    <cfRule type="cellIs" dxfId="7" priority="4" operator="lessThan">
      <formula>$I$160</formula>
    </cfRule>
    <cfRule type="cellIs" dxfId="6" priority="8" operator="greaterThan">
      <formula>$I$160</formula>
    </cfRule>
  </conditionalFormatting>
  <conditionalFormatting sqref="F160:F161">
    <cfRule type="cellIs" dxfId="5" priority="3" operator="lessThan">
      <formula>$J$160</formula>
    </cfRule>
    <cfRule type="cellIs" dxfId="4" priority="7" operator="greaterThan">
      <formula>$J$160</formula>
    </cfRule>
  </conditionalFormatting>
  <conditionalFormatting sqref="G160:G161">
    <cfRule type="cellIs" dxfId="3" priority="2" operator="lessThan">
      <formula>$K$160</formula>
    </cfRule>
    <cfRule type="cellIs" dxfId="2" priority="6" operator="greaterThan">
      <formula>$K$160</formula>
    </cfRule>
  </conditionalFormatting>
  <conditionalFormatting sqref="H160:H161">
    <cfRule type="cellIs" dxfId="1" priority="1" operator="lessThan">
      <formula>$L$160</formula>
    </cfRule>
    <cfRule type="cellIs" dxfId="0" priority="5" operator="greaterThan">
      <formula>$L$160</formula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'Impatti al kg'!$B$4:$B$10</xm:f>
          </x14:formula1>
          <xm:sqref>B5:B6</xm:sqref>
        </x14:dataValidation>
        <x14:dataValidation type="list" allowBlank="1" showInputMessage="1" showErrorMessage="1">
          <x14:formula1>
            <xm:f>'Impatti al kg'!$B$81:$B$84</xm:f>
          </x14:formula1>
          <xm:sqref>B142:B145 B53:B56 B9:B12 B31:B34 B43:B46 B21:B24 B64:B67 B75:B78 B86:B89 B98:B101 B110:B113 B125:B128</xm:sqref>
        </x14:dataValidation>
        <x14:dataValidation type="list" allowBlank="1" showInputMessage="1" showErrorMessage="1">
          <x14:formula1>
            <xm:f>'Impatti al kg'!$B$12:$B$16</xm:f>
          </x14:formula1>
          <xm:sqref>B16:B18</xm:sqref>
        </x14:dataValidation>
        <x14:dataValidation type="list" allowBlank="1" showInputMessage="1" showErrorMessage="1">
          <x14:formula1>
            <xm:f>'Impatti al kg'!$B$25:$B$29</xm:f>
          </x14:formula1>
          <xm:sqref>B38:B40</xm:sqref>
        </x14:dataValidation>
        <x14:dataValidation type="list" allowBlank="1" showInputMessage="1" showErrorMessage="1">
          <x14:formula1>
            <xm:f>'Impatti al kg'!$B$18:$B$23</xm:f>
          </x14:formula1>
          <xm:sqref>B28</xm:sqref>
        </x14:dataValidation>
        <x14:dataValidation type="list" allowBlank="1" showInputMessage="1" showErrorMessage="1">
          <x14:formula1>
            <xm:f>'Impatti al kg'!$B$31:$B$36</xm:f>
          </x14:formula1>
          <xm:sqref>B50</xm:sqref>
        </x14:dataValidation>
        <x14:dataValidation type="list" allowBlank="1" showInputMessage="1" showErrorMessage="1">
          <x14:formula1>
            <xm:f>'Impatti al kg'!$B$38:$B$45</xm:f>
          </x14:formula1>
          <xm:sqref>B60:B61</xm:sqref>
        </x14:dataValidation>
        <x14:dataValidation type="list" allowBlank="1" showInputMessage="1" showErrorMessage="1">
          <x14:formula1>
            <xm:f>'Impatti al kg'!$B$47:$B$48</xm:f>
          </x14:formula1>
          <xm:sqref>B71:B72</xm:sqref>
        </x14:dataValidation>
        <x14:dataValidation type="list" allowBlank="1" showInputMessage="1" showErrorMessage="1">
          <x14:formula1>
            <xm:f>'Impatti al kg'!$B$50:$B$51</xm:f>
          </x14:formula1>
          <xm:sqref>B82:B83</xm:sqref>
        </x14:dataValidation>
        <x14:dataValidation type="list" allowBlank="1" showInputMessage="1" showErrorMessage="1">
          <x14:formula1>
            <xm:f>'Impatti al kg'!$B$53:$B$55</xm:f>
          </x14:formula1>
          <xm:sqref>B93:B95</xm:sqref>
        </x14:dataValidation>
        <x14:dataValidation type="list" allowBlank="1" showInputMessage="1" showErrorMessage="1">
          <x14:formula1>
            <xm:f>'Impatti al kg'!$B$57:$B$59</xm:f>
          </x14:formula1>
          <xm:sqref>B105:B107</xm:sqref>
        </x14:dataValidation>
        <x14:dataValidation type="list" allowBlank="1" showInputMessage="1" showErrorMessage="1">
          <x14:formula1>
            <xm:f>'Impatti al kg'!$B$64:$B$66</xm:f>
          </x14:formula1>
          <xm:sqref>B120:B122</xm:sqref>
        </x14:dataValidation>
        <x14:dataValidation type="list" allowBlank="1" showInputMessage="1" showErrorMessage="1">
          <x14:formula1>
            <xm:f>'Impatti al kg'!$B$71:$B$76</xm:f>
          </x14:formula1>
          <xm:sqref>B135:B137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zoomScale="85" zoomScaleNormal="85" workbookViewId="0">
      <selection activeCell="B1" sqref="B1"/>
    </sheetView>
  </sheetViews>
  <sheetFormatPr defaultRowHeight="15" x14ac:dyDescent="0.25"/>
  <cols>
    <col min="1" max="1" width="12.28515625" style="47" customWidth="1"/>
    <col min="2" max="2" width="49.5703125" style="47" customWidth="1"/>
    <col min="3" max="10" width="16.7109375" style="47" customWidth="1"/>
    <col min="11" max="16384" width="9.140625" style="47"/>
  </cols>
  <sheetData>
    <row r="1" spans="1:10" s="63" customFormat="1" ht="51.75" customHeight="1" x14ac:dyDescent="0.25">
      <c r="B1" s="71" t="s">
        <v>227</v>
      </c>
    </row>
    <row r="3" spans="1:10" ht="21" x14ac:dyDescent="0.35">
      <c r="G3" s="263" t="s">
        <v>228</v>
      </c>
      <c r="H3" s="263"/>
      <c r="I3" s="263"/>
      <c r="J3" s="263"/>
    </row>
    <row r="4" spans="1:10" ht="63" x14ac:dyDescent="0.25">
      <c r="C4" s="64" t="s">
        <v>219</v>
      </c>
      <c r="D4" s="64" t="s">
        <v>220</v>
      </c>
      <c r="E4" s="64" t="s">
        <v>221</v>
      </c>
      <c r="F4" s="64" t="s">
        <v>222</v>
      </c>
      <c r="G4" s="64" t="s">
        <v>219</v>
      </c>
      <c r="H4" s="64" t="s">
        <v>220</v>
      </c>
      <c r="I4" s="64" t="s">
        <v>221</v>
      </c>
      <c r="J4" s="64" t="s">
        <v>222</v>
      </c>
    </row>
    <row r="5" spans="1:10" ht="15" customHeight="1" x14ac:dyDescent="0.25">
      <c r="A5" s="262" t="s">
        <v>224</v>
      </c>
      <c r="B5" s="65" t="s">
        <v>223</v>
      </c>
      <c r="C5" s="67">
        <f>SUM(C34:C43)</f>
        <v>56.015756866180006</v>
      </c>
      <c r="D5" s="67">
        <f>SUM(D34:D43)</f>
        <v>707.85137001864996</v>
      </c>
      <c r="E5" s="67">
        <f>SUM(E34:E43)</f>
        <v>2.8246242328601004E-6</v>
      </c>
      <c r="F5" s="67">
        <f>SUM(F34:F43)</f>
        <v>0.26970483110865001</v>
      </c>
      <c r="G5" s="69">
        <f>C5/$C$11</f>
        <v>0.75317578354656944</v>
      </c>
      <c r="H5" s="69">
        <f>D5/$D$11</f>
        <v>0.69297178518282354</v>
      </c>
      <c r="I5" s="69">
        <f>E5/$E$11</f>
        <v>2.2597948802319476E-8</v>
      </c>
      <c r="J5" s="69">
        <f>F5/$F$11</f>
        <v>0.88074896687786264</v>
      </c>
    </row>
    <row r="6" spans="1:10" x14ac:dyDescent="0.25">
      <c r="A6" s="262"/>
      <c r="B6" s="65" t="s">
        <v>217</v>
      </c>
      <c r="C6" s="67">
        <f>Ecodesign_tool!E123+Ecodesign_tool!E129</f>
        <v>5.7351603507999993</v>
      </c>
      <c r="D6" s="67">
        <f>Ecodesign_tool!F123+Ecodesign_tool!F129</f>
        <v>126.0229102295</v>
      </c>
      <c r="E6" s="67">
        <f>Ecodesign_tool!G123+Ecodesign_tool!G129</f>
        <v>124.99471480410401</v>
      </c>
      <c r="F6" s="67">
        <f>Ecodesign_tool!H123+Ecodesign_tool!H129</f>
        <v>6.5240214864599997E-4</v>
      </c>
      <c r="G6" s="69">
        <f t="shared" ref="G6:G10" si="0">C6/$C$11</f>
        <v>7.7113728933420764E-2</v>
      </c>
      <c r="H6" s="69">
        <f t="shared" ref="H6:H11" si="1">D6/$D$11</f>
        <v>0.12337381090803062</v>
      </c>
      <c r="I6" s="69">
        <f t="shared" ref="I6:I11" si="2">E6/$E$11</f>
        <v>0.99999997622464853</v>
      </c>
      <c r="J6" s="69">
        <f t="shared" ref="J6:J11" si="3">F6/$F$11</f>
        <v>2.1304865620941915E-3</v>
      </c>
    </row>
    <row r="7" spans="1:10" x14ac:dyDescent="0.25">
      <c r="A7" s="262"/>
      <c r="B7" s="65" t="s">
        <v>191</v>
      </c>
      <c r="C7" s="67">
        <f>Ecodesign_tool!E138</f>
        <v>11.373461280000001</v>
      </c>
      <c r="D7" s="67">
        <f>Ecodesign_tool!F138</f>
        <v>172.4995155</v>
      </c>
      <c r="E7" s="67">
        <f>Ecodesign_tool!G138</f>
        <v>1.5663149830000001E-7</v>
      </c>
      <c r="F7" s="67">
        <f>Ecodesign_tool!H138</f>
        <v>3.72115903E-2</v>
      </c>
      <c r="G7" s="69">
        <f t="shared" si="0"/>
        <v>0.15292510697775638</v>
      </c>
      <c r="H7" s="69">
        <f t="shared" si="1"/>
        <v>0.16887344188661763</v>
      </c>
      <c r="I7" s="69">
        <f t="shared" si="2"/>
        <v>1.2531049398489314E-9</v>
      </c>
      <c r="J7" s="69">
        <f t="shared" si="3"/>
        <v>0.12151828937541105</v>
      </c>
    </row>
    <row r="8" spans="1:10" x14ac:dyDescent="0.25">
      <c r="A8" s="262"/>
      <c r="B8" s="65" t="s">
        <v>218</v>
      </c>
      <c r="C8" s="67">
        <f>Ecodesign_tool!E146</f>
        <v>2.0004073823999988</v>
      </c>
      <c r="D8" s="67">
        <f>Ecodesign_tool!F146</f>
        <v>30.178642695249987</v>
      </c>
      <c r="E8" s="67">
        <f>Ecodesign_tool!G146</f>
        <v>1.3563117333849991E-7</v>
      </c>
      <c r="F8" s="67">
        <f>Ecodesign_tool!H146</f>
        <v>9.9893977025499962E-3</v>
      </c>
      <c r="G8" s="69">
        <f t="shared" si="0"/>
        <v>2.6897046151689492E-2</v>
      </c>
      <c r="H8" s="69">
        <f t="shared" si="1"/>
        <v>2.9544264218024984E-2</v>
      </c>
      <c r="I8" s="69">
        <f t="shared" si="2"/>
        <v>1.0850952404378608E-9</v>
      </c>
      <c r="J8" s="69">
        <f t="shared" si="3"/>
        <v>3.2621409375899121E-2</v>
      </c>
    </row>
    <row r="9" spans="1:10" x14ac:dyDescent="0.25">
      <c r="A9" s="262"/>
      <c r="B9" s="65" t="s">
        <v>195</v>
      </c>
      <c r="C9" s="67">
        <f>Ecodesign_tool!E153</f>
        <v>0.74241579950000003</v>
      </c>
      <c r="D9" s="67">
        <f>Ecodesign_tool!F153</f>
        <v>14.303484163</v>
      </c>
      <c r="E9" s="67">
        <f>Ecodesign_tool!G153</f>
        <v>7.2878508155000017E-8</v>
      </c>
      <c r="F9" s="67">
        <f>Ecodesign_tool!H153</f>
        <v>7.0044382300000151E-4</v>
      </c>
      <c r="G9" s="69">
        <f t="shared" si="0"/>
        <v>9.9823626920119111E-3</v>
      </c>
      <c r="H9" s="69">
        <f t="shared" si="1"/>
        <v>1.4002813831535288E-2</v>
      </c>
      <c r="I9" s="69">
        <f t="shared" si="2"/>
        <v>5.8305270376035945E-10</v>
      </c>
      <c r="J9" s="69">
        <f t="shared" si="3"/>
        <v>2.2873716089079209E-3</v>
      </c>
    </row>
    <row r="10" spans="1:10" x14ac:dyDescent="0.25">
      <c r="A10" s="262"/>
      <c r="B10" s="65" t="s">
        <v>196</v>
      </c>
      <c r="C10" s="67">
        <f>Ecodesign_tool!E160</f>
        <v>-1.4944482130000001</v>
      </c>
      <c r="D10" s="67">
        <f>Ecodesign_tool!F160</f>
        <v>-29.383785999999997</v>
      </c>
      <c r="E10" s="67">
        <f>Ecodesign_tool!G160</f>
        <v>-2.1797205810000001E-7</v>
      </c>
      <c r="F10" s="67">
        <f>Ecodesign_tool!H160</f>
        <v>-1.203652773E-2</v>
      </c>
      <c r="G10" s="69">
        <f t="shared" si="0"/>
        <v>-2.0094028301447901E-2</v>
      </c>
      <c r="H10" s="69">
        <f t="shared" si="1"/>
        <v>-2.8766116027032017E-2</v>
      </c>
      <c r="I10" s="69">
        <f t="shared" si="2"/>
        <v>-1.743850156058606E-9</v>
      </c>
      <c r="J10" s="69">
        <f t="shared" si="3"/>
        <v>-3.9306523800174686E-2</v>
      </c>
    </row>
    <row r="11" spans="1:10" x14ac:dyDescent="0.25">
      <c r="B11" s="68" t="s">
        <v>225</v>
      </c>
      <c r="C11" s="72">
        <f>SUM(C5:C10)</f>
        <v>74.372753465879995</v>
      </c>
      <c r="D11" s="72">
        <f t="shared" ref="D11:F11" si="4">SUM(D5:D10)</f>
        <v>1021.4721366063999</v>
      </c>
      <c r="E11" s="72">
        <f t="shared" si="4"/>
        <v>124.99471777589736</v>
      </c>
      <c r="F11" s="72">
        <f t="shared" si="4"/>
        <v>0.30622213735284592</v>
      </c>
      <c r="G11" s="70">
        <f>C11/$C$11</f>
        <v>1</v>
      </c>
      <c r="H11" s="70">
        <f t="shared" si="1"/>
        <v>1</v>
      </c>
      <c r="I11" s="70">
        <f t="shared" si="2"/>
        <v>1</v>
      </c>
      <c r="J11" s="70">
        <f t="shared" si="3"/>
        <v>1</v>
      </c>
    </row>
    <row r="29" spans="2:10" s="63" customFormat="1" ht="63" x14ac:dyDescent="0.25">
      <c r="B29" s="71" t="s">
        <v>229</v>
      </c>
    </row>
    <row r="32" spans="2:10" ht="21" x14ac:dyDescent="0.35">
      <c r="G32" s="263" t="s">
        <v>226</v>
      </c>
      <c r="H32" s="263"/>
      <c r="I32" s="263"/>
      <c r="J32" s="263"/>
    </row>
    <row r="33" spans="1:10" ht="63" x14ac:dyDescent="0.25">
      <c r="C33" s="64" t="s">
        <v>204</v>
      </c>
      <c r="D33" s="64" t="s">
        <v>205</v>
      </c>
      <c r="E33" s="64" t="s">
        <v>206</v>
      </c>
      <c r="F33" s="64" t="s">
        <v>207</v>
      </c>
      <c r="G33" s="64" t="s">
        <v>204</v>
      </c>
      <c r="H33" s="64" t="s">
        <v>205</v>
      </c>
      <c r="I33" s="64" t="s">
        <v>206</v>
      </c>
      <c r="J33" s="64" t="s">
        <v>207</v>
      </c>
    </row>
    <row r="34" spans="1:10" x14ac:dyDescent="0.25">
      <c r="B34" s="65" t="s">
        <v>232</v>
      </c>
      <c r="C34" s="73">
        <f>Ecodesign_tool!E7+Ecodesign_tool!E13</f>
        <v>13.2396414168</v>
      </c>
      <c r="D34" s="73">
        <f>Ecodesign_tool!F7+Ecodesign_tool!F13</f>
        <v>183.17672756899998</v>
      </c>
      <c r="E34" s="73">
        <f>Ecodesign_tool!G7+Ecodesign_tool!G13</f>
        <v>7.90393878906E-7</v>
      </c>
      <c r="F34" s="73">
        <f>Ecodesign_tool!H7+Ecodesign_tool!H13</f>
        <v>6.2504866106999998E-2</v>
      </c>
      <c r="G34" s="69">
        <f>C34/$C$44</f>
        <v>0.23635566414694911</v>
      </c>
      <c r="H34" s="69">
        <f>D34/$D$44</f>
        <v>0.25877851668800722</v>
      </c>
      <c r="I34" s="69">
        <f>E34/$E$44</f>
        <v>0.27982266444895543</v>
      </c>
      <c r="J34" s="69">
        <f>F34/$F$44</f>
        <v>0.23175286052558713</v>
      </c>
    </row>
    <row r="35" spans="1:10" ht="12" customHeight="1" x14ac:dyDescent="0.25">
      <c r="A35" s="264" t="s">
        <v>223</v>
      </c>
      <c r="B35" s="65" t="s">
        <v>13</v>
      </c>
      <c r="C35" s="67">
        <f>Ecodesign_tool!E19+Ecodesign_tool!E25</f>
        <v>5.3081658206800002</v>
      </c>
      <c r="D35" s="67">
        <f>Ecodesign_tool!F19+Ecodesign_tool!F25</f>
        <v>51.309894722149991</v>
      </c>
      <c r="E35" s="67">
        <f>Ecodesign_tool!G19+Ecodesign_tool!G25</f>
        <v>3.928998619491E-7</v>
      </c>
      <c r="F35" s="67">
        <f>Ecodesign_tool!H19+Ecodesign_tool!H25</f>
        <v>2.6513360850549998E-2</v>
      </c>
      <c r="G35" s="69">
        <f t="shared" ref="G35:G44" si="5">C35/$C$44</f>
        <v>9.4762011934624968E-2</v>
      </c>
      <c r="H35" s="69">
        <f t="shared" ref="H35:H44" si="6">D35/$D$44</f>
        <v>7.2486819826029461E-2</v>
      </c>
      <c r="I35" s="69">
        <f t="shared" ref="I35:I44" si="7">E35/$E$44</f>
        <v>0.13909809927222266</v>
      </c>
      <c r="J35" s="69">
        <f t="shared" ref="J35:J44" si="8">F35/$F$44</f>
        <v>9.8305101697897093E-2</v>
      </c>
    </row>
    <row r="36" spans="1:10" x14ac:dyDescent="0.25">
      <c r="A36" s="264"/>
      <c r="B36" s="65" t="s">
        <v>208</v>
      </c>
      <c r="C36" s="67">
        <f>Ecodesign_tool!E29+Ecodesign_tool!E35</f>
        <v>6.8351211747999994</v>
      </c>
      <c r="D36" s="67">
        <f>Ecodesign_tool!F29+Ecodesign_tool!F35</f>
        <v>110.16982873400001</v>
      </c>
      <c r="E36" s="67">
        <f>Ecodesign_tool!G29+Ecodesign_tool!G35</f>
        <v>1.91335770616E-7</v>
      </c>
      <c r="F36" s="67">
        <f>Ecodesign_tool!H29+Ecodesign_tool!H35</f>
        <v>3.0474694386999998E-2</v>
      </c>
      <c r="G36" s="69">
        <f t="shared" si="5"/>
        <v>0.1220214017839463</v>
      </c>
      <c r="H36" s="69">
        <f t="shared" si="6"/>
        <v>0.1556397760890077</v>
      </c>
      <c r="I36" s="69">
        <f t="shared" si="7"/>
        <v>6.7738486553399396E-2</v>
      </c>
      <c r="J36" s="69">
        <f t="shared" si="8"/>
        <v>0.11299276420719113</v>
      </c>
    </row>
    <row r="37" spans="1:10" x14ac:dyDescent="0.25">
      <c r="A37" s="264"/>
      <c r="B37" s="65" t="s">
        <v>14</v>
      </c>
      <c r="C37" s="67">
        <f>Ecodesign_tool!E41+Ecodesign_tool!E47</f>
        <v>9.3711063941999999</v>
      </c>
      <c r="D37" s="67">
        <f>Ecodesign_tool!F41+Ecodesign_tool!F47</f>
        <v>131.51431778599999</v>
      </c>
      <c r="E37" s="67">
        <f>Ecodesign_tool!G41+Ecodesign_tool!G47</f>
        <v>3.1743102096399999E-7</v>
      </c>
      <c r="F37" s="67">
        <f>Ecodesign_tool!H41+Ecodesign_tool!H47</f>
        <v>2.8024814633000002E-2</v>
      </c>
      <c r="G37" s="69">
        <f t="shared" si="5"/>
        <v>0.16729411362926502</v>
      </c>
      <c r="H37" s="69">
        <f t="shared" si="6"/>
        <v>0.18579368968733501</v>
      </c>
      <c r="I37" s="69">
        <f t="shared" si="7"/>
        <v>0.11237991137765684</v>
      </c>
      <c r="J37" s="69">
        <f t="shared" si="8"/>
        <v>0.10390920517738247</v>
      </c>
    </row>
    <row r="38" spans="1:10" x14ac:dyDescent="0.25">
      <c r="A38" s="264"/>
      <c r="B38" s="65" t="s">
        <v>209</v>
      </c>
      <c r="C38" s="67">
        <f>Ecodesign_tool!E51+Ecodesign_tool!E57</f>
        <v>2.5390639747999999</v>
      </c>
      <c r="D38" s="67">
        <f>Ecodesign_tool!F51+Ecodesign_tool!F57</f>
        <v>25.742224734000001</v>
      </c>
      <c r="E38" s="67">
        <f>Ecodesign_tool!G51+Ecodesign_tool!G57</f>
        <v>2.4116448561599999E-7</v>
      </c>
      <c r="F38" s="67">
        <f>Ecodesign_tool!H51+Ecodesign_tool!H57</f>
        <v>3.4811516387000002E-2</v>
      </c>
      <c r="G38" s="69">
        <f t="shared" si="5"/>
        <v>4.5327674155430035E-2</v>
      </c>
      <c r="H38" s="69">
        <f t="shared" si="6"/>
        <v>3.636670892269625E-2</v>
      </c>
      <c r="I38" s="69">
        <f t="shared" si="7"/>
        <v>8.5379316232731803E-2</v>
      </c>
      <c r="J38" s="69">
        <f t="shared" si="8"/>
        <v>0.12907264672977348</v>
      </c>
    </row>
    <row r="39" spans="1:10" x14ac:dyDescent="0.25">
      <c r="A39" s="264"/>
      <c r="B39" s="65" t="s">
        <v>15</v>
      </c>
      <c r="C39" s="67">
        <f>Ecodesign_tool!E62+Ecodesign_tool!E68</f>
        <v>2.8885913272000003</v>
      </c>
      <c r="D39" s="67">
        <f>Ecodesign_tool!F62+Ecodesign_tool!F68</f>
        <v>35.713351377999999</v>
      </c>
      <c r="E39" s="67">
        <f>Ecodesign_tool!G62+Ecodesign_tool!G68</f>
        <v>9.6550325011999997E-8</v>
      </c>
      <c r="F39" s="67">
        <f>Ecodesign_tool!H62+Ecodesign_tool!H68</f>
        <v>1.2942852522800001E-2</v>
      </c>
      <c r="G39" s="69">
        <f t="shared" si="5"/>
        <v>5.1567478309732739E-2</v>
      </c>
      <c r="H39" s="69">
        <f t="shared" si="6"/>
        <v>5.0453178295125779E-2</v>
      </c>
      <c r="I39" s="69">
        <f t="shared" si="7"/>
        <v>3.4181652868649728E-2</v>
      </c>
      <c r="J39" s="69">
        <f t="shared" si="8"/>
        <v>4.798895321821655E-2</v>
      </c>
    </row>
    <row r="40" spans="1:10" x14ac:dyDescent="0.25">
      <c r="A40" s="264"/>
      <c r="B40" s="65" t="s">
        <v>16</v>
      </c>
      <c r="C40" s="67">
        <f>Ecodesign_tool!E73+Ecodesign_tool!E79</f>
        <v>3.2062998672000003</v>
      </c>
      <c r="D40" s="67">
        <f>Ecodesign_tool!F73+Ecodesign_tool!F79</f>
        <v>36.209295378</v>
      </c>
      <c r="E40" s="67">
        <f>Ecodesign_tool!G73+Ecodesign_tool!G79</f>
        <v>1.4306923101200001E-7</v>
      </c>
      <c r="F40" s="67">
        <f>Ecodesign_tool!H73+Ecodesign_tool!H79</f>
        <v>1.3364832722800001E-2</v>
      </c>
      <c r="G40" s="69">
        <f t="shared" si="5"/>
        <v>5.7239249214462211E-2</v>
      </c>
      <c r="H40" s="69">
        <f t="shared" si="6"/>
        <v>5.1153811254255228E-2</v>
      </c>
      <c r="I40" s="69">
        <f t="shared" si="7"/>
        <v>5.0650712879827517E-2</v>
      </c>
      <c r="J40" s="69">
        <f t="shared" si="8"/>
        <v>4.9553553296996768E-2</v>
      </c>
    </row>
    <row r="41" spans="1:10" x14ac:dyDescent="0.25">
      <c r="A41" s="264"/>
      <c r="B41" s="65" t="s">
        <v>17</v>
      </c>
      <c r="C41" s="67">
        <f>Ecodesign_tool!E84+Ecodesign_tool!E90</f>
        <v>3.2062998672000003</v>
      </c>
      <c r="D41" s="67">
        <f>Ecodesign_tool!F84+Ecodesign_tool!F90</f>
        <v>36.209295378</v>
      </c>
      <c r="E41" s="67">
        <f>Ecodesign_tool!G84+Ecodesign_tool!G90</f>
        <v>1.4306923101200001E-7</v>
      </c>
      <c r="F41" s="67">
        <f>Ecodesign_tool!H84+Ecodesign_tool!H90</f>
        <v>1.3364832722800001E-2</v>
      </c>
      <c r="G41" s="69">
        <f t="shared" si="5"/>
        <v>5.7239249214462211E-2</v>
      </c>
      <c r="H41" s="69">
        <f t="shared" si="6"/>
        <v>5.1153811254255228E-2</v>
      </c>
      <c r="I41" s="69">
        <f t="shared" si="7"/>
        <v>5.0650712879827517E-2</v>
      </c>
      <c r="J41" s="69">
        <f t="shared" si="8"/>
        <v>4.9553553296996768E-2</v>
      </c>
    </row>
    <row r="42" spans="1:10" x14ac:dyDescent="0.25">
      <c r="A42" s="264"/>
      <c r="B42" s="65" t="s">
        <v>18</v>
      </c>
      <c r="C42" s="67">
        <f>Ecodesign_tool!E96+Ecodesign_tool!E102</f>
        <v>1.6899014285</v>
      </c>
      <c r="D42" s="67">
        <f>Ecodesign_tool!F96+Ecodesign_tool!F102</f>
        <v>23.493128172500001</v>
      </c>
      <c r="E42" s="67">
        <f>Ecodesign_tool!G96+Ecodesign_tool!G102</f>
        <v>8.1360731254999997E-8</v>
      </c>
      <c r="F42" s="67">
        <f>Ecodesign_tool!H96+Ecodesign_tool!H102</f>
        <v>6.3280961515000001E-3</v>
      </c>
      <c r="G42" s="69">
        <f t="shared" si="5"/>
        <v>3.0168322683510728E-2</v>
      </c>
      <c r="H42" s="69">
        <f t="shared" si="6"/>
        <v>3.3189351843567132E-2</v>
      </c>
      <c r="I42" s="69">
        <f t="shared" si="7"/>
        <v>2.8804090224991592E-2</v>
      </c>
      <c r="J42" s="69">
        <f t="shared" si="8"/>
        <v>2.3463043377783398E-2</v>
      </c>
    </row>
    <row r="43" spans="1:10" x14ac:dyDescent="0.25">
      <c r="A43" s="264"/>
      <c r="B43" s="65" t="s">
        <v>19</v>
      </c>
      <c r="C43" s="67">
        <f>Ecodesign_tool!E108+Ecodesign_tool!E114</f>
        <v>7.7315655948000002</v>
      </c>
      <c r="D43" s="67">
        <f>Ecodesign_tool!F108+Ecodesign_tool!F114</f>
        <v>74.313306167000007</v>
      </c>
      <c r="E43" s="67">
        <f>Ecodesign_tool!G108+Ecodesign_tool!G114</f>
        <v>4.2734969651800002E-7</v>
      </c>
      <c r="F43" s="67">
        <f>Ecodesign_tool!H108+Ecodesign_tool!H114</f>
        <v>4.1374964624199997E-2</v>
      </c>
      <c r="G43" s="69">
        <f t="shared" si="5"/>
        <v>0.13802483492761658</v>
      </c>
      <c r="H43" s="69">
        <f t="shared" si="6"/>
        <v>0.10498433613972105</v>
      </c>
      <c r="I43" s="69">
        <f t="shared" si="7"/>
        <v>0.1512943532617374</v>
      </c>
      <c r="J43" s="69">
        <f t="shared" si="8"/>
        <v>0.15340831847217518</v>
      </c>
    </row>
    <row r="44" spans="1:10" ht="15" customHeight="1" x14ac:dyDescent="0.25">
      <c r="A44" s="264"/>
      <c r="B44" s="66" t="s">
        <v>216</v>
      </c>
      <c r="C44" s="74">
        <f>SUM(C34:C43)</f>
        <v>56.015756866180006</v>
      </c>
      <c r="D44" s="74">
        <f t="shared" ref="D44:F44" si="9">SUM(D34:D43)</f>
        <v>707.85137001864996</v>
      </c>
      <c r="E44" s="74">
        <f t="shared" si="9"/>
        <v>2.8246242328601004E-6</v>
      </c>
      <c r="F44" s="74">
        <f t="shared" si="9"/>
        <v>0.26970483110865001</v>
      </c>
      <c r="G44" s="70">
        <f t="shared" si="5"/>
        <v>1</v>
      </c>
      <c r="H44" s="70">
        <f t="shared" si="6"/>
        <v>1</v>
      </c>
      <c r="I44" s="70">
        <f t="shared" si="7"/>
        <v>1</v>
      </c>
      <c r="J44" s="70">
        <f t="shared" si="8"/>
        <v>1</v>
      </c>
    </row>
  </sheetData>
  <sheetProtection algorithmName="SHA-512" hashValue="/goXKYen7aEG+E5f17l5cVdqVEUmS1NDi4evscsvuESP21WfPKr/0feUqJm+cKIrio4qLTvqObuQ+JGDMmJ3bw==" saltValue="I3jS7cNxMy8pPNNKxRVH/A==" spinCount="100000" sheet="1" objects="1" scenarios="1"/>
  <mergeCells count="4">
    <mergeCell ref="A5:A10"/>
    <mergeCell ref="G3:J3"/>
    <mergeCell ref="A35:A44"/>
    <mergeCell ref="G32:J3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332AC3B87DEC046855C8ABDD6FB6DBF" ma:contentTypeVersion="4" ma:contentTypeDescription="Creare un nuovo documento." ma:contentTypeScope="" ma:versionID="a93d89b490217e3c113cfd04f1fee688">
  <xsd:schema xmlns:xsd="http://www.w3.org/2001/XMLSchema" xmlns:xs="http://www.w3.org/2001/XMLSchema" xmlns:p="http://schemas.microsoft.com/office/2006/metadata/properties" xmlns:ns2="a9f11be3-0efa-4f1b-881a-961758b37dba" targetNamespace="http://schemas.microsoft.com/office/2006/metadata/properties" ma:root="true" ma:fieldsID="21d9acdc7c97ed0ca737cdc80f5fe165" ns2:_="">
    <xsd:import namespace="a9f11be3-0efa-4f1b-881a-961758b37d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f11be3-0efa-4f1b-881a-961758b37d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1FCFE2-72F5-4A6B-9746-2B9B4E634A86}"/>
</file>

<file path=customXml/itemProps2.xml><?xml version="1.0" encoding="utf-8"?>
<ds:datastoreItem xmlns:ds="http://schemas.openxmlformats.org/officeDocument/2006/customXml" ds:itemID="{394F4605-5873-452F-A939-35CEC937AA19}"/>
</file>

<file path=customXml/itemProps3.xml><?xml version="1.0" encoding="utf-8"?>
<ds:datastoreItem xmlns:ds="http://schemas.openxmlformats.org/officeDocument/2006/customXml" ds:itemID="{C3154A96-E06D-4052-9FE7-EB0A9544CE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Impatti al kg</vt:lpstr>
      <vt:lpstr>Impatti_Pr</vt:lpstr>
      <vt:lpstr>Allocazione_Fine _vita_sedia_RI</vt:lpstr>
      <vt:lpstr>Assunzioni&amp;Istruzioni</vt:lpstr>
      <vt:lpstr>Ecodesign_tool</vt:lpstr>
      <vt:lpstr>Riepilogo_sola lettura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Fontanella</dc:creator>
  <cp:lastModifiedBy>Roberta</cp:lastModifiedBy>
  <dcterms:created xsi:type="dcterms:W3CDTF">2017-07-24T09:34:28Z</dcterms:created>
  <dcterms:modified xsi:type="dcterms:W3CDTF">2020-04-20T10:43:13Z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0x0101007332AC3B87DEC046855C8ABDD6FB6DBF</vt:lpwstr>
  </property>
</Properties>
</file>