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608918cb459bb5/Escritorio/Maestría en Analítica de Datos/Modelos Predictivos/Data_Proyecto Final/"/>
    </mc:Choice>
  </mc:AlternateContent>
  <xr:revisionPtr revIDLastSave="87271" documentId="8_{AB1ED47D-6679-4284-87E3-F2E88A491766}" xr6:coauthVersionLast="47" xr6:coauthVersionMax="47" xr10:uidLastSave="{1E336B8B-B3E2-49FF-95E3-6AB7FA60F3E6}"/>
  <bookViews>
    <workbookView xWindow="-28920" yWindow="-120" windowWidth="29040" windowHeight="15720" xr2:uid="{6C81D096-4D99-4FD9-9DE0-950FE3C7DD71}"/>
  </bookViews>
  <sheets>
    <sheet name="Datos_NO_APROBADOS-PRIMAVERA" sheetId="17" r:id="rId1"/>
    <sheet name="Promedio móvil_NOAPROBADOS-PRIM" sheetId="1" r:id="rId2"/>
    <sheet name="Suav_Expo_NOAPROBADOS-PRIMAVERA" sheetId="2" r:id="rId3"/>
    <sheet name="Holt_NOAPROBADOS-PRIMAVERA" sheetId="3" r:id="rId4"/>
    <sheet name="Winter_NOAPROBADOS-PRIMAVERA" sheetId="6" r:id="rId5"/>
    <sheet name="RESUMEN" sheetId="7" r:id="rId6"/>
    <sheet name="Regresión_Holt_NOAPROBADOS-PRIM" sheetId="23" r:id="rId7"/>
    <sheet name="Regresión_Winter_NOAPROBADOS_PR" sheetId="24" r:id="rId8"/>
    <sheet name="Demanda_des_Factor esta_winter" sheetId="9" r:id="rId9"/>
  </sheets>
  <definedNames>
    <definedName name="solver_adj" localSheetId="3" hidden="1">'Holt_NOAPROBADOS-PRIMAVERA'!$B$19:$B$20</definedName>
    <definedName name="solver_adj" localSheetId="2" hidden="1">'Suav_Expo_NOAPROBADOS-PRIMAVERA'!$B$18</definedName>
    <definedName name="solver_adj" localSheetId="4" hidden="1">'Winter_NOAPROBADOS-PRIMAVERA'!$B$19:$B$21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drv" localSheetId="3" hidden="1">2</definedName>
    <definedName name="solver_drv" localSheetId="2" hidden="1">2</definedName>
    <definedName name="solver_drv" localSheetId="4" hidden="1">1</definedName>
    <definedName name="solver_eng" localSheetId="3" hidden="1">3</definedName>
    <definedName name="solver_eng" localSheetId="2" hidden="1">3</definedName>
    <definedName name="solver_eng" localSheetId="4" hidden="1">3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lhs1" localSheetId="3" hidden="1">'Holt_NOAPROBADOS-PRIMAVERA'!$B$19</definedName>
    <definedName name="solver_lhs1" localSheetId="2" hidden="1">'Suav_Expo_NOAPROBADOS-PRIMAVERA'!$B$18</definedName>
    <definedName name="solver_lhs1" localSheetId="4" hidden="1">'Winter_NOAPROBADOS-PRIMAVERA'!$B$19</definedName>
    <definedName name="solver_lhs2" localSheetId="3" hidden="1">'Holt_NOAPROBADOS-PRIMAVERA'!$B$20</definedName>
    <definedName name="solver_lhs2" localSheetId="2" hidden="1">'Suav_Expo_NOAPROBADOS-PRIMAVERA'!$B$18</definedName>
    <definedName name="solver_lhs2" localSheetId="4" hidden="1">'Winter_NOAPROBADOS-PRIMAVERA'!$B$20</definedName>
    <definedName name="solver_lhs3" localSheetId="4" hidden="1">'Winter_NOAPROBADOS-PRIMAVERA'!$B$21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um" localSheetId="3" hidden="1">2</definedName>
    <definedName name="solver_num" localSheetId="2" hidden="1">2</definedName>
    <definedName name="solver_num" localSheetId="4" hidden="1">3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opt" localSheetId="3" hidden="1">'Holt_NOAPROBADOS-PRIMAVERA'!$H$15</definedName>
    <definedName name="solver_opt" localSheetId="2" hidden="1">'Suav_Expo_NOAPROBADOS-PRIMAVERA'!$F$16</definedName>
    <definedName name="solver_opt" localSheetId="4" hidden="1">'Winter_NOAPROBADOS-PRIMAVERA'!$J$15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rbv" localSheetId="3" hidden="1">2</definedName>
    <definedName name="solver_rbv" localSheetId="2" hidden="1">2</definedName>
    <definedName name="solver_rbv" localSheetId="4" hidden="1">1</definedName>
    <definedName name="solver_rel1" localSheetId="3" hidden="1">1</definedName>
    <definedName name="solver_rel1" localSheetId="2" hidden="1">1</definedName>
    <definedName name="solver_rel1" localSheetId="4" hidden="1">1</definedName>
    <definedName name="solver_rel2" localSheetId="3" hidden="1">1</definedName>
    <definedName name="solver_rel2" localSheetId="2" hidden="1">3</definedName>
    <definedName name="solver_rel2" localSheetId="4" hidden="1">1</definedName>
    <definedName name="solver_rel3" localSheetId="4" hidden="1">1</definedName>
    <definedName name="solver_rhs1" localSheetId="3" hidden="1">1</definedName>
    <definedName name="solver_rhs1" localSheetId="2" hidden="1">1</definedName>
    <definedName name="solver_rhs1" localSheetId="4" hidden="1">1</definedName>
    <definedName name="solver_rhs2" localSheetId="3" hidden="1">1</definedName>
    <definedName name="solver_rhs2" localSheetId="2" hidden="1">0</definedName>
    <definedName name="solver_rhs2" localSheetId="4" hidden="1">1</definedName>
    <definedName name="solver_rhs3" localSheetId="4" hidden="1">1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scl" localSheetId="3" hidden="1">2</definedName>
    <definedName name="solver_scl" localSheetId="2" hidden="1">2</definedName>
    <definedName name="solver_scl" localSheetId="4" hidden="1">1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er" localSheetId="3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3" i="6"/>
  <c r="D3" i="9"/>
  <c r="E3" i="9" s="1"/>
  <c r="D4" i="9"/>
  <c r="E4" i="9" s="1"/>
  <c r="D5" i="9"/>
  <c r="D6" i="9"/>
  <c r="D7" i="9"/>
  <c r="D8" i="9"/>
  <c r="D9" i="9"/>
  <c r="D10" i="9"/>
  <c r="E10" i="9" s="1"/>
  <c r="D11" i="9"/>
  <c r="E11" i="9" s="1"/>
  <c r="D12" i="9"/>
  <c r="E12" i="9" s="1"/>
  <c r="D13" i="9"/>
  <c r="D14" i="9"/>
  <c r="D15" i="9"/>
  <c r="D2" i="9"/>
  <c r="D2" i="6"/>
  <c r="C2" i="6"/>
  <c r="D2" i="3"/>
  <c r="C2" i="3"/>
  <c r="E15" i="9"/>
  <c r="E5" i="9"/>
  <c r="E6" i="9"/>
  <c r="E7" i="9"/>
  <c r="E8" i="9"/>
  <c r="E9" i="9"/>
  <c r="E13" i="9"/>
  <c r="E14" i="9"/>
  <c r="C2" i="2" l="1"/>
  <c r="C15" i="1"/>
  <c r="E2" i="9" l="1"/>
  <c r="C12" i="9" l="1"/>
  <c r="C5" i="9"/>
  <c r="C6" i="9"/>
  <c r="C7" i="9"/>
  <c r="C8" i="9"/>
  <c r="C9" i="9"/>
  <c r="C10" i="9"/>
  <c r="C11" i="9"/>
  <c r="C4" i="9"/>
  <c r="C3" i="6" l="1"/>
  <c r="E7" i="6" l="1"/>
  <c r="D3" i="6"/>
  <c r="C4" i="6" s="1"/>
  <c r="F3" i="6"/>
  <c r="G3" i="6" s="1"/>
  <c r="C3" i="3"/>
  <c r="D3" i="3" s="1"/>
  <c r="C4" i="3" s="1"/>
  <c r="D4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6" i="1"/>
  <c r="D7" i="1" s="1"/>
  <c r="E7" i="1" s="1"/>
  <c r="F7" i="1" s="1"/>
  <c r="I7" i="1" s="1"/>
  <c r="C7" i="1"/>
  <c r="D8" i="1" s="1"/>
  <c r="E8" i="1" s="1"/>
  <c r="F8" i="1" s="1"/>
  <c r="I8" i="1" s="1"/>
  <c r="C8" i="1"/>
  <c r="D9" i="1" s="1"/>
  <c r="E9" i="1" s="1"/>
  <c r="F9" i="1" s="1"/>
  <c r="I9" i="1" s="1"/>
  <c r="C9" i="1"/>
  <c r="D10" i="1" s="1"/>
  <c r="E10" i="1" s="1"/>
  <c r="F10" i="1" s="1"/>
  <c r="I10" i="1" s="1"/>
  <c r="C10" i="1"/>
  <c r="D11" i="1" s="1"/>
  <c r="E11" i="1" s="1"/>
  <c r="F11" i="1" s="1"/>
  <c r="I11" i="1" s="1"/>
  <c r="C11" i="1"/>
  <c r="D12" i="1" s="1"/>
  <c r="E12" i="1" s="1"/>
  <c r="F12" i="1" s="1"/>
  <c r="I12" i="1" s="1"/>
  <c r="C12" i="1"/>
  <c r="D13" i="1" s="1"/>
  <c r="E13" i="1" s="1"/>
  <c r="F13" i="1" s="1"/>
  <c r="I13" i="1" s="1"/>
  <c r="C13" i="1"/>
  <c r="D14" i="1" s="1"/>
  <c r="C14" i="1"/>
  <c r="D15" i="1" s="1"/>
  <c r="C5" i="1"/>
  <c r="D6" i="1" s="1"/>
  <c r="E6" i="1" s="1"/>
  <c r="D16" i="2" l="1"/>
  <c r="C16" i="2"/>
  <c r="I3" i="7"/>
  <c r="E15" i="1"/>
  <c r="F15" i="1" s="1"/>
  <c r="I15" i="1" s="1"/>
  <c r="E14" i="1"/>
  <c r="F14" i="1" s="1"/>
  <c r="I14" i="1" s="1"/>
  <c r="E8" i="6"/>
  <c r="D4" i="6"/>
  <c r="C5" i="6" s="1"/>
  <c r="I3" i="6"/>
  <c r="D5" i="2"/>
  <c r="E5" i="2" s="1"/>
  <c r="F5" i="2" s="1"/>
  <c r="I5" i="2" s="1"/>
  <c r="D3" i="2"/>
  <c r="E3" i="2" s="1"/>
  <c r="D4" i="2"/>
  <c r="E4" i="2" s="1"/>
  <c r="F4" i="2" s="1"/>
  <c r="G7" i="1"/>
  <c r="G8" i="1"/>
  <c r="G9" i="1"/>
  <c r="G10" i="1"/>
  <c r="G11" i="1"/>
  <c r="G12" i="1"/>
  <c r="G13" i="1"/>
  <c r="G6" i="1"/>
  <c r="F6" i="1"/>
  <c r="H15" i="1" s="1"/>
  <c r="H3" i="6"/>
  <c r="F4" i="6"/>
  <c r="G4" i="6" s="1"/>
  <c r="I4" i="6" s="1"/>
  <c r="E3" i="3"/>
  <c r="F3" i="3" s="1"/>
  <c r="J3" i="6" l="1"/>
  <c r="I4" i="7"/>
  <c r="E16" i="2"/>
  <c r="F16" i="2" s="1"/>
  <c r="I16" i="2" s="1"/>
  <c r="G14" i="1"/>
  <c r="B3" i="7"/>
  <c r="K15" i="1"/>
  <c r="G15" i="1"/>
  <c r="E9" i="6"/>
  <c r="D5" i="6"/>
  <c r="C6" i="6" s="1"/>
  <c r="H3" i="3"/>
  <c r="G4" i="2"/>
  <c r="G3" i="3"/>
  <c r="G5" i="2"/>
  <c r="F3" i="2"/>
  <c r="G3" i="2"/>
  <c r="H7" i="1"/>
  <c r="K7" i="1" s="1"/>
  <c r="H6" i="1"/>
  <c r="K6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I6" i="1"/>
  <c r="J15" i="1" s="1"/>
  <c r="C3" i="7" s="1"/>
  <c r="H14" i="1"/>
  <c r="I4" i="2"/>
  <c r="D6" i="2"/>
  <c r="E6" i="2" s="1"/>
  <c r="M3" i="6"/>
  <c r="K3" i="6"/>
  <c r="H4" i="6"/>
  <c r="F5" i="6"/>
  <c r="G5" i="6" s="1"/>
  <c r="C5" i="3"/>
  <c r="D5" i="3" s="1"/>
  <c r="E4" i="3"/>
  <c r="F4" i="3" s="1"/>
  <c r="D3" i="7" l="1"/>
  <c r="D6" i="6"/>
  <c r="C7" i="6" s="1"/>
  <c r="E11" i="6" s="1"/>
  <c r="E10" i="6"/>
  <c r="J3" i="3"/>
  <c r="I3" i="3"/>
  <c r="L3" i="3" s="1"/>
  <c r="H5" i="2"/>
  <c r="K5" i="2" s="1"/>
  <c r="H4" i="2"/>
  <c r="K4" i="2" s="1"/>
  <c r="I5" i="6"/>
  <c r="I3" i="2"/>
  <c r="H3" i="2"/>
  <c r="K3" i="2" s="1"/>
  <c r="F3" i="7"/>
  <c r="K14" i="1"/>
  <c r="E3" i="7" s="1"/>
  <c r="J9" i="1"/>
  <c r="J10" i="1"/>
  <c r="J11" i="1"/>
  <c r="J12" i="1"/>
  <c r="J13" i="1"/>
  <c r="J14" i="1"/>
  <c r="J7" i="1"/>
  <c r="J6" i="1"/>
  <c r="J8" i="1"/>
  <c r="F6" i="2"/>
  <c r="G6" i="2"/>
  <c r="D7" i="2"/>
  <c r="E7" i="2" s="1"/>
  <c r="F7" i="2" s="1"/>
  <c r="I7" i="2" s="1"/>
  <c r="J4" i="6"/>
  <c r="M4" i="6" s="1"/>
  <c r="G4" i="3"/>
  <c r="H4" i="3"/>
  <c r="H5" i="6"/>
  <c r="J5" i="6" s="1"/>
  <c r="K4" i="6"/>
  <c r="L3" i="6"/>
  <c r="C6" i="3"/>
  <c r="D6" i="3" s="1"/>
  <c r="E5" i="3"/>
  <c r="F5" i="3" s="1"/>
  <c r="G5" i="3" s="1"/>
  <c r="J5" i="3" s="1"/>
  <c r="D7" i="6" l="1"/>
  <c r="C8" i="6" s="1"/>
  <c r="E12" i="6" s="1"/>
  <c r="K3" i="3"/>
  <c r="J3" i="2"/>
  <c r="J4" i="2"/>
  <c r="J5" i="2"/>
  <c r="D8" i="2"/>
  <c r="E8" i="2" s="1"/>
  <c r="G7" i="2"/>
  <c r="I6" i="2"/>
  <c r="H6" i="2"/>
  <c r="K6" i="2" s="1"/>
  <c r="H7" i="2"/>
  <c r="K7" i="2" s="1"/>
  <c r="F6" i="6"/>
  <c r="G6" i="6" s="1"/>
  <c r="I4" i="3"/>
  <c r="L4" i="3" s="1"/>
  <c r="I5" i="3"/>
  <c r="L5" i="3" s="1"/>
  <c r="J4" i="3"/>
  <c r="H5" i="3"/>
  <c r="L4" i="6"/>
  <c r="K5" i="6"/>
  <c r="L5" i="6" s="1"/>
  <c r="M5" i="6"/>
  <c r="C7" i="3"/>
  <c r="D7" i="3" s="1"/>
  <c r="E6" i="3"/>
  <c r="F6" i="3" s="1"/>
  <c r="I6" i="6" l="1"/>
  <c r="D9" i="2"/>
  <c r="E9" i="2" s="1"/>
  <c r="G9" i="2" s="1"/>
  <c r="F8" i="2"/>
  <c r="G8" i="2"/>
  <c r="J7" i="2"/>
  <c r="J6" i="2"/>
  <c r="D8" i="6"/>
  <c r="C9" i="6" s="1"/>
  <c r="E13" i="6" s="1"/>
  <c r="H6" i="6"/>
  <c r="F7" i="6"/>
  <c r="G7" i="6" s="1"/>
  <c r="I7" i="6" s="1"/>
  <c r="K4" i="3"/>
  <c r="K5" i="3"/>
  <c r="G6" i="3"/>
  <c r="H6" i="3"/>
  <c r="C8" i="3"/>
  <c r="D8" i="3" s="1"/>
  <c r="E7" i="3"/>
  <c r="F7" i="3" s="1"/>
  <c r="G7" i="3" s="1"/>
  <c r="J7" i="3" s="1"/>
  <c r="I8" i="2" l="1"/>
  <c r="H8" i="2"/>
  <c r="K8" i="2" s="1"/>
  <c r="D10" i="2"/>
  <c r="E10" i="2" s="1"/>
  <c r="F9" i="2"/>
  <c r="I9" i="2" s="1"/>
  <c r="D9" i="6"/>
  <c r="C10" i="6" s="1"/>
  <c r="E14" i="6" s="1"/>
  <c r="J6" i="6"/>
  <c r="M6" i="6" s="1"/>
  <c r="F9" i="6"/>
  <c r="H7" i="6"/>
  <c r="K6" i="6"/>
  <c r="L6" i="6" s="1"/>
  <c r="F8" i="6"/>
  <c r="G8" i="6" s="1"/>
  <c r="H7" i="3"/>
  <c r="J6" i="3"/>
  <c r="I6" i="3"/>
  <c r="L6" i="3" s="1"/>
  <c r="I7" i="3"/>
  <c r="L7" i="3" s="1"/>
  <c r="C9" i="3"/>
  <c r="D9" i="3" s="1"/>
  <c r="E8" i="3"/>
  <c r="F8" i="3" s="1"/>
  <c r="I8" i="6" l="1"/>
  <c r="D11" i="2"/>
  <c r="E11" i="2" s="1"/>
  <c r="H9" i="2"/>
  <c r="K9" i="2" s="1"/>
  <c r="F10" i="2"/>
  <c r="I10" i="2" s="1"/>
  <c r="G10" i="2"/>
  <c r="J9" i="2"/>
  <c r="J8" i="2"/>
  <c r="D10" i="6"/>
  <c r="C11" i="6" s="1"/>
  <c r="E15" i="6" s="1"/>
  <c r="G9" i="6"/>
  <c r="I9" i="6" s="1"/>
  <c r="J7" i="6"/>
  <c r="M7" i="6" s="1"/>
  <c r="K7" i="6"/>
  <c r="L7" i="6" s="1"/>
  <c r="F10" i="6"/>
  <c r="H8" i="6"/>
  <c r="J8" i="6" s="1"/>
  <c r="G8" i="3"/>
  <c r="H8" i="3"/>
  <c r="K7" i="3"/>
  <c r="K6" i="3"/>
  <c r="E9" i="3"/>
  <c r="F9" i="3" s="1"/>
  <c r="C10" i="3"/>
  <c r="D10" i="3" s="1"/>
  <c r="H10" i="2" l="1"/>
  <c r="K10" i="2" s="1"/>
  <c r="F11" i="2"/>
  <c r="D12" i="2"/>
  <c r="E12" i="2" s="1"/>
  <c r="G12" i="2" s="1"/>
  <c r="G11" i="2"/>
  <c r="J10" i="2"/>
  <c r="D11" i="6"/>
  <c r="C12" i="6" s="1"/>
  <c r="E16" i="6" s="1"/>
  <c r="G10" i="6"/>
  <c r="I10" i="6" s="1"/>
  <c r="H9" i="6"/>
  <c r="K8" i="6"/>
  <c r="M8" i="6"/>
  <c r="G9" i="3"/>
  <c r="J9" i="3" s="1"/>
  <c r="H9" i="3"/>
  <c r="J8" i="3"/>
  <c r="I8" i="3"/>
  <c r="L8" i="3" s="1"/>
  <c r="C11" i="3"/>
  <c r="D11" i="3" s="1"/>
  <c r="E10" i="3"/>
  <c r="F10" i="3" s="1"/>
  <c r="G10" i="3" s="1"/>
  <c r="J10" i="3" s="1"/>
  <c r="D13" i="2" l="1"/>
  <c r="E13" i="2" s="1"/>
  <c r="F12" i="2"/>
  <c r="I12" i="2" s="1"/>
  <c r="I11" i="2"/>
  <c r="H11" i="2"/>
  <c r="K11" i="2" s="1"/>
  <c r="K9" i="6"/>
  <c r="L9" i="6" s="1"/>
  <c r="J9" i="6"/>
  <c r="M9" i="6" s="1"/>
  <c r="H10" i="6"/>
  <c r="K10" i="6" s="1"/>
  <c r="L8" i="6"/>
  <c r="F11" i="6"/>
  <c r="G11" i="6" s="1"/>
  <c r="I11" i="6" s="1"/>
  <c r="I9" i="3"/>
  <c r="L9" i="3" s="1"/>
  <c r="H10" i="3"/>
  <c r="I10" i="3"/>
  <c r="L10" i="3" s="1"/>
  <c r="K9" i="3"/>
  <c r="K10" i="3"/>
  <c r="K8" i="3"/>
  <c r="C12" i="3"/>
  <c r="D12" i="3" s="1"/>
  <c r="E11" i="3"/>
  <c r="F11" i="3" s="1"/>
  <c r="G11" i="3" s="1"/>
  <c r="J11" i="3" s="1"/>
  <c r="K11" i="3" s="1"/>
  <c r="H12" i="2" l="1"/>
  <c r="K12" i="2" s="1"/>
  <c r="J11" i="2"/>
  <c r="J12" i="2"/>
  <c r="F13" i="2"/>
  <c r="G13" i="2"/>
  <c r="D14" i="2"/>
  <c r="E14" i="2" s="1"/>
  <c r="D12" i="6"/>
  <c r="C13" i="6" s="1"/>
  <c r="E17" i="6" s="1"/>
  <c r="L10" i="6"/>
  <c r="J10" i="6"/>
  <c r="M10" i="6" s="1"/>
  <c r="F12" i="6"/>
  <c r="G12" i="6" s="1"/>
  <c r="I12" i="6" s="1"/>
  <c r="H11" i="6"/>
  <c r="J11" i="6" s="1"/>
  <c r="I11" i="3"/>
  <c r="L11" i="3" s="1"/>
  <c r="H11" i="3"/>
  <c r="C13" i="3"/>
  <c r="D13" i="3" s="1"/>
  <c r="E12" i="3"/>
  <c r="F12" i="3" s="1"/>
  <c r="D15" i="2" l="1"/>
  <c r="I13" i="2"/>
  <c r="H13" i="2"/>
  <c r="K13" i="2" s="1"/>
  <c r="F14" i="2"/>
  <c r="G14" i="2"/>
  <c r="D13" i="6"/>
  <c r="C14" i="6" s="1"/>
  <c r="K11" i="6"/>
  <c r="L11" i="6" s="1"/>
  <c r="M11" i="6"/>
  <c r="F13" i="6"/>
  <c r="G13" i="6" s="1"/>
  <c r="I13" i="6" s="1"/>
  <c r="H12" i="6"/>
  <c r="J12" i="6" s="1"/>
  <c r="G12" i="3"/>
  <c r="H12" i="3"/>
  <c r="E14" i="3"/>
  <c r="F14" i="3" s="1"/>
  <c r="E13" i="3"/>
  <c r="F13" i="3" s="1"/>
  <c r="E15" i="2" l="1"/>
  <c r="G16" i="2" s="1"/>
  <c r="C14" i="3"/>
  <c r="D14" i="3" s="1"/>
  <c r="I14" i="2"/>
  <c r="J14" i="2" s="1"/>
  <c r="H14" i="2"/>
  <c r="K14" i="2" s="1"/>
  <c r="J13" i="2"/>
  <c r="F15" i="2"/>
  <c r="G15" i="2"/>
  <c r="D14" i="6"/>
  <c r="C15" i="6" s="1"/>
  <c r="H13" i="6"/>
  <c r="J13" i="6" s="1"/>
  <c r="K12" i="6"/>
  <c r="L12" i="6" s="1"/>
  <c r="M12" i="6"/>
  <c r="G13" i="3"/>
  <c r="H13" i="3"/>
  <c r="G14" i="3"/>
  <c r="H14" i="3"/>
  <c r="J12" i="3"/>
  <c r="I12" i="3"/>
  <c r="L12" i="3" s="1"/>
  <c r="H16" i="2" l="1"/>
  <c r="F17" i="2"/>
  <c r="C15" i="3"/>
  <c r="I15" i="2"/>
  <c r="J16" i="2" s="1"/>
  <c r="C4" i="7" s="1"/>
  <c r="H15" i="2"/>
  <c r="D15" i="6"/>
  <c r="F16" i="6" s="1"/>
  <c r="G16" i="6" s="1"/>
  <c r="F14" i="6"/>
  <c r="G14" i="6" s="1"/>
  <c r="I14" i="6" s="1"/>
  <c r="K13" i="6"/>
  <c r="L13" i="6" s="1"/>
  <c r="M13" i="6"/>
  <c r="K12" i="3"/>
  <c r="J14" i="3"/>
  <c r="I14" i="3"/>
  <c r="L14" i="3" s="1"/>
  <c r="J13" i="3"/>
  <c r="K13" i="3" s="1"/>
  <c r="I13" i="3"/>
  <c r="L13" i="3" s="1"/>
  <c r="E15" i="3"/>
  <c r="F15" i="3" s="1"/>
  <c r="H16" i="6" l="1"/>
  <c r="C16" i="6"/>
  <c r="B4" i="7"/>
  <c r="K16" i="2"/>
  <c r="D15" i="3"/>
  <c r="E16" i="3" s="1"/>
  <c r="F16" i="3" s="1"/>
  <c r="J15" i="2"/>
  <c r="F4" i="7"/>
  <c r="K15" i="2"/>
  <c r="H14" i="6"/>
  <c r="J14" i="6" s="1"/>
  <c r="K14" i="3"/>
  <c r="G15" i="3"/>
  <c r="H15" i="3"/>
  <c r="D16" i="6" l="1"/>
  <c r="F17" i="6" s="1"/>
  <c r="I6" i="7" s="1"/>
  <c r="K16" i="6"/>
  <c r="E17" i="3"/>
  <c r="I5" i="7" s="1"/>
  <c r="G16" i="3"/>
  <c r="H16" i="3"/>
  <c r="C16" i="3"/>
  <c r="D16" i="3" s="1"/>
  <c r="E4" i="7"/>
  <c r="D4" i="7"/>
  <c r="F15" i="6"/>
  <c r="G15" i="6" s="1"/>
  <c r="K14" i="6"/>
  <c r="L14" i="6" s="1"/>
  <c r="M14" i="6"/>
  <c r="J15" i="3"/>
  <c r="K15" i="3" s="1"/>
  <c r="I15" i="3"/>
  <c r="I15" i="6" l="1"/>
  <c r="I16" i="6"/>
  <c r="J16" i="3"/>
  <c r="K16" i="3" s="1"/>
  <c r="C5" i="7" s="1"/>
  <c r="I16" i="3"/>
  <c r="H15" i="6"/>
  <c r="L15" i="3"/>
  <c r="J15" i="6" l="1"/>
  <c r="J16" i="6"/>
  <c r="B5" i="7"/>
  <c r="F5" i="7" s="1"/>
  <c r="L16" i="3"/>
  <c r="K15" i="6"/>
  <c r="M15" i="6"/>
  <c r="L15" i="6" l="1"/>
  <c r="L16" i="6"/>
  <c r="C6" i="7" s="1"/>
  <c r="M16" i="6"/>
  <c r="B6" i="7"/>
  <c r="F6" i="7" s="1"/>
  <c r="D5" i="7"/>
  <c r="E5" i="7"/>
  <c r="D6" i="7" l="1"/>
  <c r="E6" i="7"/>
</calcChain>
</file>

<file path=xl/sharedStrings.xml><?xml version="1.0" encoding="utf-8"?>
<sst xmlns="http://schemas.openxmlformats.org/spreadsheetml/2006/main" count="147" uniqueCount="77">
  <si>
    <t>Periodo</t>
  </si>
  <si>
    <t>Dt</t>
  </si>
  <si>
    <t>Lt</t>
  </si>
  <si>
    <t>Ft</t>
  </si>
  <si>
    <t>Et</t>
  </si>
  <si>
    <t>At</t>
  </si>
  <si>
    <t>MSE</t>
  </si>
  <si>
    <t>MAD</t>
  </si>
  <si>
    <t>%Error</t>
  </si>
  <si>
    <t>MAPE</t>
  </si>
  <si>
    <t>TSt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</si>
  <si>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</si>
  <si>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</si>
  <si>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</si>
  <si>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</si>
  <si>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</si>
  <si>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</si>
  <si>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</si>
  <si>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</si>
  <si>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</si>
  <si>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</si>
  <si>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</si>
  <si>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</si>
  <si>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</si>
  <si>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</si>
  <si>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</si>
  <si>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</si>
  <si>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</si>
  <si>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</si>
  <si>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</si>
  <si>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</si>
  <si>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</si>
  <si>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</si>
  <si>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</si>
  <si>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</si>
  <si>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Tt</t>
  </si>
  <si>
    <t>FT</t>
  </si>
  <si>
    <t>St</t>
  </si>
  <si>
    <t>Pronóstico</t>
  </si>
  <si>
    <t>Error cuadratico</t>
  </si>
  <si>
    <t>Método</t>
  </si>
  <si>
    <t>Rango TS inf</t>
  </si>
  <si>
    <t>Rango TS sup</t>
  </si>
  <si>
    <t>Desv. Est.</t>
  </si>
  <si>
    <t>Holt</t>
  </si>
  <si>
    <t>Winter</t>
  </si>
  <si>
    <t>Demanda desestacionalizada</t>
  </si>
  <si>
    <t>Variable X 1</t>
  </si>
  <si>
    <t>Demanda desestacionalizada. Ec7.4</t>
  </si>
  <si>
    <t>Factor estacional</t>
  </si>
  <si>
    <t>Alpha</t>
  </si>
  <si>
    <t>Beta</t>
  </si>
  <si>
    <t>Año</t>
  </si>
  <si>
    <t>Lambda</t>
  </si>
  <si>
    <t>Suavización Expo</t>
  </si>
  <si>
    <t>Promedio Móvil</t>
  </si>
  <si>
    <t>Aprobados</t>
  </si>
  <si>
    <t>APROBADOS</t>
  </si>
  <si>
    <t>Predicción 2024</t>
  </si>
  <si>
    <t>Modelo</t>
  </si>
  <si>
    <t>2010-sp</t>
  </si>
  <si>
    <t>2011-sp</t>
  </si>
  <si>
    <t>2012-sp</t>
  </si>
  <si>
    <t>2013-sp</t>
  </si>
  <si>
    <t>2014-sp</t>
  </si>
  <si>
    <t>2015-sp</t>
  </si>
  <si>
    <t>2016-sp</t>
  </si>
  <si>
    <t>2017-sp</t>
  </si>
  <si>
    <t>2018-sp</t>
  </si>
  <si>
    <t>2019-sp</t>
  </si>
  <si>
    <t>2020-sp</t>
  </si>
  <si>
    <t>2021-sp</t>
  </si>
  <si>
    <t>2022-sp</t>
  </si>
  <si>
    <t>2023-sp</t>
  </si>
  <si>
    <t>NO Aprobados</t>
  </si>
  <si>
    <t>ESTIMACIONES DE ERROR DE LOS PRONÓSTICOS-NO APROBADOS Primavera (Spring)</t>
  </si>
  <si>
    <t>NO APROBADOS Primavera (Spring)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</si>
</sst>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9" applyNumberFormat="0" applyAlignment="0" applyProtection="0"/>
    <xf numFmtId="0" fontId="12" fillId="8" borderId="10" applyNumberFormat="0" applyAlignment="0" applyProtection="0"/>
    <xf numFmtId="0" fontId="13" fillId="8" borderId="9" applyNumberFormat="0" applyAlignment="0" applyProtection="0"/>
    <xf numFmtId="0" fontId="14" fillId="0" borderId="11" applyNumberFormat="0" applyFill="0" applyAlignment="0" applyProtection="0"/>
    <xf numFmtId="0" fontId="15" fillId="9" borderId="12" applyNumberFormat="0" applyAlignment="0" applyProtection="0"/>
    <xf numFmtId="0" fontId="16" fillId="0" borderId="0" applyNumberFormat="0" applyFill="0" applyBorder="0" applyAlignment="0" applyProtection="0"/>
    <xf numFmtId="0" fontId="3" fillId="10" borderId="13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18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1" xfId="0" applyBorder="1" applyAlignment="1">
      <alignment horizontal="left"/>
    </xf>
    <xf numFmtId="4" fontId="0" fillId="0" borderId="1" xfId="0" applyNumberFormat="1" applyBorder="1"/>
    <xf numFmtId="3" fontId="0" fillId="0" borderId="1" xfId="0" applyNumberFormat="1" applyBorder="1"/>
    <xf numFmtId="3" fontId="1" fillId="0" borderId="1" xfId="0" applyNumberFormat="1" applyFont="1" applyBorder="1"/>
    <xf numFmtId="164" fontId="0" fillId="0" borderId="1" xfId="0" applyNumberFormat="1" applyBorder="1"/>
    <xf numFmtId="165" fontId="0" fillId="0" borderId="1" xfId="0" applyNumberFormat="1" applyBorder="1"/>
    <xf numFmtId="1" fontId="1" fillId="3" borderId="1" xfId="0" applyNumberFormat="1" applyFont="1" applyFill="1" applyBorder="1"/>
    <xf numFmtId="0" fontId="0" fillId="0" borderId="15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0" fillId="0" borderId="1" xfId="0" applyNumberForma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1" xfId="0" applyFill="1" applyBorder="1"/>
    <xf numFmtId="0" fontId="1" fillId="35" borderId="1" xfId="0" applyFont="1" applyFill="1" applyBorder="1" applyAlignment="1">
      <alignment horizontal="center"/>
    </xf>
    <xf numFmtId="3" fontId="0" fillId="35" borderId="1" xfId="0" applyNumberFormat="1" applyFill="1" applyBorder="1"/>
    <xf numFmtId="4" fontId="0" fillId="35" borderId="1" xfId="0" applyNumberFormat="1" applyFill="1" applyBorder="1"/>
    <xf numFmtId="165" fontId="0" fillId="35" borderId="1" xfId="0" applyNumberFormat="1" applyFill="1" applyBorder="1"/>
    <xf numFmtId="2" fontId="0" fillId="35" borderId="1" xfId="0" applyNumberFormat="1" applyFill="1" applyBorder="1"/>
    <xf numFmtId="0" fontId="0" fillId="35" borderId="1" xfId="0" applyFill="1" applyBorder="1"/>
    <xf numFmtId="1" fontId="0" fillId="35" borderId="1" xfId="0" applyNumberFormat="1" applyFill="1" applyBorder="1"/>
    <xf numFmtId="164" fontId="0" fillId="35" borderId="1" xfId="0" applyNumberFormat="1" applyFill="1" applyBorder="1"/>
    <xf numFmtId="0" fontId="0" fillId="35" borderId="0" xfId="0" applyFill="1" applyBorder="1" applyAlignment="1"/>
    <xf numFmtId="0" fontId="0" fillId="35" borderId="2" xfId="0" applyFill="1" applyBorder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'Datos_NO_APROBADOS-PRIMAVERA'!$C$1</c:f>
              <c:strCache>
                <c:ptCount val="1"/>
                <c:pt idx="0">
                  <c:v>NO Aprobados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49300087489065E-2"/>
                  <c:y val="-0.10378353747448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'Datos_NO_APROBADOS-PRIMAVERA'!$B$2:$B$14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'Datos_NO_APROBADOS-PRIMAVERA'!$C$2:$C$14</c:f>
              <c:numCache>
                <c:formatCode>#,##0</c:formatCode>
                <c:ptCount val="13"/>
                <c:pt idx="0">
                  <c:v>2012</c:v>
                </c:pt>
                <c:pt idx="1">
                  <c:v>2113</c:v>
                </c:pt>
                <c:pt idx="2">
                  <c:v>136</c:v>
                </c:pt>
                <c:pt idx="3">
                  <c:v>2236</c:v>
                </c:pt>
                <c:pt idx="4">
                  <c:v>2378</c:v>
                </c:pt>
                <c:pt idx="5">
                  <c:v>2414</c:v>
                </c:pt>
                <c:pt idx="6">
                  <c:v>2484</c:v>
                </c:pt>
                <c:pt idx="7">
                  <c:v>2730</c:v>
                </c:pt>
                <c:pt idx="8">
                  <c:v>2585</c:v>
                </c:pt>
                <c:pt idx="9">
                  <c:v>2938</c:v>
                </c:pt>
                <c:pt idx="10">
                  <c:v>2060</c:v>
                </c:pt>
                <c:pt idx="11">
                  <c:v>3648</c:v>
                </c:pt>
                <c:pt idx="12">
                  <c:v>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1-4CC2-B124-226F238B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79279"/>
        <c:axId val="1402380239"/>
      </c:scatterChart>
      <c:valAx>
        <c:axId val="14023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02380239"/>
        <c:crosses val="autoZero"/>
        <c:crossBetween val="midCat"/>
      </c:valAx>
      <c:valAx>
        <c:axId val="14023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Cantidad</a:t>
                </a:r>
                <a:r>
                  <a:rPr lang="es-PA" baseline="0"/>
                  <a:t> de Aprobados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023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119062</xdr:rowOff>
    </xdr:from>
    <xdr:to>
      <xdr:col>9</xdr:col>
      <xdr:colOff>333375</xdr:colOff>
      <xdr:row>15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1BD3A2-0D49-2F5E-7C62-3747D196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7</xdr:row>
      <xdr:rowOff>57150</xdr:rowOff>
    </xdr:from>
    <xdr:to>
      <xdr:col>4</xdr:col>
      <xdr:colOff>772584</xdr:colOff>
      <xdr:row>13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C4D12B-691D-48D5-9B86-D9A1C7700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994" t="34427" r="39888" b="53360"/>
        <a:stretch/>
      </xdr:blipFill>
      <xdr:spPr>
        <a:xfrm>
          <a:off x="66675" y="1390650"/>
          <a:ext cx="4401609" cy="1209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5905-A6FB-437D-91DB-A4920B0D1634}">
  <dimension ref="A1:C15"/>
  <sheetViews>
    <sheetView tabSelected="1" workbookViewId="0">
      <selection activeCell="E22" sqref="E22"/>
    </sheetView>
  </sheetViews>
  <sheetFormatPr baseColWidth="10" defaultRowHeight="15" x14ac:dyDescent="0.25"/>
  <cols>
    <col min="1" max="1" width="8.28515625" customWidth="1"/>
    <col min="3" max="3" width="14.140625" customWidth="1"/>
  </cols>
  <sheetData>
    <row r="1" spans="1:3" x14ac:dyDescent="0.25">
      <c r="A1" s="30" t="s">
        <v>52</v>
      </c>
      <c r="B1" s="30" t="s">
        <v>0</v>
      </c>
      <c r="C1" s="30" t="s">
        <v>74</v>
      </c>
    </row>
    <row r="2" spans="1:3" x14ac:dyDescent="0.25">
      <c r="A2" s="14" t="s">
        <v>60</v>
      </c>
      <c r="B2" s="21">
        <v>1</v>
      </c>
      <c r="C2" s="16">
        <v>2012</v>
      </c>
    </row>
    <row r="3" spans="1:3" x14ac:dyDescent="0.25">
      <c r="A3" s="14" t="s">
        <v>61</v>
      </c>
      <c r="B3" s="21">
        <v>2</v>
      </c>
      <c r="C3" s="16">
        <v>2113</v>
      </c>
    </row>
    <row r="4" spans="1:3" x14ac:dyDescent="0.25">
      <c r="A4" s="14" t="s">
        <v>62</v>
      </c>
      <c r="B4" s="21">
        <v>3</v>
      </c>
      <c r="C4" s="16">
        <v>136</v>
      </c>
    </row>
    <row r="5" spans="1:3" x14ac:dyDescent="0.25">
      <c r="A5" s="14" t="s">
        <v>63</v>
      </c>
      <c r="B5" s="21">
        <v>4</v>
      </c>
      <c r="C5" s="16">
        <v>2236</v>
      </c>
    </row>
    <row r="6" spans="1:3" x14ac:dyDescent="0.25">
      <c r="A6" s="14" t="s">
        <v>64</v>
      </c>
      <c r="B6" s="21">
        <v>5</v>
      </c>
      <c r="C6" s="16">
        <v>2378</v>
      </c>
    </row>
    <row r="7" spans="1:3" x14ac:dyDescent="0.25">
      <c r="A7" s="14" t="s">
        <v>65</v>
      </c>
      <c r="B7" s="21">
        <v>6</v>
      </c>
      <c r="C7" s="16">
        <v>2414</v>
      </c>
    </row>
    <row r="8" spans="1:3" x14ac:dyDescent="0.25">
      <c r="A8" s="14" t="s">
        <v>66</v>
      </c>
      <c r="B8" s="21">
        <v>7</v>
      </c>
      <c r="C8" s="16">
        <v>2484</v>
      </c>
    </row>
    <row r="9" spans="1:3" x14ac:dyDescent="0.25">
      <c r="A9" s="14" t="s">
        <v>67</v>
      </c>
      <c r="B9" s="21">
        <v>8</v>
      </c>
      <c r="C9" s="16">
        <v>2730</v>
      </c>
    </row>
    <row r="10" spans="1:3" x14ac:dyDescent="0.25">
      <c r="A10" s="14" t="s">
        <v>68</v>
      </c>
      <c r="B10" s="21">
        <v>9</v>
      </c>
      <c r="C10" s="16">
        <v>2585</v>
      </c>
    </row>
    <row r="11" spans="1:3" x14ac:dyDescent="0.25">
      <c r="A11" s="14" t="s">
        <v>69</v>
      </c>
      <c r="B11" s="21">
        <v>10</v>
      </c>
      <c r="C11" s="16">
        <v>2938</v>
      </c>
    </row>
    <row r="12" spans="1:3" x14ac:dyDescent="0.25">
      <c r="A12" s="14" t="s">
        <v>70</v>
      </c>
      <c r="B12" s="21">
        <v>11</v>
      </c>
      <c r="C12" s="16">
        <v>2060</v>
      </c>
    </row>
    <row r="13" spans="1:3" x14ac:dyDescent="0.25">
      <c r="A13" s="14" t="s">
        <v>71</v>
      </c>
      <c r="B13" s="21">
        <v>12</v>
      </c>
      <c r="C13" s="16">
        <v>3648</v>
      </c>
    </row>
    <row r="14" spans="1:3" x14ac:dyDescent="0.25">
      <c r="A14" s="14" t="s">
        <v>72</v>
      </c>
      <c r="B14" s="21">
        <v>13</v>
      </c>
      <c r="C14" s="16">
        <v>3943</v>
      </c>
    </row>
    <row r="15" spans="1:3" x14ac:dyDescent="0.25">
      <c r="A15" s="14" t="s">
        <v>73</v>
      </c>
      <c r="B15" s="21">
        <v>14</v>
      </c>
      <c r="C15" s="16">
        <v>2735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4371-5962-4B6D-812A-81FC13929716}">
  <dimension ref="A1:K15"/>
  <sheetViews>
    <sheetView workbookViewId="0">
      <selection activeCell="K6" sqref="K6"/>
    </sheetView>
  </sheetViews>
  <sheetFormatPr baseColWidth="10" defaultRowHeight="15" x14ac:dyDescent="0.25"/>
  <cols>
    <col min="3" max="3" width="14.140625" customWidth="1"/>
    <col min="4" max="6" width="11.5703125" bestFit="1" customWidth="1"/>
    <col min="7" max="7" width="13.5703125" bestFit="1" customWidth="1"/>
    <col min="8" max="8" width="12.7109375" bestFit="1" customWidth="1"/>
    <col min="9" max="11" width="11.5703125" bestFit="1" customWidth="1"/>
  </cols>
  <sheetData>
    <row r="1" spans="1:11" x14ac:dyDescent="0.25">
      <c r="A1" s="1" t="s">
        <v>0</v>
      </c>
      <c r="B1" s="1" t="s">
        <v>56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7">
        <v>2012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2</v>
      </c>
      <c r="B3" s="17">
        <v>2113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1">
        <v>3</v>
      </c>
      <c r="B4" s="17">
        <v>136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">
        <v>4</v>
      </c>
      <c r="B5" s="17">
        <v>2236</v>
      </c>
      <c r="C5" s="16">
        <f>+AVERAGE(B2:B5)</f>
        <v>1624.25</v>
      </c>
      <c r="D5" s="16"/>
      <c r="E5" s="16"/>
      <c r="F5" s="16"/>
      <c r="G5" s="16"/>
      <c r="H5" s="16"/>
      <c r="I5" s="16"/>
      <c r="J5" s="16"/>
      <c r="K5" s="16"/>
    </row>
    <row r="6" spans="1:11" x14ac:dyDescent="0.25">
      <c r="A6" s="1">
        <v>5</v>
      </c>
      <c r="B6" s="17">
        <v>2378</v>
      </c>
      <c r="C6" s="16">
        <f t="shared" ref="C6:C15" si="0">+AVERAGE(B3:B6)</f>
        <v>1715.75</v>
      </c>
      <c r="D6" s="16">
        <f>+C5</f>
        <v>1624.25</v>
      </c>
      <c r="E6" s="16">
        <f>+D6-B6</f>
        <v>-753.75</v>
      </c>
      <c r="F6" s="16">
        <f>+ABS(E6)</f>
        <v>753.75</v>
      </c>
      <c r="G6" s="16">
        <f>+SUMSQ($E$6:E6)/(A6-4)</f>
        <v>568139.0625</v>
      </c>
      <c r="H6" s="16">
        <f>+SUM($F$6:F6)/(A6-4)</f>
        <v>753.75</v>
      </c>
      <c r="I6" s="16">
        <f>+(F6/B6)*100</f>
        <v>31.696804037005887</v>
      </c>
      <c r="J6" s="16">
        <f>+AVERAGE($I$6:I6)</f>
        <v>31.696804037005887</v>
      </c>
      <c r="K6" s="32">
        <f>+SUM($E$6:E6)/H6</f>
        <v>-1</v>
      </c>
    </row>
    <row r="7" spans="1:11" x14ac:dyDescent="0.25">
      <c r="A7" s="1">
        <v>6</v>
      </c>
      <c r="B7" s="17">
        <v>2414</v>
      </c>
      <c r="C7" s="16">
        <f t="shared" si="0"/>
        <v>1791</v>
      </c>
      <c r="D7" s="16">
        <f t="shared" ref="D7:D15" si="1">+C6</f>
        <v>1715.75</v>
      </c>
      <c r="E7" s="16">
        <f t="shared" ref="E7:E15" si="2">+D7-B7</f>
        <v>-698.25</v>
      </c>
      <c r="F7" s="16">
        <f t="shared" ref="F7:F15" si="3">+ABS(E7)</f>
        <v>698.25</v>
      </c>
      <c r="G7" s="16">
        <f>+SUMSQ($E$6:E7)/(A7-4)</f>
        <v>527846.0625</v>
      </c>
      <c r="H7" s="16">
        <f>+SUM($F$6:F7)/(A7-4)</f>
        <v>726</v>
      </c>
      <c r="I7" s="16">
        <f t="shared" ref="I7:I15" si="4">+(F7/B7)*100</f>
        <v>28.925020712510356</v>
      </c>
      <c r="J7" s="16">
        <f>+AVERAGE($I$6:I7)</f>
        <v>30.310912374758122</v>
      </c>
      <c r="K7" s="15">
        <f>+SUM($E$6:E7)/H7</f>
        <v>-2</v>
      </c>
    </row>
    <row r="8" spans="1:11" x14ac:dyDescent="0.25">
      <c r="A8" s="1">
        <v>7</v>
      </c>
      <c r="B8" s="17">
        <v>2484</v>
      </c>
      <c r="C8" s="16">
        <f t="shared" si="0"/>
        <v>2378</v>
      </c>
      <c r="D8" s="16">
        <f t="shared" si="1"/>
        <v>1791</v>
      </c>
      <c r="E8" s="16">
        <f t="shared" si="2"/>
        <v>-693</v>
      </c>
      <c r="F8" s="16">
        <f t="shared" si="3"/>
        <v>693</v>
      </c>
      <c r="G8" s="16">
        <f>+SUMSQ($E$6:E8)/(A8-4)</f>
        <v>511980.375</v>
      </c>
      <c r="H8" s="16">
        <f>+SUM($F$6:F8)/(A8-4)</f>
        <v>715</v>
      </c>
      <c r="I8" s="16">
        <f t="shared" si="4"/>
        <v>27.898550724637683</v>
      </c>
      <c r="J8" s="16">
        <f>+AVERAGE($I$6:I8)</f>
        <v>29.506791824717975</v>
      </c>
      <c r="K8" s="15">
        <f>+SUM($E$6:E8)/H8</f>
        <v>-3</v>
      </c>
    </row>
    <row r="9" spans="1:11" x14ac:dyDescent="0.25">
      <c r="A9" s="1">
        <v>8</v>
      </c>
      <c r="B9" s="17">
        <v>2730</v>
      </c>
      <c r="C9" s="16">
        <f t="shared" si="0"/>
        <v>2501.5</v>
      </c>
      <c r="D9" s="16">
        <f t="shared" si="1"/>
        <v>2378</v>
      </c>
      <c r="E9" s="16">
        <f t="shared" si="2"/>
        <v>-352</v>
      </c>
      <c r="F9" s="16">
        <f t="shared" si="3"/>
        <v>352</v>
      </c>
      <c r="G9" s="16">
        <f>+SUMSQ($E$6:E9)/(A9-4)</f>
        <v>414961.28125</v>
      </c>
      <c r="H9" s="16">
        <f>+SUM($F$6:F9)/(A9-4)</f>
        <v>624.25</v>
      </c>
      <c r="I9" s="16">
        <f t="shared" si="4"/>
        <v>12.893772893772896</v>
      </c>
      <c r="J9" s="16">
        <f>+AVERAGE($I$6:I9)</f>
        <v>25.353537091981703</v>
      </c>
      <c r="K9" s="15">
        <f>+SUM($E$6:E9)/H9</f>
        <v>-4</v>
      </c>
    </row>
    <row r="10" spans="1:11" x14ac:dyDescent="0.25">
      <c r="A10" s="1">
        <v>9</v>
      </c>
      <c r="B10" s="17">
        <v>2585</v>
      </c>
      <c r="C10" s="16">
        <f t="shared" si="0"/>
        <v>2553.25</v>
      </c>
      <c r="D10" s="16">
        <f t="shared" si="1"/>
        <v>2501.5</v>
      </c>
      <c r="E10" s="16">
        <f t="shared" si="2"/>
        <v>-83.5</v>
      </c>
      <c r="F10" s="16">
        <f t="shared" si="3"/>
        <v>83.5</v>
      </c>
      <c r="G10" s="16">
        <f>+SUMSQ($E$6:E10)/(A10-4)</f>
        <v>333363.47499999998</v>
      </c>
      <c r="H10" s="16">
        <f>+SUM($F$6:F10)/(A10-4)</f>
        <v>516.1</v>
      </c>
      <c r="I10" s="16">
        <f t="shared" si="4"/>
        <v>3.2301740812379109</v>
      </c>
      <c r="J10" s="16">
        <f>+AVERAGE($I$6:I10)</f>
        <v>20.928864489832943</v>
      </c>
      <c r="K10" s="15">
        <f>+SUM($E$6:E10)/H10</f>
        <v>-5</v>
      </c>
    </row>
    <row r="11" spans="1:11" x14ac:dyDescent="0.25">
      <c r="A11" s="1">
        <v>10</v>
      </c>
      <c r="B11" s="17">
        <v>2938</v>
      </c>
      <c r="C11" s="16">
        <f t="shared" si="0"/>
        <v>2684.25</v>
      </c>
      <c r="D11" s="16">
        <f t="shared" si="1"/>
        <v>2553.25</v>
      </c>
      <c r="E11" s="16">
        <f t="shared" si="2"/>
        <v>-384.75</v>
      </c>
      <c r="F11" s="16">
        <f t="shared" si="3"/>
        <v>384.75</v>
      </c>
      <c r="G11" s="16">
        <f>+SUMSQ($E$6:E11)/(A11-4)</f>
        <v>302474.98958333331</v>
      </c>
      <c r="H11" s="16">
        <f>+SUM($F$6:F11)/(A11-4)</f>
        <v>494.20833333333331</v>
      </c>
      <c r="I11" s="16">
        <f t="shared" si="4"/>
        <v>13.095643294758338</v>
      </c>
      <c r="J11" s="16">
        <f>+AVERAGE($I$6:I11)</f>
        <v>19.623327623987176</v>
      </c>
      <c r="K11" s="15">
        <f>+SUM($E$6:E11)/H11</f>
        <v>-6</v>
      </c>
    </row>
    <row r="12" spans="1:11" x14ac:dyDescent="0.25">
      <c r="A12" s="1">
        <v>11</v>
      </c>
      <c r="B12" s="17">
        <v>2060</v>
      </c>
      <c r="C12" s="16">
        <f t="shared" si="0"/>
        <v>2578.25</v>
      </c>
      <c r="D12" s="16">
        <f t="shared" si="1"/>
        <v>2684.25</v>
      </c>
      <c r="E12" s="16">
        <f t="shared" si="2"/>
        <v>624.25</v>
      </c>
      <c r="F12" s="16">
        <f t="shared" si="3"/>
        <v>624.25</v>
      </c>
      <c r="G12" s="16">
        <f>+SUMSQ($E$6:E12)/(A12-4)</f>
        <v>314934</v>
      </c>
      <c r="H12" s="16">
        <f>+SUM($F$6:F12)/(A12-4)</f>
        <v>512.78571428571433</v>
      </c>
      <c r="I12" s="16">
        <f t="shared" si="4"/>
        <v>30.30339805825243</v>
      </c>
      <c r="J12" s="16">
        <f>+AVERAGE($I$6:I12)</f>
        <v>21.149051971739357</v>
      </c>
      <c r="K12" s="15">
        <f>+SUM($E$6:E12)/H12</f>
        <v>-4.5652597854854431</v>
      </c>
    </row>
    <row r="13" spans="1:11" x14ac:dyDescent="0.25">
      <c r="A13" s="1">
        <v>12</v>
      </c>
      <c r="B13" s="17">
        <v>3648</v>
      </c>
      <c r="C13" s="16">
        <f t="shared" si="0"/>
        <v>2807.75</v>
      </c>
      <c r="D13" s="16">
        <f t="shared" si="1"/>
        <v>2578.25</v>
      </c>
      <c r="E13" s="16">
        <f t="shared" si="2"/>
        <v>-1069.75</v>
      </c>
      <c r="F13" s="16">
        <f t="shared" si="3"/>
        <v>1069.75</v>
      </c>
      <c r="G13" s="16">
        <f>+SUMSQ($E$6:E13)/(A13-4)</f>
        <v>418612.8828125</v>
      </c>
      <c r="H13" s="16">
        <f>+SUM($F$6:F13)/(A13-4)</f>
        <v>582.40625</v>
      </c>
      <c r="I13" s="16">
        <f t="shared" si="4"/>
        <v>29.324287280701753</v>
      </c>
      <c r="J13" s="16">
        <f>+AVERAGE($I$6:I13)</f>
        <v>22.170956385359656</v>
      </c>
      <c r="K13" s="15">
        <f>+SUM($E$6:E13)/H13</f>
        <v>-5.8563073456028327</v>
      </c>
    </row>
    <row r="14" spans="1:11" x14ac:dyDescent="0.25">
      <c r="A14" s="1">
        <v>13</v>
      </c>
      <c r="B14" s="17">
        <v>3943</v>
      </c>
      <c r="C14" s="16">
        <f t="shared" si="0"/>
        <v>3147.25</v>
      </c>
      <c r="D14" s="16">
        <f t="shared" si="1"/>
        <v>2807.75</v>
      </c>
      <c r="E14" s="16">
        <f t="shared" si="2"/>
        <v>-1135.25</v>
      </c>
      <c r="F14" s="16">
        <f t="shared" si="3"/>
        <v>1135.25</v>
      </c>
      <c r="G14" s="16">
        <f>+SUMSQ($E$6:E14)/(A14-4)</f>
        <v>515299.51388888888</v>
      </c>
      <c r="H14" s="16">
        <f>+SUM($F$6:F14)/(A14-4)</f>
        <v>643.83333333333337</v>
      </c>
      <c r="I14" s="16">
        <f t="shared" si="4"/>
        <v>28.791529292416939</v>
      </c>
      <c r="J14" s="16">
        <f>+AVERAGE($I$6:I14)</f>
        <v>22.906575597254907</v>
      </c>
      <c r="K14" s="32">
        <f>+SUM($E$6:E14)/H14</f>
        <v>-7.0608335490551379</v>
      </c>
    </row>
    <row r="15" spans="1:11" x14ac:dyDescent="0.25">
      <c r="A15" s="1">
        <v>14</v>
      </c>
      <c r="B15" s="17">
        <v>2735</v>
      </c>
      <c r="C15" s="16">
        <f t="shared" si="0"/>
        <v>3096.5</v>
      </c>
      <c r="D15" s="31">
        <f t="shared" si="1"/>
        <v>3147.25</v>
      </c>
      <c r="E15" s="16">
        <f t="shared" si="2"/>
        <v>412.25</v>
      </c>
      <c r="F15" s="16">
        <f t="shared" si="3"/>
        <v>412.25</v>
      </c>
      <c r="G15" s="16">
        <f>+SUMSQ($E$6:E15)/(A15-4)</f>
        <v>480764.56874999998</v>
      </c>
      <c r="H15" s="31">
        <f>+SUM($F$6:F15)/(A15-4)</f>
        <v>620.67499999999995</v>
      </c>
      <c r="I15" s="16">
        <f t="shared" si="4"/>
        <v>15.073126142595978</v>
      </c>
      <c r="J15" s="31">
        <f>+AVERAGE($I$6:I15)</f>
        <v>22.123230651789015</v>
      </c>
      <c r="K15" s="24">
        <f>+SUM($E$6:E15)/H15</f>
        <v>-6.6600878076287922</v>
      </c>
    </row>
  </sheetData>
  <pageMargins left="0.7" right="0.7" top="0.75" bottom="0.75" header="0.3" footer="0.3"/>
  <ignoredErrors>
    <ignoredError sqref="C5:C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090B-8F4B-4923-8B9A-38C0014DAF02}">
  <dimension ref="A1:K18"/>
  <sheetViews>
    <sheetView workbookViewId="0">
      <selection activeCell="K8" sqref="K8"/>
    </sheetView>
  </sheetViews>
  <sheetFormatPr baseColWidth="10" defaultRowHeight="15" x14ac:dyDescent="0.25"/>
  <cols>
    <col min="2" max="2" width="13" customWidth="1"/>
    <col min="3" max="5" width="11.5703125" bestFit="1" customWidth="1"/>
    <col min="6" max="6" width="12.140625" bestFit="1" customWidth="1"/>
    <col min="7" max="7" width="14.5703125" bestFit="1" customWidth="1"/>
    <col min="8" max="8" width="12.140625" bestFit="1" customWidth="1"/>
    <col min="9" max="11" width="11.5703125" bestFit="1" customWidth="1"/>
  </cols>
  <sheetData>
    <row r="1" spans="1:11" x14ac:dyDescent="0.25">
      <c r="A1" s="1" t="s">
        <v>0</v>
      </c>
      <c r="B1" s="1" t="s">
        <v>57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0</v>
      </c>
      <c r="B2" s="2"/>
      <c r="C2" s="17">
        <f>+AVERAGE(B3:B16)</f>
        <v>2458</v>
      </c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1</v>
      </c>
      <c r="B3" s="17">
        <v>2012</v>
      </c>
      <c r="C3" s="16">
        <f t="shared" ref="C3:C16" si="0">+($B$18*B3)+((1-$B$18)*C2)</f>
        <v>2413.4</v>
      </c>
      <c r="D3" s="16">
        <f>+C2</f>
        <v>2458</v>
      </c>
      <c r="E3" s="16">
        <f>+D3-B3</f>
        <v>446</v>
      </c>
      <c r="F3" s="16">
        <f>+ABS(E3)</f>
        <v>446</v>
      </c>
      <c r="G3" s="16">
        <f>+SUMSQ($E$3:E3)/A3</f>
        <v>198916</v>
      </c>
      <c r="H3" s="16">
        <f>+SUM($F$3:F3)/A3</f>
        <v>446</v>
      </c>
      <c r="I3" s="16">
        <f>+(F3/B3)*100</f>
        <v>22.166998011928428</v>
      </c>
      <c r="J3" s="16">
        <f>+AVERAGE($I$3:I3)</f>
        <v>22.166998011928428</v>
      </c>
      <c r="K3" s="15">
        <f>+SUM($E$3:E3)/H3</f>
        <v>1</v>
      </c>
    </row>
    <row r="4" spans="1:11" x14ac:dyDescent="0.25">
      <c r="A4" s="1">
        <v>2</v>
      </c>
      <c r="B4" s="17">
        <v>2113</v>
      </c>
      <c r="C4" s="16">
        <f t="shared" si="0"/>
        <v>2383.36</v>
      </c>
      <c r="D4" s="16">
        <f t="shared" ref="D4:D16" si="1">+C3</f>
        <v>2413.4</v>
      </c>
      <c r="E4" s="16">
        <f t="shared" ref="E4:E16" si="2">+D4-B4</f>
        <v>300.40000000000009</v>
      </c>
      <c r="F4" s="16">
        <f t="shared" ref="F4:F16" si="3">+ABS(E4)</f>
        <v>300.40000000000009</v>
      </c>
      <c r="G4" s="16">
        <f>+SUMSQ($E$3:E4)/A4</f>
        <v>144578.08000000002</v>
      </c>
      <c r="H4" s="16">
        <f>+SUM($F$3:F4)/A4</f>
        <v>373.20000000000005</v>
      </c>
      <c r="I4" s="16">
        <f t="shared" ref="I4:I16" si="4">+(F4/B4)*100</f>
        <v>14.216753431140564</v>
      </c>
      <c r="J4" s="16">
        <f>+AVERAGE($I$3:I4)</f>
        <v>18.191875721534494</v>
      </c>
      <c r="K4" s="15">
        <f>+SUM($E$3:E4)/H4</f>
        <v>2</v>
      </c>
    </row>
    <row r="5" spans="1:11" x14ac:dyDescent="0.25">
      <c r="A5" s="1">
        <v>3</v>
      </c>
      <c r="B5" s="17">
        <v>136</v>
      </c>
      <c r="C5" s="16">
        <f t="shared" si="0"/>
        <v>2158.6240000000003</v>
      </c>
      <c r="D5" s="16">
        <f t="shared" si="1"/>
        <v>2383.36</v>
      </c>
      <c r="E5" s="16">
        <f t="shared" si="2"/>
        <v>2247.36</v>
      </c>
      <c r="F5" s="16">
        <f t="shared" si="3"/>
        <v>2247.36</v>
      </c>
      <c r="G5" s="16">
        <f>+SUMSQ($E$3:E5)/A5</f>
        <v>1779927.7098666669</v>
      </c>
      <c r="H5" s="16">
        <f>+SUM($F$3:F5)/A5</f>
        <v>997.92000000000007</v>
      </c>
      <c r="I5" s="16">
        <f t="shared" si="4"/>
        <v>1652.4705882352944</v>
      </c>
      <c r="J5" s="16">
        <f>+AVERAGE($I$3:I5)</f>
        <v>562.95144655945444</v>
      </c>
      <c r="K5" s="15">
        <f>+SUM($E$3:E5)/H5</f>
        <v>3</v>
      </c>
    </row>
    <row r="6" spans="1:11" x14ac:dyDescent="0.25">
      <c r="A6" s="1">
        <v>4</v>
      </c>
      <c r="B6" s="17">
        <v>2236</v>
      </c>
      <c r="C6" s="16">
        <f t="shared" si="0"/>
        <v>2166.3616000000002</v>
      </c>
      <c r="D6" s="16">
        <f t="shared" si="1"/>
        <v>2158.6240000000003</v>
      </c>
      <c r="E6" s="16">
        <f t="shared" si="2"/>
        <v>-77.375999999999749</v>
      </c>
      <c r="F6" s="16">
        <f t="shared" si="3"/>
        <v>77.375999999999749</v>
      </c>
      <c r="G6" s="16">
        <f>+SUMSQ($E$3:E6)/A6</f>
        <v>1336442.5437440001</v>
      </c>
      <c r="H6" s="16">
        <f>+SUM($F$3:F6)/A6</f>
        <v>767.78399999999999</v>
      </c>
      <c r="I6" s="16">
        <f t="shared" si="4"/>
        <v>3.4604651162790585</v>
      </c>
      <c r="J6" s="16">
        <f>+AVERAGE($I$3:I6)</f>
        <v>423.07870119866061</v>
      </c>
      <c r="K6" s="15">
        <f>+SUM($E$3:E6)/H6</f>
        <v>3.7984433121815515</v>
      </c>
    </row>
    <row r="7" spans="1:11" x14ac:dyDescent="0.25">
      <c r="A7" s="1">
        <v>5</v>
      </c>
      <c r="B7" s="17">
        <v>2378</v>
      </c>
      <c r="C7" s="16">
        <f t="shared" si="0"/>
        <v>2187.5254400000003</v>
      </c>
      <c r="D7" s="16">
        <f t="shared" si="1"/>
        <v>2166.3616000000002</v>
      </c>
      <c r="E7" s="16">
        <f t="shared" si="2"/>
        <v>-211.63839999999982</v>
      </c>
      <c r="F7" s="16">
        <f t="shared" si="3"/>
        <v>211.63839999999982</v>
      </c>
      <c r="G7" s="16">
        <f>+SUMSQ($E$3:E7)/A7</f>
        <v>1078112.1974661122</v>
      </c>
      <c r="H7" s="16">
        <f>+SUM($F$3:F7)/A7</f>
        <v>656.55487999999991</v>
      </c>
      <c r="I7" s="16">
        <f t="shared" si="4"/>
        <v>8.899848612279218</v>
      </c>
      <c r="J7" s="16">
        <f>+AVERAGE($I$3:I7)</f>
        <v>340.24293068138434</v>
      </c>
      <c r="K7" s="24">
        <f>+SUM($E$3:E7)/H7</f>
        <v>4.1196032234198015</v>
      </c>
    </row>
    <row r="8" spans="1:11" x14ac:dyDescent="0.25">
      <c r="A8" s="1">
        <v>6</v>
      </c>
      <c r="B8" s="17">
        <v>2414</v>
      </c>
      <c r="C8" s="16">
        <f t="shared" si="0"/>
        <v>2210.1728960000005</v>
      </c>
      <c r="D8" s="16">
        <f t="shared" si="1"/>
        <v>2187.5254400000003</v>
      </c>
      <c r="E8" s="16">
        <f t="shared" si="2"/>
        <v>-226.47455999999966</v>
      </c>
      <c r="F8" s="16">
        <f t="shared" si="3"/>
        <v>226.47455999999966</v>
      </c>
      <c r="G8" s="16">
        <f>+SUMSQ($E$3:E8)/A8</f>
        <v>906975.28560962575</v>
      </c>
      <c r="H8" s="16">
        <f>+SUM($F$3:F8)/A8</f>
        <v>584.87482666666654</v>
      </c>
      <c r="I8" s="16">
        <f t="shared" si="4"/>
        <v>9.3817133388566543</v>
      </c>
      <c r="J8" s="16">
        <f>+AVERAGE($I$3:I8)</f>
        <v>285.09939445762967</v>
      </c>
      <c r="K8" s="32">
        <f>+SUM($E$3:E8)/H8</f>
        <v>4.2372674066419069</v>
      </c>
    </row>
    <row r="9" spans="1:11" x14ac:dyDescent="0.25">
      <c r="A9" s="1">
        <v>7</v>
      </c>
      <c r="B9" s="17">
        <v>2484</v>
      </c>
      <c r="C9" s="16">
        <f t="shared" si="0"/>
        <v>2237.5556064000007</v>
      </c>
      <c r="D9" s="16">
        <f t="shared" si="1"/>
        <v>2210.1728960000005</v>
      </c>
      <c r="E9" s="16">
        <f t="shared" si="2"/>
        <v>-273.82710399999951</v>
      </c>
      <c r="F9" s="16">
        <f t="shared" si="3"/>
        <v>273.82710399999951</v>
      </c>
      <c r="G9" s="16">
        <f>+SUMSQ($E$3:E9)/A9</f>
        <v>788118.99950611149</v>
      </c>
      <c r="H9" s="16">
        <f>+SUM($F$3:F9)/A9</f>
        <v>540.43943771428553</v>
      </c>
      <c r="I9" s="16">
        <f t="shared" si="4"/>
        <v>11.023635426731058</v>
      </c>
      <c r="J9" s="16">
        <f>+AVERAGE($I$3:I9)</f>
        <v>245.94571459607275</v>
      </c>
      <c r="K9" s="15">
        <f>+SUM($E$3:E9)/H9</f>
        <v>4.0789842157400553</v>
      </c>
    </row>
    <row r="10" spans="1:11" x14ac:dyDescent="0.25">
      <c r="A10" s="1">
        <v>8</v>
      </c>
      <c r="B10" s="17">
        <v>2730</v>
      </c>
      <c r="C10" s="16">
        <f t="shared" si="0"/>
        <v>2286.8000457600006</v>
      </c>
      <c r="D10" s="16">
        <f t="shared" si="1"/>
        <v>2237.5556064000007</v>
      </c>
      <c r="E10" s="16">
        <f t="shared" si="2"/>
        <v>-492.44439359999933</v>
      </c>
      <c r="F10" s="16">
        <f t="shared" si="3"/>
        <v>492.44439359999933</v>
      </c>
      <c r="G10" s="16">
        <f>+SUMSQ($E$3:E10)/A10</f>
        <v>719916.80966635642</v>
      </c>
      <c r="H10" s="16">
        <f>+SUM($F$3:F10)/A10</f>
        <v>534.44005719999973</v>
      </c>
      <c r="I10" s="16">
        <f t="shared" si="4"/>
        <v>18.038256175824152</v>
      </c>
      <c r="J10" s="16">
        <f>+AVERAGE($I$3:I10)</f>
        <v>217.45728229354168</v>
      </c>
      <c r="K10" s="15">
        <f>+SUM($E$3:E10)/H10</f>
        <v>3.203351843365537</v>
      </c>
    </row>
    <row r="11" spans="1:11" x14ac:dyDescent="0.25">
      <c r="A11" s="1">
        <v>9</v>
      </c>
      <c r="B11" s="17">
        <v>2585</v>
      </c>
      <c r="C11" s="16">
        <f t="shared" si="0"/>
        <v>2316.6200411840005</v>
      </c>
      <c r="D11" s="16">
        <f t="shared" si="1"/>
        <v>2286.8000457600006</v>
      </c>
      <c r="E11" s="16">
        <f t="shared" si="2"/>
        <v>-298.19995423999944</v>
      </c>
      <c r="F11" s="16">
        <f t="shared" si="3"/>
        <v>298.19995423999944</v>
      </c>
      <c r="G11" s="16">
        <f>+SUMSQ($E$3:E11)/A11</f>
        <v>649806.41000439879</v>
      </c>
      <c r="H11" s="16">
        <f>+SUM($F$3:F11)/A11</f>
        <v>508.19115687111076</v>
      </c>
      <c r="I11" s="16">
        <f t="shared" si="4"/>
        <v>11.535781595357813</v>
      </c>
      <c r="J11" s="16">
        <f>+AVERAGE($I$3:I11)</f>
        <v>194.57711554929904</v>
      </c>
      <c r="K11" s="15">
        <f>+SUM($E$3:E11)/H11</f>
        <v>2.7820231994288234</v>
      </c>
    </row>
    <row r="12" spans="1:11" x14ac:dyDescent="0.25">
      <c r="A12" s="1">
        <v>10</v>
      </c>
      <c r="B12" s="17">
        <v>2938</v>
      </c>
      <c r="C12" s="16">
        <f t="shared" si="0"/>
        <v>2378.7580370656005</v>
      </c>
      <c r="D12" s="16">
        <f t="shared" si="1"/>
        <v>2316.6200411840005</v>
      </c>
      <c r="E12" s="16">
        <f t="shared" si="2"/>
        <v>-621.37995881599954</v>
      </c>
      <c r="F12" s="16">
        <f t="shared" si="3"/>
        <v>621.37995881599954</v>
      </c>
      <c r="G12" s="16">
        <f>+SUMSQ($E$3:E12)/A12</f>
        <v>623437.07432577619</v>
      </c>
      <c r="H12" s="16">
        <f>+SUM($F$3:F12)/A12</f>
        <v>519.5100370655997</v>
      </c>
      <c r="I12" s="16">
        <f t="shared" si="4"/>
        <v>21.14976034091217</v>
      </c>
      <c r="J12" s="16">
        <f>+AVERAGE($I$3:I12)</f>
        <v>177.23438002846035</v>
      </c>
      <c r="K12" s="15">
        <f>+SUM($E$3:E12)/H12</f>
        <v>1.5253211156802782</v>
      </c>
    </row>
    <row r="13" spans="1:11" x14ac:dyDescent="0.25">
      <c r="A13" s="1">
        <v>11</v>
      </c>
      <c r="B13" s="17">
        <v>2060</v>
      </c>
      <c r="C13" s="16">
        <f t="shared" si="0"/>
        <v>2346.8822333590406</v>
      </c>
      <c r="D13" s="16">
        <f t="shared" si="1"/>
        <v>2378.7580370656005</v>
      </c>
      <c r="E13" s="16">
        <f t="shared" si="2"/>
        <v>318.75803706560055</v>
      </c>
      <c r="F13" s="16">
        <f t="shared" si="3"/>
        <v>318.75803706560055</v>
      </c>
      <c r="G13" s="16">
        <f>+SUMSQ($E$3:E13)/A13</f>
        <v>575997.9481319706</v>
      </c>
      <c r="H13" s="16">
        <f>+SUM($F$3:F13)/A13</f>
        <v>501.25985524741793</v>
      </c>
      <c r="I13" s="16">
        <f t="shared" si="4"/>
        <v>15.473691119689349</v>
      </c>
      <c r="J13" s="16">
        <f>+AVERAGE($I$3:I13)</f>
        <v>162.52886285493571</v>
      </c>
      <c r="K13" s="15">
        <f>+SUM($E$3:E13)/H13</f>
        <v>2.2167697149039296</v>
      </c>
    </row>
    <row r="14" spans="1:11" x14ac:dyDescent="0.25">
      <c r="A14" s="1">
        <v>12</v>
      </c>
      <c r="B14" s="17">
        <v>3648</v>
      </c>
      <c r="C14" s="16">
        <f t="shared" si="0"/>
        <v>2476.994010023137</v>
      </c>
      <c r="D14" s="16">
        <f t="shared" si="1"/>
        <v>2346.8822333590406</v>
      </c>
      <c r="E14" s="16">
        <f t="shared" si="2"/>
        <v>-1301.1177666409594</v>
      </c>
      <c r="F14" s="16">
        <f t="shared" si="3"/>
        <v>1301.1177666409594</v>
      </c>
      <c r="G14" s="16">
        <f>+SUMSQ($E$3:E14)/A14</f>
        <v>669073.73934336961</v>
      </c>
      <c r="H14" s="16">
        <f>+SUM($F$3:F14)/A14</f>
        <v>567.91468119687977</v>
      </c>
      <c r="I14" s="16">
        <f t="shared" si="4"/>
        <v>35.666605445201739</v>
      </c>
      <c r="J14" s="16">
        <f>+AVERAGE($I$3:I14)</f>
        <v>151.9570080707912</v>
      </c>
      <c r="K14" s="15">
        <f>+SUM($E$3:E14)/H14</f>
        <v>-0.33445182264183959</v>
      </c>
    </row>
    <row r="15" spans="1:11" x14ac:dyDescent="0.25">
      <c r="A15" s="1">
        <v>13</v>
      </c>
      <c r="B15" s="17">
        <v>3943</v>
      </c>
      <c r="C15" s="16">
        <f t="shared" si="0"/>
        <v>2623.5946090208236</v>
      </c>
      <c r="D15" s="16">
        <f t="shared" si="1"/>
        <v>2476.994010023137</v>
      </c>
      <c r="E15" s="16">
        <f t="shared" si="2"/>
        <v>-1466.005989976863</v>
      </c>
      <c r="F15" s="16">
        <f t="shared" si="3"/>
        <v>1466.005989976863</v>
      </c>
      <c r="G15" s="16">
        <f>+SUMSQ($E$3:E15)/A15</f>
        <v>782927.57190526754</v>
      </c>
      <c r="H15" s="16">
        <f>+SUM($F$3:F15)/A15</f>
        <v>636.99862802610926</v>
      </c>
      <c r="I15" s="16">
        <f t="shared" si="4"/>
        <v>37.179964239839286</v>
      </c>
      <c r="J15" s="16">
        <f>+AVERAGE($I$3:I15)</f>
        <v>143.12800469917954</v>
      </c>
      <c r="K15" s="15">
        <f>+SUM($E$3:E15)/H15</f>
        <v>-2.5996069965481072</v>
      </c>
    </row>
    <row r="16" spans="1:11" x14ac:dyDescent="0.25">
      <c r="A16" s="1">
        <v>14</v>
      </c>
      <c r="B16" s="17">
        <v>2735</v>
      </c>
      <c r="C16" s="16">
        <f t="shared" si="0"/>
        <v>2634.7351481187411</v>
      </c>
      <c r="D16" s="31">
        <f t="shared" si="1"/>
        <v>2623.5946090208236</v>
      </c>
      <c r="E16" s="16">
        <f t="shared" si="2"/>
        <v>-111.40539097917645</v>
      </c>
      <c r="F16" s="16">
        <f t="shared" si="3"/>
        <v>111.40539097917645</v>
      </c>
      <c r="G16" s="16">
        <f>+SUMSQ($E$3:E16)/A16</f>
        <v>727890.68542197871</v>
      </c>
      <c r="H16" s="31">
        <f>+SUM($F$3:F16)/A16</f>
        <v>599.45625395132834</v>
      </c>
      <c r="I16" s="16">
        <f t="shared" si="4"/>
        <v>4.0733232533519725</v>
      </c>
      <c r="J16" s="31">
        <f>+AVERAGE($I$3:I16)</f>
        <v>133.19552745304898</v>
      </c>
      <c r="K16" s="32">
        <f>+SUM($E$3:E16)/H16</f>
        <v>-2.9482576410503039</v>
      </c>
    </row>
    <row r="17" spans="1:6" x14ac:dyDescent="0.25">
      <c r="A17" s="1">
        <v>15</v>
      </c>
      <c r="F17" s="16">
        <f>AVERAGE(F3:F16)</f>
        <v>599.45625395132834</v>
      </c>
    </row>
    <row r="18" spans="1:6" x14ac:dyDescent="0.25">
      <c r="A18" s="13" t="s">
        <v>50</v>
      </c>
      <c r="B18" s="1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11B9-0840-4397-BD74-5EB8B0DD7165}">
  <dimension ref="A1:L20"/>
  <sheetViews>
    <sheetView workbookViewId="0">
      <selection activeCell="L4" sqref="L4"/>
    </sheetView>
  </sheetViews>
  <sheetFormatPr baseColWidth="10" defaultRowHeight="15" x14ac:dyDescent="0.25"/>
  <cols>
    <col min="8" max="8" width="14.42578125" customWidth="1"/>
    <col min="9" max="9" width="12" bestFit="1" customWidth="1"/>
    <col min="10" max="11" width="11.42578125" customWidth="1"/>
  </cols>
  <sheetData>
    <row r="1" spans="1:12" x14ac:dyDescent="0.25">
      <c r="A1" s="1" t="s">
        <v>0</v>
      </c>
      <c r="B1" s="1" t="s">
        <v>57</v>
      </c>
      <c r="C1" s="1" t="s">
        <v>2</v>
      </c>
      <c r="D1" s="1" t="s">
        <v>35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6">
        <v>0</v>
      </c>
      <c r="B2" s="2"/>
      <c r="C2" s="5">
        <f>'Regresión_Holt_NOAPROBADOS-PRIM'!B17</f>
        <v>1411.8901098901097</v>
      </c>
      <c r="D2" s="5">
        <f>'Regresión_Holt_NOAPROBADOS-PRIM'!B18</f>
        <v>139.4813186813187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1</v>
      </c>
      <c r="B3" s="17">
        <v>2012</v>
      </c>
      <c r="C3" s="16">
        <f t="shared" ref="C3:C16" si="0">+($B$19*B3)+((1-$B$19)*(C2+D2))</f>
        <v>1597.4342857142856</v>
      </c>
      <c r="D3" s="16">
        <f t="shared" ref="D3:D16" si="1">+($B$20*(C3-C2)+((1-$B$20)*D2))</f>
        <v>148.69389010989016</v>
      </c>
      <c r="E3" s="16">
        <f>+C2+D2</f>
        <v>1551.3714285714284</v>
      </c>
      <c r="F3" s="16">
        <f>+E3-B3</f>
        <v>-460.6285714285716</v>
      </c>
      <c r="G3" s="16">
        <f>+ABS(F3)</f>
        <v>460.6285714285716</v>
      </c>
      <c r="H3" s="16">
        <f>+SUMSQ($F$3:F3)/A3</f>
        <v>212178.6808163267</v>
      </c>
      <c r="I3" s="16">
        <f>+SUM($G$3:G3)/A3</f>
        <v>460.6285714285716</v>
      </c>
      <c r="J3" s="19">
        <f>+(G3/B3)*100</f>
        <v>22.894064186310718</v>
      </c>
      <c r="K3" s="19">
        <f>+AVERAGE($J$3:J3)</f>
        <v>22.894064186310718</v>
      </c>
      <c r="L3" s="15">
        <f>+SUM($F$3:F3)/I3</f>
        <v>-1</v>
      </c>
    </row>
    <row r="4" spans="1:12" x14ac:dyDescent="0.25">
      <c r="A4" s="1">
        <v>2</v>
      </c>
      <c r="B4" s="17">
        <v>2113</v>
      </c>
      <c r="C4" s="16">
        <f t="shared" si="0"/>
        <v>1782.8153582417581</v>
      </c>
      <c r="D4" s="16">
        <f t="shared" si="1"/>
        <v>156.03132659340665</v>
      </c>
      <c r="E4" s="16">
        <f t="shared" ref="E4:E15" si="2">+C3+D3</f>
        <v>1746.1281758241757</v>
      </c>
      <c r="F4" s="16">
        <f t="shared" ref="F4:F16" si="3">+E4-B4</f>
        <v>-366.87182417582426</v>
      </c>
      <c r="G4" s="16">
        <f t="shared" ref="G4:G16" si="4">+ABS(F4)</f>
        <v>366.87182417582426</v>
      </c>
      <c r="H4" s="16">
        <f>+SUMSQ($F$3:F4)/A4</f>
        <v>173386.8080952118</v>
      </c>
      <c r="I4" s="16">
        <f>+SUM($G$3:G4)/A4</f>
        <v>413.75019780219793</v>
      </c>
      <c r="J4" s="19">
        <f t="shared" ref="J4:J16" si="5">+(G4/B4)*100</f>
        <v>17.362604078363667</v>
      </c>
      <c r="K4" s="19">
        <f>+AVERAGE($J$3:J4)</f>
        <v>20.128334132337194</v>
      </c>
      <c r="L4" s="32">
        <f>+SUM($F$3:F4)/I4</f>
        <v>-2</v>
      </c>
    </row>
    <row r="5" spans="1:12" x14ac:dyDescent="0.25">
      <c r="A5" s="1">
        <v>3</v>
      </c>
      <c r="B5" s="17">
        <v>136</v>
      </c>
      <c r="C5" s="16">
        <f t="shared" si="0"/>
        <v>1758.5620163516483</v>
      </c>
      <c r="D5" s="16">
        <f t="shared" si="1"/>
        <v>119.97439289670336</v>
      </c>
      <c r="E5" s="16">
        <f t="shared" si="2"/>
        <v>1938.8466848351648</v>
      </c>
      <c r="F5" s="16">
        <f t="shared" si="3"/>
        <v>1802.8466848351648</v>
      </c>
      <c r="G5" s="16">
        <f t="shared" si="4"/>
        <v>1802.8466848351648</v>
      </c>
      <c r="H5" s="16">
        <f>+SUMSQ($F$3:F5)/A5</f>
        <v>1199009.928403856</v>
      </c>
      <c r="I5" s="16">
        <f>+SUM($G$3:G5)/A5</f>
        <v>876.7823601465202</v>
      </c>
      <c r="J5" s="19">
        <f t="shared" si="5"/>
        <v>1325.6225623787977</v>
      </c>
      <c r="K5" s="19">
        <f>+AVERAGE($J$3:J5)</f>
        <v>455.29307688115733</v>
      </c>
      <c r="L5" s="24">
        <f>+SUM($F$3:F5)/I5</f>
        <v>1.1124155019129007</v>
      </c>
    </row>
    <row r="6" spans="1:12" x14ac:dyDescent="0.25">
      <c r="A6" s="1">
        <v>4</v>
      </c>
      <c r="B6" s="17">
        <v>2236</v>
      </c>
      <c r="C6" s="16">
        <f t="shared" si="0"/>
        <v>1914.2827683235164</v>
      </c>
      <c r="D6" s="16">
        <f t="shared" si="1"/>
        <v>127.12366471173632</v>
      </c>
      <c r="E6" s="16">
        <f t="shared" si="2"/>
        <v>1878.5364092483517</v>
      </c>
      <c r="F6" s="16">
        <f t="shared" si="3"/>
        <v>-357.46359075164833</v>
      </c>
      <c r="G6" s="16">
        <f t="shared" si="4"/>
        <v>357.46359075164833</v>
      </c>
      <c r="H6" s="16">
        <f>+SUMSQ($F$3:F6)/A6</f>
        <v>931202.50098115741</v>
      </c>
      <c r="I6" s="16">
        <f>+SUM($G$3:G6)/A6</f>
        <v>746.95266779780218</v>
      </c>
      <c r="J6" s="19">
        <f t="shared" si="5"/>
        <v>15.986743772435078</v>
      </c>
      <c r="K6" s="19">
        <f>+AVERAGE($J$3:J6)</f>
        <v>345.4664936039768</v>
      </c>
      <c r="L6" s="15">
        <f>+SUM($F$3:F6)/I6</f>
        <v>0.82720462101138048</v>
      </c>
    </row>
    <row r="7" spans="1:12" x14ac:dyDescent="0.25">
      <c r="A7" s="1">
        <v>5</v>
      </c>
      <c r="B7" s="17">
        <v>2378</v>
      </c>
      <c r="C7" s="16">
        <f t="shared" si="0"/>
        <v>2075.0657897317278</v>
      </c>
      <c r="D7" s="16">
        <f t="shared" si="1"/>
        <v>133.85553605103135</v>
      </c>
      <c r="E7" s="16">
        <f t="shared" si="2"/>
        <v>2041.4064330352528</v>
      </c>
      <c r="F7" s="16">
        <f t="shared" si="3"/>
        <v>-336.5935669647472</v>
      </c>
      <c r="G7" s="16">
        <f t="shared" si="4"/>
        <v>336.5935669647472</v>
      </c>
      <c r="H7" s="16">
        <f>+SUMSQ($F$3:F7)/A7</f>
        <v>767621.04664933623</v>
      </c>
      <c r="I7" s="16">
        <f>+SUM($G$3:G7)/A7</f>
        <v>664.88084763119116</v>
      </c>
      <c r="J7" s="19">
        <f t="shared" si="5"/>
        <v>14.154481369417461</v>
      </c>
      <c r="K7" s="19">
        <f>+AVERAGE($J$3:J7)</f>
        <v>279.20409115706491</v>
      </c>
      <c r="L7" s="15">
        <f>+SUM($F$3:F7)/I7</f>
        <v>0.42306697886777483</v>
      </c>
    </row>
    <row r="8" spans="1:12" x14ac:dyDescent="0.25">
      <c r="A8" s="1">
        <v>6</v>
      </c>
      <c r="B8" s="17">
        <v>2414</v>
      </c>
      <c r="C8" s="16">
        <f t="shared" si="0"/>
        <v>2229.4291932044835</v>
      </c>
      <c r="D8" s="16">
        <f t="shared" si="1"/>
        <v>137.95710953537622</v>
      </c>
      <c r="E8" s="16">
        <f t="shared" si="2"/>
        <v>2208.9213257827591</v>
      </c>
      <c r="F8" s="16">
        <f t="shared" si="3"/>
        <v>-205.07867421724086</v>
      </c>
      <c r="G8" s="16">
        <f t="shared" si="4"/>
        <v>205.07867421724086</v>
      </c>
      <c r="H8" s="16">
        <f>+SUMSQ($F$3:F8)/A8</f>
        <v>646693.74931089708</v>
      </c>
      <c r="I8" s="16">
        <f>+SUM($G$3:G8)/A8</f>
        <v>588.24715206219946</v>
      </c>
      <c r="J8" s="19">
        <f t="shared" si="5"/>
        <v>8.4953883271433668</v>
      </c>
      <c r="K8" s="19">
        <f>+AVERAGE($J$3:J8)</f>
        <v>234.08597401874468</v>
      </c>
      <c r="L8" s="15">
        <f>+SUM($F$3:F8)/I8</f>
        <v>0.12955516576657264</v>
      </c>
    </row>
    <row r="9" spans="1:12" x14ac:dyDescent="0.25">
      <c r="A9" s="1">
        <v>7</v>
      </c>
      <c r="B9" s="17">
        <v>2484</v>
      </c>
      <c r="C9" s="16">
        <f t="shared" si="0"/>
        <v>2379.0476724658738</v>
      </c>
      <c r="D9" s="16">
        <f t="shared" si="1"/>
        <v>140.28938348057903</v>
      </c>
      <c r="E9" s="16">
        <f t="shared" si="2"/>
        <v>2367.3863027398597</v>
      </c>
      <c r="F9" s="16">
        <f t="shared" si="3"/>
        <v>-116.61369726014027</v>
      </c>
      <c r="G9" s="16">
        <f t="shared" si="4"/>
        <v>116.61369726014027</v>
      </c>
      <c r="H9" s="16">
        <f>+SUMSQ($F$3:F9)/A9</f>
        <v>556251.60717915173</v>
      </c>
      <c r="I9" s="16">
        <f>+SUM($G$3:G9)/A9</f>
        <v>520.87094423333383</v>
      </c>
      <c r="J9" s="19">
        <f t="shared" si="5"/>
        <v>4.6945932874452607</v>
      </c>
      <c r="K9" s="19">
        <f>+AVERAGE($J$3:J9)</f>
        <v>201.31577677141621</v>
      </c>
      <c r="L9" s="15">
        <f>+SUM($F$3:F9)/I9</f>
        <v>-7.7568619271856293E-2</v>
      </c>
    </row>
    <row r="10" spans="1:12" x14ac:dyDescent="0.25">
      <c r="A10" s="1">
        <v>8</v>
      </c>
      <c r="B10" s="17">
        <v>2730</v>
      </c>
      <c r="C10" s="16">
        <f t="shared" si="0"/>
        <v>2540.4033503518076</v>
      </c>
      <c r="D10" s="16">
        <f t="shared" si="1"/>
        <v>144.50264236165</v>
      </c>
      <c r="E10" s="16">
        <f t="shared" si="2"/>
        <v>2519.3370559464529</v>
      </c>
      <c r="F10" s="16">
        <f t="shared" si="3"/>
        <v>-210.66294405354711</v>
      </c>
      <c r="G10" s="16">
        <f t="shared" si="4"/>
        <v>210.66294405354711</v>
      </c>
      <c r="H10" s="16">
        <f>+SUMSQ($F$3:F10)/A10</f>
        <v>492267.51578142127</v>
      </c>
      <c r="I10" s="16">
        <f>+SUM($G$3:G10)/A10</f>
        <v>482.09494421086049</v>
      </c>
      <c r="J10" s="19">
        <f t="shared" si="5"/>
        <v>7.7165913572727884</v>
      </c>
      <c r="K10" s="19">
        <f>+AVERAGE($J$3:J10)</f>
        <v>177.11587859464828</v>
      </c>
      <c r="L10" s="15">
        <f>+SUM($F$3:F10)/I10</f>
        <v>-0.52078161580292903</v>
      </c>
    </row>
    <row r="11" spans="1:12" x14ac:dyDescent="0.25">
      <c r="A11" s="1">
        <v>9</v>
      </c>
      <c r="B11" s="17">
        <v>2585</v>
      </c>
      <c r="C11" s="16">
        <f t="shared" si="0"/>
        <v>2674.915393442112</v>
      </c>
      <c r="D11" s="16">
        <f t="shared" si="1"/>
        <v>142.5045225073809</v>
      </c>
      <c r="E11" s="16">
        <f t="shared" si="2"/>
        <v>2684.9059927134576</v>
      </c>
      <c r="F11" s="16">
        <f t="shared" si="3"/>
        <v>99.905992713457636</v>
      </c>
      <c r="G11" s="16">
        <f t="shared" si="4"/>
        <v>99.905992713457636</v>
      </c>
      <c r="H11" s="16">
        <f>+SUMSQ($F$3:F11)/A11</f>
        <v>438680.14818127017</v>
      </c>
      <c r="I11" s="16">
        <f>+SUM($G$3:G11)/A11</f>
        <v>439.62950515559351</v>
      </c>
      <c r="J11" s="19">
        <f t="shared" si="5"/>
        <v>3.8648353080641256</v>
      </c>
      <c r="K11" s="19">
        <f>+AVERAGE($J$3:J11)</f>
        <v>157.86576267391672</v>
      </c>
      <c r="L11" s="15">
        <f>+SUM($F$3:F11)/I11</f>
        <v>-0.34383541034080201</v>
      </c>
    </row>
    <row r="12" spans="1:12" x14ac:dyDescent="0.25">
      <c r="A12" s="1">
        <v>10</v>
      </c>
      <c r="B12" s="17">
        <v>2938</v>
      </c>
      <c r="C12" s="16">
        <f t="shared" si="0"/>
        <v>2829.477924354544</v>
      </c>
      <c r="D12" s="16">
        <f t="shared" si="1"/>
        <v>144.91612418839114</v>
      </c>
      <c r="E12" s="16">
        <f t="shared" si="2"/>
        <v>2817.4199159494929</v>
      </c>
      <c r="F12" s="16">
        <f t="shared" si="3"/>
        <v>-120.58008405050714</v>
      </c>
      <c r="G12" s="16">
        <f t="shared" si="4"/>
        <v>120.58008405050714</v>
      </c>
      <c r="H12" s="16">
        <f>+SUMSQ($F$3:F12)/A12</f>
        <v>396266.08903010591</v>
      </c>
      <c r="I12" s="16">
        <f>+SUM($G$3:G12)/A12</f>
        <v>407.72456304508489</v>
      </c>
      <c r="J12" s="19">
        <f t="shared" si="5"/>
        <v>4.1041553454903719</v>
      </c>
      <c r="K12" s="19">
        <f>+AVERAGE($J$3:J12)</f>
        <v>142.48960194107408</v>
      </c>
      <c r="L12" s="15">
        <f>+SUM($F$3:F12)/I12</f>
        <v>-0.66648002103213044</v>
      </c>
    </row>
    <row r="13" spans="1:12" x14ac:dyDescent="0.25">
      <c r="A13" s="1">
        <v>11</v>
      </c>
      <c r="B13" s="17">
        <v>2060</v>
      </c>
      <c r="C13" s="16">
        <f t="shared" si="0"/>
        <v>2882.9546436886417</v>
      </c>
      <c r="D13" s="16">
        <f t="shared" si="1"/>
        <v>126.62824321753244</v>
      </c>
      <c r="E13" s="16">
        <f t="shared" si="2"/>
        <v>2974.3940485429353</v>
      </c>
      <c r="F13" s="16">
        <f t="shared" si="3"/>
        <v>914.39404854293525</v>
      </c>
      <c r="G13" s="16">
        <f t="shared" si="4"/>
        <v>914.39404854293525</v>
      </c>
      <c r="H13" s="16">
        <f>+SUMSQ($F$3:F13)/A13</f>
        <v>436252.48784652719</v>
      </c>
      <c r="I13" s="16">
        <f>+SUM($G$3:G13)/A13</f>
        <v>453.78542536307128</v>
      </c>
      <c r="J13" s="19">
        <f t="shared" si="5"/>
        <v>44.388060608880352</v>
      </c>
      <c r="K13" s="19">
        <f>+AVERAGE($J$3:J13)</f>
        <v>133.57128000178375</v>
      </c>
      <c r="L13" s="32">
        <f>+SUM($F$3:F13)/I13</f>
        <v>1.4162062888536957</v>
      </c>
    </row>
    <row r="14" spans="1:12" x14ac:dyDescent="0.25">
      <c r="A14" s="1">
        <v>12</v>
      </c>
      <c r="B14" s="17">
        <v>3648</v>
      </c>
      <c r="C14" s="16">
        <f t="shared" si="0"/>
        <v>3073.4245982155571</v>
      </c>
      <c r="D14" s="16">
        <f t="shared" si="1"/>
        <v>139.39658547940905</v>
      </c>
      <c r="E14" s="16">
        <f t="shared" si="2"/>
        <v>3009.5828869061743</v>
      </c>
      <c r="F14" s="16">
        <f t="shared" si="3"/>
        <v>-638.41711309382572</v>
      </c>
      <c r="G14" s="16">
        <f t="shared" si="4"/>
        <v>638.41711309382572</v>
      </c>
      <c r="H14" s="16">
        <f>+SUMSQ($F$3:F14)/A14</f>
        <v>433862.81471690442</v>
      </c>
      <c r="I14" s="16">
        <f>+SUM($G$3:G14)/A14</f>
        <v>469.1713993406342</v>
      </c>
      <c r="J14" s="19">
        <f t="shared" si="5"/>
        <v>17.500469108931625</v>
      </c>
      <c r="K14" s="19">
        <f>+AVERAGE($J$3:J14)</f>
        <v>123.89871242737939</v>
      </c>
      <c r="L14" s="15">
        <f>+SUM($F$3:F14)/I14</f>
        <v>9.0300902856808637E-3</v>
      </c>
    </row>
    <row r="15" spans="1:12" x14ac:dyDescent="0.25">
      <c r="A15" s="1">
        <v>13</v>
      </c>
      <c r="B15" s="17">
        <v>3943</v>
      </c>
      <c r="C15" s="16">
        <f t="shared" si="0"/>
        <v>3285.8390653254701</v>
      </c>
      <c r="D15" s="16">
        <f t="shared" si="1"/>
        <v>154.00016180550983</v>
      </c>
      <c r="E15" s="16">
        <f t="shared" si="2"/>
        <v>3212.8211836949663</v>
      </c>
      <c r="F15" s="16">
        <f t="shared" si="3"/>
        <v>-730.17881630503371</v>
      </c>
      <c r="G15" s="16">
        <f t="shared" si="4"/>
        <v>730.17881630503371</v>
      </c>
      <c r="H15" s="16">
        <f>+SUMSQ($F$3:F15)/A15</f>
        <v>441501.14464488253</v>
      </c>
      <c r="I15" s="16">
        <f>+SUM($G$3:G15)/A15</f>
        <v>489.24889295328035</v>
      </c>
      <c r="J15" s="19">
        <f t="shared" si="5"/>
        <v>18.518356994801767</v>
      </c>
      <c r="K15" s="19">
        <f>+AVERAGE($J$3:J15)</f>
        <v>115.79253124025803</v>
      </c>
      <c r="L15" s="15">
        <f>+SUM($F$3:F15)/I15</f>
        <v>-1.4837890625106651</v>
      </c>
    </row>
    <row r="16" spans="1:12" x14ac:dyDescent="0.25">
      <c r="A16" s="1">
        <v>14</v>
      </c>
      <c r="B16" s="17">
        <v>2735</v>
      </c>
      <c r="C16" s="16">
        <f t="shared" si="0"/>
        <v>3369.3553044178821</v>
      </c>
      <c r="D16" s="16">
        <f t="shared" si="1"/>
        <v>139.90337726289027</v>
      </c>
      <c r="E16" s="16">
        <f>+$C$15+($D$15*A3)</f>
        <v>3439.8392271309799</v>
      </c>
      <c r="F16" s="16">
        <f t="shared" si="3"/>
        <v>704.83922713097991</v>
      </c>
      <c r="G16" s="16">
        <f t="shared" si="4"/>
        <v>704.83922713097991</v>
      </c>
      <c r="H16" s="16">
        <f>+SUMSQ($F$3:F16)/A16</f>
        <v>445450.94403471932</v>
      </c>
      <c r="I16" s="31">
        <f>+SUM($G$3:G16)/A16</f>
        <v>504.64820253740174</v>
      </c>
      <c r="J16" s="19">
        <f t="shared" si="5"/>
        <v>25.771086915209501</v>
      </c>
      <c r="K16" s="33">
        <f>+AVERAGE($J$3:J16)</f>
        <v>109.36242807418314</v>
      </c>
      <c r="L16" s="15">
        <f>+SUM($F$3:F16)/I16</f>
        <v>-4.1817109369342513E-2</v>
      </c>
    </row>
    <row r="17" spans="1:5" x14ac:dyDescent="0.25">
      <c r="A17" s="1">
        <v>15</v>
      </c>
      <c r="E17" s="31">
        <f>+$C$15+($D$15*A4)</f>
        <v>3593.8393889364897</v>
      </c>
    </row>
    <row r="19" spans="1:5" x14ac:dyDescent="0.25">
      <c r="A19" s="13" t="s">
        <v>50</v>
      </c>
      <c r="B19" s="13">
        <v>0.1</v>
      </c>
    </row>
    <row r="20" spans="1:5" x14ac:dyDescent="0.25">
      <c r="A20" s="13" t="s">
        <v>51</v>
      </c>
      <c r="B20" s="13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A6CF-D38C-4602-9230-97E3CF548DB4}">
  <dimension ref="A1:M21"/>
  <sheetViews>
    <sheetView workbookViewId="0">
      <selection activeCell="M9" sqref="M9"/>
    </sheetView>
  </sheetViews>
  <sheetFormatPr baseColWidth="10" defaultRowHeight="15" x14ac:dyDescent="0.25"/>
  <cols>
    <col min="10" max="10" width="15.5703125" customWidth="1"/>
    <col min="11" max="11" width="12" bestFit="1" customWidth="1"/>
    <col min="12" max="12" width="14.7109375" customWidth="1"/>
  </cols>
  <sheetData>
    <row r="1" spans="1:13" x14ac:dyDescent="0.25">
      <c r="A1" s="1" t="s">
        <v>0</v>
      </c>
      <c r="B1" s="7" t="s">
        <v>1</v>
      </c>
      <c r="C1" s="7" t="s">
        <v>2</v>
      </c>
      <c r="D1" s="7" t="s">
        <v>35</v>
      </c>
      <c r="E1" s="7" t="s">
        <v>37</v>
      </c>
      <c r="F1" s="7" t="s">
        <v>38</v>
      </c>
      <c r="G1" s="7" t="s">
        <v>4</v>
      </c>
      <c r="H1" s="7" t="s">
        <v>5</v>
      </c>
      <c r="I1" s="7" t="s">
        <v>6</v>
      </c>
      <c r="J1" s="7" t="s">
        <v>39</v>
      </c>
      <c r="K1" s="7" t="s">
        <v>8</v>
      </c>
      <c r="L1" s="7" t="s">
        <v>9</v>
      </c>
      <c r="M1" s="7" t="s">
        <v>10</v>
      </c>
    </row>
    <row r="2" spans="1:13" x14ac:dyDescent="0.25">
      <c r="A2" s="6">
        <v>0</v>
      </c>
      <c r="B2" s="8"/>
      <c r="C2" s="5">
        <f>Regresión_Winter_NOAPROBADOS_PR!B17</f>
        <v>1289.7840277777782</v>
      </c>
      <c r="D2" s="5">
        <f>Regresión_Winter_NOAPROBADOS_PR!B18</f>
        <v>155.35624999999996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>
        <v>1</v>
      </c>
      <c r="B3" s="17">
        <v>2012</v>
      </c>
      <c r="C3" s="2">
        <f t="shared" ref="C3:C16" si="0">+($B$19*(B3/E3))+((1-$B$19)*(C2+D2))</f>
        <v>1472.8551147363787</v>
      </c>
      <c r="D3" s="2">
        <f t="shared" ref="D3:D16" si="1">+($B$20*(C3-C2)+((1-$B$20)*D2))</f>
        <v>160.89921739172007</v>
      </c>
      <c r="E3" s="34">
        <f>AVERAGE('Demanda_des_Factor esta_winter'!E2,'Demanda_des_Factor esta_winter'!E6,'Demanda_des_Factor esta_winter'!E10)</f>
        <v>1.1682130071981047</v>
      </c>
      <c r="F3" s="2">
        <f>(C2+D2)*E3</f>
        <v>1688.2316697258827</v>
      </c>
      <c r="G3" s="2">
        <f>+F3-B3</f>
        <v>-323.76833027411726</v>
      </c>
      <c r="H3" s="2">
        <f>+ABS(G3)</f>
        <v>323.76833027411726</v>
      </c>
      <c r="I3" s="2">
        <f>+SUMSQ($G$3:G3)/A3</f>
        <v>104825.93168848987</v>
      </c>
      <c r="J3" s="4">
        <f>+SUM($H$3:H3)/A3</f>
        <v>323.76833027411726</v>
      </c>
      <c r="K3" s="4">
        <f>+(H3/B3)*100</f>
        <v>16.091865321775213</v>
      </c>
      <c r="L3" s="18">
        <f>+AVERAGE($K$3:K3)</f>
        <v>16.091865321775213</v>
      </c>
      <c r="M3" s="2">
        <f>+SUM($G$3:G3)/J3</f>
        <v>-1</v>
      </c>
    </row>
    <row r="4" spans="1:13" x14ac:dyDescent="0.25">
      <c r="A4" s="1">
        <v>2</v>
      </c>
      <c r="B4" s="17">
        <v>2113</v>
      </c>
      <c r="C4" s="2">
        <f t="shared" si="0"/>
        <v>1654.6547386349644</v>
      </c>
      <c r="D4" s="2">
        <f t="shared" si="1"/>
        <v>165.07929869309322</v>
      </c>
      <c r="E4" s="34">
        <f>AVERAGE('Demanda_des_Factor esta_winter'!E3,'Demanda_des_Factor esta_winter'!E7,'Demanda_des_Factor esta_winter'!E11)</f>
        <v>1.1466505881695301</v>
      </c>
      <c r="F4" s="2">
        <f t="shared" ref="F4:F17" si="2">(C3+D3)*E4</f>
        <v>1873.3453658592023</v>
      </c>
      <c r="G4" s="2">
        <f t="shared" ref="G4:G16" si="3">+F4-B4</f>
        <v>-239.65463414079773</v>
      </c>
      <c r="H4" s="2">
        <f t="shared" ref="H4:H16" si="4">+ABS(G4)</f>
        <v>239.65463414079773</v>
      </c>
      <c r="I4" s="2">
        <f>+SUMSQ($G$3:G4)/A4</f>
        <v>81130.137676824743</v>
      </c>
      <c r="J4" s="4">
        <f>+SUM($H$3:H4)/A4</f>
        <v>281.71148220745749</v>
      </c>
      <c r="K4" s="4">
        <f t="shared" ref="K4:K16" si="5">+(H4/B4)*100</f>
        <v>11.341913589247406</v>
      </c>
      <c r="L4" s="18">
        <f>+AVERAGE($K$3:K4)</f>
        <v>13.716889455511311</v>
      </c>
      <c r="M4" s="29">
        <f>+SUM($G$3:G4)/J4</f>
        <v>-2</v>
      </c>
    </row>
    <row r="5" spans="1:13" x14ac:dyDescent="0.25">
      <c r="A5" s="1">
        <v>3</v>
      </c>
      <c r="B5" s="17">
        <v>136</v>
      </c>
      <c r="C5" s="2">
        <f t="shared" si="0"/>
        <v>1660.3106468902163</v>
      </c>
      <c r="D5" s="2">
        <f t="shared" si="1"/>
        <v>133.19462060552496</v>
      </c>
      <c r="E5" s="34">
        <f>AVERAGE('Demanda_des_Factor esta_winter'!E4,'Demanda_des_Factor esta_winter'!E8,'Demanda_des_Factor esta_winter'!E12)</f>
        <v>0.60310385728406701</v>
      </c>
      <c r="F5" s="2">
        <f t="shared" si="2"/>
        <v>1097.4886171436599</v>
      </c>
      <c r="G5" s="2">
        <f t="shared" si="3"/>
        <v>961.48861714365989</v>
      </c>
      <c r="H5" s="2">
        <f t="shared" si="4"/>
        <v>961.48861714365989</v>
      </c>
      <c r="I5" s="2">
        <f>+SUMSQ($G$3:G5)/A5</f>
        <v>362240.21208349225</v>
      </c>
      <c r="J5" s="4">
        <f>+SUM($H$3:H5)/A5</f>
        <v>508.30386051952496</v>
      </c>
      <c r="K5" s="4">
        <f t="shared" si="5"/>
        <v>706.97692437033822</v>
      </c>
      <c r="L5" s="18">
        <f>+AVERAGE($K$3:K5)</f>
        <v>244.8035677604536</v>
      </c>
      <c r="M5" s="3">
        <f>+SUM($G$3:G5)/J5</f>
        <v>0.78312537764692902</v>
      </c>
    </row>
    <row r="6" spans="1:13" x14ac:dyDescent="0.25">
      <c r="A6" s="1">
        <v>4</v>
      </c>
      <c r="B6" s="17">
        <v>2236</v>
      </c>
      <c r="C6" s="2">
        <f t="shared" si="0"/>
        <v>1811.1895810190085</v>
      </c>
      <c r="D6" s="2">
        <f t="shared" si="1"/>
        <v>136.73148331017842</v>
      </c>
      <c r="E6" s="34">
        <f>AVERAGE('Demanda_des_Factor esta_winter'!E5,'Demanda_des_Factor esta_winter'!E9,'Demanda_des_Factor esta_winter'!E13)</f>
        <v>1.1348246822256052</v>
      </c>
      <c r="F6" s="2">
        <f t="shared" si="2"/>
        <v>2035.3140452558036</v>
      </c>
      <c r="G6" s="2">
        <f t="shared" si="3"/>
        <v>-200.68595474419635</v>
      </c>
      <c r="H6" s="2">
        <f t="shared" si="4"/>
        <v>200.68595474419635</v>
      </c>
      <c r="I6" s="2">
        <f>+SUMSQ($G$3:G6)/A6</f>
        <v>281748.87217051664</v>
      </c>
      <c r="J6" s="4">
        <f>+SUM($H$3:H6)/A6</f>
        <v>431.39938407569281</v>
      </c>
      <c r="K6" s="4">
        <f t="shared" si="5"/>
        <v>8.9752215896331098</v>
      </c>
      <c r="L6" s="18">
        <f>+AVERAGE($K$3:K6)</f>
        <v>185.84648121774848</v>
      </c>
      <c r="M6" s="3">
        <f>+SUM($G$3:G6)/J6</f>
        <v>0.45753356465134998</v>
      </c>
    </row>
    <row r="7" spans="1:13" x14ac:dyDescent="0.25">
      <c r="A7" s="1">
        <v>5</v>
      </c>
      <c r="B7" s="17">
        <v>2378</v>
      </c>
      <c r="C7" s="2">
        <f t="shared" si="0"/>
        <v>1953.2977912639253</v>
      </c>
      <c r="D7" s="2">
        <f t="shared" si="1"/>
        <v>137.80682869712609</v>
      </c>
      <c r="E7" s="3">
        <f t="shared" ref="E7:E17" si="6">+($B$21*(B3/C3)+(1-$B$21)*E3)</f>
        <v>1.1879971322170046</v>
      </c>
      <c r="F7" s="2">
        <f t="shared" si="2"/>
        <v>2314.1246382081695</v>
      </c>
      <c r="G7" s="2">
        <f t="shared" si="3"/>
        <v>-63.875361791830528</v>
      </c>
      <c r="H7" s="2">
        <f t="shared" si="4"/>
        <v>63.875361791830528</v>
      </c>
      <c r="I7" s="2">
        <f>+SUMSQ($G$3:G7)/A7</f>
        <v>226215.11010522075</v>
      </c>
      <c r="J7" s="4">
        <f>+SUM($H$3:H7)/A7</f>
        <v>357.89457961892037</v>
      </c>
      <c r="K7" s="4">
        <f t="shared" si="5"/>
        <v>2.6860959542401397</v>
      </c>
      <c r="L7" s="18">
        <f>+AVERAGE($K$3:K7)</f>
        <v>149.2144041650468</v>
      </c>
      <c r="M7" s="3">
        <f>+SUM($G$3:G7)/J7</f>
        <v>0.37302698558573033</v>
      </c>
    </row>
    <row r="8" spans="1:13" x14ac:dyDescent="0.25">
      <c r="A8" s="1">
        <v>6</v>
      </c>
      <c r="B8" s="17">
        <v>2414</v>
      </c>
      <c r="C8" s="2">
        <f t="shared" si="0"/>
        <v>2090.1539734338967</v>
      </c>
      <c r="D8" s="2">
        <f t="shared" si="1"/>
        <v>137.61669939169516</v>
      </c>
      <c r="E8" s="3">
        <f t="shared" si="6"/>
        <v>1.1596858858476824</v>
      </c>
      <c r="F8" s="2">
        <f t="shared" si="2"/>
        <v>2425.0245135997134</v>
      </c>
      <c r="G8" s="2">
        <f t="shared" si="3"/>
        <v>11.024513599713373</v>
      </c>
      <c r="H8" s="2">
        <f t="shared" si="4"/>
        <v>11.024513599713373</v>
      </c>
      <c r="I8" s="2">
        <f>+SUMSQ($G$3:G8)/A8</f>
        <v>188532.848404369</v>
      </c>
      <c r="J8" s="4">
        <f>+SUM($H$3:H8)/A8</f>
        <v>300.08290194905254</v>
      </c>
      <c r="K8" s="4">
        <f t="shared" si="5"/>
        <v>0.45669070421347857</v>
      </c>
      <c r="L8" s="18">
        <f>+AVERAGE($K$3:K8)</f>
        <v>124.42145192157459</v>
      </c>
      <c r="M8" s="3">
        <f>+SUM($G$3:G8)/J8</f>
        <v>0.4816297391611109</v>
      </c>
    </row>
    <row r="9" spans="1:13" x14ac:dyDescent="0.25">
      <c r="A9" s="1">
        <v>7</v>
      </c>
      <c r="B9" s="17">
        <v>2484</v>
      </c>
      <c r="C9" s="2">
        <f t="shared" si="0"/>
        <v>2455.8228129609829</v>
      </c>
      <c r="D9" s="2">
        <f t="shared" si="1"/>
        <v>183.22712741877336</v>
      </c>
      <c r="E9" s="3">
        <f t="shared" si="6"/>
        <v>0.55098470975886826</v>
      </c>
      <c r="F9" s="2">
        <f t="shared" si="2"/>
        <v>1227.4675775761273</v>
      </c>
      <c r="G9" s="2">
        <f t="shared" si="3"/>
        <v>-1256.5324224238727</v>
      </c>
      <c r="H9" s="2">
        <f t="shared" si="4"/>
        <v>1256.5324224238727</v>
      </c>
      <c r="I9" s="2">
        <f>+SUMSQ($G$3:G9)/A9</f>
        <v>387152.97414694569</v>
      </c>
      <c r="J9" s="4">
        <f>+SUM($H$3:H9)/A9</f>
        <v>436.71854773116968</v>
      </c>
      <c r="K9" s="4">
        <f t="shared" si="5"/>
        <v>50.585041160381351</v>
      </c>
      <c r="L9" s="18">
        <f>+AVERAGE($K$3:K9)</f>
        <v>113.87339324140412</v>
      </c>
      <c r="M9" s="34">
        <f>+SUM($G$3:G9)/J9</f>
        <v>-2.5462705406227815</v>
      </c>
    </row>
    <row r="10" spans="1:13" x14ac:dyDescent="0.25">
      <c r="A10" s="1">
        <v>8</v>
      </c>
      <c r="B10" s="17">
        <v>2730</v>
      </c>
      <c r="C10" s="2">
        <f t="shared" si="0"/>
        <v>2613.6151754854955</v>
      </c>
      <c r="D10" s="2">
        <f t="shared" si="1"/>
        <v>178.1401744399212</v>
      </c>
      <c r="E10" s="3">
        <f t="shared" si="6"/>
        <v>1.144796987784483</v>
      </c>
      <c r="F10" s="2">
        <f t="shared" si="2"/>
        <v>3021.1764223595646</v>
      </c>
      <c r="G10" s="2">
        <f t="shared" si="3"/>
        <v>291.17642235956464</v>
      </c>
      <c r="H10" s="2">
        <f t="shared" si="4"/>
        <v>291.17642235956464</v>
      </c>
      <c r="I10" s="2">
        <f>+SUMSQ($G$3:G10)/A10</f>
        <v>349356.81599584193</v>
      </c>
      <c r="J10" s="4">
        <f>+SUM($H$3:H10)/A10</f>
        <v>418.52578205971906</v>
      </c>
      <c r="K10" s="4">
        <f t="shared" si="5"/>
        <v>10.66580301683387</v>
      </c>
      <c r="L10" s="18">
        <f>+AVERAGE($K$3:K10)</f>
        <v>100.97244446333283</v>
      </c>
      <c r="M10" s="3">
        <f>+SUM($G$3:G10)/J10</f>
        <v>-1.9612343742177241</v>
      </c>
    </row>
    <row r="11" spans="1:13" x14ac:dyDescent="0.25">
      <c r="A11" s="1">
        <v>9</v>
      </c>
      <c r="B11" s="17">
        <v>2585</v>
      </c>
      <c r="C11" s="2">
        <f t="shared" si="0"/>
        <v>2729.6352048423737</v>
      </c>
      <c r="D11" s="2">
        <f t="shared" si="1"/>
        <v>165.71614542331261</v>
      </c>
      <c r="E11" s="3">
        <f t="shared" si="6"/>
        <v>1.1909402485134424</v>
      </c>
      <c r="F11" s="2">
        <f t="shared" si="2"/>
        <v>3324.8138102289081</v>
      </c>
      <c r="G11" s="2">
        <f t="shared" si="3"/>
        <v>739.8138102289081</v>
      </c>
      <c r="H11" s="2">
        <f t="shared" si="4"/>
        <v>739.8138102289081</v>
      </c>
      <c r="I11" s="2">
        <f>+SUMSQ($G$3:G11)/A11</f>
        <v>371353.22241912782</v>
      </c>
      <c r="J11" s="4">
        <f>+SUM($H$3:H11)/A11</f>
        <v>454.22445185629562</v>
      </c>
      <c r="K11" s="4">
        <f t="shared" si="5"/>
        <v>28.619489757404569</v>
      </c>
      <c r="L11" s="18">
        <f>+AVERAGE($K$3:K11)</f>
        <v>92.933227273785249</v>
      </c>
      <c r="M11" s="3">
        <f>+SUM($G$3:G11)/J11</f>
        <v>-0.1783553036651559</v>
      </c>
    </row>
    <row r="12" spans="1:13" x14ac:dyDescent="0.25">
      <c r="A12" s="1">
        <v>10</v>
      </c>
      <c r="B12" s="17">
        <v>2938</v>
      </c>
      <c r="C12" s="2">
        <f t="shared" si="0"/>
        <v>2859.2644262429126</v>
      </c>
      <c r="D12" s="2">
        <f t="shared" si="1"/>
        <v>158.49876061875787</v>
      </c>
      <c r="E12" s="3">
        <f t="shared" si="6"/>
        <v>1.1592111809998171</v>
      </c>
      <c r="F12" s="2">
        <f t="shared" si="2"/>
        <v>3356.3236581509018</v>
      </c>
      <c r="G12" s="2">
        <f t="shared" si="3"/>
        <v>418.32365815090179</v>
      </c>
      <c r="H12" s="2">
        <f t="shared" si="4"/>
        <v>418.32365815090179</v>
      </c>
      <c r="I12" s="2">
        <f>+SUMSQ($G$3:G12)/A12</f>
        <v>351717.3684740903</v>
      </c>
      <c r="J12" s="4">
        <f>+SUM($H$3:H12)/A12</f>
        <v>450.63437248575627</v>
      </c>
      <c r="K12" s="4">
        <f t="shared" si="5"/>
        <v>14.238381829506528</v>
      </c>
      <c r="L12" s="18">
        <f>+AVERAGE($K$3:K12)</f>
        <v>85.063742729357386</v>
      </c>
      <c r="M12" s="3">
        <f>+SUM($G$3:G12)/J12</f>
        <v>0.74852327896624216</v>
      </c>
    </row>
    <row r="13" spans="1:13" x14ac:dyDescent="0.25">
      <c r="A13" s="1">
        <v>11</v>
      </c>
      <c r="B13" s="17">
        <v>2060</v>
      </c>
      <c r="C13" s="2">
        <f t="shared" si="0"/>
        <v>3061.0260746778454</v>
      </c>
      <c r="D13" s="2">
        <f t="shared" si="1"/>
        <v>167.15133818199286</v>
      </c>
      <c r="E13" s="3">
        <f t="shared" si="6"/>
        <v>0.59703360116150106</v>
      </c>
      <c r="F13" s="2">
        <f t="shared" si="2"/>
        <v>1801.706022904631</v>
      </c>
      <c r="G13" s="2">
        <f t="shared" si="3"/>
        <v>-258.29397709536897</v>
      </c>
      <c r="H13" s="2">
        <f t="shared" si="4"/>
        <v>258.29397709536897</v>
      </c>
      <c r="I13" s="2">
        <f>+SUMSQ($G$3:G13)/A13</f>
        <v>325808.13303133141</v>
      </c>
      <c r="J13" s="4">
        <f>+SUM($H$3:H13)/A13</f>
        <v>433.14888199572107</v>
      </c>
      <c r="K13" s="4">
        <f t="shared" si="5"/>
        <v>12.538542577445098</v>
      </c>
      <c r="L13" s="18">
        <f>+AVERAGE($K$3:K13)</f>
        <v>78.470542715547182</v>
      </c>
      <c r="M13" s="3">
        <f>+SUM($G$3:G13)/J13</f>
        <v>0.18242305197348935</v>
      </c>
    </row>
    <row r="14" spans="1:13" x14ac:dyDescent="0.25">
      <c r="A14" s="1">
        <v>12</v>
      </c>
      <c r="B14" s="17">
        <v>3648</v>
      </c>
      <c r="C14" s="2">
        <f t="shared" si="0"/>
        <v>3226.8344201490099</v>
      </c>
      <c r="D14" s="2">
        <f t="shared" si="1"/>
        <v>166.88273963982721</v>
      </c>
      <c r="E14" s="3">
        <f t="shared" si="6"/>
        <v>1.1347703096957729</v>
      </c>
      <c r="F14" s="2">
        <f t="shared" si="2"/>
        <v>3663.2398825438572</v>
      </c>
      <c r="G14" s="2">
        <f t="shared" si="3"/>
        <v>15.23988254385722</v>
      </c>
      <c r="H14" s="2">
        <f t="shared" si="4"/>
        <v>15.23988254385722</v>
      </c>
      <c r="I14" s="2">
        <f>+SUMSQ($G$3:G14)/A14</f>
        <v>298676.80978038302</v>
      </c>
      <c r="J14" s="4">
        <f>+SUM($H$3:H14)/A14</f>
        <v>398.32313204139911</v>
      </c>
      <c r="K14" s="4">
        <f t="shared" si="5"/>
        <v>0.41775993815398083</v>
      </c>
      <c r="L14" s="18">
        <f>+AVERAGE($K$3:K14)</f>
        <v>71.966144150764407</v>
      </c>
      <c r="M14" s="3">
        <f>+SUM($G$3:G14)/J14</f>
        <v>0.23663256279734482</v>
      </c>
    </row>
    <row r="15" spans="1:13" x14ac:dyDescent="0.25">
      <c r="A15" s="1">
        <v>13</v>
      </c>
      <c r="B15" s="17">
        <v>3943</v>
      </c>
      <c r="C15" s="2">
        <f t="shared" si="0"/>
        <v>3392.3513906764738</v>
      </c>
      <c r="D15" s="2">
        <f t="shared" si="1"/>
        <v>166.60958581735454</v>
      </c>
      <c r="E15" s="3">
        <f t="shared" si="6"/>
        <v>1.1665475227739432</v>
      </c>
      <c r="F15" s="2">
        <f t="shared" si="2"/>
        <v>3958.9323457470905</v>
      </c>
      <c r="G15" s="2">
        <f t="shared" si="3"/>
        <v>15.932345747090494</v>
      </c>
      <c r="H15" s="2">
        <f t="shared" si="4"/>
        <v>15.932345747090494</v>
      </c>
      <c r="I15" s="2">
        <f>+SUMSQ($G$3:G15)/A15</f>
        <v>275721.19669273857</v>
      </c>
      <c r="J15" s="4">
        <f>+SUM($H$3:H15)/A15</f>
        <v>368.90845617260618</v>
      </c>
      <c r="K15" s="4">
        <f t="shared" si="5"/>
        <v>0.40406659262212763</v>
      </c>
      <c r="L15" s="18">
        <f>+AVERAGE($K$3:K15)</f>
        <v>66.461368953984234</v>
      </c>
      <c r="M15" s="3">
        <f>+SUM($G$3:G15)/J15</f>
        <v>0.29868810936650508</v>
      </c>
    </row>
    <row r="16" spans="1:13" x14ac:dyDescent="0.25">
      <c r="A16" s="1">
        <v>14</v>
      </c>
      <c r="B16" s="17">
        <v>2735</v>
      </c>
      <c r="C16" s="2">
        <f t="shared" si="0"/>
        <v>3441.7119608989251</v>
      </c>
      <c r="D16" s="2">
        <f t="shared" si="1"/>
        <v>143.1597826983739</v>
      </c>
      <c r="E16" s="3">
        <f t="shared" si="6"/>
        <v>1.1460437632234024</v>
      </c>
      <c r="F16" s="2">
        <f t="shared" si="2"/>
        <v>4078.7250306662218</v>
      </c>
      <c r="G16" s="2">
        <f t="shared" si="3"/>
        <v>1343.7250306662218</v>
      </c>
      <c r="H16" s="2">
        <f t="shared" si="4"/>
        <v>1343.7250306662218</v>
      </c>
      <c r="I16" s="2">
        <f>+SUMSQ($G$3:G16)/A16</f>
        <v>384998.03678889573</v>
      </c>
      <c r="J16" s="36">
        <f>+SUM($H$3:H16)/A16</f>
        <v>438.53821149357873</v>
      </c>
      <c r="K16" s="4">
        <f t="shared" si="5"/>
        <v>49.130714101141564</v>
      </c>
      <c r="L16" s="37">
        <f>+AVERAGE($K$3:K16)</f>
        <v>65.22346503592405</v>
      </c>
      <c r="M16" s="34">
        <f>+SUM($G$3:G16)/J16</f>
        <v>3.3153635461274336</v>
      </c>
    </row>
    <row r="17" spans="1:6" x14ac:dyDescent="0.25">
      <c r="A17" s="1">
        <v>15</v>
      </c>
      <c r="E17" s="3">
        <f t="shared" si="6"/>
        <v>0.6046279363195346</v>
      </c>
      <c r="F17" s="35">
        <f t="shared" si="2"/>
        <v>2167.5136043014468</v>
      </c>
    </row>
    <row r="18" spans="1:6" x14ac:dyDescent="0.25">
      <c r="D18" s="13"/>
    </row>
    <row r="19" spans="1:6" x14ac:dyDescent="0.25">
      <c r="A19" s="13" t="s">
        <v>50</v>
      </c>
      <c r="B19" s="13">
        <v>0.1</v>
      </c>
      <c r="D19" s="13"/>
    </row>
    <row r="20" spans="1:6" x14ac:dyDescent="0.25">
      <c r="A20" s="13" t="s">
        <v>51</v>
      </c>
      <c r="B20" s="13">
        <v>0.2</v>
      </c>
      <c r="D20" s="13"/>
    </row>
    <row r="21" spans="1:6" x14ac:dyDescent="0.25">
      <c r="A21" s="13" t="s">
        <v>53</v>
      </c>
      <c r="B21" s="13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42FD-443B-4D06-A93C-1E81302F96F0}">
  <dimension ref="A1:I6"/>
  <sheetViews>
    <sheetView workbookViewId="0">
      <selection activeCell="H1" sqref="H1:I6"/>
    </sheetView>
  </sheetViews>
  <sheetFormatPr baseColWidth="10" defaultRowHeight="15" x14ac:dyDescent="0.25"/>
  <cols>
    <col min="1" max="1" width="17.7109375" customWidth="1"/>
    <col min="2" max="2" width="12" bestFit="1" customWidth="1"/>
    <col min="4" max="4" width="14.28515625" customWidth="1"/>
    <col min="5" max="5" width="15.7109375" customWidth="1"/>
    <col min="6" max="6" width="13.5703125" customWidth="1"/>
    <col min="8" max="8" width="20.85546875" customWidth="1"/>
    <col min="9" max="9" width="22.140625" customWidth="1"/>
    <col min="10" max="10" width="15" customWidth="1"/>
    <col min="11" max="11" width="15.140625" customWidth="1"/>
    <col min="12" max="12" width="17.85546875" customWidth="1"/>
    <col min="13" max="13" width="21.7109375" customWidth="1"/>
  </cols>
  <sheetData>
    <row r="1" spans="1:9" x14ac:dyDescent="0.25">
      <c r="A1" s="22" t="s">
        <v>75</v>
      </c>
      <c r="B1" s="22"/>
      <c r="C1" s="22"/>
      <c r="D1" s="22"/>
      <c r="E1" s="22"/>
      <c r="F1" s="22"/>
      <c r="H1" s="23" t="s">
        <v>76</v>
      </c>
      <c r="I1" s="23"/>
    </row>
    <row r="2" spans="1:9" x14ac:dyDescent="0.25">
      <c r="A2" s="9" t="s">
        <v>40</v>
      </c>
      <c r="B2" s="10" t="s">
        <v>7</v>
      </c>
      <c r="C2" s="10" t="s">
        <v>9</v>
      </c>
      <c r="D2" s="10" t="s">
        <v>41</v>
      </c>
      <c r="E2" s="10" t="s">
        <v>42</v>
      </c>
      <c r="F2" s="10" t="s">
        <v>43</v>
      </c>
      <c r="H2" s="9" t="s">
        <v>59</v>
      </c>
      <c r="I2" s="10" t="s">
        <v>58</v>
      </c>
    </row>
    <row r="3" spans="1:9" x14ac:dyDescent="0.25">
      <c r="A3" s="9" t="s">
        <v>55</v>
      </c>
      <c r="B3" s="4">
        <f>'Promedio móvil_NOAPROBADOS-PRIM'!H15</f>
        <v>620.67499999999995</v>
      </c>
      <c r="C3" s="4">
        <f>'Promedio móvil_NOAPROBADOS-PRIM'!J15</f>
        <v>22.123230651789015</v>
      </c>
      <c r="D3" s="3">
        <f>MIN('Promedio móvil_NOAPROBADOS-PRIM'!K6:K15)</f>
        <v>-7.0608335490551379</v>
      </c>
      <c r="E3" s="3">
        <f>MAX('Promedio móvil_NOAPROBADOS-PRIM'!K6:K15)</f>
        <v>-1</v>
      </c>
      <c r="F3" s="20">
        <f>1.25*B3</f>
        <v>775.84375</v>
      </c>
      <c r="H3" s="9" t="s">
        <v>55</v>
      </c>
      <c r="I3" s="16">
        <f>'Promedio móvil_NOAPROBADOS-PRIM'!D15</f>
        <v>3147.25</v>
      </c>
    </row>
    <row r="4" spans="1:9" x14ac:dyDescent="0.25">
      <c r="A4" s="9" t="s">
        <v>54</v>
      </c>
      <c r="B4" s="4">
        <f>'Suav_Expo_NOAPROBADOS-PRIMAVERA'!H16</f>
        <v>599.45625395132834</v>
      </c>
      <c r="C4" s="4">
        <f>'Suav_Expo_NOAPROBADOS-PRIMAVERA'!J16</f>
        <v>133.19552745304898</v>
      </c>
      <c r="D4" s="3">
        <f>MIN('Suav_Expo_NOAPROBADOS-PRIMAVERA'!K3:K16)</f>
        <v>-2.9482576410503039</v>
      </c>
      <c r="E4" s="3">
        <f>MAX('Suav_Expo_NOAPROBADOS-PRIMAVERA'!K3:K16)</f>
        <v>4.2372674066419069</v>
      </c>
      <c r="F4" s="20">
        <f t="shared" ref="F4:F6" si="0">1.25*B4</f>
        <v>749.32031743916036</v>
      </c>
      <c r="H4" s="9" t="s">
        <v>54</v>
      </c>
      <c r="I4" s="16">
        <f>'Suav_Expo_NOAPROBADOS-PRIMAVERA'!D16</f>
        <v>2623.5946090208236</v>
      </c>
    </row>
    <row r="5" spans="1:9" x14ac:dyDescent="0.25">
      <c r="A5" s="9" t="s">
        <v>44</v>
      </c>
      <c r="B5" s="4">
        <f>'Holt_NOAPROBADOS-PRIMAVERA'!I16</f>
        <v>504.64820253740174</v>
      </c>
      <c r="C5" s="4">
        <f>'Holt_NOAPROBADOS-PRIMAVERA'!K16</f>
        <v>109.36242807418314</v>
      </c>
      <c r="D5" s="3">
        <f>MIN('Holt_NOAPROBADOS-PRIMAVERA'!L3:L16)</f>
        <v>-2</v>
      </c>
      <c r="E5" s="18">
        <f>MAX('Holt_NOAPROBADOS-PRIMAVERA'!L3:L16)</f>
        <v>1.4162062888536957</v>
      </c>
      <c r="F5" s="20">
        <f t="shared" si="0"/>
        <v>630.81025317175215</v>
      </c>
      <c r="H5" s="9" t="s">
        <v>44</v>
      </c>
      <c r="I5" s="16">
        <f>'Holt_NOAPROBADOS-PRIMAVERA'!E17</f>
        <v>3593.8393889364897</v>
      </c>
    </row>
    <row r="6" spans="1:9" x14ac:dyDescent="0.25">
      <c r="A6" s="9" t="s">
        <v>45</v>
      </c>
      <c r="B6" s="4">
        <f>'Winter_NOAPROBADOS-PRIMAVERA'!J16</f>
        <v>438.53821149357873</v>
      </c>
      <c r="C6" s="4">
        <f>'Winter_NOAPROBADOS-PRIMAVERA'!L16</f>
        <v>65.22346503592405</v>
      </c>
      <c r="D6" s="3">
        <f>MIN('Winter_NOAPROBADOS-PRIMAVERA'!M3:M16)</f>
        <v>-2.5462705406227815</v>
      </c>
      <c r="E6" s="18">
        <f>MAX('Winter_NOAPROBADOS-PRIMAVERA'!M3:M16)</f>
        <v>3.3153635461274336</v>
      </c>
      <c r="F6" s="20">
        <f t="shared" si="0"/>
        <v>548.17276436697341</v>
      </c>
      <c r="H6" s="9" t="s">
        <v>45</v>
      </c>
      <c r="I6" s="16">
        <f>'Winter_NOAPROBADOS-PRIMAVERA'!F17</f>
        <v>2167.5136043014468</v>
      </c>
    </row>
  </sheetData>
  <mergeCells count="2">
    <mergeCell ref="A1:F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9424-8CAE-40B6-BE30-106A4E766E83}">
  <dimension ref="A1:I18"/>
  <sheetViews>
    <sheetView workbookViewId="0">
      <selection activeCell="A17" sqref="A17:B18"/>
    </sheetView>
  </sheetViews>
  <sheetFormatPr baseColWidth="10" defaultRowHeight="15" x14ac:dyDescent="0.25"/>
  <sheetData>
    <row r="1" spans="1:9" x14ac:dyDescent="0.25">
      <c r="A1" t="s">
        <v>11</v>
      </c>
    </row>
    <row r="2" spans="1:9" ht="15.75" thickBot="1" x14ac:dyDescent="0.3"/>
    <row r="3" spans="1:9" x14ac:dyDescent="0.25">
      <c r="A3" s="28" t="s">
        <v>12</v>
      </c>
      <c r="B3" s="28"/>
    </row>
    <row r="4" spans="1:9" x14ac:dyDescent="0.25">
      <c r="A4" s="25" t="s">
        <v>13</v>
      </c>
      <c r="B4" s="25">
        <v>0.66712422234154767</v>
      </c>
    </row>
    <row r="5" spans="1:9" x14ac:dyDescent="0.25">
      <c r="A5" s="25" t="s">
        <v>14</v>
      </c>
      <c r="B5" s="25">
        <v>0.44505472803481466</v>
      </c>
    </row>
    <row r="6" spans="1:9" x14ac:dyDescent="0.25">
      <c r="A6" s="25" t="s">
        <v>15</v>
      </c>
      <c r="B6" s="25">
        <v>0.39880928870438254</v>
      </c>
    </row>
    <row r="7" spans="1:9" x14ac:dyDescent="0.25">
      <c r="A7" s="25" t="s">
        <v>16</v>
      </c>
      <c r="B7" s="25">
        <v>678.16362305397922</v>
      </c>
    </row>
    <row r="8" spans="1:9" ht="15.75" thickBot="1" x14ac:dyDescent="0.3">
      <c r="A8" s="26" t="s">
        <v>17</v>
      </c>
      <c r="B8" s="26">
        <v>14</v>
      </c>
    </row>
    <row r="10" spans="1:9" ht="15.75" thickBot="1" x14ac:dyDescent="0.3">
      <c r="A10" t="s">
        <v>18</v>
      </c>
    </row>
    <row r="11" spans="1:9" x14ac:dyDescent="0.25">
      <c r="A11" s="27"/>
      <c r="B11" s="27" t="s">
        <v>23</v>
      </c>
      <c r="C11" s="27" t="s">
        <v>24</v>
      </c>
      <c r="D11" s="27" t="s">
        <v>25</v>
      </c>
      <c r="E11" s="27" t="s">
        <v>26</v>
      </c>
      <c r="F11" s="27" t="s">
        <v>27</v>
      </c>
    </row>
    <row r="12" spans="1:9" x14ac:dyDescent="0.25">
      <c r="A12" s="25" t="s">
        <v>19</v>
      </c>
      <c r="B12" s="25">
        <v>1</v>
      </c>
      <c r="C12" s="25">
        <v>4426021.2043956043</v>
      </c>
      <c r="D12" s="25">
        <v>4426021.2043956043</v>
      </c>
      <c r="E12" s="25">
        <v>9.6237539199231605</v>
      </c>
      <c r="F12" s="25">
        <v>9.152212500898E-3</v>
      </c>
    </row>
    <row r="13" spans="1:9" x14ac:dyDescent="0.25">
      <c r="A13" s="25" t="s">
        <v>20</v>
      </c>
      <c r="B13" s="25">
        <v>12</v>
      </c>
      <c r="C13" s="25">
        <v>5518870.7956043957</v>
      </c>
      <c r="D13" s="25">
        <v>459905.89963369962</v>
      </c>
      <c r="E13" s="25"/>
      <c r="F13" s="25"/>
    </row>
    <row r="14" spans="1:9" ht="15.75" thickBot="1" x14ac:dyDescent="0.3">
      <c r="A14" s="26" t="s">
        <v>21</v>
      </c>
      <c r="B14" s="26">
        <v>13</v>
      </c>
      <c r="C14" s="26">
        <v>9944892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28</v>
      </c>
      <c r="C16" s="27" t="s">
        <v>16</v>
      </c>
      <c r="D16" s="27" t="s">
        <v>29</v>
      </c>
      <c r="E16" s="27" t="s">
        <v>30</v>
      </c>
      <c r="F16" s="27" t="s">
        <v>31</v>
      </c>
      <c r="G16" s="27" t="s">
        <v>32</v>
      </c>
      <c r="H16" s="27" t="s">
        <v>33</v>
      </c>
      <c r="I16" s="27" t="s">
        <v>34</v>
      </c>
    </row>
    <row r="17" spans="1:9" x14ac:dyDescent="0.25">
      <c r="A17" s="38" t="s">
        <v>22</v>
      </c>
      <c r="B17" s="38">
        <v>1411.8901098901097</v>
      </c>
      <c r="C17" s="25">
        <v>382.83602046383464</v>
      </c>
      <c r="D17" s="25">
        <v>3.6879761423167512</v>
      </c>
      <c r="E17" s="25">
        <v>3.1032324580105605E-3</v>
      </c>
      <c r="F17" s="25">
        <v>577.76207684476117</v>
      </c>
      <c r="G17" s="25">
        <v>2246.0181429354579</v>
      </c>
      <c r="H17" s="25">
        <v>577.76207684476117</v>
      </c>
      <c r="I17" s="25">
        <v>2246.0181429354579</v>
      </c>
    </row>
    <row r="18" spans="1:9" ht="15.75" thickBot="1" x14ac:dyDescent="0.3">
      <c r="A18" s="39" t="s">
        <v>47</v>
      </c>
      <c r="B18" s="39">
        <v>139.4813186813187</v>
      </c>
      <c r="C18" s="26">
        <v>44.961810394981704</v>
      </c>
      <c r="D18" s="26">
        <v>3.1022175810092945</v>
      </c>
      <c r="E18" s="26">
        <v>9.152212500898E-3</v>
      </c>
      <c r="F18" s="26">
        <v>41.517949347667198</v>
      </c>
      <c r="G18" s="26">
        <v>237.44468801497021</v>
      </c>
      <c r="H18" s="26">
        <v>41.517949347667198</v>
      </c>
      <c r="I18" s="26">
        <v>237.44468801497021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91E0-D6C1-4150-8D8E-907DFA8F7153}">
  <dimension ref="A1:I18"/>
  <sheetViews>
    <sheetView workbookViewId="0">
      <selection activeCell="A17" sqref="A17:B18"/>
    </sheetView>
  </sheetViews>
  <sheetFormatPr baseColWidth="10" defaultRowHeight="15" x14ac:dyDescent="0.25"/>
  <sheetData>
    <row r="1" spans="1:9" x14ac:dyDescent="0.25">
      <c r="A1" t="s">
        <v>11</v>
      </c>
    </row>
    <row r="2" spans="1:9" ht="15.75" thickBot="1" x14ac:dyDescent="0.3"/>
    <row r="3" spans="1:9" x14ac:dyDescent="0.25">
      <c r="A3" s="28" t="s">
        <v>12</v>
      </c>
      <c r="B3" s="28"/>
    </row>
    <row r="4" spans="1:9" x14ac:dyDescent="0.25">
      <c r="A4" s="25" t="s">
        <v>13</v>
      </c>
      <c r="B4" s="25">
        <v>0.95602932765736481</v>
      </c>
    </row>
    <row r="5" spans="1:9" x14ac:dyDescent="0.25">
      <c r="A5" s="25" t="s">
        <v>14</v>
      </c>
      <c r="B5" s="25">
        <v>0.91399207534099292</v>
      </c>
    </row>
    <row r="6" spans="1:9" x14ac:dyDescent="0.25">
      <c r="A6" s="25" t="s">
        <v>15</v>
      </c>
      <c r="B6" s="25">
        <v>0.90170522896113481</v>
      </c>
    </row>
    <row r="7" spans="1:9" x14ac:dyDescent="0.25">
      <c r="A7" s="25" t="s">
        <v>16</v>
      </c>
      <c r="B7" s="25">
        <v>139.52542495484241</v>
      </c>
    </row>
    <row r="8" spans="1:9" ht="15.75" thickBot="1" x14ac:dyDescent="0.3">
      <c r="A8" s="26" t="s">
        <v>17</v>
      </c>
      <c r="B8" s="26">
        <v>9</v>
      </c>
    </row>
    <row r="10" spans="1:9" ht="15.75" thickBot="1" x14ac:dyDescent="0.3">
      <c r="A10" t="s">
        <v>18</v>
      </c>
    </row>
    <row r="11" spans="1:9" x14ac:dyDescent="0.25">
      <c r="A11" s="27"/>
      <c r="B11" s="27" t="s">
        <v>23</v>
      </c>
      <c r="C11" s="27" t="s">
        <v>24</v>
      </c>
      <c r="D11" s="27" t="s">
        <v>25</v>
      </c>
      <c r="E11" s="27" t="s">
        <v>26</v>
      </c>
      <c r="F11" s="27" t="s">
        <v>27</v>
      </c>
    </row>
    <row r="12" spans="1:9" x14ac:dyDescent="0.25">
      <c r="A12" s="25" t="s">
        <v>19</v>
      </c>
      <c r="B12" s="25">
        <v>1</v>
      </c>
      <c r="C12" s="25">
        <v>1448133.8648437499</v>
      </c>
      <c r="D12" s="25">
        <v>1448133.8648437499</v>
      </c>
      <c r="E12" s="25">
        <v>74.387849174976466</v>
      </c>
      <c r="F12" s="25">
        <v>5.6220459624474725E-5</v>
      </c>
    </row>
    <row r="13" spans="1:9" x14ac:dyDescent="0.25">
      <c r="A13" s="25" t="s">
        <v>20</v>
      </c>
      <c r="B13" s="25">
        <v>7</v>
      </c>
      <c r="C13" s="25">
        <v>136271.40946180551</v>
      </c>
      <c r="D13" s="25">
        <v>19467.34420882936</v>
      </c>
      <c r="E13" s="25"/>
      <c r="F13" s="25"/>
    </row>
    <row r="14" spans="1:9" ht="15.75" thickBot="1" x14ac:dyDescent="0.3">
      <c r="A14" s="26" t="s">
        <v>21</v>
      </c>
      <c r="B14" s="26">
        <v>8</v>
      </c>
      <c r="C14" s="26">
        <v>1584405.2743055555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28</v>
      </c>
      <c r="C16" s="27" t="s">
        <v>16</v>
      </c>
      <c r="D16" s="27" t="s">
        <v>29</v>
      </c>
      <c r="E16" s="27" t="s">
        <v>30</v>
      </c>
      <c r="F16" s="27" t="s">
        <v>31</v>
      </c>
      <c r="G16" s="27" t="s">
        <v>32</v>
      </c>
      <c r="H16" s="27" t="s">
        <v>33</v>
      </c>
      <c r="I16" s="27" t="s">
        <v>34</v>
      </c>
    </row>
    <row r="17" spans="1:9" x14ac:dyDescent="0.25">
      <c r="A17" s="38" t="s">
        <v>22</v>
      </c>
      <c r="B17" s="38">
        <v>1289.7840277777782</v>
      </c>
      <c r="C17" s="25">
        <v>134.39259410139678</v>
      </c>
      <c r="D17" s="25">
        <v>9.5971361844884058</v>
      </c>
      <c r="E17" s="25">
        <v>2.8037422018658503E-5</v>
      </c>
      <c r="F17" s="25">
        <v>971.9960405311499</v>
      </c>
      <c r="G17" s="25">
        <v>1607.5720150244065</v>
      </c>
      <c r="H17" s="25">
        <v>971.9960405311499</v>
      </c>
      <c r="I17" s="25">
        <v>1607.5720150244065</v>
      </c>
    </row>
    <row r="18" spans="1:9" ht="15.75" thickBot="1" x14ac:dyDescent="0.3">
      <c r="A18" s="39" t="s">
        <v>47</v>
      </c>
      <c r="B18" s="39">
        <v>155.35624999999996</v>
      </c>
      <c r="C18" s="26">
        <v>18.012654907420576</v>
      </c>
      <c r="D18" s="26">
        <v>8.6248390811061775</v>
      </c>
      <c r="E18" s="26">
        <v>5.6220459624474725E-5</v>
      </c>
      <c r="F18" s="26">
        <v>112.76308937034148</v>
      </c>
      <c r="G18" s="26">
        <v>197.94941062965844</v>
      </c>
      <c r="H18" s="26">
        <v>112.76308937034148</v>
      </c>
      <c r="I18" s="26">
        <v>197.94941062965844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C223-1B0A-43AC-B887-C61993C0769F}">
  <dimension ref="A1:H15"/>
  <sheetViews>
    <sheetView workbookViewId="0">
      <selection activeCell="F22" sqref="F22"/>
    </sheetView>
  </sheetViews>
  <sheetFormatPr baseColWidth="10" defaultRowHeight="15" x14ac:dyDescent="0.25"/>
  <cols>
    <col min="3" max="3" width="18.42578125" customWidth="1"/>
    <col min="4" max="4" width="24.28515625" customWidth="1"/>
    <col min="5" max="5" width="17.140625" customWidth="1"/>
  </cols>
  <sheetData>
    <row r="1" spans="1:8" ht="30" x14ac:dyDescent="0.25">
      <c r="A1" s="1" t="s">
        <v>0</v>
      </c>
      <c r="B1" s="11" t="s">
        <v>1</v>
      </c>
      <c r="C1" s="12" t="s">
        <v>46</v>
      </c>
      <c r="D1" s="12" t="s">
        <v>48</v>
      </c>
      <c r="E1" s="5" t="s">
        <v>49</v>
      </c>
    </row>
    <row r="2" spans="1:8" x14ac:dyDescent="0.25">
      <c r="A2" s="1">
        <v>1</v>
      </c>
      <c r="B2" s="17">
        <v>2012</v>
      </c>
      <c r="C2" s="2"/>
      <c r="D2" s="2">
        <f>1289.78403+A2*(155.35625)</f>
        <v>1445.1402800000001</v>
      </c>
      <c r="E2" s="34">
        <f>B2/D2</f>
        <v>1.3922523839692573</v>
      </c>
    </row>
    <row r="3" spans="1:8" x14ac:dyDescent="0.25">
      <c r="A3" s="1">
        <v>2</v>
      </c>
      <c r="B3" s="17">
        <v>2113</v>
      </c>
      <c r="C3" s="2"/>
      <c r="D3" s="2">
        <f t="shared" ref="D3:D15" si="0">1289.78403+A3*(155.35625)</f>
        <v>1600.4965299999999</v>
      </c>
      <c r="E3" s="3">
        <f t="shared" ref="E3:E15" si="1">B3/D3</f>
        <v>1.3202152959369429</v>
      </c>
    </row>
    <row r="4" spans="1:8" x14ac:dyDescent="0.25">
      <c r="A4" s="1">
        <v>3</v>
      </c>
      <c r="B4" s="17">
        <v>136</v>
      </c>
      <c r="C4" s="2">
        <f>(B2+B6+2*SUM(B3:B5))/8</f>
        <v>1670</v>
      </c>
      <c r="D4" s="2">
        <f t="shared" si="0"/>
        <v>1755.8527799999999</v>
      </c>
      <c r="E4" s="3">
        <f t="shared" si="1"/>
        <v>7.7455240865922717E-2</v>
      </c>
    </row>
    <row r="5" spans="1:8" x14ac:dyDescent="0.25">
      <c r="A5" s="1">
        <v>4</v>
      </c>
      <c r="B5" s="17">
        <v>2236</v>
      </c>
      <c r="C5" s="2">
        <f t="shared" ref="C5:C11" si="2">(B3+B7+2*SUM(B4:B6))/8</f>
        <v>1753.375</v>
      </c>
      <c r="D5" s="2">
        <f t="shared" si="0"/>
        <v>1911.20903</v>
      </c>
      <c r="E5" s="3">
        <f t="shared" si="1"/>
        <v>1.1699400562166662</v>
      </c>
      <c r="G5" s="38" t="s">
        <v>22</v>
      </c>
      <c r="H5" s="38">
        <v>1289.7840277777782</v>
      </c>
    </row>
    <row r="6" spans="1:8" ht="15.75" thickBot="1" x14ac:dyDescent="0.3">
      <c r="A6" s="1">
        <v>5</v>
      </c>
      <c r="B6" s="17">
        <v>2378</v>
      </c>
      <c r="C6" s="2">
        <f t="shared" si="2"/>
        <v>2084.5</v>
      </c>
      <c r="D6" s="2">
        <f t="shared" si="0"/>
        <v>2066.5652799999998</v>
      </c>
      <c r="E6" s="34">
        <f t="shared" si="1"/>
        <v>1.1507016124842668</v>
      </c>
      <c r="G6" s="39" t="s">
        <v>47</v>
      </c>
      <c r="H6" s="39">
        <v>155.35624999999996</v>
      </c>
    </row>
    <row r="7" spans="1:8" x14ac:dyDescent="0.25">
      <c r="A7" s="1">
        <v>6</v>
      </c>
      <c r="B7" s="17">
        <v>2414</v>
      </c>
      <c r="C7" s="2">
        <f t="shared" si="2"/>
        <v>2439.75</v>
      </c>
      <c r="D7" s="2">
        <f t="shared" si="0"/>
        <v>2221.9215300000001</v>
      </c>
      <c r="E7" s="3">
        <f t="shared" si="1"/>
        <v>1.0864470087744278</v>
      </c>
    </row>
    <row r="8" spans="1:8" x14ac:dyDescent="0.25">
      <c r="A8" s="1">
        <v>7</v>
      </c>
      <c r="B8" s="17">
        <v>2484</v>
      </c>
      <c r="C8" s="2">
        <f t="shared" si="2"/>
        <v>2527.375</v>
      </c>
      <c r="D8" s="2">
        <f t="shared" si="0"/>
        <v>2377.2777799999999</v>
      </c>
      <c r="E8" s="3">
        <f t="shared" si="1"/>
        <v>1.0448926166297656</v>
      </c>
    </row>
    <row r="9" spans="1:8" x14ac:dyDescent="0.25">
      <c r="A9" s="1">
        <v>8</v>
      </c>
      <c r="B9" s="17">
        <v>2730</v>
      </c>
      <c r="C9" s="2">
        <f t="shared" si="2"/>
        <v>2618.75</v>
      </c>
      <c r="D9" s="2">
        <f t="shared" si="0"/>
        <v>2532.6340300000002</v>
      </c>
      <c r="E9" s="3">
        <f t="shared" si="1"/>
        <v>1.0779291313557844</v>
      </c>
    </row>
    <row r="10" spans="1:8" x14ac:dyDescent="0.25">
      <c r="A10" s="1">
        <v>9</v>
      </c>
      <c r="B10" s="17">
        <v>2585</v>
      </c>
      <c r="C10" s="2">
        <f t="shared" si="2"/>
        <v>2631.25</v>
      </c>
      <c r="D10" s="2">
        <f t="shared" si="0"/>
        <v>2687.99028</v>
      </c>
      <c r="E10" s="34">
        <f t="shared" si="1"/>
        <v>0.96168502514079035</v>
      </c>
    </row>
    <row r="11" spans="1:8" x14ac:dyDescent="0.25">
      <c r="A11" s="1">
        <v>10</v>
      </c>
      <c r="B11" s="17">
        <v>2938</v>
      </c>
      <c r="C11" s="2">
        <f t="shared" si="2"/>
        <v>2693</v>
      </c>
      <c r="D11" s="2">
        <f t="shared" si="0"/>
        <v>2843.3465299999998</v>
      </c>
      <c r="E11" s="3">
        <f t="shared" si="1"/>
        <v>1.03328945979722</v>
      </c>
    </row>
    <row r="12" spans="1:8" x14ac:dyDescent="0.25">
      <c r="A12" s="1">
        <v>11</v>
      </c>
      <c r="B12" s="17">
        <v>2060</v>
      </c>
      <c r="C12" s="2">
        <f>(B10+B14+2*SUM(B11:B13))/8</f>
        <v>2977.5</v>
      </c>
      <c r="D12" s="2">
        <f t="shared" si="0"/>
        <v>2998.7027799999996</v>
      </c>
      <c r="E12" s="3">
        <f t="shared" si="1"/>
        <v>0.6869637143565126</v>
      </c>
    </row>
    <row r="13" spans="1:8" x14ac:dyDescent="0.25">
      <c r="A13" s="1">
        <v>12</v>
      </c>
      <c r="B13" s="17">
        <v>3648</v>
      </c>
      <c r="C13" s="2"/>
      <c r="D13" s="2">
        <f t="shared" si="0"/>
        <v>3154.0590299999999</v>
      </c>
      <c r="E13" s="3">
        <f t="shared" si="1"/>
        <v>1.1566048591043649</v>
      </c>
    </row>
    <row r="14" spans="1:8" x14ac:dyDescent="0.25">
      <c r="A14" s="1">
        <v>13</v>
      </c>
      <c r="B14" s="17">
        <v>3943</v>
      </c>
      <c r="C14" s="2"/>
      <c r="D14" s="2">
        <f t="shared" si="0"/>
        <v>3309.4152800000002</v>
      </c>
      <c r="E14" s="3">
        <f t="shared" si="1"/>
        <v>1.1914491432456309</v>
      </c>
    </row>
    <row r="15" spans="1:8" x14ac:dyDescent="0.25">
      <c r="A15" s="1">
        <v>14</v>
      </c>
      <c r="B15" s="17">
        <v>2735</v>
      </c>
      <c r="C15" s="2"/>
      <c r="D15" s="2">
        <f t="shared" si="0"/>
        <v>3464.77153</v>
      </c>
      <c r="E15" s="3">
        <f t="shared" si="1"/>
        <v>0.78937383787611537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Datos_NO_APROBADOS-PRIMAVERA</vt:lpstr>
      <vt:lpstr>Promedio móvil_NOAPROBADOS-PRIM</vt:lpstr>
      <vt:lpstr>Suav_Expo_NOAPROBADOS-PRIMAVERA</vt:lpstr>
      <vt:lpstr>Holt_NOAPROBADOS-PRIMAVERA</vt:lpstr>
      <vt:lpstr>Winter_NOAPROBADOS-PRIMAVERA</vt:lpstr>
      <vt:lpstr>RESUMEN</vt:lpstr>
      <vt:lpstr>Regresión_Holt_NOAPROBADOS-PRIM</vt:lpstr>
      <vt:lpstr>Regresión_Winter_NOAPROBADOS_PR</vt:lpstr>
      <vt:lpstr>Demanda_des_Factor esta_winter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 Montero Gonzalez</dc:creator>
  <cp:lastModifiedBy>Fabiola Montero González</cp:lastModifiedBy>
  <dcterms:created xsi:type="dcterms:W3CDTF">2024-08-20T22:38:25Z</dcterms:created>
  <dcterms:modified xsi:type="dcterms:W3CDTF">2024-09-07T07:30:18Z</dcterms:modified>
</cp:coreProperties>
</file>