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3608918cb459bb5/Escritorio/Maestría en Analítica de Datos/Modelos Predictivos/Data_Proyecto Final/"/>
    </mc:Choice>
  </mc:AlternateContent>
  <xr:revisionPtr revIDLastSave="86976" documentId="8_{AB1ED47D-6679-4284-87E3-F2E88A491766}" xr6:coauthVersionLast="47" xr6:coauthVersionMax="47" xr10:uidLastSave="{312F5EB8-0C78-4429-8F3E-DBD9A5390FAD}"/>
  <bookViews>
    <workbookView xWindow="-28920" yWindow="-120" windowWidth="29040" windowHeight="15720" xr2:uid="{6C81D096-4D99-4FD9-9DE0-950FE3C7DD71}"/>
  </bookViews>
  <sheets>
    <sheet name="Datos_APROBADOS-OTOÑO" sheetId="17" r:id="rId1"/>
    <sheet name="Promedio móvil_APROBADOS-OTOÑO" sheetId="1" r:id="rId2"/>
    <sheet name="Suav_Expo_APROBADOS-OTOÑO" sheetId="2" r:id="rId3"/>
    <sheet name="Holt_APROBADOS-OTOÑO" sheetId="3" r:id="rId4"/>
    <sheet name="Winter_APROBADOS-OTOÑO" sheetId="6" r:id="rId5"/>
    <sheet name="RESUMEN" sheetId="7" r:id="rId6"/>
    <sheet name="Regresión_Holt_APROBADOS-OTOÑO" sheetId="19" r:id="rId7"/>
    <sheet name="Regresión_Winter_APROBADOS_OTOÑ" sheetId="20" r:id="rId8"/>
    <sheet name="Demanda_des_Factor esta_winter" sheetId="9" r:id="rId9"/>
  </sheets>
  <definedNames>
    <definedName name="solver_adj" localSheetId="3" hidden="1">'Holt_APROBADOS-OTOÑO'!$B$19:$B$20</definedName>
    <definedName name="solver_adj" localSheetId="2" hidden="1">'Suav_Expo_APROBADOS-OTOÑO'!$B$18</definedName>
    <definedName name="solver_adj" localSheetId="4" hidden="1">'Winter_APROBADOS-OTOÑO'!$B$19:$B$21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3" hidden="1">2</definedName>
    <definedName name="solver_drv" localSheetId="2" hidden="1">2</definedName>
    <definedName name="solver_drv" localSheetId="4" hidden="1">1</definedName>
    <definedName name="solver_eng" localSheetId="3" hidden="1">3</definedName>
    <definedName name="solver_eng" localSheetId="2" hidden="1">3</definedName>
    <definedName name="solver_eng" localSheetId="4" hidden="1">3</definedName>
    <definedName name="solver_est" localSheetId="3" hidden="1">1</definedName>
    <definedName name="solver_est" localSheetId="2" hidden="1">1</definedName>
    <definedName name="solver_est" localSheetId="4" hidden="1">1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1" localSheetId="3" hidden="1">'Holt_APROBADOS-OTOÑO'!$B$19</definedName>
    <definedName name="solver_lhs1" localSheetId="2" hidden="1">'Suav_Expo_APROBADOS-OTOÑO'!$B$18</definedName>
    <definedName name="solver_lhs1" localSheetId="4" hidden="1">'Winter_APROBADOS-OTOÑO'!$B$19</definedName>
    <definedName name="solver_lhs2" localSheetId="3" hidden="1">'Holt_APROBADOS-OTOÑO'!$B$20</definedName>
    <definedName name="solver_lhs2" localSheetId="2" hidden="1">'Suav_Expo_APROBADOS-OTOÑO'!$B$18</definedName>
    <definedName name="solver_lhs2" localSheetId="4" hidden="1">'Winter_APROBADOS-OTOÑO'!$B$20</definedName>
    <definedName name="solver_lhs3" localSheetId="4" hidden="1">'Winter_APROBADOS-OTOÑO'!$B$21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3" hidden="1">1</definedName>
    <definedName name="solver_neg" localSheetId="2" hidden="1">1</definedName>
    <definedName name="solver_neg" localSheetId="4" hidden="1">1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3" hidden="1">2</definedName>
    <definedName name="solver_num" localSheetId="2" hidden="1">2</definedName>
    <definedName name="solver_num" localSheetId="4" hidden="1">3</definedName>
    <definedName name="solver_nwt" localSheetId="3" hidden="1">1</definedName>
    <definedName name="solver_nwt" localSheetId="2" hidden="1">1</definedName>
    <definedName name="solver_nwt" localSheetId="4" hidden="1">1</definedName>
    <definedName name="solver_opt" localSheetId="3" hidden="1">'Holt_APROBADOS-OTOÑO'!$H$15</definedName>
    <definedName name="solver_opt" localSheetId="2" hidden="1">'Suav_Expo_APROBADOS-OTOÑO'!$F$16</definedName>
    <definedName name="solver_opt" localSheetId="4" hidden="1">'Winter_APROBADOS-OTOÑO'!$J$15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3" hidden="1">2</definedName>
    <definedName name="solver_rbv" localSheetId="2" hidden="1">2</definedName>
    <definedName name="solver_rbv" localSheetId="4" hidden="1">1</definedName>
    <definedName name="solver_rel1" localSheetId="3" hidden="1">1</definedName>
    <definedName name="solver_rel1" localSheetId="2" hidden="1">1</definedName>
    <definedName name="solver_rel1" localSheetId="4" hidden="1">1</definedName>
    <definedName name="solver_rel2" localSheetId="3" hidden="1">1</definedName>
    <definedName name="solver_rel2" localSheetId="2" hidden="1">3</definedName>
    <definedName name="solver_rel2" localSheetId="4" hidden="1">1</definedName>
    <definedName name="solver_rel3" localSheetId="4" hidden="1">1</definedName>
    <definedName name="solver_rhs1" localSheetId="3" hidden="1">1</definedName>
    <definedName name="solver_rhs1" localSheetId="2" hidden="1">1</definedName>
    <definedName name="solver_rhs1" localSheetId="4" hidden="1">1</definedName>
    <definedName name="solver_rhs2" localSheetId="3" hidden="1">1</definedName>
    <definedName name="solver_rhs2" localSheetId="2" hidden="1">0</definedName>
    <definedName name="solver_rhs2" localSheetId="4" hidden="1">1</definedName>
    <definedName name="solver_rhs3" localSheetId="4" hidden="1">1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3" hidden="1">2</definedName>
    <definedName name="solver_scl" localSheetId="2" hidden="1">2</definedName>
    <definedName name="solver_scl" localSheetId="4" hidden="1">1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3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I3" i="7"/>
  <c r="I6" i="7" l="1"/>
  <c r="I5" i="7"/>
  <c r="D4" i="7"/>
  <c r="F16" i="6"/>
  <c r="E16" i="6"/>
  <c r="E4" i="6"/>
  <c r="E5" i="6"/>
  <c r="E6" i="6"/>
  <c r="E3" i="6"/>
  <c r="D2" i="6"/>
  <c r="C2" i="6"/>
  <c r="D6" i="9"/>
  <c r="E6" i="9" s="1"/>
  <c r="D5" i="9"/>
  <c r="E5" i="9" s="1"/>
  <c r="D4" i="9"/>
  <c r="E4" i="9" s="1"/>
  <c r="D3" i="9"/>
  <c r="E3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2" i="9"/>
  <c r="E2" i="9" s="1"/>
  <c r="E16" i="3" l="1"/>
  <c r="D2" i="3"/>
  <c r="C2" i="3"/>
  <c r="C2" i="2" l="1"/>
  <c r="C12" i="9" l="1"/>
  <c r="C5" i="9"/>
  <c r="C6" i="9"/>
  <c r="C7" i="9"/>
  <c r="C8" i="9"/>
  <c r="C9" i="9"/>
  <c r="C10" i="9"/>
  <c r="C11" i="9"/>
  <c r="C4" i="9"/>
  <c r="C3" i="6" l="1"/>
  <c r="E7" i="6" l="1"/>
  <c r="D3" i="6"/>
  <c r="C4" i="6" s="1"/>
  <c r="F3" i="6"/>
  <c r="G3" i="6" s="1"/>
  <c r="C3" i="3"/>
  <c r="D3" i="3" s="1"/>
  <c r="C4" i="3" s="1"/>
  <c r="D4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6" i="1"/>
  <c r="D7" i="1" s="1"/>
  <c r="E7" i="1" s="1"/>
  <c r="F7" i="1" s="1"/>
  <c r="I7" i="1" s="1"/>
  <c r="C7" i="1"/>
  <c r="D8" i="1" s="1"/>
  <c r="E8" i="1" s="1"/>
  <c r="F8" i="1" s="1"/>
  <c r="I8" i="1" s="1"/>
  <c r="C8" i="1"/>
  <c r="D9" i="1" s="1"/>
  <c r="E9" i="1" s="1"/>
  <c r="F9" i="1" s="1"/>
  <c r="I9" i="1" s="1"/>
  <c r="C9" i="1"/>
  <c r="D10" i="1" s="1"/>
  <c r="E10" i="1" s="1"/>
  <c r="F10" i="1" s="1"/>
  <c r="I10" i="1" s="1"/>
  <c r="C10" i="1"/>
  <c r="D11" i="1" s="1"/>
  <c r="E11" i="1" s="1"/>
  <c r="F11" i="1" s="1"/>
  <c r="I11" i="1" s="1"/>
  <c r="C11" i="1"/>
  <c r="D12" i="1" s="1"/>
  <c r="E12" i="1" s="1"/>
  <c r="F12" i="1" s="1"/>
  <c r="I12" i="1" s="1"/>
  <c r="C12" i="1"/>
  <c r="D13" i="1" s="1"/>
  <c r="E13" i="1" s="1"/>
  <c r="F13" i="1" s="1"/>
  <c r="I13" i="1" s="1"/>
  <c r="C13" i="1"/>
  <c r="D14" i="1" s="1"/>
  <c r="E14" i="1" s="1"/>
  <c r="F14" i="1" s="1"/>
  <c r="I14" i="1" s="1"/>
  <c r="C14" i="1"/>
  <c r="C5" i="1"/>
  <c r="D6" i="1" s="1"/>
  <c r="E6" i="1" s="1"/>
  <c r="E8" i="6" l="1"/>
  <c r="D4" i="6"/>
  <c r="C5" i="6" s="1"/>
  <c r="I3" i="6"/>
  <c r="D5" i="2"/>
  <c r="E5" i="2" s="1"/>
  <c r="F5" i="2" s="1"/>
  <c r="I5" i="2" s="1"/>
  <c r="D3" i="2"/>
  <c r="E3" i="2" s="1"/>
  <c r="D4" i="2"/>
  <c r="E4" i="2" s="1"/>
  <c r="F4" i="2" s="1"/>
  <c r="G14" i="1"/>
  <c r="G7" i="1"/>
  <c r="G8" i="1"/>
  <c r="G9" i="1"/>
  <c r="G10" i="1"/>
  <c r="G11" i="1"/>
  <c r="G12" i="1"/>
  <c r="G13" i="1"/>
  <c r="G6" i="1"/>
  <c r="F6" i="1"/>
  <c r="H3" i="6"/>
  <c r="J3" i="6" s="1"/>
  <c r="F4" i="6"/>
  <c r="G4" i="6" s="1"/>
  <c r="I4" i="6" s="1"/>
  <c r="E3" i="3"/>
  <c r="F3" i="3" s="1"/>
  <c r="E9" i="6" l="1"/>
  <c r="D5" i="6"/>
  <c r="C6" i="6" s="1"/>
  <c r="H3" i="3"/>
  <c r="G4" i="2"/>
  <c r="G3" i="3"/>
  <c r="G5" i="2"/>
  <c r="F3" i="2"/>
  <c r="G3" i="2"/>
  <c r="H7" i="1"/>
  <c r="K7" i="1" s="1"/>
  <c r="H6" i="1"/>
  <c r="K6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I6" i="1"/>
  <c r="H14" i="1"/>
  <c r="I4" i="2"/>
  <c r="D6" i="2"/>
  <c r="E6" i="2" s="1"/>
  <c r="M3" i="6"/>
  <c r="K3" i="6"/>
  <c r="H4" i="6"/>
  <c r="F5" i="6"/>
  <c r="G5" i="6" s="1"/>
  <c r="C5" i="3"/>
  <c r="D5" i="3" s="1"/>
  <c r="E4" i="3"/>
  <c r="F4" i="3" s="1"/>
  <c r="D6" i="6" l="1"/>
  <c r="C7" i="6" s="1"/>
  <c r="E11" i="6" s="1"/>
  <c r="E10" i="6"/>
  <c r="J3" i="3"/>
  <c r="I3" i="3"/>
  <c r="L3" i="3" s="1"/>
  <c r="H5" i="2"/>
  <c r="K5" i="2" s="1"/>
  <c r="H4" i="2"/>
  <c r="K4" i="2" s="1"/>
  <c r="I5" i="6"/>
  <c r="I3" i="2"/>
  <c r="H3" i="2"/>
  <c r="K3" i="2" s="1"/>
  <c r="B3" i="7"/>
  <c r="F3" i="7" s="1"/>
  <c r="K14" i="1"/>
  <c r="E3" i="7"/>
  <c r="D3" i="7"/>
  <c r="J9" i="1"/>
  <c r="J10" i="1"/>
  <c r="J11" i="1"/>
  <c r="J12" i="1"/>
  <c r="J13" i="1"/>
  <c r="J14" i="1"/>
  <c r="C3" i="7" s="1"/>
  <c r="J7" i="1"/>
  <c r="J6" i="1"/>
  <c r="J8" i="1"/>
  <c r="F6" i="2"/>
  <c r="G6" i="2"/>
  <c r="D7" i="2"/>
  <c r="E7" i="2" s="1"/>
  <c r="F7" i="2" s="1"/>
  <c r="I7" i="2" s="1"/>
  <c r="J4" i="6"/>
  <c r="M4" i="6" s="1"/>
  <c r="G4" i="3"/>
  <c r="H4" i="3"/>
  <c r="H5" i="6"/>
  <c r="J5" i="6" s="1"/>
  <c r="K4" i="6"/>
  <c r="L3" i="6"/>
  <c r="C6" i="3"/>
  <c r="D6" i="3" s="1"/>
  <c r="E5" i="3"/>
  <c r="F5" i="3" s="1"/>
  <c r="G5" i="3" s="1"/>
  <c r="J5" i="3" s="1"/>
  <c r="D7" i="6" l="1"/>
  <c r="C8" i="6" s="1"/>
  <c r="E12" i="6" s="1"/>
  <c r="K3" i="3"/>
  <c r="J3" i="2"/>
  <c r="J4" i="2"/>
  <c r="J5" i="2"/>
  <c r="D8" i="2"/>
  <c r="E8" i="2" s="1"/>
  <c r="G7" i="2"/>
  <c r="I6" i="2"/>
  <c r="H6" i="2"/>
  <c r="K6" i="2" s="1"/>
  <c r="H7" i="2"/>
  <c r="K7" i="2" s="1"/>
  <c r="F6" i="6"/>
  <c r="G6" i="6" s="1"/>
  <c r="I4" i="3"/>
  <c r="L4" i="3" s="1"/>
  <c r="I5" i="3"/>
  <c r="L5" i="3" s="1"/>
  <c r="J4" i="3"/>
  <c r="H5" i="3"/>
  <c r="L4" i="6"/>
  <c r="K5" i="6"/>
  <c r="L5" i="6" s="1"/>
  <c r="M5" i="6"/>
  <c r="C7" i="3"/>
  <c r="D7" i="3" s="1"/>
  <c r="E6" i="3"/>
  <c r="F6" i="3" s="1"/>
  <c r="I6" i="6" l="1"/>
  <c r="D9" i="2"/>
  <c r="E9" i="2" s="1"/>
  <c r="G9" i="2" s="1"/>
  <c r="F8" i="2"/>
  <c r="G8" i="2"/>
  <c r="J7" i="2"/>
  <c r="J6" i="2"/>
  <c r="D8" i="6"/>
  <c r="C9" i="6" s="1"/>
  <c r="E13" i="6" s="1"/>
  <c r="H6" i="6"/>
  <c r="F7" i="6"/>
  <c r="G7" i="6" s="1"/>
  <c r="I7" i="6" s="1"/>
  <c r="K4" i="3"/>
  <c r="K5" i="3"/>
  <c r="G6" i="3"/>
  <c r="H6" i="3"/>
  <c r="C8" i="3"/>
  <c r="D8" i="3" s="1"/>
  <c r="E7" i="3"/>
  <c r="F7" i="3" s="1"/>
  <c r="G7" i="3" s="1"/>
  <c r="J7" i="3" s="1"/>
  <c r="I8" i="2" l="1"/>
  <c r="H8" i="2"/>
  <c r="K8" i="2" s="1"/>
  <c r="D10" i="2"/>
  <c r="E10" i="2" s="1"/>
  <c r="F9" i="2"/>
  <c r="I9" i="2" s="1"/>
  <c r="D9" i="6"/>
  <c r="C10" i="6" s="1"/>
  <c r="E14" i="6" s="1"/>
  <c r="J6" i="6"/>
  <c r="M6" i="6" s="1"/>
  <c r="F9" i="6"/>
  <c r="H7" i="6"/>
  <c r="K6" i="6"/>
  <c r="L6" i="6" s="1"/>
  <c r="F8" i="6"/>
  <c r="G8" i="6" s="1"/>
  <c r="H7" i="3"/>
  <c r="J6" i="3"/>
  <c r="I6" i="3"/>
  <c r="L6" i="3" s="1"/>
  <c r="I7" i="3"/>
  <c r="L7" i="3" s="1"/>
  <c r="C9" i="3"/>
  <c r="D9" i="3" s="1"/>
  <c r="E8" i="3"/>
  <c r="F8" i="3" s="1"/>
  <c r="I8" i="6" l="1"/>
  <c r="D11" i="2"/>
  <c r="E11" i="2" s="1"/>
  <c r="H9" i="2"/>
  <c r="K9" i="2" s="1"/>
  <c r="F10" i="2"/>
  <c r="I10" i="2" s="1"/>
  <c r="G10" i="2"/>
  <c r="J9" i="2"/>
  <c r="J8" i="2"/>
  <c r="D10" i="6"/>
  <c r="C11" i="6" s="1"/>
  <c r="E15" i="6" s="1"/>
  <c r="G9" i="6"/>
  <c r="I9" i="6" s="1"/>
  <c r="J7" i="6"/>
  <c r="M7" i="6" s="1"/>
  <c r="K7" i="6"/>
  <c r="L7" i="6" s="1"/>
  <c r="F10" i="6"/>
  <c r="H8" i="6"/>
  <c r="J8" i="6" s="1"/>
  <c r="G8" i="3"/>
  <c r="H8" i="3"/>
  <c r="K7" i="3"/>
  <c r="K6" i="3"/>
  <c r="E9" i="3"/>
  <c r="F9" i="3" s="1"/>
  <c r="C10" i="3"/>
  <c r="D10" i="3" s="1"/>
  <c r="H10" i="2" l="1"/>
  <c r="K10" i="2" s="1"/>
  <c r="F11" i="2"/>
  <c r="D12" i="2"/>
  <c r="E12" i="2" s="1"/>
  <c r="G12" i="2" s="1"/>
  <c r="G11" i="2"/>
  <c r="J10" i="2"/>
  <c r="D11" i="6"/>
  <c r="C12" i="6" s="1"/>
  <c r="G10" i="6"/>
  <c r="I10" i="6" s="1"/>
  <c r="H9" i="6"/>
  <c r="K8" i="6"/>
  <c r="M8" i="6"/>
  <c r="G9" i="3"/>
  <c r="J9" i="3" s="1"/>
  <c r="H9" i="3"/>
  <c r="J8" i="3"/>
  <c r="I8" i="3"/>
  <c r="L8" i="3" s="1"/>
  <c r="C11" i="3"/>
  <c r="D11" i="3" s="1"/>
  <c r="E10" i="3"/>
  <c r="F10" i="3" s="1"/>
  <c r="G10" i="3" s="1"/>
  <c r="J10" i="3" s="1"/>
  <c r="D13" i="2" l="1"/>
  <c r="E13" i="2" s="1"/>
  <c r="F12" i="2"/>
  <c r="I12" i="2" s="1"/>
  <c r="I11" i="2"/>
  <c r="H11" i="2"/>
  <c r="K11" i="2" s="1"/>
  <c r="K9" i="6"/>
  <c r="L9" i="6" s="1"/>
  <c r="J9" i="6"/>
  <c r="M9" i="6" s="1"/>
  <c r="H10" i="6"/>
  <c r="K10" i="6" s="1"/>
  <c r="L8" i="6"/>
  <c r="F11" i="6"/>
  <c r="G11" i="6" s="1"/>
  <c r="I11" i="6" s="1"/>
  <c r="I9" i="3"/>
  <c r="L9" i="3" s="1"/>
  <c r="H10" i="3"/>
  <c r="I10" i="3"/>
  <c r="L10" i="3" s="1"/>
  <c r="K9" i="3"/>
  <c r="K10" i="3"/>
  <c r="K8" i="3"/>
  <c r="C12" i="3"/>
  <c r="D12" i="3" s="1"/>
  <c r="E11" i="3"/>
  <c r="F11" i="3" s="1"/>
  <c r="G11" i="3" s="1"/>
  <c r="J11" i="3" s="1"/>
  <c r="K11" i="3" s="1"/>
  <c r="H12" i="2" l="1"/>
  <c r="K12" i="2" s="1"/>
  <c r="J11" i="2"/>
  <c r="J12" i="2"/>
  <c r="F13" i="2"/>
  <c r="G13" i="2"/>
  <c r="D14" i="2"/>
  <c r="E14" i="2" s="1"/>
  <c r="D12" i="6"/>
  <c r="C13" i="6" s="1"/>
  <c r="L10" i="6"/>
  <c r="J10" i="6"/>
  <c r="M10" i="6" s="1"/>
  <c r="F12" i="6"/>
  <c r="G12" i="6" s="1"/>
  <c r="I12" i="6" s="1"/>
  <c r="H11" i="6"/>
  <c r="J11" i="6" s="1"/>
  <c r="I11" i="3"/>
  <c r="L11" i="3" s="1"/>
  <c r="H11" i="3"/>
  <c r="C13" i="3"/>
  <c r="D13" i="3" s="1"/>
  <c r="E12" i="3"/>
  <c r="F12" i="3" s="1"/>
  <c r="D15" i="2" l="1"/>
  <c r="E15" i="2" s="1"/>
  <c r="I13" i="2"/>
  <c r="H13" i="2"/>
  <c r="K13" i="2" s="1"/>
  <c r="F14" i="2"/>
  <c r="G14" i="2"/>
  <c r="D13" i="6"/>
  <c r="C14" i="6" s="1"/>
  <c r="K11" i="6"/>
  <c r="L11" i="6" s="1"/>
  <c r="M11" i="6"/>
  <c r="F13" i="6"/>
  <c r="G13" i="6" s="1"/>
  <c r="I13" i="6" s="1"/>
  <c r="H12" i="6"/>
  <c r="J12" i="6" s="1"/>
  <c r="G12" i="3"/>
  <c r="H12" i="3"/>
  <c r="E14" i="3"/>
  <c r="F14" i="3" s="1"/>
  <c r="E13" i="3"/>
  <c r="F13" i="3" s="1"/>
  <c r="C14" i="3" l="1"/>
  <c r="D14" i="3" s="1"/>
  <c r="I14" i="2"/>
  <c r="J14" i="2" s="1"/>
  <c r="H14" i="2"/>
  <c r="K14" i="2" s="1"/>
  <c r="J13" i="2"/>
  <c r="F15" i="2"/>
  <c r="G15" i="2"/>
  <c r="D14" i="6"/>
  <c r="C15" i="6" s="1"/>
  <c r="H13" i="6"/>
  <c r="J13" i="6" s="1"/>
  <c r="K12" i="6"/>
  <c r="L12" i="6" s="1"/>
  <c r="M12" i="6"/>
  <c r="G13" i="3"/>
  <c r="H13" i="3"/>
  <c r="G14" i="3"/>
  <c r="H14" i="3"/>
  <c r="J12" i="3"/>
  <c r="I12" i="3"/>
  <c r="L12" i="3" s="1"/>
  <c r="F16" i="2" l="1"/>
  <c r="C15" i="3"/>
  <c r="I15" i="2"/>
  <c r="H15" i="2"/>
  <c r="D15" i="6"/>
  <c r="F14" i="6"/>
  <c r="G14" i="6" s="1"/>
  <c r="I14" i="6" s="1"/>
  <c r="K13" i="6"/>
  <c r="L13" i="6" s="1"/>
  <c r="M13" i="6"/>
  <c r="K12" i="3"/>
  <c r="J14" i="3"/>
  <c r="I14" i="3"/>
  <c r="L14" i="3" s="1"/>
  <c r="J13" i="3"/>
  <c r="K13" i="3" s="1"/>
  <c r="I13" i="3"/>
  <c r="L13" i="3" s="1"/>
  <c r="E15" i="3"/>
  <c r="F15" i="3" s="1"/>
  <c r="D15" i="3" l="1"/>
  <c r="J15" i="2"/>
  <c r="C4" i="7" s="1"/>
  <c r="B4" i="7"/>
  <c r="F4" i="7" s="1"/>
  <c r="K15" i="2"/>
  <c r="H14" i="6"/>
  <c r="J14" i="6" s="1"/>
  <c r="K14" i="3"/>
  <c r="G15" i="3"/>
  <c r="H15" i="3"/>
  <c r="E4" i="7" l="1"/>
  <c r="F15" i="6"/>
  <c r="G15" i="6" s="1"/>
  <c r="I15" i="6" s="1"/>
  <c r="K14" i="6"/>
  <c r="L14" i="6" s="1"/>
  <c r="M14" i="6"/>
  <c r="J15" i="3"/>
  <c r="K15" i="3" s="1"/>
  <c r="C5" i="7" s="1"/>
  <c r="I15" i="3"/>
  <c r="H15" i="6" l="1"/>
  <c r="J15" i="6" s="1"/>
  <c r="B5" i="7"/>
  <c r="F5" i="7" s="1"/>
  <c r="L15" i="3"/>
  <c r="E5" i="7" l="1"/>
  <c r="D5" i="7"/>
  <c r="K15" i="6"/>
  <c r="L15" i="6" s="1"/>
  <c r="C6" i="7" s="1"/>
  <c r="B6" i="7"/>
  <c r="F6" i="7" s="1"/>
  <c r="M15" i="6"/>
  <c r="E6" i="7" l="1"/>
  <c r="D6" i="7"/>
</calcChain>
</file>

<file path=xl/sharedStrings.xml><?xml version="1.0" encoding="utf-8"?>
<sst xmlns="http://schemas.openxmlformats.org/spreadsheetml/2006/main" count="146" uniqueCount="75">
  <si>
    <t>Periodo</t>
  </si>
  <si>
    <t>Dt</t>
  </si>
  <si>
    <t>Lt</t>
  </si>
  <si>
    <t>Ft</t>
  </si>
  <si>
    <t>Et</t>
  </si>
  <si>
    <t>At</t>
  </si>
  <si>
    <t>MSE</t>
  </si>
  <si>
    <t>MAD</t>
  </si>
  <si>
    <t>%Error</t>
  </si>
  <si>
    <t>MAPE</t>
  </si>
  <si>
    <t>TSt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</si>
  <si>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</si>
  <si>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</si>
  <si>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</si>
  <si>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</si>
  <si>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</si>
  <si>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</si>
  <si>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</si>
  <si>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</si>
  <si>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</si>
  <si>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</si>
  <si>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</si>
  <si>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</si>
  <si>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</si>
  <si>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</si>
  <si>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</si>
  <si>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</si>
  <si>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</si>
  <si>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</si>
  <si>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</si>
  <si>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</si>
  <si>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</si>
  <si>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</si>
  <si>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</si>
  <si>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</si>
  <si>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Tt</t>
  </si>
  <si>
    <t>FT</t>
  </si>
  <si>
    <t>St</t>
  </si>
  <si>
    <t>Pronóstico</t>
  </si>
  <si>
    <t>Error cuadratico</t>
  </si>
  <si>
    <t>Método</t>
  </si>
  <si>
    <t>Rango TS inf</t>
  </si>
  <si>
    <t>Rango TS sup</t>
  </si>
  <si>
    <t>Desv. Est.</t>
  </si>
  <si>
    <t>Holt</t>
  </si>
  <si>
    <t>Winter</t>
  </si>
  <si>
    <t>Demanda desestacionalizada</t>
  </si>
  <si>
    <t>Variable X 1</t>
  </si>
  <si>
    <t>Demanda desestacionalizada. Ec7.4</t>
  </si>
  <si>
    <t>Factor estacional</t>
  </si>
  <si>
    <t>Alpha</t>
  </si>
  <si>
    <t>Beta</t>
  </si>
  <si>
    <t>Año</t>
  </si>
  <si>
    <t>Lambda</t>
  </si>
  <si>
    <t>Suavización Expo</t>
  </si>
  <si>
    <t>Promedio Móvil</t>
  </si>
  <si>
    <t>Aprobados</t>
  </si>
  <si>
    <t>APROBADOS</t>
  </si>
  <si>
    <t>2010-fa</t>
  </si>
  <si>
    <t>2011-fa</t>
  </si>
  <si>
    <t>2012-fa</t>
  </si>
  <si>
    <t>2013-fa</t>
  </si>
  <si>
    <t>2014-fa</t>
  </si>
  <si>
    <t>2015-fa</t>
  </si>
  <si>
    <t>2016-fa</t>
  </si>
  <si>
    <t>2017-fa</t>
  </si>
  <si>
    <t>2018-fa</t>
  </si>
  <si>
    <t>2019-fa</t>
  </si>
  <si>
    <t>2020-fa</t>
  </si>
  <si>
    <t>2021-fa</t>
  </si>
  <si>
    <t>2022-fa</t>
  </si>
  <si>
    <t>Predicción 2024</t>
  </si>
  <si>
    <t>ESTIMACIONES DE ERROR DE LOS PRONÓSTICOS-APROBADOS Otoño (Fall)</t>
  </si>
  <si>
    <t>Modelo</t>
  </si>
  <si>
    <t>APROBADOS Otoño (Fall)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</si>
</sst>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9" applyNumberFormat="0" applyAlignment="0" applyProtection="0"/>
    <xf numFmtId="0" fontId="12" fillId="8" borderId="10" applyNumberFormat="0" applyAlignment="0" applyProtection="0"/>
    <xf numFmtId="0" fontId="13" fillId="8" borderId="9" applyNumberFormat="0" applyAlignment="0" applyProtection="0"/>
    <xf numFmtId="0" fontId="14" fillId="0" borderId="11" applyNumberFormat="0" applyFill="0" applyAlignment="0" applyProtection="0"/>
    <xf numFmtId="0" fontId="15" fillId="9" borderId="12" applyNumberFormat="0" applyAlignment="0" applyProtection="0"/>
    <xf numFmtId="0" fontId="16" fillId="0" borderId="0" applyNumberFormat="0" applyFill="0" applyBorder="0" applyAlignment="0" applyProtection="0"/>
    <xf numFmtId="0" fontId="3" fillId="10" borderId="13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8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8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1" xfId="0" applyBorder="1" applyAlignment="1">
      <alignment horizontal="left"/>
    </xf>
    <xf numFmtId="4" fontId="0" fillId="0" borderId="1" xfId="0" applyNumberFormat="1" applyBorder="1"/>
    <xf numFmtId="3" fontId="0" fillId="0" borderId="1" xfId="0" applyNumberFormat="1" applyBorder="1"/>
    <xf numFmtId="3" fontId="1" fillId="0" borderId="1" xfId="0" applyNumberFormat="1" applyFont="1" applyBorder="1"/>
    <xf numFmtId="3" fontId="0" fillId="0" borderId="0" xfId="0" applyNumberFormat="1"/>
    <xf numFmtId="3" fontId="0" fillId="35" borderId="1" xfId="0" applyNumberForma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5" borderId="0" xfId="0" applyFill="1"/>
    <xf numFmtId="0" fontId="0" fillId="35" borderId="2" xfId="0" applyFill="1" applyBorder="1"/>
    <xf numFmtId="2" fontId="0" fillId="35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4" fontId="0" fillId="35" borderId="1" xfId="0" applyNumberFormat="1" applyFill="1" applyBorder="1"/>
    <xf numFmtId="4" fontId="0" fillId="36" borderId="1" xfId="0" applyNumberFormat="1" applyFill="1" applyBorder="1"/>
    <xf numFmtId="3" fontId="0" fillId="36" borderId="1" xfId="0" applyNumberFormat="1" applyFill="1" applyBorder="1"/>
    <xf numFmtId="165" fontId="0" fillId="36" borderId="1" xfId="0" applyNumberFormat="1" applyFill="1" applyBorder="1"/>
    <xf numFmtId="164" fontId="0" fillId="35" borderId="1" xfId="0" applyNumberFormat="1" applyFill="1" applyBorder="1"/>
    <xf numFmtId="1" fontId="0" fillId="35" borderId="1" xfId="0" applyNumberFormat="1" applyFill="1" applyBorder="1"/>
    <xf numFmtId="0" fontId="0" fillId="36" borderId="1" xfId="0" applyFill="1" applyBorder="1"/>
    <xf numFmtId="2" fontId="0" fillId="36" borderId="1" xfId="0" applyNumberFormat="1" applyFill="1" applyBorder="1"/>
    <xf numFmtId="1" fontId="1" fillId="3" borderId="1" xfId="0" applyNumberFormat="1" applyFont="1" applyFill="1" applyBorder="1"/>
    <xf numFmtId="3" fontId="0" fillId="37" borderId="1" xfId="0" applyNumberFormat="1" applyFill="1" applyBorder="1"/>
    <xf numFmtId="0" fontId="0" fillId="37" borderId="1" xfId="0" applyFill="1" applyBorder="1"/>
    <xf numFmtId="0" fontId="1" fillId="2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5" borderId="1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'Datos_APROBADOS-OTOÑO'!$C$1</c:f>
              <c:strCache>
                <c:ptCount val="1"/>
                <c:pt idx="0">
                  <c:v>Aprobados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349300087489065E-2"/>
                  <c:y val="-0.10378353747448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'Datos_APROBADOS-OTOÑO'!$B$2:$B$14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'Datos_APROBADOS-OTOÑO'!$C$2:$C$14</c:f>
              <c:numCache>
                <c:formatCode>#,##0</c:formatCode>
                <c:ptCount val="13"/>
                <c:pt idx="0">
                  <c:v>137645</c:v>
                </c:pt>
                <c:pt idx="1">
                  <c:v>141384</c:v>
                </c:pt>
                <c:pt idx="2">
                  <c:v>135946</c:v>
                </c:pt>
                <c:pt idx="3">
                  <c:v>140797</c:v>
                </c:pt>
                <c:pt idx="4">
                  <c:v>139452</c:v>
                </c:pt>
                <c:pt idx="5">
                  <c:v>145254</c:v>
                </c:pt>
                <c:pt idx="6">
                  <c:v>149215</c:v>
                </c:pt>
                <c:pt idx="7">
                  <c:v>151058</c:v>
                </c:pt>
                <c:pt idx="8">
                  <c:v>156073</c:v>
                </c:pt>
                <c:pt idx="9">
                  <c:v>161725</c:v>
                </c:pt>
                <c:pt idx="10">
                  <c:v>154876</c:v>
                </c:pt>
                <c:pt idx="11">
                  <c:v>171245</c:v>
                </c:pt>
                <c:pt idx="12">
                  <c:v>176902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1-4CC2-B124-226F238B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379279"/>
        <c:axId val="1402380239"/>
      </c:scatterChart>
      <c:valAx>
        <c:axId val="140237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02380239"/>
        <c:crosses val="autoZero"/>
        <c:crossBetween val="midCat"/>
      </c:valAx>
      <c:valAx>
        <c:axId val="14023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A"/>
                  <a:t>Cantidad</a:t>
                </a:r>
                <a:r>
                  <a:rPr lang="es-PA" baseline="0"/>
                  <a:t> de Aprobados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40237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119062</xdr:rowOff>
    </xdr:from>
    <xdr:to>
      <xdr:col>9</xdr:col>
      <xdr:colOff>333375</xdr:colOff>
      <xdr:row>15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1BD3A2-0D49-2F5E-7C62-3747D1961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7</xdr:row>
      <xdr:rowOff>57150</xdr:rowOff>
    </xdr:from>
    <xdr:to>
      <xdr:col>4</xdr:col>
      <xdr:colOff>772584</xdr:colOff>
      <xdr:row>13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4D12B-691D-48D5-9B86-D9A1C7700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994" t="34427" r="39888" b="53360"/>
        <a:stretch/>
      </xdr:blipFill>
      <xdr:spPr>
        <a:xfrm>
          <a:off x="66675" y="1390650"/>
          <a:ext cx="4401609" cy="12096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45905-A6FB-437D-91DB-A4920B0D1634}">
  <dimension ref="A1:C14"/>
  <sheetViews>
    <sheetView tabSelected="1" workbookViewId="0">
      <selection activeCell="E22" sqref="E22"/>
    </sheetView>
  </sheetViews>
  <sheetFormatPr baseColWidth="10" defaultRowHeight="15" x14ac:dyDescent="0.25"/>
  <cols>
    <col min="1" max="1" width="7.28515625" customWidth="1"/>
    <col min="3" max="3" width="13" customWidth="1"/>
  </cols>
  <sheetData>
    <row r="1" spans="1:3" x14ac:dyDescent="0.25">
      <c r="A1" s="41" t="s">
        <v>52</v>
      </c>
      <c r="B1" s="41" t="s">
        <v>0</v>
      </c>
      <c r="C1" s="41" t="s">
        <v>56</v>
      </c>
    </row>
    <row r="2" spans="1:3" x14ac:dyDescent="0.25">
      <c r="A2" s="14" t="s">
        <v>58</v>
      </c>
      <c r="B2" s="6">
        <v>1</v>
      </c>
      <c r="C2" s="16">
        <v>137645</v>
      </c>
    </row>
    <row r="3" spans="1:3" x14ac:dyDescent="0.25">
      <c r="A3" s="14" t="s">
        <v>59</v>
      </c>
      <c r="B3" s="6">
        <v>2</v>
      </c>
      <c r="C3" s="16">
        <v>141384</v>
      </c>
    </row>
    <row r="4" spans="1:3" x14ac:dyDescent="0.25">
      <c r="A4" s="14" t="s">
        <v>60</v>
      </c>
      <c r="B4" s="6">
        <v>3</v>
      </c>
      <c r="C4" s="16">
        <v>135946</v>
      </c>
    </row>
    <row r="5" spans="1:3" x14ac:dyDescent="0.25">
      <c r="A5" s="14" t="s">
        <v>61</v>
      </c>
      <c r="B5" s="6">
        <v>4</v>
      </c>
      <c r="C5" s="16">
        <v>140797</v>
      </c>
    </row>
    <row r="6" spans="1:3" x14ac:dyDescent="0.25">
      <c r="A6" s="14" t="s">
        <v>62</v>
      </c>
      <c r="B6" s="6">
        <v>5</v>
      </c>
      <c r="C6" s="16">
        <v>139452</v>
      </c>
    </row>
    <row r="7" spans="1:3" x14ac:dyDescent="0.25">
      <c r="A7" s="14" t="s">
        <v>63</v>
      </c>
      <c r="B7" s="6">
        <v>6</v>
      </c>
      <c r="C7" s="16">
        <v>145254</v>
      </c>
    </row>
    <row r="8" spans="1:3" x14ac:dyDescent="0.25">
      <c r="A8" s="14" t="s">
        <v>64</v>
      </c>
      <c r="B8" s="6">
        <v>7</v>
      </c>
      <c r="C8" s="16">
        <v>149215</v>
      </c>
    </row>
    <row r="9" spans="1:3" x14ac:dyDescent="0.25">
      <c r="A9" s="14" t="s">
        <v>65</v>
      </c>
      <c r="B9" s="6">
        <v>8</v>
      </c>
      <c r="C9" s="16">
        <v>151058</v>
      </c>
    </row>
    <row r="10" spans="1:3" x14ac:dyDescent="0.25">
      <c r="A10" s="14" t="s">
        <v>66</v>
      </c>
      <c r="B10" s="6">
        <v>9</v>
      </c>
      <c r="C10" s="16">
        <v>156073</v>
      </c>
    </row>
    <row r="11" spans="1:3" x14ac:dyDescent="0.25">
      <c r="A11" s="14" t="s">
        <v>67</v>
      </c>
      <c r="B11" s="6">
        <v>10</v>
      </c>
      <c r="C11" s="16">
        <v>161725</v>
      </c>
    </row>
    <row r="12" spans="1:3" x14ac:dyDescent="0.25">
      <c r="A12" s="14" t="s">
        <v>68</v>
      </c>
      <c r="B12" s="6">
        <v>11</v>
      </c>
      <c r="C12" s="16">
        <v>154876</v>
      </c>
    </row>
    <row r="13" spans="1:3" x14ac:dyDescent="0.25">
      <c r="A13" s="14" t="s">
        <v>69</v>
      </c>
      <c r="B13" s="6">
        <v>12</v>
      </c>
      <c r="C13" s="16">
        <v>171245</v>
      </c>
    </row>
    <row r="14" spans="1:3" x14ac:dyDescent="0.25">
      <c r="A14" s="14" t="s">
        <v>70</v>
      </c>
      <c r="B14" s="6">
        <v>13</v>
      </c>
      <c r="C14" s="16">
        <v>176902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4371-5962-4B6D-812A-81FC13929716}">
  <dimension ref="A1:K14"/>
  <sheetViews>
    <sheetView workbookViewId="0">
      <selection activeCell="D14" sqref="D14"/>
    </sheetView>
  </sheetViews>
  <sheetFormatPr baseColWidth="10" defaultRowHeight="15" x14ac:dyDescent="0.25"/>
  <cols>
    <col min="3" max="3" width="14.140625" customWidth="1"/>
    <col min="4" max="6" width="11.5703125" bestFit="1" customWidth="1"/>
    <col min="7" max="7" width="13.5703125" bestFit="1" customWidth="1"/>
    <col min="8" max="8" width="12.7109375" bestFit="1" customWidth="1"/>
    <col min="9" max="11" width="11.5703125" bestFit="1" customWidth="1"/>
  </cols>
  <sheetData>
    <row r="1" spans="1:11" x14ac:dyDescent="0.25">
      <c r="A1" s="1" t="s">
        <v>0</v>
      </c>
      <c r="B1" s="1" t="s">
        <v>56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7">
        <v>137645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2</v>
      </c>
      <c r="B3" s="17">
        <v>141384</v>
      </c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1">
        <v>3</v>
      </c>
      <c r="B4" s="17">
        <v>135946</v>
      </c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">
        <v>4</v>
      </c>
      <c r="B5" s="17">
        <v>140797</v>
      </c>
      <c r="C5" s="16">
        <f>+AVERAGE(B2:B5)</f>
        <v>138943</v>
      </c>
      <c r="D5" s="16"/>
      <c r="E5" s="16"/>
      <c r="F5" s="16"/>
      <c r="G5" s="16"/>
      <c r="H5" s="16"/>
      <c r="I5" s="16"/>
      <c r="J5" s="16"/>
      <c r="K5" s="16"/>
    </row>
    <row r="6" spans="1:11" x14ac:dyDescent="0.25">
      <c r="A6" s="1">
        <v>5</v>
      </c>
      <c r="B6" s="17">
        <v>139452</v>
      </c>
      <c r="C6" s="16">
        <f t="shared" ref="C6:C14" si="0">+AVERAGE(B3:B6)</f>
        <v>139394.75</v>
      </c>
      <c r="D6" s="16">
        <f>+C5</f>
        <v>138943</v>
      </c>
      <c r="E6" s="16">
        <f>+D6-B6</f>
        <v>-509</v>
      </c>
      <c r="F6" s="16">
        <f>+ABS(E6)</f>
        <v>509</v>
      </c>
      <c r="G6" s="16">
        <f>+SUMSQ($E$6:E6)/(A6-4)</f>
        <v>259081</v>
      </c>
      <c r="H6" s="16">
        <f>+SUM($F$6:F6)/(A6-4)</f>
        <v>509</v>
      </c>
      <c r="I6" s="16">
        <f>+(F6/B6)*100</f>
        <v>0.36500014341852394</v>
      </c>
      <c r="J6" s="16">
        <f>+AVERAGE($I$6:I6)</f>
        <v>0.36500014341852394</v>
      </c>
      <c r="K6" s="19">
        <f>+SUM($E$6:E6)/H6</f>
        <v>-1</v>
      </c>
    </row>
    <row r="7" spans="1:11" x14ac:dyDescent="0.25">
      <c r="A7" s="1">
        <v>6</v>
      </c>
      <c r="B7" s="17">
        <v>145254</v>
      </c>
      <c r="C7" s="16">
        <f t="shared" si="0"/>
        <v>140362.25</v>
      </c>
      <c r="D7" s="16">
        <f t="shared" ref="D7:D14" si="1">+C6</f>
        <v>139394.75</v>
      </c>
      <c r="E7" s="16">
        <f t="shared" ref="E7:E14" si="2">+D7-B7</f>
        <v>-5859.25</v>
      </c>
      <c r="F7" s="16">
        <f t="shared" ref="F7:F14" si="3">+ABS(E7)</f>
        <v>5859.25</v>
      </c>
      <c r="G7" s="16">
        <f>+SUMSQ($E$6:E7)/(A7-4)</f>
        <v>17294945.78125</v>
      </c>
      <c r="H7" s="16">
        <f>+SUM($F$6:F7)/(A7-4)</f>
        <v>3184.125</v>
      </c>
      <c r="I7" s="16">
        <f t="shared" ref="I7:I14" si="4">+(F7/B7)*100</f>
        <v>4.0337959711952855</v>
      </c>
      <c r="J7" s="16">
        <f>+AVERAGE($I$6:I7)</f>
        <v>2.1993980573069045</v>
      </c>
      <c r="K7" s="16">
        <f>+SUM($E$6:E7)/H7</f>
        <v>-2</v>
      </c>
    </row>
    <row r="8" spans="1:11" x14ac:dyDescent="0.25">
      <c r="A8" s="1">
        <v>7</v>
      </c>
      <c r="B8" s="17">
        <v>149215</v>
      </c>
      <c r="C8" s="16">
        <f t="shared" si="0"/>
        <v>143679.5</v>
      </c>
      <c r="D8" s="16">
        <f t="shared" si="1"/>
        <v>140362.25</v>
      </c>
      <c r="E8" s="16">
        <f t="shared" si="2"/>
        <v>-8852.75</v>
      </c>
      <c r="F8" s="16">
        <f t="shared" si="3"/>
        <v>8852.75</v>
      </c>
      <c r="G8" s="16">
        <f>+SUMSQ($E$6:E8)/(A8-4)</f>
        <v>37653691.375</v>
      </c>
      <c r="H8" s="16">
        <f>+SUM($F$6:F8)/(A8-4)</f>
        <v>5073.666666666667</v>
      </c>
      <c r="I8" s="16">
        <f t="shared" si="4"/>
        <v>5.9328820829005124</v>
      </c>
      <c r="J8" s="16">
        <f>+AVERAGE($I$6:I8)</f>
        <v>3.4438927325047737</v>
      </c>
      <c r="K8" s="16">
        <f>+SUM($E$6:E8)/H8</f>
        <v>-3</v>
      </c>
    </row>
    <row r="9" spans="1:11" x14ac:dyDescent="0.25">
      <c r="A9" s="1">
        <v>8</v>
      </c>
      <c r="B9" s="17">
        <v>151058</v>
      </c>
      <c r="C9" s="16">
        <f t="shared" si="0"/>
        <v>146244.75</v>
      </c>
      <c r="D9" s="16">
        <f t="shared" si="1"/>
        <v>143679.5</v>
      </c>
      <c r="E9" s="16">
        <f t="shared" si="2"/>
        <v>-7378.5</v>
      </c>
      <c r="F9" s="16">
        <f t="shared" si="3"/>
        <v>7378.5</v>
      </c>
      <c r="G9" s="16">
        <f>+SUMSQ($E$6:E9)/(A9-4)</f>
        <v>41850834.09375</v>
      </c>
      <c r="H9" s="16">
        <f>+SUM($F$6:F9)/(A9-4)</f>
        <v>5649.875</v>
      </c>
      <c r="I9" s="16">
        <f t="shared" si="4"/>
        <v>4.8845476571912769</v>
      </c>
      <c r="J9" s="16">
        <f>+AVERAGE($I$6:I9)</f>
        <v>3.8040564636763996</v>
      </c>
      <c r="K9" s="16">
        <f>+SUM($E$6:E9)/H9</f>
        <v>-4</v>
      </c>
    </row>
    <row r="10" spans="1:11" x14ac:dyDescent="0.25">
      <c r="A10" s="1">
        <v>9</v>
      </c>
      <c r="B10" s="17">
        <v>156073</v>
      </c>
      <c r="C10" s="16">
        <f t="shared" si="0"/>
        <v>150400</v>
      </c>
      <c r="D10" s="16">
        <f t="shared" si="1"/>
        <v>146244.75</v>
      </c>
      <c r="E10" s="16">
        <f t="shared" si="2"/>
        <v>-9828.25</v>
      </c>
      <c r="F10" s="16">
        <f t="shared" si="3"/>
        <v>9828.25</v>
      </c>
      <c r="G10" s="16">
        <f>+SUMSQ($E$6:E10)/(A10-4)</f>
        <v>52799566.887500003</v>
      </c>
      <c r="H10" s="16">
        <f>+SUM($F$6:F10)/(A10-4)</f>
        <v>6485.55</v>
      </c>
      <c r="I10" s="16">
        <f t="shared" si="4"/>
        <v>6.2972134834340343</v>
      </c>
      <c r="J10" s="16">
        <f>+AVERAGE($I$6:I10)</f>
        <v>4.3026878676279265</v>
      </c>
      <c r="K10" s="16">
        <f>+SUM($E$6:E10)/H10</f>
        <v>-5</v>
      </c>
    </row>
    <row r="11" spans="1:11" x14ac:dyDescent="0.25">
      <c r="A11" s="1">
        <v>10</v>
      </c>
      <c r="B11" s="17">
        <v>161725</v>
      </c>
      <c r="C11" s="16">
        <f t="shared" si="0"/>
        <v>154517.75</v>
      </c>
      <c r="D11" s="16">
        <f t="shared" si="1"/>
        <v>150400</v>
      </c>
      <c r="E11" s="16">
        <f t="shared" si="2"/>
        <v>-11325</v>
      </c>
      <c r="F11" s="16">
        <f t="shared" si="3"/>
        <v>11325</v>
      </c>
      <c r="G11" s="16">
        <f>+SUMSQ($E$6:E11)/(A11-4)</f>
        <v>65375576.572916664</v>
      </c>
      <c r="H11" s="16">
        <f>+SUM($F$6:F11)/(A11-4)</f>
        <v>7292.125</v>
      </c>
      <c r="I11" s="16">
        <f t="shared" si="4"/>
        <v>7.0026279177616324</v>
      </c>
      <c r="J11" s="16">
        <f>+AVERAGE($I$6:I11)</f>
        <v>4.7526778759835446</v>
      </c>
      <c r="K11" s="16">
        <f>+SUM($E$6:E11)/H11</f>
        <v>-6</v>
      </c>
    </row>
    <row r="12" spans="1:11" x14ac:dyDescent="0.25">
      <c r="A12" s="1">
        <v>11</v>
      </c>
      <c r="B12" s="17">
        <v>154876</v>
      </c>
      <c r="C12" s="16">
        <f t="shared" si="0"/>
        <v>155933</v>
      </c>
      <c r="D12" s="16">
        <f t="shared" si="1"/>
        <v>154517.75</v>
      </c>
      <c r="E12" s="16">
        <f t="shared" si="2"/>
        <v>-358.25</v>
      </c>
      <c r="F12" s="16">
        <f t="shared" si="3"/>
        <v>358.25</v>
      </c>
      <c r="G12" s="16">
        <f>+SUMSQ($E$6:E12)/(A12-4)</f>
        <v>56054543.214285716</v>
      </c>
      <c r="H12" s="16">
        <f>+SUM($F$6:F12)/(A12-4)</f>
        <v>6301.5714285714284</v>
      </c>
      <c r="I12" s="16">
        <f t="shared" si="4"/>
        <v>0.23131408352488442</v>
      </c>
      <c r="J12" s="16">
        <f>+AVERAGE($I$6:I12)</f>
        <v>4.1067687627751646</v>
      </c>
      <c r="K12" s="16">
        <f>+SUM($E$6:E12)/H12</f>
        <v>-7</v>
      </c>
    </row>
    <row r="13" spans="1:11" x14ac:dyDescent="0.25">
      <c r="A13" s="1">
        <v>12</v>
      </c>
      <c r="B13" s="17">
        <v>171245</v>
      </c>
      <c r="C13" s="16">
        <f t="shared" si="0"/>
        <v>160979.75</v>
      </c>
      <c r="D13" s="16">
        <f t="shared" si="1"/>
        <v>155933</v>
      </c>
      <c r="E13" s="16">
        <f t="shared" si="2"/>
        <v>-15312</v>
      </c>
      <c r="F13" s="16">
        <f t="shared" si="3"/>
        <v>15312</v>
      </c>
      <c r="G13" s="16">
        <f>+SUMSQ($E$6:E13)/(A13-4)</f>
        <v>78354893.3125</v>
      </c>
      <c r="H13" s="16">
        <f>+SUM($F$6:F13)/(A13-4)</f>
        <v>7427.875</v>
      </c>
      <c r="I13" s="16">
        <f t="shared" si="4"/>
        <v>8.9415749364944972</v>
      </c>
      <c r="J13" s="16">
        <f>+AVERAGE($I$6:I13)</f>
        <v>4.7111195344900807</v>
      </c>
      <c r="K13" s="16">
        <f>+SUM($E$6:E13)/H13</f>
        <v>-8</v>
      </c>
    </row>
    <row r="14" spans="1:11" x14ac:dyDescent="0.25">
      <c r="A14" s="1">
        <v>13</v>
      </c>
      <c r="B14" s="17">
        <v>176902</v>
      </c>
      <c r="C14" s="16">
        <f t="shared" si="0"/>
        <v>166187</v>
      </c>
      <c r="D14" s="37">
        <f t="shared" si="1"/>
        <v>160979.75</v>
      </c>
      <c r="E14" s="16">
        <f t="shared" si="2"/>
        <v>-15922.25</v>
      </c>
      <c r="F14" s="16">
        <f t="shared" si="3"/>
        <v>15922.25</v>
      </c>
      <c r="G14" s="16">
        <f>+SUMSQ($E$6:E14)/(A14-4)</f>
        <v>97817465.729166672</v>
      </c>
      <c r="H14" s="19">
        <f>+SUM($F$6:F14)/(A14-4)</f>
        <v>8371.6944444444453</v>
      </c>
      <c r="I14" s="16">
        <f t="shared" si="4"/>
        <v>9.0006048546652941</v>
      </c>
      <c r="J14" s="19">
        <f>+AVERAGE($I$6:I14)</f>
        <v>5.1877290145095492</v>
      </c>
      <c r="K14" s="19">
        <f>+SUM($E$6:E14)/H14</f>
        <v>-9</v>
      </c>
    </row>
  </sheetData>
  <pageMargins left="0.7" right="0.7" top="0.75" bottom="0.75" header="0.3" footer="0.3"/>
  <ignoredErrors>
    <ignoredError sqref="C5 C6:C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E090B-8F4B-4923-8B9A-38C0014DAF02}">
  <dimension ref="A1:K18"/>
  <sheetViews>
    <sheetView workbookViewId="0">
      <selection activeCell="D35" sqref="D35"/>
    </sheetView>
  </sheetViews>
  <sheetFormatPr baseColWidth="10" defaultRowHeight="15" x14ac:dyDescent="0.25"/>
  <cols>
    <col min="2" max="2" width="13" customWidth="1"/>
    <col min="3" max="5" width="11.5703125" bestFit="1" customWidth="1"/>
    <col min="6" max="6" width="12.140625" bestFit="1" customWidth="1"/>
    <col min="7" max="7" width="14.5703125" bestFit="1" customWidth="1"/>
    <col min="8" max="8" width="12.140625" bestFit="1" customWidth="1"/>
    <col min="9" max="11" width="11.5703125" bestFit="1" customWidth="1"/>
  </cols>
  <sheetData>
    <row r="1" spans="1:11" x14ac:dyDescent="0.25">
      <c r="A1" s="1" t="s">
        <v>0</v>
      </c>
      <c r="B1" s="1" t="s">
        <v>57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0</v>
      </c>
      <c r="B2" s="2"/>
      <c r="C2" s="17">
        <f>+AVERAGE(B3:B15)</f>
        <v>150890.15384615384</v>
      </c>
      <c r="D2" s="2"/>
      <c r="E2" s="2"/>
      <c r="F2" s="2"/>
      <c r="G2" s="2"/>
      <c r="H2" s="2"/>
      <c r="I2" s="2"/>
      <c r="J2" s="2"/>
      <c r="K2" s="2"/>
    </row>
    <row r="3" spans="1:11" x14ac:dyDescent="0.25">
      <c r="A3" s="1">
        <v>1</v>
      </c>
      <c r="B3" s="17">
        <v>137645</v>
      </c>
      <c r="C3" s="16">
        <f t="shared" ref="C3:C15" si="0">+($B$18*B3)+((1-$B$18)*C2)</f>
        <v>149565.63846153847</v>
      </c>
      <c r="D3" s="16">
        <f>+C2</f>
        <v>150890.15384615384</v>
      </c>
      <c r="E3" s="16">
        <f>+D3-B3</f>
        <v>13245.153846153844</v>
      </c>
      <c r="F3" s="16">
        <f>+ABS(E3)</f>
        <v>13245.153846153844</v>
      </c>
      <c r="G3" s="16">
        <f>+SUMSQ($E$3:E3)/A3</f>
        <v>175434100.40828398</v>
      </c>
      <c r="H3" s="16">
        <f>+SUM($F$3:F3)/A3</f>
        <v>13245.153846153844</v>
      </c>
      <c r="I3" s="16">
        <f>+(F3/B3)*100</f>
        <v>9.6226915951569936</v>
      </c>
      <c r="J3" s="16">
        <f>+AVERAGE($I$3:I3)</f>
        <v>9.6226915951569936</v>
      </c>
      <c r="K3" s="15">
        <f>+SUM($E$3:E3)/H3</f>
        <v>1</v>
      </c>
    </row>
    <row r="4" spans="1:11" x14ac:dyDescent="0.25">
      <c r="A4" s="1">
        <v>2</v>
      </c>
      <c r="B4" s="17">
        <v>141384</v>
      </c>
      <c r="C4" s="16">
        <f t="shared" si="0"/>
        <v>148747.47461538462</v>
      </c>
      <c r="D4" s="16">
        <f t="shared" ref="D4:D15" si="1">+C3</f>
        <v>149565.63846153847</v>
      </c>
      <c r="E4" s="16">
        <f t="shared" ref="E4:E15" si="2">+D4-B4</f>
        <v>8181.6384615384741</v>
      </c>
      <c r="F4" s="16">
        <f t="shared" ref="F4:F15" si="3">+ABS(E4)</f>
        <v>8181.6384615384741</v>
      </c>
      <c r="G4" s="16">
        <f>+SUMSQ($E$3:E4)/A4</f>
        <v>121186654.16180481</v>
      </c>
      <c r="H4" s="16">
        <f>+SUM($F$3:F4)/A4</f>
        <v>10713.396153846159</v>
      </c>
      <c r="I4" s="16">
        <f t="shared" ref="I4:I15" si="4">+(F4/B4)*100</f>
        <v>5.7868206172823475</v>
      </c>
      <c r="J4" s="16">
        <f>+AVERAGE($I$3:I4)</f>
        <v>7.704756106219671</v>
      </c>
      <c r="K4" s="15">
        <f>+SUM($E$3:E4)/H4</f>
        <v>2</v>
      </c>
    </row>
    <row r="5" spans="1:11" x14ac:dyDescent="0.25">
      <c r="A5" s="1">
        <v>3</v>
      </c>
      <c r="B5" s="17">
        <v>135946</v>
      </c>
      <c r="C5" s="16">
        <f t="shared" si="0"/>
        <v>147467.32715384616</v>
      </c>
      <c r="D5" s="16">
        <f t="shared" si="1"/>
        <v>148747.47461538462</v>
      </c>
      <c r="E5" s="16">
        <f t="shared" si="2"/>
        <v>12801.474615384621</v>
      </c>
      <c r="F5" s="16">
        <f t="shared" si="3"/>
        <v>12801.474615384621</v>
      </c>
      <c r="G5" s="16">
        <f>+SUMSQ($E$3:E5)/A5</f>
        <v>135417020.21731547</v>
      </c>
      <c r="H5" s="16">
        <f>+SUM($F$3:F5)/A5</f>
        <v>11409.422307692314</v>
      </c>
      <c r="I5" s="16">
        <f t="shared" si="4"/>
        <v>9.4165879212221171</v>
      </c>
      <c r="J5" s="16">
        <f>+AVERAGE($I$3:I5)</f>
        <v>8.2753667112204869</v>
      </c>
      <c r="K5" s="15">
        <f>+SUM($E$3:E5)/H5</f>
        <v>3</v>
      </c>
    </row>
    <row r="6" spans="1:11" x14ac:dyDescent="0.25">
      <c r="A6" s="1">
        <v>4</v>
      </c>
      <c r="B6" s="17">
        <v>140797</v>
      </c>
      <c r="C6" s="16">
        <f t="shared" si="0"/>
        <v>146800.29443846157</v>
      </c>
      <c r="D6" s="16">
        <f t="shared" si="1"/>
        <v>147467.32715384616</v>
      </c>
      <c r="E6" s="16">
        <f t="shared" si="2"/>
        <v>6670.3271538461559</v>
      </c>
      <c r="F6" s="16">
        <f t="shared" si="3"/>
        <v>6670.3271538461559</v>
      </c>
      <c r="G6" s="16">
        <f>+SUMSQ($E$3:E6)/A6</f>
        <v>112686081.24782094</v>
      </c>
      <c r="H6" s="16">
        <f>+SUM($F$3:F6)/A6</f>
        <v>10224.648519230774</v>
      </c>
      <c r="I6" s="16">
        <f t="shared" si="4"/>
        <v>4.7375492047743597</v>
      </c>
      <c r="J6" s="16">
        <f>+AVERAGE($I$3:I6)</f>
        <v>7.3909123346089549</v>
      </c>
      <c r="K6" s="15">
        <f>+SUM($E$3:E6)/H6</f>
        <v>4</v>
      </c>
    </row>
    <row r="7" spans="1:11" x14ac:dyDescent="0.25">
      <c r="A7" s="1">
        <v>5</v>
      </c>
      <c r="B7" s="17">
        <v>139452</v>
      </c>
      <c r="C7" s="16">
        <f t="shared" si="0"/>
        <v>146065.46499461544</v>
      </c>
      <c r="D7" s="16">
        <f t="shared" si="1"/>
        <v>146800.29443846157</v>
      </c>
      <c r="E7" s="16">
        <f t="shared" si="2"/>
        <v>7348.2944384615694</v>
      </c>
      <c r="F7" s="16">
        <f t="shared" si="3"/>
        <v>7348.2944384615694</v>
      </c>
      <c r="G7" s="16">
        <f>+SUMSQ($E$3:E7)/A7</f>
        <v>100948351.2291218</v>
      </c>
      <c r="H7" s="16">
        <f>+SUM($F$3:F7)/A7</f>
        <v>9649.3777030769324</v>
      </c>
      <c r="I7" s="16">
        <f t="shared" si="4"/>
        <v>5.26940770907665</v>
      </c>
      <c r="J7" s="16">
        <f>+AVERAGE($I$3:I7)</f>
        <v>6.9666114095024936</v>
      </c>
      <c r="K7" s="15">
        <f>+SUM($E$3:E7)/H7</f>
        <v>5</v>
      </c>
    </row>
    <row r="8" spans="1:11" x14ac:dyDescent="0.25">
      <c r="A8" s="1">
        <v>6</v>
      </c>
      <c r="B8" s="17">
        <v>145254</v>
      </c>
      <c r="C8" s="16">
        <f t="shared" si="0"/>
        <v>145984.31849515389</v>
      </c>
      <c r="D8" s="16">
        <f t="shared" si="1"/>
        <v>146065.46499461544</v>
      </c>
      <c r="E8" s="16">
        <f t="shared" si="2"/>
        <v>811.46499461543863</v>
      </c>
      <c r="F8" s="16">
        <f t="shared" si="3"/>
        <v>811.46499461543863</v>
      </c>
      <c r="G8" s="16">
        <f>+SUMSQ($E$3:E8)/A8</f>
        <v>84233371.93051587</v>
      </c>
      <c r="H8" s="16">
        <f>+SUM($F$3:F8)/A8</f>
        <v>8176.3922516666835</v>
      </c>
      <c r="I8" s="16">
        <f t="shared" si="4"/>
        <v>0.55865242583022756</v>
      </c>
      <c r="J8" s="16">
        <f>+AVERAGE($I$3:I8)</f>
        <v>5.8986182455571159</v>
      </c>
      <c r="K8" s="15">
        <f>+SUM($E$3:E8)/H8</f>
        <v>6</v>
      </c>
    </row>
    <row r="9" spans="1:11" x14ac:dyDescent="0.25">
      <c r="A9" s="1">
        <v>7</v>
      </c>
      <c r="B9" s="17">
        <v>149215</v>
      </c>
      <c r="C9" s="16">
        <f t="shared" si="0"/>
        <v>146307.3866456385</v>
      </c>
      <c r="D9" s="16">
        <f t="shared" si="1"/>
        <v>145984.31849515389</v>
      </c>
      <c r="E9" s="16">
        <f t="shared" si="2"/>
        <v>-3230.681504846114</v>
      </c>
      <c r="F9" s="16">
        <f t="shared" si="3"/>
        <v>3230.681504846114</v>
      </c>
      <c r="G9" s="16">
        <f>+SUMSQ($E$3:E9)/A9</f>
        <v>73691076.366978571</v>
      </c>
      <c r="H9" s="16">
        <f>+SUM($F$3:F9)/A9</f>
        <v>7469.8621449780312</v>
      </c>
      <c r="I9" s="16">
        <f t="shared" si="4"/>
        <v>2.1651184564863546</v>
      </c>
      <c r="J9" s="16">
        <f>+AVERAGE($I$3:I9)</f>
        <v>5.3652611328327211</v>
      </c>
      <c r="K9" s="28">
        <f>+SUM($E$3:E9)/H9</f>
        <v>6.1350090692053554</v>
      </c>
    </row>
    <row r="10" spans="1:11" x14ac:dyDescent="0.25">
      <c r="A10" s="1">
        <v>8</v>
      </c>
      <c r="B10" s="17">
        <v>151058</v>
      </c>
      <c r="C10" s="16">
        <f t="shared" si="0"/>
        <v>146782.44798107466</v>
      </c>
      <c r="D10" s="16">
        <f t="shared" si="1"/>
        <v>146307.3866456385</v>
      </c>
      <c r="E10" s="16">
        <f t="shared" si="2"/>
        <v>-4750.6133543614997</v>
      </c>
      <c r="F10" s="16">
        <f t="shared" si="3"/>
        <v>4750.6133543614997</v>
      </c>
      <c r="G10" s="16">
        <f>+SUMSQ($E$3:E10)/A10</f>
        <v>67300732.726435974</v>
      </c>
      <c r="H10" s="16">
        <f>+SUM($F$3:F10)/A10</f>
        <v>7129.9560461509645</v>
      </c>
      <c r="I10" s="16">
        <f t="shared" si="4"/>
        <v>3.1448935868087093</v>
      </c>
      <c r="J10" s="16">
        <f>+AVERAGE($I$3:I10)</f>
        <v>5.0877151895797192</v>
      </c>
      <c r="K10" s="15">
        <f>+SUM($E$3:E10)/H10</f>
        <v>5.7611938117020411</v>
      </c>
    </row>
    <row r="11" spans="1:11" x14ac:dyDescent="0.25">
      <c r="A11" s="1">
        <v>9</v>
      </c>
      <c r="B11" s="17">
        <v>156073</v>
      </c>
      <c r="C11" s="16">
        <f t="shared" si="0"/>
        <v>147711.50318296719</v>
      </c>
      <c r="D11" s="16">
        <f t="shared" si="1"/>
        <v>146782.44798107466</v>
      </c>
      <c r="E11" s="16">
        <f t="shared" si="2"/>
        <v>-9290.5520189253439</v>
      </c>
      <c r="F11" s="16">
        <f t="shared" si="3"/>
        <v>9290.5520189253439</v>
      </c>
      <c r="G11" s="16">
        <f>+SUMSQ($E$3:E11)/A11</f>
        <v>69413357.625316173</v>
      </c>
      <c r="H11" s="16">
        <f>+SUM($F$3:F11)/A11</f>
        <v>7370.0222653481178</v>
      </c>
      <c r="I11" s="16">
        <f t="shared" si="4"/>
        <v>5.9526965067150268</v>
      </c>
      <c r="J11" s="16">
        <f>+AVERAGE($I$3:I11)</f>
        <v>5.1838242248169761</v>
      </c>
      <c r="K11" s="15">
        <f>+SUM($E$3:E11)/H11</f>
        <v>4.3129458076834908</v>
      </c>
    </row>
    <row r="12" spans="1:11" x14ac:dyDescent="0.25">
      <c r="A12" s="1">
        <v>10</v>
      </c>
      <c r="B12" s="17">
        <v>161725</v>
      </c>
      <c r="C12" s="16">
        <f t="shared" si="0"/>
        <v>149112.85286467048</v>
      </c>
      <c r="D12" s="16">
        <f t="shared" si="1"/>
        <v>147711.50318296719</v>
      </c>
      <c r="E12" s="16">
        <f t="shared" si="2"/>
        <v>-14013.496817032807</v>
      </c>
      <c r="F12" s="16">
        <f t="shared" si="3"/>
        <v>14013.496817032807</v>
      </c>
      <c r="G12" s="16">
        <f>+SUMSQ($E$3:E12)/A12</f>
        <v>82109831.166883409</v>
      </c>
      <c r="H12" s="16">
        <f>+SUM($F$3:F12)/A12</f>
        <v>8034.3697205165863</v>
      </c>
      <c r="I12" s="16">
        <f t="shared" si="4"/>
        <v>8.6650158089552054</v>
      </c>
      <c r="J12" s="16">
        <f>+AVERAGE($I$3:I12)</f>
        <v>5.5319433832307983</v>
      </c>
      <c r="K12" s="15">
        <f>+SUM($E$3:E12)/H12</f>
        <v>2.212122472961275</v>
      </c>
    </row>
    <row r="13" spans="1:11" x14ac:dyDescent="0.25">
      <c r="A13" s="1">
        <v>11</v>
      </c>
      <c r="B13" s="17">
        <v>154876</v>
      </c>
      <c r="C13" s="16">
        <f t="shared" si="0"/>
        <v>149689.16757820343</v>
      </c>
      <c r="D13" s="16">
        <f t="shared" si="1"/>
        <v>149112.85286467048</v>
      </c>
      <c r="E13" s="16">
        <f t="shared" si="2"/>
        <v>-5763.1471353295201</v>
      </c>
      <c r="F13" s="16">
        <f t="shared" si="3"/>
        <v>5763.1471353295201</v>
      </c>
      <c r="G13" s="16">
        <f>+SUMSQ($E$3:E13)/A13</f>
        <v>77664743.324753717</v>
      </c>
      <c r="H13" s="16">
        <f>+SUM($F$3:F13)/A13</f>
        <v>7827.8949400450356</v>
      </c>
      <c r="I13" s="16">
        <f t="shared" si="4"/>
        <v>3.7211363512290609</v>
      </c>
      <c r="J13" s="16">
        <f>+AVERAGE($I$3:I13)</f>
        <v>5.3673245621397321</v>
      </c>
      <c r="K13" s="15">
        <f>+SUM($E$3:E13)/H13</f>
        <v>1.5342391245015512</v>
      </c>
    </row>
    <row r="14" spans="1:11" x14ac:dyDescent="0.25">
      <c r="A14" s="1">
        <v>12</v>
      </c>
      <c r="B14" s="17">
        <v>171245</v>
      </c>
      <c r="C14" s="16">
        <f t="shared" si="0"/>
        <v>151844.75082038308</v>
      </c>
      <c r="D14" s="16">
        <f t="shared" si="1"/>
        <v>149689.16757820343</v>
      </c>
      <c r="E14" s="16">
        <f t="shared" si="2"/>
        <v>-21555.832421796571</v>
      </c>
      <c r="F14" s="16">
        <f t="shared" si="3"/>
        <v>21555.832421796571</v>
      </c>
      <c r="G14" s="16">
        <f>+SUMSQ($E$3:E14)/A14</f>
        <v>109913840.66407226</v>
      </c>
      <c r="H14" s="16">
        <f>+SUM($F$3:F14)/A14</f>
        <v>8971.8897301909965</v>
      </c>
      <c r="I14" s="16">
        <f t="shared" si="4"/>
        <v>12.58771492411257</v>
      </c>
      <c r="J14" s="16">
        <f>+AVERAGE($I$3:I14)</f>
        <v>5.9690237589708017</v>
      </c>
      <c r="K14" s="15">
        <f>+SUM($E$3:E14)/H14</f>
        <v>-1.0639865211638679</v>
      </c>
    </row>
    <row r="15" spans="1:11" x14ac:dyDescent="0.25">
      <c r="A15" s="1">
        <v>13</v>
      </c>
      <c r="B15" s="17">
        <v>176902</v>
      </c>
      <c r="C15" s="16">
        <f t="shared" si="0"/>
        <v>154350.4757383448</v>
      </c>
      <c r="D15" s="37">
        <f t="shared" si="1"/>
        <v>151844.75082038308</v>
      </c>
      <c r="E15" s="16">
        <f t="shared" si="2"/>
        <v>-25057.24917961692</v>
      </c>
      <c r="F15" s="16">
        <f t="shared" si="3"/>
        <v>25057.24917961692</v>
      </c>
      <c r="G15" s="16">
        <f>+SUMSQ($E$3:E15)/A15</f>
        <v>149756294.18602154</v>
      </c>
      <c r="H15" s="19">
        <f>+SUM($F$3:F15)/A15</f>
        <v>10209.225072454528</v>
      </c>
      <c r="I15" s="16">
        <f t="shared" si="4"/>
        <v>14.16448043527881</v>
      </c>
      <c r="J15" s="19">
        <f>+AVERAGE($I$3:I15)</f>
        <v>6.5994435033021865</v>
      </c>
      <c r="K15" s="28">
        <f>+SUM($E$3:E15)/H15</f>
        <v>-3.3894069996822274</v>
      </c>
    </row>
    <row r="16" spans="1:11" x14ac:dyDescent="0.25">
      <c r="A16" s="1">
        <v>14</v>
      </c>
      <c r="C16" s="18"/>
      <c r="D16" s="18"/>
      <c r="E16" s="18"/>
      <c r="F16" s="16">
        <f>AVERAGE(F3:F15)</f>
        <v>10209.225072454528</v>
      </c>
      <c r="G16" s="18"/>
      <c r="H16" s="18"/>
      <c r="I16" s="18"/>
      <c r="J16" s="18"/>
      <c r="K16" s="18"/>
    </row>
    <row r="18" spans="1:2" x14ac:dyDescent="0.25">
      <c r="A18" s="13" t="s">
        <v>50</v>
      </c>
      <c r="B18" s="13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11B9-0840-4397-BD74-5EB8B0DD7165}">
  <dimension ref="A1:L20"/>
  <sheetViews>
    <sheetView workbookViewId="0">
      <selection activeCell="E16" sqref="E16"/>
    </sheetView>
  </sheetViews>
  <sheetFormatPr baseColWidth="10" defaultRowHeight="15" x14ac:dyDescent="0.25"/>
  <cols>
    <col min="8" max="8" width="14.42578125" customWidth="1"/>
    <col min="9" max="9" width="12" bestFit="1" customWidth="1"/>
    <col min="10" max="11" width="11.42578125" customWidth="1"/>
  </cols>
  <sheetData>
    <row r="1" spans="1:12" x14ac:dyDescent="0.25">
      <c r="A1" s="1" t="s">
        <v>0</v>
      </c>
      <c r="B1" s="1" t="s">
        <v>57</v>
      </c>
      <c r="C1" s="1" t="s">
        <v>2</v>
      </c>
      <c r="D1" s="1" t="s">
        <v>35</v>
      </c>
      <c r="E1" s="1" t="s">
        <v>36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6">
        <v>0</v>
      </c>
      <c r="B2" s="2"/>
      <c r="C2" s="5">
        <f>'Regresión_Holt_APROBADOS-OTOÑO'!B17</f>
        <v>129259.5</v>
      </c>
      <c r="D2" s="5">
        <f>'Regresión_Holt_APROBADOS-OTOÑO'!B18</f>
        <v>3090.0934065934071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1">
        <v>1</v>
      </c>
      <c r="B3" s="17">
        <v>137645</v>
      </c>
      <c r="C3" s="16">
        <f t="shared" ref="C3:C15" si="0">+($B$19*B3)+((1-$B$19)*(C2+D2))</f>
        <v>132879.13406593405</v>
      </c>
      <c r="D3" s="16">
        <f t="shared" ref="D3:D15" si="1">+($B$20*(C3-C2)+((1-$B$20)*D2))</f>
        <v>3196.0015384615358</v>
      </c>
      <c r="E3" s="16">
        <f>+C2+D2</f>
        <v>132349.5934065934</v>
      </c>
      <c r="F3" s="16">
        <f>+E3-B3</f>
        <v>-5295.406593406602</v>
      </c>
      <c r="G3" s="16">
        <f>+ABS(F3)</f>
        <v>5295.406593406602</v>
      </c>
      <c r="H3" s="16">
        <f>+SUMSQ($F$3:F3)/A3</f>
        <v>28041330.989494115</v>
      </c>
      <c r="I3" s="16">
        <f>+SUM($G$3:G3)/A3</f>
        <v>5295.406593406602</v>
      </c>
      <c r="J3" s="27">
        <f>+(G3/B3)*100</f>
        <v>3.8471478029762087</v>
      </c>
      <c r="K3" s="27">
        <f>+AVERAGE($J$3:J3)</f>
        <v>3.8471478029762087</v>
      </c>
      <c r="L3" s="15">
        <f>+SUM($F$3:F3)/I3</f>
        <v>-1</v>
      </c>
    </row>
    <row r="4" spans="1:12" x14ac:dyDescent="0.25">
      <c r="A4" s="1">
        <v>2</v>
      </c>
      <c r="B4" s="17">
        <v>141384</v>
      </c>
      <c r="C4" s="16">
        <f t="shared" si="0"/>
        <v>136606.02204395604</v>
      </c>
      <c r="D4" s="16">
        <f t="shared" si="1"/>
        <v>3302.1788263736262</v>
      </c>
      <c r="E4" s="16">
        <f t="shared" ref="E4:E15" si="2">+C3+D3</f>
        <v>136075.13560439559</v>
      </c>
      <c r="F4" s="16">
        <f t="shared" ref="F4:F15" si="3">+E4-B4</f>
        <v>-5308.8643956044107</v>
      </c>
      <c r="G4" s="16">
        <f t="shared" ref="G4:G15" si="4">+ABS(F4)</f>
        <v>5308.8643956044107</v>
      </c>
      <c r="H4" s="16">
        <f>+SUMSQ($F$3:F4)/A4</f>
        <v>28112686.08020515</v>
      </c>
      <c r="I4" s="16">
        <f>+SUM($G$3:G4)/A4</f>
        <v>5302.1354945055064</v>
      </c>
      <c r="J4" s="27">
        <f t="shared" ref="J4:J15" si="5">+(G4/B4)*100</f>
        <v>3.754925872520519</v>
      </c>
      <c r="K4" s="27">
        <f>+AVERAGE($J$3:J4)</f>
        <v>3.8010368377483639</v>
      </c>
      <c r="L4" s="29">
        <f>+SUM($F$3:F4)/I4</f>
        <v>-2</v>
      </c>
    </row>
    <row r="5" spans="1:12" x14ac:dyDescent="0.25">
      <c r="A5" s="1">
        <v>3</v>
      </c>
      <c r="B5" s="17">
        <v>135946</v>
      </c>
      <c r="C5" s="16">
        <f t="shared" si="0"/>
        <v>139511.98078329669</v>
      </c>
      <c r="D5" s="16">
        <f t="shared" si="1"/>
        <v>3222.934808967032</v>
      </c>
      <c r="E5" s="16">
        <f t="shared" si="2"/>
        <v>139908.20087032966</v>
      </c>
      <c r="F5" s="16">
        <f t="shared" si="3"/>
        <v>3962.2008703296597</v>
      </c>
      <c r="G5" s="16">
        <f t="shared" si="4"/>
        <v>3962.2008703296597</v>
      </c>
      <c r="H5" s="16">
        <f>+SUMSQ($F$3:F5)/A5</f>
        <v>23974802.632417139</v>
      </c>
      <c r="I5" s="16">
        <f>+SUM($G$3:G5)/A5</f>
        <v>4855.4906197802238</v>
      </c>
      <c r="J5" s="27">
        <f t="shared" si="5"/>
        <v>2.9145402368070115</v>
      </c>
      <c r="K5" s="27">
        <f>+AVERAGE($J$3:J5)</f>
        <v>3.5055379707679131</v>
      </c>
      <c r="L5" s="15">
        <f>+SUM($F$3:F5)/I5</f>
        <v>-1.3679503553406094</v>
      </c>
    </row>
    <row r="6" spans="1:12" x14ac:dyDescent="0.25">
      <c r="A6" s="1">
        <v>4</v>
      </c>
      <c r="B6" s="17">
        <v>140797</v>
      </c>
      <c r="C6" s="16">
        <f t="shared" si="0"/>
        <v>142541.12403303734</v>
      </c>
      <c r="D6" s="16">
        <f t="shared" si="1"/>
        <v>3184.1764971217558</v>
      </c>
      <c r="E6" s="16">
        <f t="shared" si="2"/>
        <v>142734.91559226371</v>
      </c>
      <c r="F6" s="16">
        <f t="shared" si="3"/>
        <v>1937.9155922637146</v>
      </c>
      <c r="G6" s="16">
        <f t="shared" si="4"/>
        <v>1937.9155922637146</v>
      </c>
      <c r="H6" s="16">
        <f>+SUMSQ($F$3:F6)/A6</f>
        <v>18919981.184997559</v>
      </c>
      <c r="I6" s="16">
        <f>+SUM($G$3:G6)/A6</f>
        <v>4126.0968629010968</v>
      </c>
      <c r="J6" s="27">
        <f t="shared" si="5"/>
        <v>1.3763898323570209</v>
      </c>
      <c r="K6" s="27">
        <f>+AVERAGE($J$3:J6)</f>
        <v>2.97325093616519</v>
      </c>
      <c r="L6" s="15">
        <f>+SUM($F$3:F6)/I6</f>
        <v>-1.1400979382510434</v>
      </c>
    </row>
    <row r="7" spans="1:12" x14ac:dyDescent="0.25">
      <c r="A7" s="1">
        <v>5</v>
      </c>
      <c r="B7" s="17">
        <v>139452</v>
      </c>
      <c r="C7" s="16">
        <f t="shared" si="0"/>
        <v>145097.97047714319</v>
      </c>
      <c r="D7" s="16">
        <f t="shared" si="1"/>
        <v>3058.7104865185738</v>
      </c>
      <c r="E7" s="16">
        <f t="shared" si="2"/>
        <v>145725.30053015909</v>
      </c>
      <c r="F7" s="16">
        <f t="shared" si="3"/>
        <v>6273.3005301590892</v>
      </c>
      <c r="G7" s="16">
        <f t="shared" si="4"/>
        <v>6273.3005301590892</v>
      </c>
      <c r="H7" s="16">
        <f>+SUMSQ($F$3:F7)/A7</f>
        <v>23006844.85633691</v>
      </c>
      <c r="I7" s="16">
        <f>+SUM($G$3:G7)/A7</f>
        <v>4555.5375963526949</v>
      </c>
      <c r="J7" s="27">
        <f t="shared" si="5"/>
        <v>4.4985375112290171</v>
      </c>
      <c r="K7" s="27">
        <f>+AVERAGE($J$3:J7)</f>
        <v>3.2783082511779553</v>
      </c>
      <c r="L7" s="15">
        <f>+SUM($F$3:F7)/I7</f>
        <v>0.34444804165325249</v>
      </c>
    </row>
    <row r="8" spans="1:12" x14ac:dyDescent="0.25">
      <c r="A8" s="1">
        <v>6</v>
      </c>
      <c r="B8" s="17">
        <v>145254</v>
      </c>
      <c r="C8" s="16">
        <f t="shared" si="0"/>
        <v>147866.41286729558</v>
      </c>
      <c r="D8" s="16">
        <f t="shared" si="1"/>
        <v>3000.6568672453391</v>
      </c>
      <c r="E8" s="16">
        <f t="shared" si="2"/>
        <v>148156.68096366175</v>
      </c>
      <c r="F8" s="16">
        <f t="shared" si="3"/>
        <v>2902.6809636617545</v>
      </c>
      <c r="G8" s="16">
        <f t="shared" si="4"/>
        <v>2902.6809636617545</v>
      </c>
      <c r="H8" s="16">
        <f>+SUMSQ($F$3:F8)/A8</f>
        <v>20576630.176414814</v>
      </c>
      <c r="I8" s="16">
        <f>+SUM($G$3:G8)/A8</f>
        <v>4280.0614909042051</v>
      </c>
      <c r="J8" s="27">
        <f t="shared" si="5"/>
        <v>1.9983483853537627</v>
      </c>
      <c r="K8" s="27">
        <f>+AVERAGE($J$3:J8)</f>
        <v>3.0649816068739231</v>
      </c>
      <c r="L8" s="15">
        <f>+SUM($F$3:F8)/I8</f>
        <v>1.0448043741676449</v>
      </c>
    </row>
    <row r="9" spans="1:12" x14ac:dyDescent="0.25">
      <c r="A9" s="1">
        <v>7</v>
      </c>
      <c r="B9" s="17">
        <v>149215</v>
      </c>
      <c r="C9" s="16">
        <f t="shared" si="0"/>
        <v>150701.86276108681</v>
      </c>
      <c r="D9" s="16">
        <f t="shared" si="1"/>
        <v>2967.6154725545171</v>
      </c>
      <c r="E9" s="16">
        <f t="shared" si="2"/>
        <v>150867.06973454091</v>
      </c>
      <c r="F9" s="16">
        <f t="shared" si="3"/>
        <v>1652.0697345409135</v>
      </c>
      <c r="G9" s="16">
        <f t="shared" si="4"/>
        <v>1652.0697345409135</v>
      </c>
      <c r="H9" s="16">
        <f>+SUMSQ($F$3:F9)/A9</f>
        <v>18027016.495182138</v>
      </c>
      <c r="I9" s="16">
        <f>+SUM($G$3:G9)/A9</f>
        <v>3904.6340971380205</v>
      </c>
      <c r="J9" s="27">
        <f t="shared" si="5"/>
        <v>1.1071740338041842</v>
      </c>
      <c r="K9" s="27">
        <f>+AVERAGE($J$3:J9)</f>
        <v>2.7852948107211035</v>
      </c>
      <c r="L9" s="15">
        <f>+SUM($F$3:F9)/I9</f>
        <v>1.5683663435794795</v>
      </c>
    </row>
    <row r="10" spans="1:12" x14ac:dyDescent="0.25">
      <c r="A10" s="1">
        <v>8</v>
      </c>
      <c r="B10" s="17">
        <v>151058</v>
      </c>
      <c r="C10" s="16">
        <f t="shared" si="0"/>
        <v>153408.33041027718</v>
      </c>
      <c r="D10" s="16">
        <f t="shared" si="1"/>
        <v>2915.3859078816872</v>
      </c>
      <c r="E10" s="16">
        <f t="shared" si="2"/>
        <v>153669.47823364133</v>
      </c>
      <c r="F10" s="16">
        <f t="shared" si="3"/>
        <v>2611.4782336413336</v>
      </c>
      <c r="G10" s="16">
        <f t="shared" si="4"/>
        <v>2611.4782336413336</v>
      </c>
      <c r="H10" s="16">
        <f>+SUMSQ($F$3:F10)/A10</f>
        <v>16626116.753882177</v>
      </c>
      <c r="I10" s="16">
        <f>+SUM($G$3:G10)/A10</f>
        <v>3742.9896142009347</v>
      </c>
      <c r="J10" s="27">
        <f t="shared" si="5"/>
        <v>1.7287917446552541</v>
      </c>
      <c r="K10" s="27">
        <f>+AVERAGE($J$3:J10)</f>
        <v>2.6532319274628722</v>
      </c>
      <c r="L10" s="15">
        <f>+SUM($F$3:F10)/I10</f>
        <v>2.3337961992850222</v>
      </c>
    </row>
    <row r="11" spans="1:12" x14ac:dyDescent="0.25">
      <c r="A11" s="1">
        <v>9</v>
      </c>
      <c r="B11" s="17">
        <v>156073</v>
      </c>
      <c r="C11" s="16">
        <f t="shared" si="0"/>
        <v>156298.64468634297</v>
      </c>
      <c r="D11" s="16">
        <f t="shared" si="1"/>
        <v>2910.3715815185087</v>
      </c>
      <c r="E11" s="16">
        <f t="shared" si="2"/>
        <v>156323.71631815887</v>
      </c>
      <c r="F11" s="16">
        <f t="shared" si="3"/>
        <v>250.7163181588694</v>
      </c>
      <c r="G11" s="16">
        <f t="shared" si="4"/>
        <v>250.7163181588694</v>
      </c>
      <c r="H11" s="16">
        <f>+SUMSQ($F$3:F11)/A11</f>
        <v>14785754.744805396</v>
      </c>
      <c r="I11" s="16">
        <f>+SUM($G$3:G11)/A11</f>
        <v>3354.9592479740386</v>
      </c>
      <c r="J11" s="27">
        <f t="shared" si="5"/>
        <v>0.16064041708615159</v>
      </c>
      <c r="K11" s="27">
        <f>+AVERAGE($J$3:J11)</f>
        <v>2.3762773151987924</v>
      </c>
      <c r="L11" s="15">
        <f>+SUM($F$3:F11)/I11</f>
        <v>2.6784501955338977</v>
      </c>
    </row>
    <row r="12" spans="1:12" x14ac:dyDescent="0.25">
      <c r="A12" s="1">
        <v>10</v>
      </c>
      <c r="B12" s="17">
        <v>161725</v>
      </c>
      <c r="C12" s="16">
        <f t="shared" si="0"/>
        <v>159460.61464107534</v>
      </c>
      <c r="D12" s="16">
        <f t="shared" si="1"/>
        <v>2960.6912561612808</v>
      </c>
      <c r="E12" s="16">
        <f t="shared" si="2"/>
        <v>159209.01626786147</v>
      </c>
      <c r="F12" s="16">
        <f t="shared" si="3"/>
        <v>-2515.9837321385276</v>
      </c>
      <c r="G12" s="16">
        <f t="shared" si="4"/>
        <v>2515.9837321385276</v>
      </c>
      <c r="H12" s="16">
        <f>+SUMSQ($F$3:F12)/A12</f>
        <v>13940196.684363429</v>
      </c>
      <c r="I12" s="16">
        <f>+SUM($G$3:G12)/A12</f>
        <v>3271.0616963904877</v>
      </c>
      <c r="J12" s="27">
        <f t="shared" si="5"/>
        <v>1.5557172559211794</v>
      </c>
      <c r="K12" s="27">
        <f>+AVERAGE($J$3:J12)</f>
        <v>2.2942213092710313</v>
      </c>
      <c r="L12" s="15">
        <f>+SUM($F$3:F12)/I12</f>
        <v>1.9779839459296509</v>
      </c>
    </row>
    <row r="13" spans="1:12" x14ac:dyDescent="0.25">
      <c r="A13" s="1">
        <v>11</v>
      </c>
      <c r="B13" s="17">
        <v>154876</v>
      </c>
      <c r="C13" s="16">
        <f t="shared" si="0"/>
        <v>161666.77530751299</v>
      </c>
      <c r="D13" s="16">
        <f t="shared" si="1"/>
        <v>2809.7851382165536</v>
      </c>
      <c r="E13" s="16">
        <f t="shared" si="2"/>
        <v>162421.30589723663</v>
      </c>
      <c r="F13" s="16">
        <f t="shared" si="3"/>
        <v>7545.3058972366271</v>
      </c>
      <c r="G13" s="16">
        <f t="shared" si="4"/>
        <v>7545.3058972366271</v>
      </c>
      <c r="H13" s="16">
        <f>+SUMSQ($F$3:F13)/A13</f>
        <v>17848509.811500736</v>
      </c>
      <c r="I13" s="16">
        <f>+SUM($G$3:G13)/A13</f>
        <v>3659.6293510128639</v>
      </c>
      <c r="J13" s="27">
        <f t="shared" si="5"/>
        <v>4.8718367579461166</v>
      </c>
      <c r="K13" s="27">
        <f>+AVERAGE($J$3:J13)</f>
        <v>2.5285499864233114</v>
      </c>
      <c r="L13" s="29">
        <f>+SUM($F$3:F13)/I13</f>
        <v>3.8297357668102152</v>
      </c>
    </row>
    <row r="14" spans="1:12" x14ac:dyDescent="0.25">
      <c r="A14" s="1">
        <v>12</v>
      </c>
      <c r="B14" s="17">
        <v>171245</v>
      </c>
      <c r="C14" s="16">
        <f t="shared" si="0"/>
        <v>165153.40440115659</v>
      </c>
      <c r="D14" s="16">
        <f t="shared" si="1"/>
        <v>2945.1539293019628</v>
      </c>
      <c r="E14" s="16">
        <f t="shared" si="2"/>
        <v>164476.56044572953</v>
      </c>
      <c r="F14" s="16">
        <f t="shared" si="3"/>
        <v>-6768.4395542704733</v>
      </c>
      <c r="G14" s="16">
        <f t="shared" si="4"/>
        <v>6768.4395542704733</v>
      </c>
      <c r="H14" s="16">
        <f>+SUMSQ($F$3:F14)/A14</f>
        <v>20178781.827193432</v>
      </c>
      <c r="I14" s="16">
        <f>+SUM($G$3:G14)/A14</f>
        <v>3918.6968679509978</v>
      </c>
      <c r="J14" s="27">
        <f t="shared" si="5"/>
        <v>3.9524888634824213</v>
      </c>
      <c r="K14" s="27">
        <f>+AVERAGE($J$3:J14)</f>
        <v>2.6472115595115708</v>
      </c>
      <c r="L14" s="15">
        <f>+SUM($F$3:F14)/I14</f>
        <v>1.8493325992732974</v>
      </c>
    </row>
    <row r="15" spans="1:12" x14ac:dyDescent="0.25">
      <c r="A15" s="1">
        <v>13</v>
      </c>
      <c r="B15" s="17">
        <v>176902</v>
      </c>
      <c r="C15" s="16">
        <f t="shared" si="0"/>
        <v>168978.90249741272</v>
      </c>
      <c r="D15" s="16">
        <f t="shared" si="1"/>
        <v>3121.2227626927979</v>
      </c>
      <c r="E15" s="16">
        <f t="shared" si="2"/>
        <v>168098.55833045856</v>
      </c>
      <c r="F15" s="16">
        <f t="shared" si="3"/>
        <v>-8803.4416695414402</v>
      </c>
      <c r="G15" s="16">
        <f t="shared" si="4"/>
        <v>8803.4416695414402</v>
      </c>
      <c r="H15" s="16">
        <f>+SUMSQ($F$3:F15)/A15</f>
        <v>24588151.319641523</v>
      </c>
      <c r="I15" s="30">
        <f>+SUM($G$3:G15)/A15</f>
        <v>4294.4464680733399</v>
      </c>
      <c r="J15" s="27">
        <f t="shared" si="5"/>
        <v>4.9764511817511616</v>
      </c>
      <c r="K15" s="31">
        <f>+AVERAGE($J$3:J15)</f>
        <v>2.8263838381453854</v>
      </c>
      <c r="L15" s="15">
        <f>+SUM($F$3:F15)/I15</f>
        <v>-0.36243735171480335</v>
      </c>
    </row>
    <row r="16" spans="1:12" x14ac:dyDescent="0.25">
      <c r="A16" s="1">
        <v>14</v>
      </c>
      <c r="C16" s="18"/>
      <c r="D16" s="18"/>
      <c r="E16" s="37">
        <f>+$C$15+($D$15*A3)</f>
        <v>172100.12526010553</v>
      </c>
      <c r="F16" s="18"/>
      <c r="G16" s="18"/>
      <c r="H16" s="18"/>
      <c r="I16" s="18"/>
      <c r="J16" s="18"/>
      <c r="K16" s="18"/>
      <c r="L16" s="18"/>
    </row>
    <row r="19" spans="1:2" x14ac:dyDescent="0.25">
      <c r="A19" s="13" t="s">
        <v>50</v>
      </c>
      <c r="B19" s="13">
        <v>0.1</v>
      </c>
    </row>
    <row r="20" spans="1:2" x14ac:dyDescent="0.25">
      <c r="A20" s="13" t="s">
        <v>51</v>
      </c>
      <c r="B20" s="13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4A6CF-D38C-4602-9230-97E3CF548DB4}">
  <dimension ref="A1:M21"/>
  <sheetViews>
    <sheetView workbookViewId="0">
      <selection activeCell="F25" sqref="F25"/>
    </sheetView>
  </sheetViews>
  <sheetFormatPr baseColWidth="10" defaultRowHeight="15" x14ac:dyDescent="0.25"/>
  <cols>
    <col min="10" max="10" width="15.5703125" customWidth="1"/>
    <col min="11" max="11" width="12" bestFit="1" customWidth="1"/>
    <col min="12" max="12" width="14.7109375" customWidth="1"/>
  </cols>
  <sheetData>
    <row r="1" spans="1:13" x14ac:dyDescent="0.25">
      <c r="A1" s="1" t="s">
        <v>0</v>
      </c>
      <c r="B1" s="7" t="s">
        <v>1</v>
      </c>
      <c r="C1" s="7" t="s">
        <v>2</v>
      </c>
      <c r="D1" s="7" t="s">
        <v>35</v>
      </c>
      <c r="E1" s="7" t="s">
        <v>37</v>
      </c>
      <c r="F1" s="7" t="s">
        <v>38</v>
      </c>
      <c r="G1" s="7" t="s">
        <v>4</v>
      </c>
      <c r="H1" s="7" t="s">
        <v>5</v>
      </c>
      <c r="I1" s="7" t="s">
        <v>6</v>
      </c>
      <c r="J1" s="7" t="s">
        <v>39</v>
      </c>
      <c r="K1" s="7" t="s">
        <v>8</v>
      </c>
      <c r="L1" s="7" t="s">
        <v>9</v>
      </c>
      <c r="M1" s="7" t="s">
        <v>10</v>
      </c>
    </row>
    <row r="2" spans="1:13" x14ac:dyDescent="0.25">
      <c r="A2" s="6">
        <v>0</v>
      </c>
      <c r="B2" s="8"/>
      <c r="C2" s="5">
        <f>Regresión_Winter_APROBADOS_OTOÑ!B17</f>
        <v>127490.50069444446</v>
      </c>
      <c r="D2" s="5">
        <f>Regresión_Winter_APROBADOS_OTOÑ!B18</f>
        <v>3121.6229166666662</v>
      </c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">
        <v>1</v>
      </c>
      <c r="B3" s="17">
        <v>137645</v>
      </c>
      <c r="C3" s="2">
        <f t="shared" ref="C3:C15" si="0">+($B$19*(B3/E3))+((1-$B$19)*(C2+D2))</f>
        <v>131172.39416929299</v>
      </c>
      <c r="D3" s="2">
        <f t="shared" ref="D3:D15" si="1">+($B$20*(C3-C2)+((1-$B$20)*D2))</f>
        <v>3233.6770283030401</v>
      </c>
      <c r="E3" s="25">
        <f>AVERAGE('Demanda_des_Factor esta_winter'!E2,'Demanda_des_Factor esta_winter'!E6,'Demanda_des_Factor esta_winter'!E10)</f>
        <v>1.010499376723841</v>
      </c>
      <c r="F3" s="2">
        <f>(C2+D2)*E3</f>
        <v>131983.46950160508</v>
      </c>
      <c r="G3" s="2">
        <f>+F3-B3</f>
        <v>-5661.5304983949172</v>
      </c>
      <c r="H3" s="2">
        <f>+ABS(G3)</f>
        <v>5661.5304983949172</v>
      </c>
      <c r="I3" s="2">
        <f>+SUMSQ($G$3:G3)/A3</f>
        <v>32052927.5842558</v>
      </c>
      <c r="J3" s="4">
        <f>+SUM($H$3:H3)/A3</f>
        <v>5661.5304983949172</v>
      </c>
      <c r="K3" s="4">
        <f>+(H3/B3)*100</f>
        <v>4.1131392338224542</v>
      </c>
      <c r="L3" s="26">
        <f>+AVERAGE($K$3:K3)</f>
        <v>4.1131392338224542</v>
      </c>
      <c r="M3" s="2">
        <f>+SUM($G$3:G3)/J3</f>
        <v>-1</v>
      </c>
    </row>
    <row r="4" spans="1:13" x14ac:dyDescent="0.25">
      <c r="A4" s="1">
        <v>2</v>
      </c>
      <c r="B4" s="17">
        <v>141384</v>
      </c>
      <c r="C4" s="2">
        <f t="shared" si="0"/>
        <v>134783.22339250392</v>
      </c>
      <c r="D4" s="2">
        <f t="shared" si="1"/>
        <v>3309.1074672846171</v>
      </c>
      <c r="E4" s="25">
        <f>AVERAGE('Demanda_des_Factor esta_winter'!E3,'Demanda_des_Factor esta_winter'!E7,'Demanda_des_Factor esta_winter'!E11)</f>
        <v>1.0232049696358632</v>
      </c>
      <c r="F4" s="2">
        <f t="shared" ref="F4:F16" si="2">(C3+D3)*E4</f>
        <v>137524.95999861191</v>
      </c>
      <c r="G4" s="2">
        <f t="shared" ref="G4:G15" si="3">+F4-B4</f>
        <v>-3859.0400013880862</v>
      </c>
      <c r="H4" s="2">
        <f t="shared" ref="H4:H15" si="4">+ABS(G4)</f>
        <v>3859.0400013880862</v>
      </c>
      <c r="I4" s="2">
        <f>+SUMSQ($G$3:G4)/A4</f>
        <v>23472558.658284582</v>
      </c>
      <c r="J4" s="4">
        <f>+SUM($H$3:H4)/A4</f>
        <v>4760.2852498915017</v>
      </c>
      <c r="K4" s="4">
        <f t="shared" ref="K4:K15" si="5">+(H4/B4)*100</f>
        <v>2.7294743403695509</v>
      </c>
      <c r="L4" s="26">
        <f>+AVERAGE($K$3:K4)</f>
        <v>3.4213067870960026</v>
      </c>
      <c r="M4" s="2">
        <f>+SUM($G$3:G4)/J4</f>
        <v>-2</v>
      </c>
    </row>
    <row r="5" spans="1:13" x14ac:dyDescent="0.25">
      <c r="A5" s="1">
        <v>3</v>
      </c>
      <c r="B5" s="17">
        <v>135946</v>
      </c>
      <c r="C5" s="2">
        <f t="shared" si="0"/>
        <v>138110.24972864299</v>
      </c>
      <c r="D5" s="2">
        <f t="shared" si="1"/>
        <v>3312.6912410555074</v>
      </c>
      <c r="E5" s="25">
        <f>AVERAGE('Demanda_des_Factor esta_winter'!E4,'Demanda_des_Factor esta_winter'!E8,'Demanda_des_Factor esta_winter'!E12)</f>
        <v>0.98318150002307547</v>
      </c>
      <c r="F5" s="2">
        <f t="shared" si="2"/>
        <v>135769.82499640973</v>
      </c>
      <c r="G5" s="2">
        <f t="shared" si="3"/>
        <v>-176.17500359026599</v>
      </c>
      <c r="H5" s="2">
        <f t="shared" si="4"/>
        <v>176.17500359026599</v>
      </c>
      <c r="I5" s="2">
        <f>+SUMSQ($G$3:G5)/A5</f>
        <v>15658718.316153064</v>
      </c>
      <c r="J5" s="4">
        <f>+SUM($H$3:H5)/A5</f>
        <v>3232.248501124423</v>
      </c>
      <c r="K5" s="4">
        <f t="shared" si="5"/>
        <v>0.12959189942349608</v>
      </c>
      <c r="L5" s="26">
        <f>+AVERAGE($K$3:K5)</f>
        <v>2.3240684912051672</v>
      </c>
      <c r="M5" s="34">
        <f>+SUM($G$3:G5)/J5</f>
        <v>-3</v>
      </c>
    </row>
    <row r="6" spans="1:13" x14ac:dyDescent="0.25">
      <c r="A6" s="1">
        <v>4</v>
      </c>
      <c r="B6" s="17">
        <v>140797</v>
      </c>
      <c r="C6" s="2">
        <f t="shared" si="0"/>
        <v>141198.8819373546</v>
      </c>
      <c r="D6" s="2">
        <f t="shared" si="1"/>
        <v>3267.8794345867286</v>
      </c>
      <c r="E6" s="25">
        <f>AVERAGE('Demanda_des_Factor esta_winter'!E5,'Demanda_des_Factor esta_winter'!E9,'Demanda_des_Factor esta_winter'!E13)</f>
        <v>1.0116009633853951</v>
      </c>
      <c r="F6" s="2">
        <f t="shared" si="2"/>
        <v>143063.58332974283</v>
      </c>
      <c r="G6" s="2">
        <f t="shared" si="3"/>
        <v>2266.5833297428326</v>
      </c>
      <c r="H6" s="2">
        <f t="shared" si="4"/>
        <v>2266.5833297428326</v>
      </c>
      <c r="I6" s="2">
        <f>+SUMSQ($G$3:G6)/A6</f>
        <v>13028388.734781824</v>
      </c>
      <c r="J6" s="4">
        <f>+SUM($H$3:H6)/A6</f>
        <v>2990.8322082790255</v>
      </c>
      <c r="K6" s="4">
        <f t="shared" si="5"/>
        <v>1.6098235969110368</v>
      </c>
      <c r="L6" s="26">
        <f>+AVERAGE($K$3:K6)</f>
        <v>2.1455072676316345</v>
      </c>
      <c r="M6" s="3">
        <f>+SUM($G$3:G6)/J6</f>
        <v>-2.4843126114072027</v>
      </c>
    </row>
    <row r="7" spans="1:13" x14ac:dyDescent="0.25">
      <c r="A7" s="1">
        <v>5</v>
      </c>
      <c r="B7" s="17">
        <v>139452</v>
      </c>
      <c r="C7" s="2">
        <f t="shared" si="0"/>
        <v>143767.54363668099</v>
      </c>
      <c r="D7" s="2">
        <f t="shared" si="1"/>
        <v>3128.035887534661</v>
      </c>
      <c r="E7" s="3">
        <f t="shared" ref="E7:E16" si="6">+($B$21*(B3/C3)+(1-$B$21)*E3)</f>
        <v>1.014383865896143</v>
      </c>
      <c r="F7" s="2">
        <f t="shared" si="2"/>
        <v>146544.75189396544</v>
      </c>
      <c r="G7" s="2">
        <f t="shared" si="3"/>
        <v>7092.7518939654401</v>
      </c>
      <c r="H7" s="2">
        <f t="shared" si="4"/>
        <v>7092.7518939654401</v>
      </c>
      <c r="I7" s="2">
        <f>+SUMSQ($G$3:G7)/A7</f>
        <v>20484136.87369553</v>
      </c>
      <c r="J7" s="4">
        <f>+SUM($H$3:H7)/A7</f>
        <v>3811.2161454163083</v>
      </c>
      <c r="K7" s="4">
        <f t="shared" si="5"/>
        <v>5.0861600364035224</v>
      </c>
      <c r="L7" s="26">
        <f>+AVERAGE($K$3:K7)</f>
        <v>2.7336378213860124</v>
      </c>
      <c r="M7" s="3">
        <f>+SUM($G$3:G7)/J7</f>
        <v>-8.8530869620395317E-2</v>
      </c>
    </row>
    <row r="8" spans="1:13" x14ac:dyDescent="0.25">
      <c r="A8" s="1">
        <v>6</v>
      </c>
      <c r="B8" s="17">
        <v>145254</v>
      </c>
      <c r="C8" s="2">
        <f t="shared" si="0"/>
        <v>146366.34298688988</v>
      </c>
      <c r="D8" s="2">
        <f t="shared" si="1"/>
        <v>3022.1885800695077</v>
      </c>
      <c r="E8" s="3">
        <f t="shared" si="6"/>
        <v>1.0257818007234647</v>
      </c>
      <c r="F8" s="2">
        <f t="shared" si="2"/>
        <v>150682.81208266685</v>
      </c>
      <c r="G8" s="2">
        <f t="shared" si="3"/>
        <v>5428.8120826668455</v>
      </c>
      <c r="H8" s="2">
        <f t="shared" si="4"/>
        <v>5428.8120826668455</v>
      </c>
      <c r="I8" s="2">
        <f>+SUMSQ($G$3:G8)/A8</f>
        <v>21982114.166231196</v>
      </c>
      <c r="J8" s="4">
        <f>+SUM($H$3:H8)/A8</f>
        <v>4080.8154682913978</v>
      </c>
      <c r="K8" s="4">
        <f t="shared" si="5"/>
        <v>3.7374613316444609</v>
      </c>
      <c r="L8" s="26">
        <f>+AVERAGE($K$3:K8)</f>
        <v>2.9009417397624202</v>
      </c>
      <c r="M8" s="3">
        <f>+SUM($G$3:G8)/J8</f>
        <v>1.2476432327222027</v>
      </c>
    </row>
    <row r="9" spans="1:13" x14ac:dyDescent="0.25">
      <c r="A9" s="1">
        <v>7</v>
      </c>
      <c r="B9" s="17">
        <v>149215</v>
      </c>
      <c r="C9" s="2">
        <f t="shared" si="0"/>
        <v>149624.65661717221</v>
      </c>
      <c r="D9" s="2">
        <f t="shared" si="1"/>
        <v>3069.4135901120712</v>
      </c>
      <c r="E9" s="3">
        <f t="shared" si="6"/>
        <v>0.98329630504554333</v>
      </c>
      <c r="F9" s="2">
        <f t="shared" si="2"/>
        <v>146893.19110597068</v>
      </c>
      <c r="G9" s="2">
        <f t="shared" si="3"/>
        <v>-2321.8088940293237</v>
      </c>
      <c r="H9" s="2">
        <f t="shared" si="4"/>
        <v>2321.8088940293237</v>
      </c>
      <c r="I9" s="2">
        <f>+SUMSQ($G$3:G9)/A9</f>
        <v>19611925.933968693</v>
      </c>
      <c r="J9" s="4">
        <f>+SUM($H$3:H9)/A9</f>
        <v>3829.5288148253871</v>
      </c>
      <c r="K9" s="4">
        <f t="shared" si="5"/>
        <v>1.5560157450854966</v>
      </c>
      <c r="L9" s="26">
        <f>+AVERAGE($K$3:K9)</f>
        <v>2.7088094548085739</v>
      </c>
      <c r="M9" s="3">
        <f>+SUM($G$3:G9)/J9</f>
        <v>0.72322028189225374</v>
      </c>
    </row>
    <row r="10" spans="1:13" x14ac:dyDescent="0.25">
      <c r="A10" s="1">
        <v>8</v>
      </c>
      <c r="B10" s="17">
        <v>151058</v>
      </c>
      <c r="C10" s="2">
        <f t="shared" si="0"/>
        <v>152378.58745515195</v>
      </c>
      <c r="D10" s="2">
        <f t="shared" si="1"/>
        <v>3006.3170396856058</v>
      </c>
      <c r="E10" s="3">
        <f t="shared" si="6"/>
        <v>1.0101562458573388</v>
      </c>
      <c r="F10" s="2">
        <f t="shared" si="2"/>
        <v>154244.86872526718</v>
      </c>
      <c r="G10" s="2">
        <f t="shared" si="3"/>
        <v>3186.8687252671807</v>
      </c>
      <c r="H10" s="2">
        <f t="shared" si="4"/>
        <v>3186.8687252671807</v>
      </c>
      <c r="I10" s="2">
        <f>+SUMSQ($G$3:G10)/A10</f>
        <v>18429951.726233363</v>
      </c>
      <c r="J10" s="4">
        <f>+SUM($H$3:H10)/A10</f>
        <v>3749.1963036306115</v>
      </c>
      <c r="K10" s="4">
        <f t="shared" si="5"/>
        <v>2.1096987417198565</v>
      </c>
      <c r="L10" s="26">
        <f>+AVERAGE($K$3:K10)</f>
        <v>2.6339206156724844</v>
      </c>
      <c r="M10" s="3">
        <f>+SUM($G$3:G10)/J10</f>
        <v>1.5887302642626751</v>
      </c>
    </row>
    <row r="11" spans="1:13" x14ac:dyDescent="0.25">
      <c r="A11" s="1">
        <v>9</v>
      </c>
      <c r="B11" s="17">
        <v>156073</v>
      </c>
      <c r="C11" s="2">
        <f t="shared" si="0"/>
        <v>155300.04731432581</v>
      </c>
      <c r="D11" s="2">
        <f t="shared" si="1"/>
        <v>2989.3456035832569</v>
      </c>
      <c r="E11" s="3">
        <f t="shared" si="6"/>
        <v>1.0099437283358181</v>
      </c>
      <c r="F11" s="2">
        <f t="shared" si="2"/>
        <v>156930.00977262127</v>
      </c>
      <c r="G11" s="2">
        <f t="shared" si="3"/>
        <v>857.0097726212698</v>
      </c>
      <c r="H11" s="2">
        <f t="shared" si="4"/>
        <v>857.0097726212698</v>
      </c>
      <c r="I11" s="2">
        <f>+SUMSQ($G$3:G11)/A11</f>
        <v>16463786.617803918</v>
      </c>
      <c r="J11" s="4">
        <f>+SUM($H$3:H11)/A11</f>
        <v>3427.8422446295735</v>
      </c>
      <c r="K11" s="4">
        <f t="shared" si="5"/>
        <v>0.54910828434211545</v>
      </c>
      <c r="L11" s="26">
        <f>+AVERAGE($K$3:K11)</f>
        <v>2.4022748010802211</v>
      </c>
      <c r="M11" s="3">
        <f>+SUM($G$3:G11)/J11</f>
        <v>1.9876852318789444</v>
      </c>
    </row>
    <row r="12" spans="1:13" x14ac:dyDescent="0.25">
      <c r="A12" s="1">
        <v>10</v>
      </c>
      <c r="B12" s="17">
        <v>161725</v>
      </c>
      <c r="C12" s="2">
        <f t="shared" si="0"/>
        <v>158277.95126402925</v>
      </c>
      <c r="D12" s="2">
        <f t="shared" si="1"/>
        <v>2987.0572728072934</v>
      </c>
      <c r="E12" s="3">
        <f t="shared" si="6"/>
        <v>1.0224436488132009</v>
      </c>
      <c r="F12" s="2">
        <f t="shared" si="2"/>
        <v>161841.98446341339</v>
      </c>
      <c r="G12" s="2">
        <f t="shared" si="3"/>
        <v>116.9844634133915</v>
      </c>
      <c r="H12" s="2">
        <f t="shared" si="4"/>
        <v>116.9844634133915</v>
      </c>
      <c r="I12" s="2">
        <f>+SUMSQ($G$3:G12)/A12</f>
        <v>14818776.492491538</v>
      </c>
      <c r="J12" s="4">
        <f>+SUM($H$3:H12)/A12</f>
        <v>3096.7564665079553</v>
      </c>
      <c r="K12" s="4">
        <f t="shared" si="5"/>
        <v>7.2335423350373476E-2</v>
      </c>
      <c r="L12" s="26">
        <f>+AVERAGE($K$3:K12)</f>
        <v>2.1692808633072365</v>
      </c>
      <c r="M12" s="3">
        <f>+SUM($G$3:G12)/J12</f>
        <v>2.2379725190626525</v>
      </c>
    </row>
    <row r="13" spans="1:13" x14ac:dyDescent="0.25">
      <c r="A13" s="1">
        <v>11</v>
      </c>
      <c r="B13" s="17">
        <v>154876</v>
      </c>
      <c r="C13" s="2">
        <f t="shared" si="0"/>
        <v>160866.8634329194</v>
      </c>
      <c r="D13" s="2">
        <f t="shared" si="1"/>
        <v>2907.4282520238653</v>
      </c>
      <c r="E13" s="3">
        <f t="shared" si="6"/>
        <v>0.98469288502899677</v>
      </c>
      <c r="F13" s="2">
        <f t="shared" si="2"/>
        <v>158796.50651036337</v>
      </c>
      <c r="G13" s="2">
        <f t="shared" si="3"/>
        <v>3920.5065103633679</v>
      </c>
      <c r="H13" s="2">
        <f t="shared" si="4"/>
        <v>3920.5065103633679</v>
      </c>
      <c r="I13" s="2">
        <f>+SUMSQ($G$3:G13)/A13</f>
        <v>14868921.474792449</v>
      </c>
      <c r="J13" s="4">
        <f>+SUM($H$3:H13)/A13</f>
        <v>3171.6428341311748</v>
      </c>
      <c r="K13" s="4">
        <f t="shared" si="5"/>
        <v>2.5313841462611171</v>
      </c>
      <c r="L13" s="26">
        <f>+AVERAGE($K$3:K13)</f>
        <v>2.2021993435757712</v>
      </c>
      <c r="M13" s="35">
        <f>+SUM($G$3:G13)/J13</f>
        <v>3.4212434842494481</v>
      </c>
    </row>
    <row r="14" spans="1:13" x14ac:dyDescent="0.25">
      <c r="A14" s="1">
        <v>12</v>
      </c>
      <c r="B14" s="17">
        <v>171245</v>
      </c>
      <c r="C14" s="2">
        <f t="shared" si="0"/>
        <v>164380.83757718594</v>
      </c>
      <c r="D14" s="2">
        <f t="shared" si="1"/>
        <v>3028.7374304724003</v>
      </c>
      <c r="E14" s="3">
        <f t="shared" si="6"/>
        <v>1.0082739723039207</v>
      </c>
      <c r="F14" s="2">
        <f t="shared" si="2"/>
        <v>165129.35563843872</v>
      </c>
      <c r="G14" s="2">
        <f t="shared" si="3"/>
        <v>-6115.6443615612807</v>
      </c>
      <c r="H14" s="2">
        <f t="shared" si="4"/>
        <v>6115.6443615612807</v>
      </c>
      <c r="I14" s="2">
        <f>+SUMSQ($G$3:G14)/A14</f>
        <v>16746603.514984434</v>
      </c>
      <c r="J14" s="4">
        <f>+SUM($H$3:H14)/A14</f>
        <v>3416.97629475035</v>
      </c>
      <c r="K14" s="4">
        <f t="shared" si="5"/>
        <v>3.5712834602828001</v>
      </c>
      <c r="L14" s="26">
        <f>+AVERAGE($K$3:K14)</f>
        <v>2.3162896866346903</v>
      </c>
      <c r="M14" s="3">
        <f>+SUM($G$3:G14)/J14</f>
        <v>1.385821150223234</v>
      </c>
    </row>
    <row r="15" spans="1:13" x14ac:dyDescent="0.25">
      <c r="A15" s="1">
        <v>13</v>
      </c>
      <c r="B15" s="17">
        <v>176902</v>
      </c>
      <c r="C15" s="2">
        <f t="shared" si="0"/>
        <v>168193.26095282513</v>
      </c>
      <c r="D15" s="2">
        <f t="shared" si="1"/>
        <v>3185.4746195057587</v>
      </c>
      <c r="E15" s="3">
        <f t="shared" si="6"/>
        <v>1.0094470711816848</v>
      </c>
      <c r="F15" s="2">
        <f t="shared" si="2"/>
        <v>168991.10517925129</v>
      </c>
      <c r="G15" s="2">
        <f t="shared" si="3"/>
        <v>-7910.8948207487119</v>
      </c>
      <c r="H15" s="2">
        <f t="shared" si="4"/>
        <v>7910.8948207487119</v>
      </c>
      <c r="I15" s="2">
        <f>+SUMSQ($G$3:G15)/A15</f>
        <v>20272423.003443234</v>
      </c>
      <c r="J15" s="33">
        <f>+SUM($H$3:H15)/A15</f>
        <v>3762.6623352117626</v>
      </c>
      <c r="K15" s="4">
        <f t="shared" si="5"/>
        <v>4.4719080738198054</v>
      </c>
      <c r="L15" s="32">
        <f>+AVERAGE($K$3:K15)</f>
        <v>2.4821064856489299</v>
      </c>
      <c r="M15" s="3">
        <f>+SUM($G$3:G15)/J15</f>
        <v>-0.84397070976966537</v>
      </c>
    </row>
    <row r="16" spans="1:13" x14ac:dyDescent="0.25">
      <c r="A16" s="1">
        <v>14</v>
      </c>
      <c r="E16" s="3">
        <f t="shared" si="6"/>
        <v>1.0223771291140065</v>
      </c>
      <c r="F16" s="38">
        <f t="shared" si="2"/>
        <v>175213.69966562811</v>
      </c>
    </row>
    <row r="18" spans="1:4" x14ac:dyDescent="0.25">
      <c r="D18" s="13"/>
    </row>
    <row r="19" spans="1:4" x14ac:dyDescent="0.25">
      <c r="A19" s="13" t="s">
        <v>50</v>
      </c>
      <c r="B19" s="13">
        <v>0.1</v>
      </c>
      <c r="D19" s="13"/>
    </row>
    <row r="20" spans="1:4" x14ac:dyDescent="0.25">
      <c r="A20" s="13" t="s">
        <v>51</v>
      </c>
      <c r="B20" s="13">
        <v>0.2</v>
      </c>
      <c r="D20" s="13"/>
    </row>
    <row r="21" spans="1:4" x14ac:dyDescent="0.25">
      <c r="A21" s="13" t="s">
        <v>53</v>
      </c>
      <c r="B21" s="13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42FD-443B-4D06-A93C-1E81302F96F0}">
  <dimension ref="A1:I6"/>
  <sheetViews>
    <sheetView workbookViewId="0">
      <selection activeCell="G12" sqref="G12"/>
    </sheetView>
  </sheetViews>
  <sheetFormatPr baseColWidth="10" defaultRowHeight="15" x14ac:dyDescent="0.25"/>
  <cols>
    <col min="1" max="1" width="17.7109375" customWidth="1"/>
    <col min="2" max="2" width="12" bestFit="1" customWidth="1"/>
    <col min="4" max="4" width="14.28515625" customWidth="1"/>
    <col min="5" max="5" width="15.7109375" customWidth="1"/>
    <col min="6" max="6" width="13.5703125" customWidth="1"/>
    <col min="8" max="8" width="20.85546875" customWidth="1"/>
    <col min="9" max="9" width="22.140625" customWidth="1"/>
    <col min="10" max="10" width="15" customWidth="1"/>
    <col min="11" max="11" width="15.140625" customWidth="1"/>
    <col min="12" max="12" width="17.85546875" customWidth="1"/>
    <col min="13" max="13" width="21.7109375" customWidth="1"/>
  </cols>
  <sheetData>
    <row r="1" spans="1:9" x14ac:dyDescent="0.25">
      <c r="A1" s="39" t="s">
        <v>72</v>
      </c>
      <c r="B1" s="39"/>
      <c r="C1" s="39"/>
      <c r="D1" s="39"/>
      <c r="E1" s="39"/>
      <c r="F1" s="39"/>
      <c r="H1" s="40" t="s">
        <v>74</v>
      </c>
      <c r="I1" s="40"/>
    </row>
    <row r="2" spans="1:9" x14ac:dyDescent="0.25">
      <c r="A2" s="9" t="s">
        <v>40</v>
      </c>
      <c r="B2" s="10" t="s">
        <v>7</v>
      </c>
      <c r="C2" s="10" t="s">
        <v>9</v>
      </c>
      <c r="D2" s="10" t="s">
        <v>41</v>
      </c>
      <c r="E2" s="10" t="s">
        <v>42</v>
      </c>
      <c r="F2" s="10" t="s">
        <v>43</v>
      </c>
      <c r="H2" s="9" t="s">
        <v>73</v>
      </c>
      <c r="I2" s="10" t="s">
        <v>71</v>
      </c>
    </row>
    <row r="3" spans="1:9" x14ac:dyDescent="0.25">
      <c r="A3" s="9" t="s">
        <v>55</v>
      </c>
      <c r="B3" s="4">
        <f>'Promedio móvil_APROBADOS-OTOÑO'!H14</f>
        <v>8371.6944444444453</v>
      </c>
      <c r="C3" s="4">
        <f>'Promedio móvil_APROBADOS-OTOÑO'!J14</f>
        <v>5.1877290145095492</v>
      </c>
      <c r="D3" s="3">
        <f>MIN('Promedio móvil_APROBADOS-OTOÑO'!K6:K14)</f>
        <v>-9</v>
      </c>
      <c r="E3" s="3">
        <f>MAX('Promedio móvil_APROBADOS-OTOÑO'!K6:K14)</f>
        <v>-1</v>
      </c>
      <c r="F3" s="36">
        <f>1.25*B3</f>
        <v>10464.618055555557</v>
      </c>
      <c r="H3" s="9" t="s">
        <v>55</v>
      </c>
      <c r="I3" s="16">
        <f>'Promedio móvil_APROBADOS-OTOÑO'!D14</f>
        <v>160979.75</v>
      </c>
    </row>
    <row r="4" spans="1:9" x14ac:dyDescent="0.25">
      <c r="A4" s="9" t="s">
        <v>54</v>
      </c>
      <c r="B4" s="4">
        <f>'Suav_Expo_APROBADOS-OTOÑO'!H15</f>
        <v>10209.225072454528</v>
      </c>
      <c r="C4" s="4">
        <f>'Suav_Expo_APROBADOS-OTOÑO'!J15</f>
        <v>6.5994435033021865</v>
      </c>
      <c r="D4" s="3">
        <f>MIN('Suav_Expo_APROBADOS-OTOÑO'!K3:K15)</f>
        <v>-3.3894069996822274</v>
      </c>
      <c r="E4" s="3">
        <f>MAX('Suav_Expo_APROBADOS-OTOÑO'!K3:K15)</f>
        <v>6.1350090692053554</v>
      </c>
      <c r="F4" s="36">
        <f t="shared" ref="F4:F6" si="0">1.25*B4</f>
        <v>12761.531340568161</v>
      </c>
      <c r="H4" s="9" t="s">
        <v>54</v>
      </c>
      <c r="I4" s="16">
        <f>'Suav_Expo_APROBADOS-OTOÑO'!D15</f>
        <v>151844.75082038308</v>
      </c>
    </row>
    <row r="5" spans="1:9" x14ac:dyDescent="0.25">
      <c r="A5" s="9" t="s">
        <v>44</v>
      </c>
      <c r="B5" s="4">
        <f>'Holt_APROBADOS-OTOÑO'!I15</f>
        <v>4294.4464680733399</v>
      </c>
      <c r="C5" s="4">
        <f>'Holt_APROBADOS-OTOÑO'!K15</f>
        <v>2.8263838381453854</v>
      </c>
      <c r="D5" s="3">
        <f>MIN('Holt_APROBADOS-OTOÑO'!L3:L15)</f>
        <v>-2</v>
      </c>
      <c r="E5" s="26">
        <f>MAX('Holt_APROBADOS-OTOÑO'!L3:L15)</f>
        <v>3.8297357668102152</v>
      </c>
      <c r="F5" s="36">
        <f t="shared" si="0"/>
        <v>5368.0580850916749</v>
      </c>
      <c r="H5" s="9" t="s">
        <v>44</v>
      </c>
      <c r="I5" s="16">
        <f>'Holt_APROBADOS-OTOÑO'!E16</f>
        <v>172100.12526010553</v>
      </c>
    </row>
    <row r="6" spans="1:9" x14ac:dyDescent="0.25">
      <c r="A6" s="9" t="s">
        <v>45</v>
      </c>
      <c r="B6" s="4">
        <f>'Winter_APROBADOS-OTOÑO'!J15</f>
        <v>3762.6623352117626</v>
      </c>
      <c r="C6" s="4">
        <f>'Winter_APROBADOS-OTOÑO'!L15</f>
        <v>2.4821064856489299</v>
      </c>
      <c r="D6" s="3">
        <f>MIN('Winter_APROBADOS-OTOÑO'!M3:M15)</f>
        <v>-3</v>
      </c>
      <c r="E6" s="26">
        <f>MAX('Winter_APROBADOS-OTOÑO'!M3:M15)</f>
        <v>3.4212434842494481</v>
      </c>
      <c r="F6" s="36">
        <f t="shared" si="0"/>
        <v>4703.3279190147032</v>
      </c>
      <c r="H6" s="9" t="s">
        <v>45</v>
      </c>
      <c r="I6" s="16">
        <f>'Winter_APROBADOS-OTOÑO'!F16</f>
        <v>175213.69966562811</v>
      </c>
    </row>
  </sheetData>
  <mergeCells count="2">
    <mergeCell ref="A1:F1"/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790B-CB8E-4C99-9CA5-DCD7ABED23AD}">
  <dimension ref="A1:I18"/>
  <sheetViews>
    <sheetView workbookViewId="0">
      <selection activeCell="A17" sqref="A17:B18"/>
    </sheetView>
  </sheetViews>
  <sheetFormatPr baseColWidth="10"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22" t="s">
        <v>12</v>
      </c>
      <c r="B3" s="22"/>
    </row>
    <row r="4" spans="1:9" x14ac:dyDescent="0.25">
      <c r="A4" t="s">
        <v>13</v>
      </c>
      <c r="B4">
        <v>0.93041846815264839</v>
      </c>
    </row>
    <row r="5" spans="1:9" x14ac:dyDescent="0.25">
      <c r="A5" t="s">
        <v>14</v>
      </c>
      <c r="B5">
        <v>0.86567852587952088</v>
      </c>
    </row>
    <row r="6" spans="1:9" x14ac:dyDescent="0.25">
      <c r="A6" t="s">
        <v>15</v>
      </c>
      <c r="B6">
        <v>0.85346748277765916</v>
      </c>
    </row>
    <row r="7" spans="1:9" x14ac:dyDescent="0.25">
      <c r="A7" t="s">
        <v>16</v>
      </c>
      <c r="B7">
        <v>4951.1417609237596</v>
      </c>
    </row>
    <row r="8" spans="1:9" ht="15.75" thickBot="1" x14ac:dyDescent="0.3">
      <c r="A8" s="20" t="s">
        <v>17</v>
      </c>
      <c r="B8" s="20">
        <v>13</v>
      </c>
    </row>
    <row r="10" spans="1:9" ht="15.75" thickBot="1" x14ac:dyDescent="0.3">
      <c r="A10" t="s">
        <v>18</v>
      </c>
    </row>
    <row r="11" spans="1:9" x14ac:dyDescent="0.25">
      <c r="A11" s="21"/>
      <c r="B11" s="21" t="s">
        <v>23</v>
      </c>
      <c r="C11" s="21" t="s">
        <v>24</v>
      </c>
      <c r="D11" s="21" t="s">
        <v>25</v>
      </c>
      <c r="E11" s="21" t="s">
        <v>26</v>
      </c>
      <c r="F11" s="21" t="s">
        <v>27</v>
      </c>
    </row>
    <row r="12" spans="1:9" x14ac:dyDescent="0.25">
      <c r="A12" t="s">
        <v>19</v>
      </c>
      <c r="B12">
        <v>1</v>
      </c>
      <c r="C12">
        <v>1737859261.5879121</v>
      </c>
      <c r="D12">
        <v>1737859261.5879121</v>
      </c>
      <c r="E12">
        <v>70.893085763290486</v>
      </c>
      <c r="F12">
        <v>4.003588973200916E-6</v>
      </c>
    </row>
    <row r="13" spans="1:9" x14ac:dyDescent="0.25">
      <c r="A13" t="s">
        <v>20</v>
      </c>
      <c r="B13">
        <v>11</v>
      </c>
      <c r="C13">
        <v>269651852.10439551</v>
      </c>
      <c r="D13">
        <v>24513804.736763228</v>
      </c>
    </row>
    <row r="14" spans="1:9" ht="15.75" thickBot="1" x14ac:dyDescent="0.3">
      <c r="A14" s="20" t="s">
        <v>21</v>
      </c>
      <c r="B14" s="20">
        <v>12</v>
      </c>
      <c r="C14" s="20">
        <v>2007511113.6923075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28</v>
      </c>
      <c r="C16" s="21" t="s">
        <v>16</v>
      </c>
      <c r="D16" s="21" t="s">
        <v>29</v>
      </c>
      <c r="E16" s="21" t="s">
        <v>30</v>
      </c>
      <c r="F16" s="21" t="s">
        <v>31</v>
      </c>
      <c r="G16" s="21" t="s">
        <v>32</v>
      </c>
      <c r="H16" s="21" t="s">
        <v>33</v>
      </c>
      <c r="I16" s="21" t="s">
        <v>34</v>
      </c>
    </row>
    <row r="17" spans="1:9" x14ac:dyDescent="0.25">
      <c r="A17" s="23" t="s">
        <v>22</v>
      </c>
      <c r="B17" s="23">
        <v>129259.5</v>
      </c>
      <c r="C17">
        <v>2912.9963600208912</v>
      </c>
      <c r="D17">
        <v>44.373381914927279</v>
      </c>
      <c r="E17">
        <v>9.2985438078372073E-14</v>
      </c>
      <c r="F17">
        <v>122848.03824019305</v>
      </c>
      <c r="G17">
        <v>135670.96175980693</v>
      </c>
      <c r="H17">
        <v>122848.03824019305</v>
      </c>
      <c r="I17">
        <v>135670.96175980693</v>
      </c>
    </row>
    <row r="18" spans="1:9" ht="15.75" thickBot="1" x14ac:dyDescent="0.3">
      <c r="A18" s="24" t="s">
        <v>47</v>
      </c>
      <c r="B18" s="24">
        <v>3090.0934065934071</v>
      </c>
      <c r="C18" s="20">
        <v>367.00304469769776</v>
      </c>
      <c r="D18" s="20">
        <v>8.4198031902943278</v>
      </c>
      <c r="E18" s="20">
        <v>4.0035889732009075E-6</v>
      </c>
      <c r="F18" s="20">
        <v>2282.3251515053262</v>
      </c>
      <c r="G18" s="20">
        <v>3897.8616616814879</v>
      </c>
      <c r="H18" s="20">
        <v>2282.3251515053262</v>
      </c>
      <c r="I18" s="20">
        <v>3897.8616616814879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0A7C-0293-4C9C-B0FD-51FE9359FF5C}">
  <dimension ref="A1:I18"/>
  <sheetViews>
    <sheetView workbookViewId="0">
      <selection activeCell="M26" sqref="M26"/>
    </sheetView>
  </sheetViews>
  <sheetFormatPr baseColWidth="10"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22" t="s">
        <v>12</v>
      </c>
      <c r="B3" s="22"/>
    </row>
    <row r="4" spans="1:9" x14ac:dyDescent="0.25">
      <c r="A4" t="s">
        <v>13</v>
      </c>
      <c r="B4">
        <v>0.98954663962216172</v>
      </c>
    </row>
    <row r="5" spans="1:9" x14ac:dyDescent="0.25">
      <c r="A5" t="s">
        <v>14</v>
      </c>
      <c r="B5">
        <v>0.97920255198751249</v>
      </c>
    </row>
    <row r="6" spans="1:9" x14ac:dyDescent="0.25">
      <c r="A6" t="s">
        <v>15</v>
      </c>
      <c r="B6">
        <v>0.97623148798572856</v>
      </c>
    </row>
    <row r="7" spans="1:9" x14ac:dyDescent="0.25">
      <c r="A7" t="s">
        <v>16</v>
      </c>
      <c r="B7">
        <v>1331.9128253261754</v>
      </c>
    </row>
    <row r="8" spans="1:9" ht="15.75" thickBot="1" x14ac:dyDescent="0.3">
      <c r="A8" s="20" t="s">
        <v>17</v>
      </c>
      <c r="B8" s="20">
        <v>9</v>
      </c>
    </row>
    <row r="10" spans="1:9" ht="15.75" thickBot="1" x14ac:dyDescent="0.3">
      <c r="A10" t="s">
        <v>18</v>
      </c>
    </row>
    <row r="11" spans="1:9" x14ac:dyDescent="0.25">
      <c r="A11" s="21"/>
      <c r="B11" s="21" t="s">
        <v>23</v>
      </c>
      <c r="C11" s="21" t="s">
        <v>24</v>
      </c>
      <c r="D11" s="21" t="s">
        <v>25</v>
      </c>
      <c r="E11" s="21" t="s">
        <v>26</v>
      </c>
      <c r="F11" s="21" t="s">
        <v>27</v>
      </c>
    </row>
    <row r="12" spans="1:9" x14ac:dyDescent="0.25">
      <c r="A12" t="s">
        <v>19</v>
      </c>
      <c r="B12">
        <v>1</v>
      </c>
      <c r="C12">
        <v>584671778.03151035</v>
      </c>
      <c r="D12">
        <v>584671778.03151035</v>
      </c>
      <c r="E12">
        <v>329.57975708351063</v>
      </c>
      <c r="F12">
        <v>3.8063678386325006E-7</v>
      </c>
    </row>
    <row r="13" spans="1:9" x14ac:dyDescent="0.25">
      <c r="A13" t="s">
        <v>20</v>
      </c>
      <c r="B13">
        <v>7</v>
      </c>
      <c r="C13">
        <v>12417942.419878483</v>
      </c>
      <c r="D13">
        <v>1773991.7742683548</v>
      </c>
    </row>
    <row r="14" spans="1:9" ht="15.75" thickBot="1" x14ac:dyDescent="0.3">
      <c r="A14" s="20" t="s">
        <v>21</v>
      </c>
      <c r="B14" s="20">
        <v>8</v>
      </c>
      <c r="C14" s="20">
        <v>597089720.45138884</v>
      </c>
      <c r="D14" s="20"/>
      <c r="E14" s="20"/>
      <c r="F14" s="20"/>
    </row>
    <row r="15" spans="1:9" ht="15.75" thickBot="1" x14ac:dyDescent="0.3"/>
    <row r="16" spans="1:9" x14ac:dyDescent="0.25">
      <c r="A16" s="21"/>
      <c r="B16" s="21" t="s">
        <v>28</v>
      </c>
      <c r="C16" s="21" t="s">
        <v>16</v>
      </c>
      <c r="D16" s="21" t="s">
        <v>29</v>
      </c>
      <c r="E16" s="21" t="s">
        <v>30</v>
      </c>
      <c r="F16" s="21" t="s">
        <v>31</v>
      </c>
      <c r="G16" s="21" t="s">
        <v>32</v>
      </c>
      <c r="H16" s="21" t="s">
        <v>33</v>
      </c>
      <c r="I16" s="21" t="s">
        <v>34</v>
      </c>
    </row>
    <row r="17" spans="1:9" x14ac:dyDescent="0.25">
      <c r="A17" s="23" t="s">
        <v>22</v>
      </c>
      <c r="B17" s="23">
        <v>127490.50069444446</v>
      </c>
      <c r="C17">
        <v>1282.9147072688625</v>
      </c>
      <c r="D17">
        <v>99.375663847406557</v>
      </c>
      <c r="E17">
        <v>2.7533252371577932E-12</v>
      </c>
      <c r="F17">
        <v>124456.88946491145</v>
      </c>
      <c r="G17">
        <v>130524.11192397747</v>
      </c>
      <c r="H17">
        <v>124456.88946491145</v>
      </c>
      <c r="I17">
        <v>130524.11192397747</v>
      </c>
    </row>
    <row r="18" spans="1:9" ht="15.75" thickBot="1" x14ac:dyDescent="0.3">
      <c r="A18" s="24" t="s">
        <v>47</v>
      </c>
      <c r="B18" s="24">
        <v>3121.6229166666662</v>
      </c>
      <c r="C18" s="20">
        <v>171.94920636961149</v>
      </c>
      <c r="D18" s="20">
        <v>18.154331634172344</v>
      </c>
      <c r="E18" s="20">
        <v>3.8063678386325006E-7</v>
      </c>
      <c r="F18" s="20">
        <v>2715.0276532429502</v>
      </c>
      <c r="G18" s="20">
        <v>3528.2181800903822</v>
      </c>
      <c r="H18" s="20">
        <v>2715.0276532429502</v>
      </c>
      <c r="I18" s="20">
        <v>3528.2181800903822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C223-1B0A-43AC-B887-C61993C0769F}">
  <dimension ref="A1:H14"/>
  <sheetViews>
    <sheetView workbookViewId="0">
      <selection activeCell="E2" sqref="E2"/>
    </sheetView>
  </sheetViews>
  <sheetFormatPr baseColWidth="10" defaultRowHeight="15" x14ac:dyDescent="0.25"/>
  <cols>
    <col min="3" max="3" width="18.42578125" customWidth="1"/>
    <col min="4" max="4" width="24.28515625" customWidth="1"/>
    <col min="5" max="5" width="17.140625" customWidth="1"/>
  </cols>
  <sheetData>
    <row r="1" spans="1:8" ht="30" x14ac:dyDescent="0.25">
      <c r="A1" s="1" t="s">
        <v>0</v>
      </c>
      <c r="B1" s="11" t="s">
        <v>1</v>
      </c>
      <c r="C1" s="12" t="s">
        <v>46</v>
      </c>
      <c r="D1" s="12" t="s">
        <v>48</v>
      </c>
      <c r="E1" s="5" t="s">
        <v>49</v>
      </c>
    </row>
    <row r="2" spans="1:8" x14ac:dyDescent="0.25">
      <c r="A2" s="1">
        <v>1</v>
      </c>
      <c r="B2" s="17">
        <v>137645</v>
      </c>
      <c r="C2" s="2"/>
      <c r="D2" s="2">
        <f>127490.501+A2*(3121.62292)</f>
        <v>130612.12392</v>
      </c>
      <c r="E2" s="25">
        <f>B2/D2</f>
        <v>1.0538455073612281</v>
      </c>
    </row>
    <row r="3" spans="1:8" x14ac:dyDescent="0.25">
      <c r="A3" s="1">
        <v>2</v>
      </c>
      <c r="B3" s="17">
        <v>141384</v>
      </c>
      <c r="C3" s="2"/>
      <c r="D3" s="2">
        <f>127490.501+A3*(3121.62292)</f>
        <v>133733.74684000001</v>
      </c>
      <c r="E3" s="3">
        <f t="shared" ref="E3:E14" si="0">B3/D3</f>
        <v>1.0572051059718892</v>
      </c>
    </row>
    <row r="4" spans="1:8" x14ac:dyDescent="0.25">
      <c r="A4" s="1">
        <v>3</v>
      </c>
      <c r="B4" s="17">
        <v>135946</v>
      </c>
      <c r="C4" s="2">
        <f>(B2+B6+2*SUM(B3:B5))/8</f>
        <v>139168.875</v>
      </c>
      <c r="D4" s="2">
        <f>127490.501+A4*(3121.62292)</f>
        <v>136855.36976</v>
      </c>
      <c r="E4" s="3">
        <f t="shared" si="0"/>
        <v>0.99335524969466127</v>
      </c>
    </row>
    <row r="5" spans="1:8" x14ac:dyDescent="0.25">
      <c r="A5" s="1">
        <v>4</v>
      </c>
      <c r="B5" s="17">
        <v>140797</v>
      </c>
      <c r="C5" s="2">
        <f t="shared" ref="C5:C11" si="1">(B3+B7+2*SUM(B4:B6))/8</f>
        <v>139878.5</v>
      </c>
      <c r="D5" s="2">
        <f>127490.501+A5*(3121.62292)</f>
        <v>139976.99268</v>
      </c>
      <c r="E5" s="3">
        <f t="shared" si="0"/>
        <v>1.0058581578608037</v>
      </c>
      <c r="G5" s="23" t="s">
        <v>22</v>
      </c>
      <c r="H5" s="23">
        <v>127490.50069444446</v>
      </c>
    </row>
    <row r="6" spans="1:8" ht="15.75" thickBot="1" x14ac:dyDescent="0.3">
      <c r="A6" s="1">
        <v>5</v>
      </c>
      <c r="B6" s="17">
        <v>139452</v>
      </c>
      <c r="C6" s="2">
        <f t="shared" si="1"/>
        <v>142020.875</v>
      </c>
      <c r="D6" s="2">
        <f>127490.501+A6*(3121.62292)</f>
        <v>143098.61559999999</v>
      </c>
      <c r="E6" s="25">
        <f t="shared" si="0"/>
        <v>0.97451676534598153</v>
      </c>
      <c r="G6" s="24" t="s">
        <v>47</v>
      </c>
      <c r="H6" s="24">
        <v>3121.6229166666662</v>
      </c>
    </row>
    <row r="7" spans="1:8" x14ac:dyDescent="0.25">
      <c r="A7" s="1">
        <v>6</v>
      </c>
      <c r="B7" s="17">
        <v>145254</v>
      </c>
      <c r="C7" s="2">
        <f t="shared" si="1"/>
        <v>144962.125</v>
      </c>
      <c r="D7" s="2">
        <f t="shared" ref="D7:D14" si="2">127490.501+A7*(3121.62292)</f>
        <v>146220.23852000001</v>
      </c>
      <c r="E7" s="3">
        <f t="shared" si="0"/>
        <v>0.99339189615760437</v>
      </c>
    </row>
    <row r="8" spans="1:8" x14ac:dyDescent="0.25">
      <c r="A8" s="1">
        <v>7</v>
      </c>
      <c r="B8" s="17">
        <v>149215</v>
      </c>
      <c r="C8" s="2">
        <f t="shared" si="1"/>
        <v>148322.375</v>
      </c>
      <c r="D8" s="2">
        <f t="shared" si="2"/>
        <v>149341.86144000001</v>
      </c>
      <c r="E8" s="3">
        <f t="shared" si="0"/>
        <v>0.99915052993998621</v>
      </c>
    </row>
    <row r="9" spans="1:8" x14ac:dyDescent="0.25">
      <c r="A9" s="1">
        <v>8</v>
      </c>
      <c r="B9" s="17">
        <v>151058</v>
      </c>
      <c r="C9" s="2">
        <f t="shared" si="1"/>
        <v>152458.875</v>
      </c>
      <c r="D9" s="2">
        <f t="shared" si="2"/>
        <v>152463.48436</v>
      </c>
      <c r="E9" s="3">
        <f t="shared" si="0"/>
        <v>0.99078150177467184</v>
      </c>
    </row>
    <row r="10" spans="1:8" x14ac:dyDescent="0.25">
      <c r="A10" s="1">
        <v>9</v>
      </c>
      <c r="B10" s="17">
        <v>156073</v>
      </c>
      <c r="C10" s="2">
        <f t="shared" si="1"/>
        <v>155225.375</v>
      </c>
      <c r="D10" s="2">
        <f t="shared" si="2"/>
        <v>155585.10728</v>
      </c>
      <c r="E10" s="25">
        <f t="shared" si="0"/>
        <v>1.0031358574643134</v>
      </c>
    </row>
    <row r="11" spans="1:8" x14ac:dyDescent="0.25">
      <c r="A11" s="1">
        <v>10</v>
      </c>
      <c r="B11" s="17">
        <v>161725</v>
      </c>
      <c r="C11" s="2">
        <f t="shared" si="1"/>
        <v>158456.375</v>
      </c>
      <c r="D11" s="2">
        <f t="shared" si="2"/>
        <v>158706.73019999999</v>
      </c>
      <c r="E11" s="3">
        <f t="shared" si="0"/>
        <v>1.0190179067780958</v>
      </c>
    </row>
    <row r="12" spans="1:8" x14ac:dyDescent="0.25">
      <c r="A12" s="1">
        <v>11</v>
      </c>
      <c r="B12" s="17">
        <v>154876</v>
      </c>
      <c r="C12" s="2">
        <f>(B10+B14+2*SUM(B11:B13))/8</f>
        <v>163583.375</v>
      </c>
      <c r="D12" s="2">
        <f t="shared" si="2"/>
        <v>161828.35311999999</v>
      </c>
      <c r="E12" s="3">
        <f t="shared" si="0"/>
        <v>0.95703872043457905</v>
      </c>
    </row>
    <row r="13" spans="1:8" x14ac:dyDescent="0.25">
      <c r="A13" s="1">
        <v>12</v>
      </c>
      <c r="B13" s="17">
        <v>171245</v>
      </c>
      <c r="C13" s="2"/>
      <c r="D13" s="2">
        <f t="shared" si="2"/>
        <v>164949.97604000001</v>
      </c>
      <c r="E13" s="3">
        <f t="shared" si="0"/>
        <v>1.0381632305207094</v>
      </c>
    </row>
    <row r="14" spans="1:8" x14ac:dyDescent="0.25">
      <c r="A14" s="1">
        <v>13</v>
      </c>
      <c r="B14" s="17">
        <v>176902</v>
      </c>
      <c r="C14" s="2"/>
      <c r="D14" s="2">
        <f t="shared" si="2"/>
        <v>168071.59896</v>
      </c>
      <c r="E14" s="3">
        <f t="shared" si="0"/>
        <v>1.0525395194348188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Datos_APROBADOS-OTOÑO</vt:lpstr>
      <vt:lpstr>Promedio móvil_APROBADOS-OTOÑO</vt:lpstr>
      <vt:lpstr>Suav_Expo_APROBADOS-OTOÑO</vt:lpstr>
      <vt:lpstr>Holt_APROBADOS-OTOÑO</vt:lpstr>
      <vt:lpstr>Winter_APROBADOS-OTOÑO</vt:lpstr>
      <vt:lpstr>RESUMEN</vt:lpstr>
      <vt:lpstr>Regresión_Holt_APROBADOS-OTOÑO</vt:lpstr>
      <vt:lpstr>Regresión_Winter_APROBADOS_OTOÑ</vt:lpstr>
      <vt:lpstr>Demanda_des_Factor esta_winter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 Montero Gonzalez</dc:creator>
  <cp:lastModifiedBy>Fabiola Montero González</cp:lastModifiedBy>
  <dcterms:created xsi:type="dcterms:W3CDTF">2024-08-20T22:38:25Z</dcterms:created>
  <dcterms:modified xsi:type="dcterms:W3CDTF">2024-09-07T07:31:35Z</dcterms:modified>
</cp:coreProperties>
</file>