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3608918cb459bb5/Escritorio/Maestría en Analítica de Datos/Modelos Predictivos/Data_Proyecto Final/"/>
    </mc:Choice>
  </mc:AlternateContent>
  <xr:revisionPtr revIDLastSave="87161" documentId="8_{AB1ED47D-6679-4284-87E3-F2E88A491766}" xr6:coauthVersionLast="47" xr6:coauthVersionMax="47" xr10:uidLastSave="{50AACE5B-8E39-483A-93D5-CE755746615C}"/>
  <bookViews>
    <workbookView xWindow="-28920" yWindow="-120" windowWidth="29040" windowHeight="15720" xr2:uid="{6C81D096-4D99-4FD9-9DE0-950FE3C7DD71}"/>
  </bookViews>
  <sheets>
    <sheet name="Datos_APROBADOS-PRIMAVERA" sheetId="17" r:id="rId1"/>
    <sheet name="Promedio móvil_APROBADOS-PRIMAV" sheetId="1" r:id="rId2"/>
    <sheet name="Suav_Expo_APROBADOS-PRIMAVERA" sheetId="2" r:id="rId3"/>
    <sheet name="Holt_APROBADOS-PRIMAVERA" sheetId="3" r:id="rId4"/>
    <sheet name="Winter_APROBADOS-PRIMAVERA" sheetId="6" r:id="rId5"/>
    <sheet name="RESUMEN" sheetId="7" r:id="rId6"/>
    <sheet name="Regresión_Holt_APROBADOS-PRIMAV" sheetId="21" r:id="rId7"/>
    <sheet name="Regresión_Winter_APROBADOS_PRIM" sheetId="22" r:id="rId8"/>
    <sheet name="Demanda_des_Factor esta_winter" sheetId="9" r:id="rId9"/>
  </sheets>
  <definedNames>
    <definedName name="solver_adj" localSheetId="3" hidden="1">'Holt_APROBADOS-PRIMAVERA'!$B$19:$B$20</definedName>
    <definedName name="solver_adj" localSheetId="2" hidden="1">'Suav_Expo_APROBADOS-PRIMAVERA'!$B$18</definedName>
    <definedName name="solver_adj" localSheetId="4" hidden="1">'Winter_APROBADOS-PRIMAVERA'!$B$19:$B$21</definedName>
    <definedName name="solver_cvg" localSheetId="3" hidden="1">0.0001</definedName>
    <definedName name="solver_cvg" localSheetId="2" hidden="1">0.0001</definedName>
    <definedName name="solver_cvg" localSheetId="4" hidden="1">0.0001</definedName>
    <definedName name="solver_drv" localSheetId="3" hidden="1">2</definedName>
    <definedName name="solver_drv" localSheetId="2" hidden="1">2</definedName>
    <definedName name="solver_drv" localSheetId="4" hidden="1">1</definedName>
    <definedName name="solver_eng" localSheetId="3" hidden="1">3</definedName>
    <definedName name="solver_eng" localSheetId="2" hidden="1">3</definedName>
    <definedName name="solver_eng" localSheetId="4" hidden="1">3</definedName>
    <definedName name="solver_est" localSheetId="3" hidden="1">1</definedName>
    <definedName name="solver_est" localSheetId="2" hidden="1">1</definedName>
    <definedName name="solver_est" localSheetId="4" hidden="1">1</definedName>
    <definedName name="solver_itr" localSheetId="3" hidden="1">2147483647</definedName>
    <definedName name="solver_itr" localSheetId="2" hidden="1">2147483647</definedName>
    <definedName name="solver_itr" localSheetId="4" hidden="1">2147483647</definedName>
    <definedName name="solver_lhs1" localSheetId="3" hidden="1">'Holt_APROBADOS-PRIMAVERA'!$B$19</definedName>
    <definedName name="solver_lhs1" localSheetId="2" hidden="1">'Suav_Expo_APROBADOS-PRIMAVERA'!$B$18</definedName>
    <definedName name="solver_lhs1" localSheetId="4" hidden="1">'Winter_APROBADOS-PRIMAVERA'!$B$19</definedName>
    <definedName name="solver_lhs2" localSheetId="3" hidden="1">'Holt_APROBADOS-PRIMAVERA'!$B$20</definedName>
    <definedName name="solver_lhs2" localSheetId="2" hidden="1">'Suav_Expo_APROBADOS-PRIMAVERA'!$B$18</definedName>
    <definedName name="solver_lhs2" localSheetId="4" hidden="1">'Winter_APROBADOS-PRIMAVERA'!$B$20</definedName>
    <definedName name="solver_lhs3" localSheetId="4" hidden="1">'Winter_APROBADOS-PRIMAVERA'!$B$21</definedName>
    <definedName name="solver_mip" localSheetId="3" hidden="1">2147483647</definedName>
    <definedName name="solver_mip" localSheetId="2" hidden="1">2147483647</definedName>
    <definedName name="solver_mip" localSheetId="4" hidden="1">2147483647</definedName>
    <definedName name="solver_mni" localSheetId="3" hidden="1">30</definedName>
    <definedName name="solver_mni" localSheetId="2" hidden="1">30</definedName>
    <definedName name="solver_mni" localSheetId="4" hidden="1">30</definedName>
    <definedName name="solver_mrt" localSheetId="3" hidden="1">0.075</definedName>
    <definedName name="solver_mrt" localSheetId="2" hidden="1">0.075</definedName>
    <definedName name="solver_mrt" localSheetId="4" hidden="1">0.075</definedName>
    <definedName name="solver_msl" localSheetId="3" hidden="1">2</definedName>
    <definedName name="solver_msl" localSheetId="2" hidden="1">2</definedName>
    <definedName name="solver_msl" localSheetId="4" hidden="1">2</definedName>
    <definedName name="solver_neg" localSheetId="3" hidden="1">1</definedName>
    <definedName name="solver_neg" localSheetId="2" hidden="1">1</definedName>
    <definedName name="solver_neg" localSheetId="4" hidden="1">1</definedName>
    <definedName name="solver_nod" localSheetId="3" hidden="1">2147483647</definedName>
    <definedName name="solver_nod" localSheetId="2" hidden="1">2147483647</definedName>
    <definedName name="solver_nod" localSheetId="4" hidden="1">2147483647</definedName>
    <definedName name="solver_num" localSheetId="3" hidden="1">2</definedName>
    <definedName name="solver_num" localSheetId="2" hidden="1">2</definedName>
    <definedName name="solver_num" localSheetId="4" hidden="1">3</definedName>
    <definedName name="solver_nwt" localSheetId="3" hidden="1">1</definedName>
    <definedName name="solver_nwt" localSheetId="2" hidden="1">1</definedName>
    <definedName name="solver_nwt" localSheetId="4" hidden="1">1</definedName>
    <definedName name="solver_opt" localSheetId="3" hidden="1">'Holt_APROBADOS-PRIMAVERA'!$H$15</definedName>
    <definedName name="solver_opt" localSheetId="2" hidden="1">'Suav_Expo_APROBADOS-PRIMAVERA'!$F$16</definedName>
    <definedName name="solver_opt" localSheetId="4" hidden="1">'Winter_APROBADOS-PRIMAVERA'!$J$15</definedName>
    <definedName name="solver_pre" localSheetId="3" hidden="1">0.000001</definedName>
    <definedName name="solver_pre" localSheetId="2" hidden="1">0.000001</definedName>
    <definedName name="solver_pre" localSheetId="4" hidden="1">0.000001</definedName>
    <definedName name="solver_rbv" localSheetId="3" hidden="1">2</definedName>
    <definedName name="solver_rbv" localSheetId="2" hidden="1">2</definedName>
    <definedName name="solver_rbv" localSheetId="4" hidden="1">1</definedName>
    <definedName name="solver_rel1" localSheetId="3" hidden="1">1</definedName>
    <definedName name="solver_rel1" localSheetId="2" hidden="1">1</definedName>
    <definedName name="solver_rel1" localSheetId="4" hidden="1">1</definedName>
    <definedName name="solver_rel2" localSheetId="3" hidden="1">1</definedName>
    <definedName name="solver_rel2" localSheetId="2" hidden="1">3</definedName>
    <definedName name="solver_rel2" localSheetId="4" hidden="1">1</definedName>
    <definedName name="solver_rel3" localSheetId="4" hidden="1">1</definedName>
    <definedName name="solver_rhs1" localSheetId="3" hidden="1">1</definedName>
    <definedName name="solver_rhs1" localSheetId="2" hidden="1">1</definedName>
    <definedName name="solver_rhs1" localSheetId="4" hidden="1">1</definedName>
    <definedName name="solver_rhs2" localSheetId="3" hidden="1">1</definedName>
    <definedName name="solver_rhs2" localSheetId="2" hidden="1">0</definedName>
    <definedName name="solver_rhs2" localSheetId="4" hidden="1">1</definedName>
    <definedName name="solver_rhs3" localSheetId="4" hidden="1">1</definedName>
    <definedName name="solver_rlx" localSheetId="3" hidden="1">2</definedName>
    <definedName name="solver_rlx" localSheetId="2" hidden="1">2</definedName>
    <definedName name="solver_rlx" localSheetId="4" hidden="1">2</definedName>
    <definedName name="solver_rsd" localSheetId="3" hidden="1">0</definedName>
    <definedName name="solver_rsd" localSheetId="2" hidden="1">0</definedName>
    <definedName name="solver_rsd" localSheetId="4" hidden="1">0</definedName>
    <definedName name="solver_scl" localSheetId="3" hidden="1">2</definedName>
    <definedName name="solver_scl" localSheetId="2" hidden="1">2</definedName>
    <definedName name="solver_scl" localSheetId="4" hidden="1">1</definedName>
    <definedName name="solver_sho" localSheetId="3" hidden="1">2</definedName>
    <definedName name="solver_sho" localSheetId="2" hidden="1">2</definedName>
    <definedName name="solver_sho" localSheetId="4" hidden="1">2</definedName>
    <definedName name="solver_ssz" localSheetId="3" hidden="1">100</definedName>
    <definedName name="solver_ssz" localSheetId="2" hidden="1">100</definedName>
    <definedName name="solver_ssz" localSheetId="4" hidden="1">100</definedName>
    <definedName name="solver_tim" localSheetId="3" hidden="1">2147483647</definedName>
    <definedName name="solver_tim" localSheetId="2" hidden="1">2147483647</definedName>
    <definedName name="solver_tim" localSheetId="4" hidden="1">2147483647</definedName>
    <definedName name="solver_tol" localSheetId="3" hidden="1">0.01</definedName>
    <definedName name="solver_tol" localSheetId="2" hidden="1">0.01</definedName>
    <definedName name="solver_tol" localSheetId="4" hidden="1">0.01</definedName>
    <definedName name="solver_typ" localSheetId="3" hidden="1">2</definedName>
    <definedName name="solver_typ" localSheetId="2" hidden="1">2</definedName>
    <definedName name="solver_typ" localSheetId="4" hidden="1">2</definedName>
    <definedName name="solver_val" localSheetId="3" hidden="1">0</definedName>
    <definedName name="solver_val" localSheetId="2" hidden="1">0</definedName>
    <definedName name="solver_val" localSheetId="4" hidden="1">0</definedName>
    <definedName name="solver_ver" localSheetId="3" hidden="1">3</definedName>
    <definedName name="solver_ver" localSheetId="2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7" l="1"/>
  <c r="I5" i="7"/>
  <c r="I4" i="7"/>
  <c r="I3" i="7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M16" i="6"/>
  <c r="L16" i="6"/>
  <c r="K16" i="6"/>
  <c r="J16" i="6"/>
  <c r="I16" i="6"/>
  <c r="H16" i="6"/>
  <c r="G16" i="6"/>
  <c r="F17" i="6"/>
  <c r="E17" i="6"/>
  <c r="D16" i="6"/>
  <c r="C16" i="6"/>
  <c r="E4" i="6"/>
  <c r="E5" i="6"/>
  <c r="E6" i="6"/>
  <c r="E3" i="6"/>
  <c r="D2" i="6"/>
  <c r="C2" i="6"/>
  <c r="E15" i="9"/>
  <c r="E3" i="9"/>
  <c r="E4" i="9"/>
  <c r="E5" i="9"/>
  <c r="E6" i="9"/>
  <c r="E7" i="9"/>
  <c r="E8" i="9"/>
  <c r="E9" i="9"/>
  <c r="E10" i="9"/>
  <c r="E11" i="9"/>
  <c r="E12" i="9"/>
  <c r="E13" i="9"/>
  <c r="E14" i="9"/>
  <c r="D15" i="9"/>
  <c r="D3" i="9"/>
  <c r="D4" i="9"/>
  <c r="D5" i="9"/>
  <c r="D6" i="9"/>
  <c r="D7" i="9"/>
  <c r="D8" i="9"/>
  <c r="D9" i="9"/>
  <c r="D10" i="9"/>
  <c r="D11" i="9"/>
  <c r="D12" i="9"/>
  <c r="D13" i="9"/>
  <c r="D14" i="9"/>
  <c r="D2" i="9"/>
  <c r="L16" i="3"/>
  <c r="K16" i="3"/>
  <c r="J16" i="3"/>
  <c r="I16" i="3"/>
  <c r="H16" i="3"/>
  <c r="G16" i="3"/>
  <c r="F16" i="3"/>
  <c r="E17" i="3"/>
  <c r="D16" i="3"/>
  <c r="C16" i="3"/>
  <c r="D2" i="3"/>
  <c r="C2" i="3"/>
  <c r="K16" i="2" l="1"/>
  <c r="J16" i="2"/>
  <c r="I16" i="2"/>
  <c r="H16" i="2"/>
  <c r="G16" i="2"/>
  <c r="F17" i="2"/>
  <c r="F16" i="2"/>
  <c r="E16" i="2"/>
  <c r="D16" i="2"/>
  <c r="C16" i="2"/>
  <c r="C2" i="2"/>
  <c r="K15" i="1"/>
  <c r="J15" i="1"/>
  <c r="I15" i="1"/>
  <c r="H15" i="1"/>
  <c r="G15" i="1"/>
  <c r="F15" i="1"/>
  <c r="E15" i="1"/>
  <c r="D15" i="1"/>
  <c r="C15" i="1"/>
  <c r="E2" i="9" l="1"/>
  <c r="C12" i="9" l="1"/>
  <c r="C5" i="9"/>
  <c r="C6" i="9"/>
  <c r="C7" i="9"/>
  <c r="C8" i="9"/>
  <c r="C9" i="9"/>
  <c r="C10" i="9"/>
  <c r="C11" i="9"/>
  <c r="C4" i="9"/>
  <c r="C3" i="6" l="1"/>
  <c r="E7" i="6" l="1"/>
  <c r="D3" i="6"/>
  <c r="C4" i="6" s="1"/>
  <c r="F3" i="6"/>
  <c r="G3" i="6" s="1"/>
  <c r="C3" i="3"/>
  <c r="D3" i="3" s="1"/>
  <c r="C4" i="3" s="1"/>
  <c r="D4" i="3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6" i="1"/>
  <c r="D7" i="1" s="1"/>
  <c r="E7" i="1" s="1"/>
  <c r="F7" i="1" s="1"/>
  <c r="I7" i="1" s="1"/>
  <c r="C7" i="1"/>
  <c r="D8" i="1" s="1"/>
  <c r="E8" i="1" s="1"/>
  <c r="F8" i="1" s="1"/>
  <c r="I8" i="1" s="1"/>
  <c r="C8" i="1"/>
  <c r="D9" i="1" s="1"/>
  <c r="E9" i="1" s="1"/>
  <c r="F9" i="1" s="1"/>
  <c r="I9" i="1" s="1"/>
  <c r="C9" i="1"/>
  <c r="D10" i="1" s="1"/>
  <c r="E10" i="1" s="1"/>
  <c r="F10" i="1" s="1"/>
  <c r="I10" i="1" s="1"/>
  <c r="C10" i="1"/>
  <c r="D11" i="1" s="1"/>
  <c r="E11" i="1" s="1"/>
  <c r="F11" i="1" s="1"/>
  <c r="I11" i="1" s="1"/>
  <c r="C11" i="1"/>
  <c r="D12" i="1" s="1"/>
  <c r="E12" i="1" s="1"/>
  <c r="F12" i="1" s="1"/>
  <c r="I12" i="1" s="1"/>
  <c r="C12" i="1"/>
  <c r="D13" i="1" s="1"/>
  <c r="E13" i="1" s="1"/>
  <c r="F13" i="1" s="1"/>
  <c r="I13" i="1" s="1"/>
  <c r="C13" i="1"/>
  <c r="D14" i="1" s="1"/>
  <c r="C14" i="1"/>
  <c r="C5" i="1"/>
  <c r="D6" i="1" s="1"/>
  <c r="E6" i="1" s="1"/>
  <c r="E14" i="1" l="1"/>
  <c r="F14" i="1" s="1"/>
  <c r="I14" i="1" s="1"/>
  <c r="E8" i="6"/>
  <c r="D4" i="6"/>
  <c r="C5" i="6" s="1"/>
  <c r="I3" i="6"/>
  <c r="D5" i="2"/>
  <c r="E5" i="2" s="1"/>
  <c r="F5" i="2" s="1"/>
  <c r="I5" i="2" s="1"/>
  <c r="D3" i="2"/>
  <c r="E3" i="2" s="1"/>
  <c r="D4" i="2"/>
  <c r="E4" i="2" s="1"/>
  <c r="F4" i="2" s="1"/>
  <c r="G14" i="1"/>
  <c r="G7" i="1"/>
  <c r="G8" i="1"/>
  <c r="G9" i="1"/>
  <c r="G10" i="1"/>
  <c r="G11" i="1"/>
  <c r="G12" i="1"/>
  <c r="G13" i="1"/>
  <c r="G6" i="1"/>
  <c r="F6" i="1"/>
  <c r="H3" i="6"/>
  <c r="J3" i="6" s="1"/>
  <c r="F4" i="6"/>
  <c r="G4" i="6" s="1"/>
  <c r="I4" i="6" s="1"/>
  <c r="E3" i="3"/>
  <c r="F3" i="3" s="1"/>
  <c r="E9" i="6" l="1"/>
  <c r="D5" i="6"/>
  <c r="C6" i="6" s="1"/>
  <c r="H3" i="3"/>
  <c r="G4" i="2"/>
  <c r="G3" i="3"/>
  <c r="G5" i="2"/>
  <c r="F3" i="2"/>
  <c r="G3" i="2"/>
  <c r="H7" i="1"/>
  <c r="K7" i="1" s="1"/>
  <c r="H6" i="1"/>
  <c r="K6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I6" i="1"/>
  <c r="H14" i="1"/>
  <c r="I4" i="2"/>
  <c r="D6" i="2"/>
  <c r="E6" i="2" s="1"/>
  <c r="M3" i="6"/>
  <c r="K3" i="6"/>
  <c r="H4" i="6"/>
  <c r="F5" i="6"/>
  <c r="G5" i="6" s="1"/>
  <c r="C5" i="3"/>
  <c r="D5" i="3" s="1"/>
  <c r="E4" i="3"/>
  <c r="F4" i="3" s="1"/>
  <c r="D6" i="6" l="1"/>
  <c r="C7" i="6" s="1"/>
  <c r="E11" i="6" s="1"/>
  <c r="E10" i="6"/>
  <c r="J3" i="3"/>
  <c r="I3" i="3"/>
  <c r="L3" i="3" s="1"/>
  <c r="H5" i="2"/>
  <c r="K5" i="2" s="1"/>
  <c r="H4" i="2"/>
  <c r="K4" i="2" s="1"/>
  <c r="I5" i="6"/>
  <c r="I3" i="2"/>
  <c r="H3" i="2"/>
  <c r="K3" i="2" s="1"/>
  <c r="F3" i="7"/>
  <c r="K14" i="1"/>
  <c r="J9" i="1"/>
  <c r="J10" i="1"/>
  <c r="J11" i="1"/>
  <c r="J12" i="1"/>
  <c r="J13" i="1"/>
  <c r="J14" i="1"/>
  <c r="J7" i="1"/>
  <c r="J6" i="1"/>
  <c r="J8" i="1"/>
  <c r="F6" i="2"/>
  <c r="G6" i="2"/>
  <c r="D7" i="2"/>
  <c r="E7" i="2" s="1"/>
  <c r="F7" i="2" s="1"/>
  <c r="I7" i="2" s="1"/>
  <c r="J4" i="6"/>
  <c r="M4" i="6" s="1"/>
  <c r="G4" i="3"/>
  <c r="H4" i="3"/>
  <c r="H5" i="6"/>
  <c r="J5" i="6" s="1"/>
  <c r="K4" i="6"/>
  <c r="L3" i="6"/>
  <c r="C6" i="3"/>
  <c r="D6" i="3" s="1"/>
  <c r="E5" i="3"/>
  <c r="F5" i="3" s="1"/>
  <c r="G5" i="3" s="1"/>
  <c r="J5" i="3" s="1"/>
  <c r="D7" i="6" l="1"/>
  <c r="C8" i="6" s="1"/>
  <c r="E12" i="6" s="1"/>
  <c r="K3" i="3"/>
  <c r="J3" i="2"/>
  <c r="J4" i="2"/>
  <c r="J5" i="2"/>
  <c r="D8" i="2"/>
  <c r="E8" i="2" s="1"/>
  <c r="G7" i="2"/>
  <c r="I6" i="2"/>
  <c r="H6" i="2"/>
  <c r="K6" i="2" s="1"/>
  <c r="H7" i="2"/>
  <c r="K7" i="2" s="1"/>
  <c r="F6" i="6"/>
  <c r="G6" i="6" s="1"/>
  <c r="I4" i="3"/>
  <c r="L4" i="3" s="1"/>
  <c r="I5" i="3"/>
  <c r="L5" i="3" s="1"/>
  <c r="J4" i="3"/>
  <c r="H5" i="3"/>
  <c r="L4" i="6"/>
  <c r="K5" i="6"/>
  <c r="L5" i="6" s="1"/>
  <c r="M5" i="6"/>
  <c r="C7" i="3"/>
  <c r="D7" i="3" s="1"/>
  <c r="E6" i="3"/>
  <c r="F6" i="3" s="1"/>
  <c r="I6" i="6" l="1"/>
  <c r="D9" i="2"/>
  <c r="E9" i="2" s="1"/>
  <c r="G9" i="2" s="1"/>
  <c r="F8" i="2"/>
  <c r="G8" i="2"/>
  <c r="J7" i="2"/>
  <c r="J6" i="2"/>
  <c r="D8" i="6"/>
  <c r="C9" i="6" s="1"/>
  <c r="E13" i="6" s="1"/>
  <c r="H6" i="6"/>
  <c r="F7" i="6"/>
  <c r="G7" i="6" s="1"/>
  <c r="I7" i="6" s="1"/>
  <c r="K4" i="3"/>
  <c r="K5" i="3"/>
  <c r="G6" i="3"/>
  <c r="H6" i="3"/>
  <c r="C8" i="3"/>
  <c r="D8" i="3" s="1"/>
  <c r="E7" i="3"/>
  <c r="F7" i="3" s="1"/>
  <c r="G7" i="3" s="1"/>
  <c r="J7" i="3" s="1"/>
  <c r="I8" i="2" l="1"/>
  <c r="H8" i="2"/>
  <c r="K8" i="2" s="1"/>
  <c r="D10" i="2"/>
  <c r="E10" i="2" s="1"/>
  <c r="F9" i="2"/>
  <c r="I9" i="2" s="1"/>
  <c r="D9" i="6"/>
  <c r="C10" i="6" s="1"/>
  <c r="E14" i="6" s="1"/>
  <c r="J6" i="6"/>
  <c r="M6" i="6" s="1"/>
  <c r="F9" i="6"/>
  <c r="H7" i="6"/>
  <c r="K6" i="6"/>
  <c r="L6" i="6" s="1"/>
  <c r="F8" i="6"/>
  <c r="G8" i="6" s="1"/>
  <c r="H7" i="3"/>
  <c r="J6" i="3"/>
  <c r="I6" i="3"/>
  <c r="L6" i="3" s="1"/>
  <c r="I7" i="3"/>
  <c r="L7" i="3" s="1"/>
  <c r="C9" i="3"/>
  <c r="D9" i="3" s="1"/>
  <c r="E8" i="3"/>
  <c r="F8" i="3" s="1"/>
  <c r="I8" i="6" l="1"/>
  <c r="D11" i="2"/>
  <c r="E11" i="2" s="1"/>
  <c r="H9" i="2"/>
  <c r="K9" i="2" s="1"/>
  <c r="F10" i="2"/>
  <c r="I10" i="2" s="1"/>
  <c r="G10" i="2"/>
  <c r="J9" i="2"/>
  <c r="J8" i="2"/>
  <c r="D10" i="6"/>
  <c r="C11" i="6" s="1"/>
  <c r="E15" i="6" s="1"/>
  <c r="G9" i="6"/>
  <c r="I9" i="6" s="1"/>
  <c r="J7" i="6"/>
  <c r="M7" i="6" s="1"/>
  <c r="K7" i="6"/>
  <c r="L7" i="6" s="1"/>
  <c r="F10" i="6"/>
  <c r="H8" i="6"/>
  <c r="J8" i="6" s="1"/>
  <c r="G8" i="3"/>
  <c r="H8" i="3"/>
  <c r="K7" i="3"/>
  <c r="K6" i="3"/>
  <c r="E9" i="3"/>
  <c r="F9" i="3" s="1"/>
  <c r="C10" i="3"/>
  <c r="D10" i="3" s="1"/>
  <c r="H10" i="2" l="1"/>
  <c r="K10" i="2" s="1"/>
  <c r="F11" i="2"/>
  <c r="D12" i="2"/>
  <c r="E12" i="2" s="1"/>
  <c r="G12" i="2" s="1"/>
  <c r="G11" i="2"/>
  <c r="J10" i="2"/>
  <c r="D11" i="6"/>
  <c r="C12" i="6" s="1"/>
  <c r="E16" i="6" s="1"/>
  <c r="G10" i="6"/>
  <c r="I10" i="6" s="1"/>
  <c r="H9" i="6"/>
  <c r="K8" i="6"/>
  <c r="M8" i="6"/>
  <c r="G9" i="3"/>
  <c r="J9" i="3" s="1"/>
  <c r="H9" i="3"/>
  <c r="J8" i="3"/>
  <c r="I8" i="3"/>
  <c r="L8" i="3" s="1"/>
  <c r="C11" i="3"/>
  <c r="D11" i="3" s="1"/>
  <c r="E10" i="3"/>
  <c r="F10" i="3" s="1"/>
  <c r="G10" i="3" s="1"/>
  <c r="J10" i="3" s="1"/>
  <c r="D13" i="2" l="1"/>
  <c r="E13" i="2" s="1"/>
  <c r="F12" i="2"/>
  <c r="I12" i="2" s="1"/>
  <c r="I11" i="2"/>
  <c r="H11" i="2"/>
  <c r="K11" i="2" s="1"/>
  <c r="K9" i="6"/>
  <c r="L9" i="6" s="1"/>
  <c r="J9" i="6"/>
  <c r="M9" i="6" s="1"/>
  <c r="H10" i="6"/>
  <c r="K10" i="6" s="1"/>
  <c r="L8" i="6"/>
  <c r="F11" i="6"/>
  <c r="G11" i="6" s="1"/>
  <c r="I11" i="6" s="1"/>
  <c r="I9" i="3"/>
  <c r="L9" i="3" s="1"/>
  <c r="H10" i="3"/>
  <c r="I10" i="3"/>
  <c r="L10" i="3" s="1"/>
  <c r="K9" i="3"/>
  <c r="K10" i="3"/>
  <c r="K8" i="3"/>
  <c r="C12" i="3"/>
  <c r="D12" i="3" s="1"/>
  <c r="E11" i="3"/>
  <c r="F11" i="3" s="1"/>
  <c r="G11" i="3" s="1"/>
  <c r="J11" i="3" s="1"/>
  <c r="K11" i="3" s="1"/>
  <c r="H12" i="2" l="1"/>
  <c r="K12" i="2" s="1"/>
  <c r="J11" i="2"/>
  <c r="J12" i="2"/>
  <c r="F13" i="2"/>
  <c r="G13" i="2"/>
  <c r="D14" i="2"/>
  <c r="E14" i="2" s="1"/>
  <c r="D12" i="6"/>
  <c r="C13" i="6" s="1"/>
  <c r="L10" i="6"/>
  <c r="J10" i="6"/>
  <c r="M10" i="6" s="1"/>
  <c r="F12" i="6"/>
  <c r="G12" i="6" s="1"/>
  <c r="I12" i="6" s="1"/>
  <c r="H11" i="6"/>
  <c r="J11" i="6" s="1"/>
  <c r="I11" i="3"/>
  <c r="L11" i="3" s="1"/>
  <c r="H11" i="3"/>
  <c r="C13" i="3"/>
  <c r="D13" i="3" s="1"/>
  <c r="E12" i="3"/>
  <c r="F12" i="3" s="1"/>
  <c r="D15" i="2" l="1"/>
  <c r="I13" i="2"/>
  <c r="H13" i="2"/>
  <c r="K13" i="2" s="1"/>
  <c r="F14" i="2"/>
  <c r="G14" i="2"/>
  <c r="D13" i="6"/>
  <c r="C14" i="6" s="1"/>
  <c r="K11" i="6"/>
  <c r="L11" i="6" s="1"/>
  <c r="M11" i="6"/>
  <c r="F13" i="6"/>
  <c r="G13" i="6" s="1"/>
  <c r="I13" i="6" s="1"/>
  <c r="H12" i="6"/>
  <c r="J12" i="6" s="1"/>
  <c r="G12" i="3"/>
  <c r="H12" i="3"/>
  <c r="E14" i="3"/>
  <c r="F14" i="3" s="1"/>
  <c r="E13" i="3"/>
  <c r="F13" i="3" s="1"/>
  <c r="E15" i="2" l="1"/>
  <c r="C14" i="3"/>
  <c r="D14" i="3" s="1"/>
  <c r="I14" i="2"/>
  <c r="J14" i="2" s="1"/>
  <c r="H14" i="2"/>
  <c r="K14" i="2" s="1"/>
  <c r="J13" i="2"/>
  <c r="F15" i="2"/>
  <c r="G15" i="2"/>
  <c r="D14" i="6"/>
  <c r="C15" i="6" s="1"/>
  <c r="H13" i="6"/>
  <c r="J13" i="6" s="1"/>
  <c r="K12" i="6"/>
  <c r="L12" i="6" s="1"/>
  <c r="M12" i="6"/>
  <c r="G13" i="3"/>
  <c r="H13" i="3"/>
  <c r="G14" i="3"/>
  <c r="H14" i="3"/>
  <c r="J12" i="3"/>
  <c r="I12" i="3"/>
  <c r="L12" i="3" s="1"/>
  <c r="C15" i="3" l="1"/>
  <c r="I15" i="2"/>
  <c r="H15" i="2"/>
  <c r="D15" i="6"/>
  <c r="F16" i="6" s="1"/>
  <c r="F14" i="6"/>
  <c r="G14" i="6" s="1"/>
  <c r="I14" i="6" s="1"/>
  <c r="K13" i="6"/>
  <c r="L13" i="6" s="1"/>
  <c r="M13" i="6"/>
  <c r="K12" i="3"/>
  <c r="J14" i="3"/>
  <c r="I14" i="3"/>
  <c r="L14" i="3" s="1"/>
  <c r="J13" i="3"/>
  <c r="K13" i="3" s="1"/>
  <c r="I13" i="3"/>
  <c r="L13" i="3" s="1"/>
  <c r="E15" i="3"/>
  <c r="F15" i="3" s="1"/>
  <c r="D15" i="3" l="1"/>
  <c r="E16" i="3" s="1"/>
  <c r="J15" i="2"/>
  <c r="F4" i="7"/>
  <c r="K15" i="2"/>
  <c r="H14" i="6"/>
  <c r="J14" i="6" s="1"/>
  <c r="K14" i="3"/>
  <c r="G15" i="3"/>
  <c r="H15" i="3"/>
  <c r="F15" i="6" l="1"/>
  <c r="G15" i="6" s="1"/>
  <c r="I15" i="6" s="1"/>
  <c r="K14" i="6"/>
  <c r="L14" i="6" s="1"/>
  <c r="M14" i="6"/>
  <c r="J15" i="3"/>
  <c r="K15" i="3" s="1"/>
  <c r="I15" i="3"/>
  <c r="H15" i="6" l="1"/>
  <c r="J15" i="6" s="1"/>
  <c r="F5" i="7"/>
  <c r="L15" i="3"/>
  <c r="K15" i="6" l="1"/>
  <c r="L15" i="6" s="1"/>
  <c r="F6" i="7"/>
  <c r="M15" i="6"/>
</calcChain>
</file>

<file path=xl/sharedStrings.xml><?xml version="1.0" encoding="utf-8"?>
<sst xmlns="http://schemas.openxmlformats.org/spreadsheetml/2006/main" count="147" uniqueCount="76">
  <si>
    <t>Periodo</t>
  </si>
  <si>
    <t>Dt</t>
  </si>
  <si>
    <t>Lt</t>
  </si>
  <si>
    <t>Ft</t>
  </si>
  <si>
    <t>Et</t>
  </si>
  <si>
    <t>At</t>
  </si>
  <si>
    <t>MSE</t>
  </si>
  <si>
    <t>MAD</t>
  </si>
  <si>
    <t>%Error</t>
  </si>
  <si>
    <t>MAPE</t>
  </si>
  <si>
    <t>TSt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</si>
  <si>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</si>
  <si>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</si>
  <si>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</si>
  <si>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</si>
  <si>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</si>
  <si>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</si>
  <si>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</si>
  <si>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</si>
  <si>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</si>
  <si>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</si>
  <si>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</si>
  <si>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</si>
  <si>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</si>
  <si>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</si>
  <si>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</si>
  <si>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</si>
  <si>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</si>
  <si>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</si>
  <si>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</si>
  <si>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</si>
  <si>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</si>
  <si>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</si>
  <si>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</si>
  <si>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</si>
  <si>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Tt</t>
  </si>
  <si>
    <t>FT</t>
  </si>
  <si>
    <t>St</t>
  </si>
  <si>
    <t>Pronóstico</t>
  </si>
  <si>
    <t>Error cuadratico</t>
  </si>
  <si>
    <t>Método</t>
  </si>
  <si>
    <t>Rango TS inf</t>
  </si>
  <si>
    <t>Rango TS sup</t>
  </si>
  <si>
    <t>Desv. Est.</t>
  </si>
  <si>
    <t>Holt</t>
  </si>
  <si>
    <t>Winter</t>
  </si>
  <si>
    <t>Demanda desestacionalizada</t>
  </si>
  <si>
    <t>Variable X 1</t>
  </si>
  <si>
    <t>Demanda desestacionalizada. Ec7.4</t>
  </si>
  <si>
    <t>Factor estacional</t>
  </si>
  <si>
    <t>Alpha</t>
  </si>
  <si>
    <t>Beta</t>
  </si>
  <si>
    <t>Año</t>
  </si>
  <si>
    <t>Lambda</t>
  </si>
  <si>
    <t>Suavización Expo</t>
  </si>
  <si>
    <t>Promedio Móvil</t>
  </si>
  <si>
    <t>Aprobados</t>
  </si>
  <si>
    <t>APROBADOS</t>
  </si>
  <si>
    <t>Predicción 2024</t>
  </si>
  <si>
    <t>Modelo</t>
  </si>
  <si>
    <t>2010-sp</t>
  </si>
  <si>
    <t>2011-sp</t>
  </si>
  <si>
    <t>2012-sp</t>
  </si>
  <si>
    <t>2013-sp</t>
  </si>
  <si>
    <t>2014-sp</t>
  </si>
  <si>
    <t>2015-sp</t>
  </si>
  <si>
    <t>2016-sp</t>
  </si>
  <si>
    <t>2017-sp</t>
  </si>
  <si>
    <t>2018-sp</t>
  </si>
  <si>
    <t>2019-sp</t>
  </si>
  <si>
    <t>2020-sp</t>
  </si>
  <si>
    <t>2021-sp</t>
  </si>
  <si>
    <t>2022-sp</t>
  </si>
  <si>
    <t>2023-sp</t>
  </si>
  <si>
    <t>ESTIMACIONES DE ERROR DE LOS PRONÓSTICOS-APROBADOS Primavera (Spring)</t>
  </si>
  <si>
    <t>APROBADOS Primavera (Spring)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</si>
</sst>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9" applyNumberFormat="0" applyAlignment="0" applyProtection="0"/>
    <xf numFmtId="0" fontId="12" fillId="8" borderId="10" applyNumberFormat="0" applyAlignment="0" applyProtection="0"/>
    <xf numFmtId="0" fontId="13" fillId="8" borderId="9" applyNumberFormat="0" applyAlignment="0" applyProtection="0"/>
    <xf numFmtId="0" fontId="14" fillId="0" borderId="11" applyNumberFormat="0" applyFill="0" applyAlignment="0" applyProtection="0"/>
    <xf numFmtId="0" fontId="15" fillId="9" borderId="12" applyNumberFormat="0" applyAlignment="0" applyProtection="0"/>
    <xf numFmtId="0" fontId="16" fillId="0" borderId="0" applyNumberFormat="0" applyFill="0" applyBorder="0" applyAlignment="0" applyProtection="0"/>
    <xf numFmtId="0" fontId="3" fillId="10" borderId="13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4" applyNumberFormat="0" applyFill="0" applyAlignment="0" applyProtection="0"/>
    <xf numFmtId="0" fontId="18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8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8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8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8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8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4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4" xfId="0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0" fillId="0" borderId="1" xfId="0" applyBorder="1" applyAlignment="1">
      <alignment horizontal="left"/>
    </xf>
    <xf numFmtId="4" fontId="0" fillId="0" borderId="1" xfId="0" applyNumberFormat="1" applyBorder="1"/>
    <xf numFmtId="3" fontId="0" fillId="0" borderId="1" xfId="0" applyNumberFormat="1" applyBorder="1"/>
    <xf numFmtId="3" fontId="1" fillId="0" borderId="1" xfId="0" applyNumberFormat="1" applyFont="1" applyBorder="1"/>
    <xf numFmtId="3" fontId="0" fillId="35" borderId="1" xfId="0" applyNumberFormat="1" applyFill="1" applyBorder="1"/>
    <xf numFmtId="2" fontId="0" fillId="35" borderId="1" xfId="0" applyNumberFormat="1" applyFill="1" applyBorder="1"/>
    <xf numFmtId="164" fontId="0" fillId="0" borderId="1" xfId="0" applyNumberFormat="1" applyBorder="1"/>
    <xf numFmtId="165" fontId="0" fillId="0" borderId="1" xfId="0" applyNumberFormat="1" applyBorder="1"/>
    <xf numFmtId="4" fontId="0" fillId="35" borderId="1" xfId="0" applyNumberFormat="1" applyFill="1" applyBorder="1"/>
    <xf numFmtId="4" fontId="0" fillId="36" borderId="1" xfId="0" applyNumberFormat="1" applyFill="1" applyBorder="1"/>
    <xf numFmtId="3" fontId="0" fillId="36" borderId="1" xfId="0" applyNumberFormat="1" applyFill="1" applyBorder="1"/>
    <xf numFmtId="165" fontId="0" fillId="36" borderId="1" xfId="0" applyNumberFormat="1" applyFill="1" applyBorder="1"/>
    <xf numFmtId="164" fontId="0" fillId="35" borderId="1" xfId="0" applyNumberFormat="1" applyFill="1" applyBorder="1"/>
    <xf numFmtId="1" fontId="0" fillId="35" borderId="1" xfId="0" applyNumberFormat="1" applyFill="1" applyBorder="1"/>
    <xf numFmtId="0" fontId="0" fillId="36" borderId="1" xfId="0" applyFill="1" applyBorder="1"/>
    <xf numFmtId="2" fontId="0" fillId="36" borderId="1" xfId="0" applyNumberFormat="1" applyFill="1" applyBorder="1"/>
    <xf numFmtId="1" fontId="1" fillId="3" borderId="1" xfId="0" applyNumberFormat="1" applyFont="1" applyFill="1" applyBorder="1"/>
    <xf numFmtId="3" fontId="0" fillId="37" borderId="1" xfId="0" applyNumberFormat="1" applyFill="1" applyBorder="1"/>
    <xf numFmtId="0" fontId="0" fillId="37" borderId="1" xfId="0" applyFill="1" applyBorder="1"/>
    <xf numFmtId="0" fontId="0" fillId="0" borderId="15" xfId="0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0" fillId="36" borderId="0" xfId="0" applyFill="1"/>
    <xf numFmtId="0" fontId="0" fillId="36" borderId="2" xfId="0" applyFill="1" applyBorder="1"/>
    <xf numFmtId="0" fontId="1" fillId="35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'Datos_APROBADOS-PRIMAVERA'!$C$1</c:f>
              <c:strCache>
                <c:ptCount val="1"/>
                <c:pt idx="0">
                  <c:v>Aprobados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49300087489065E-2"/>
                  <c:y val="-0.10378353747448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'Datos_APROBADOS-PRIMAVERA'!$B$2:$B$14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'Datos_APROBADOS-PRIMAVERA'!$C$2:$C$14</c:f>
              <c:numCache>
                <c:formatCode>#,##0</c:formatCode>
                <c:ptCount val="13"/>
                <c:pt idx="0">
                  <c:v>122662</c:v>
                </c:pt>
                <c:pt idx="1">
                  <c:v>122929</c:v>
                </c:pt>
                <c:pt idx="2">
                  <c:v>6525</c:v>
                </c:pt>
                <c:pt idx="3">
                  <c:v>123692</c:v>
                </c:pt>
                <c:pt idx="4">
                  <c:v>124755</c:v>
                </c:pt>
                <c:pt idx="5">
                  <c:v>125061</c:v>
                </c:pt>
                <c:pt idx="6">
                  <c:v>127873</c:v>
                </c:pt>
                <c:pt idx="7">
                  <c:v>129841</c:v>
                </c:pt>
                <c:pt idx="8">
                  <c:v>133033</c:v>
                </c:pt>
                <c:pt idx="9">
                  <c:v>137783</c:v>
                </c:pt>
                <c:pt idx="10">
                  <c:v>135618</c:v>
                </c:pt>
                <c:pt idx="11">
                  <c:v>144694</c:v>
                </c:pt>
                <c:pt idx="12">
                  <c:v>155135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1-4CC2-B124-226F238B0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379279"/>
        <c:axId val="1402380239"/>
      </c:scatterChart>
      <c:valAx>
        <c:axId val="140237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402380239"/>
        <c:crosses val="autoZero"/>
        <c:crossBetween val="midCat"/>
      </c:valAx>
      <c:valAx>
        <c:axId val="140238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Cantidad</a:t>
                </a:r>
                <a:r>
                  <a:rPr lang="es-PA" baseline="0"/>
                  <a:t> de Aprobados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40237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119062</xdr:rowOff>
    </xdr:from>
    <xdr:to>
      <xdr:col>9</xdr:col>
      <xdr:colOff>333375</xdr:colOff>
      <xdr:row>15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1BD3A2-0D49-2F5E-7C62-3747D1961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7</xdr:row>
      <xdr:rowOff>57150</xdr:rowOff>
    </xdr:from>
    <xdr:to>
      <xdr:col>4</xdr:col>
      <xdr:colOff>772584</xdr:colOff>
      <xdr:row>13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C4D12B-691D-48D5-9B86-D9A1C77009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994" t="34427" r="39888" b="53360"/>
        <a:stretch/>
      </xdr:blipFill>
      <xdr:spPr>
        <a:xfrm>
          <a:off x="66675" y="1390650"/>
          <a:ext cx="4401609" cy="12096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45905-A6FB-437D-91DB-A4920B0D1634}">
  <dimension ref="A1:C15"/>
  <sheetViews>
    <sheetView tabSelected="1" workbookViewId="0">
      <selection activeCell="D21" sqref="D21"/>
    </sheetView>
  </sheetViews>
  <sheetFormatPr baseColWidth="10" defaultRowHeight="15" x14ac:dyDescent="0.25"/>
  <cols>
    <col min="1" max="1" width="8.28515625" customWidth="1"/>
    <col min="3" max="3" width="13" customWidth="1"/>
  </cols>
  <sheetData>
    <row r="1" spans="1:3" x14ac:dyDescent="0.25">
      <c r="A1" s="39" t="s">
        <v>52</v>
      </c>
      <c r="B1" s="39" t="s">
        <v>0</v>
      </c>
      <c r="C1" s="39" t="s">
        <v>56</v>
      </c>
    </row>
    <row r="2" spans="1:3" x14ac:dyDescent="0.25">
      <c r="A2" s="14" t="s">
        <v>60</v>
      </c>
      <c r="B2" s="33">
        <v>1</v>
      </c>
      <c r="C2" s="16">
        <v>122662</v>
      </c>
    </row>
    <row r="3" spans="1:3" x14ac:dyDescent="0.25">
      <c r="A3" s="14" t="s">
        <v>61</v>
      </c>
      <c r="B3" s="33">
        <v>2</v>
      </c>
      <c r="C3" s="16">
        <v>122929</v>
      </c>
    </row>
    <row r="4" spans="1:3" x14ac:dyDescent="0.25">
      <c r="A4" s="14" t="s">
        <v>62</v>
      </c>
      <c r="B4" s="33">
        <v>3</v>
      </c>
      <c r="C4" s="16">
        <v>6525</v>
      </c>
    </row>
    <row r="5" spans="1:3" x14ac:dyDescent="0.25">
      <c r="A5" s="14" t="s">
        <v>63</v>
      </c>
      <c r="B5" s="33">
        <v>4</v>
      </c>
      <c r="C5" s="16">
        <v>123692</v>
      </c>
    </row>
    <row r="6" spans="1:3" x14ac:dyDescent="0.25">
      <c r="A6" s="14" t="s">
        <v>64</v>
      </c>
      <c r="B6" s="33">
        <v>5</v>
      </c>
      <c r="C6" s="16">
        <v>124755</v>
      </c>
    </row>
    <row r="7" spans="1:3" x14ac:dyDescent="0.25">
      <c r="A7" s="14" t="s">
        <v>65</v>
      </c>
      <c r="B7" s="33">
        <v>6</v>
      </c>
      <c r="C7" s="16">
        <v>125061</v>
      </c>
    </row>
    <row r="8" spans="1:3" x14ac:dyDescent="0.25">
      <c r="A8" s="14" t="s">
        <v>66</v>
      </c>
      <c r="B8" s="33">
        <v>7</v>
      </c>
      <c r="C8" s="16">
        <v>127873</v>
      </c>
    </row>
    <row r="9" spans="1:3" x14ac:dyDescent="0.25">
      <c r="A9" s="14" t="s">
        <v>67</v>
      </c>
      <c r="B9" s="33">
        <v>8</v>
      </c>
      <c r="C9" s="16">
        <v>129841</v>
      </c>
    </row>
    <row r="10" spans="1:3" x14ac:dyDescent="0.25">
      <c r="A10" s="14" t="s">
        <v>68</v>
      </c>
      <c r="B10" s="33">
        <v>9</v>
      </c>
      <c r="C10" s="16">
        <v>133033</v>
      </c>
    </row>
    <row r="11" spans="1:3" x14ac:dyDescent="0.25">
      <c r="A11" s="14" t="s">
        <v>69</v>
      </c>
      <c r="B11" s="33">
        <v>10</v>
      </c>
      <c r="C11" s="16">
        <v>137783</v>
      </c>
    </row>
    <row r="12" spans="1:3" x14ac:dyDescent="0.25">
      <c r="A12" s="14" t="s">
        <v>70</v>
      </c>
      <c r="B12" s="33">
        <v>11</v>
      </c>
      <c r="C12" s="16">
        <v>135618</v>
      </c>
    </row>
    <row r="13" spans="1:3" x14ac:dyDescent="0.25">
      <c r="A13" s="14" t="s">
        <v>71</v>
      </c>
      <c r="B13" s="33">
        <v>12</v>
      </c>
      <c r="C13" s="16">
        <v>144694</v>
      </c>
    </row>
    <row r="14" spans="1:3" x14ac:dyDescent="0.25">
      <c r="A14" s="14" t="s">
        <v>72</v>
      </c>
      <c r="B14" s="33">
        <v>13</v>
      </c>
      <c r="C14" s="16">
        <v>155135</v>
      </c>
    </row>
    <row r="15" spans="1:3" x14ac:dyDescent="0.25">
      <c r="A15" s="14" t="s">
        <v>73</v>
      </c>
      <c r="B15" s="33">
        <v>14</v>
      </c>
      <c r="C15" s="16">
        <v>153530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4371-5962-4B6D-812A-81FC13929716}">
  <dimension ref="A1:K15"/>
  <sheetViews>
    <sheetView workbookViewId="0">
      <selection sqref="A1:K15"/>
    </sheetView>
  </sheetViews>
  <sheetFormatPr baseColWidth="10" defaultRowHeight="15" x14ac:dyDescent="0.25"/>
  <cols>
    <col min="3" max="3" width="14.140625" customWidth="1"/>
    <col min="4" max="6" width="11.5703125" bestFit="1" customWidth="1"/>
    <col min="7" max="7" width="13.5703125" bestFit="1" customWidth="1"/>
    <col min="8" max="8" width="12.7109375" bestFit="1" customWidth="1"/>
    <col min="9" max="11" width="11.5703125" bestFit="1" customWidth="1"/>
  </cols>
  <sheetData>
    <row r="1" spans="1:11" x14ac:dyDescent="0.25">
      <c r="A1" s="1" t="s">
        <v>0</v>
      </c>
      <c r="B1" s="1" t="s">
        <v>56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7">
        <v>122662</v>
      </c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>
        <v>2</v>
      </c>
      <c r="B3" s="17">
        <v>122929</v>
      </c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1">
        <v>3</v>
      </c>
      <c r="B4" s="17">
        <v>6525</v>
      </c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1">
        <v>4</v>
      </c>
      <c r="B5" s="17">
        <v>123692</v>
      </c>
      <c r="C5" s="16">
        <f>+AVERAGE(B2:B5)</f>
        <v>93952</v>
      </c>
      <c r="D5" s="16"/>
      <c r="E5" s="16"/>
      <c r="F5" s="16"/>
      <c r="G5" s="16"/>
      <c r="H5" s="16"/>
      <c r="I5" s="16"/>
      <c r="J5" s="16"/>
      <c r="K5" s="16"/>
    </row>
    <row r="6" spans="1:11" x14ac:dyDescent="0.25">
      <c r="A6" s="1">
        <v>5</v>
      </c>
      <c r="B6" s="17">
        <v>124755</v>
      </c>
      <c r="C6" s="16">
        <f t="shared" ref="C6:C15" si="0">+AVERAGE(B3:B6)</f>
        <v>94475.25</v>
      </c>
      <c r="D6" s="16">
        <f>+C5</f>
        <v>93952</v>
      </c>
      <c r="E6" s="16">
        <f>+D6-B6</f>
        <v>-30803</v>
      </c>
      <c r="F6" s="16">
        <f>+ABS(E6)</f>
        <v>30803</v>
      </c>
      <c r="G6" s="16">
        <f>+SUMSQ($E$6:E6)/(A6-4)</f>
        <v>948824809</v>
      </c>
      <c r="H6" s="16">
        <f>+SUM($F$6:F6)/(A6-4)</f>
        <v>30803</v>
      </c>
      <c r="I6" s="16">
        <f>+(F6/B6)*100</f>
        <v>24.69079395615406</v>
      </c>
      <c r="J6" s="16">
        <f>+AVERAGE($I$6:I6)</f>
        <v>24.69079395615406</v>
      </c>
      <c r="K6" s="18">
        <f>+SUM($E$6:E6)/H6</f>
        <v>-1</v>
      </c>
    </row>
    <row r="7" spans="1:11" x14ac:dyDescent="0.25">
      <c r="A7" s="1">
        <v>6</v>
      </c>
      <c r="B7" s="17">
        <v>125061</v>
      </c>
      <c r="C7" s="16">
        <f t="shared" si="0"/>
        <v>95008.25</v>
      </c>
      <c r="D7" s="16">
        <f t="shared" ref="D7:D15" si="1">+C6</f>
        <v>94475.25</v>
      </c>
      <c r="E7" s="16">
        <f t="shared" ref="E7:E15" si="2">+D7-B7</f>
        <v>-30585.75</v>
      </c>
      <c r="F7" s="16">
        <f t="shared" ref="F7:F15" si="3">+ABS(E7)</f>
        <v>30585.75</v>
      </c>
      <c r="G7" s="16">
        <f>+SUMSQ($E$6:E7)/(A7-4)</f>
        <v>942156456.03125</v>
      </c>
      <c r="H7" s="16">
        <f>+SUM($F$6:F7)/(A7-4)</f>
        <v>30694.375</v>
      </c>
      <c r="I7" s="16">
        <f t="shared" ref="I7:I15" si="4">+(F7/B7)*100</f>
        <v>24.456665147408067</v>
      </c>
      <c r="J7" s="16">
        <f>+AVERAGE($I$6:I7)</f>
        <v>24.573729551781064</v>
      </c>
      <c r="K7" s="16">
        <f>+SUM($E$6:E7)/H7</f>
        <v>-2</v>
      </c>
    </row>
    <row r="8" spans="1:11" x14ac:dyDescent="0.25">
      <c r="A8" s="1">
        <v>7</v>
      </c>
      <c r="B8" s="17">
        <v>127873</v>
      </c>
      <c r="C8" s="16">
        <f t="shared" si="0"/>
        <v>125345.25</v>
      </c>
      <c r="D8" s="16">
        <f t="shared" si="1"/>
        <v>95008.25</v>
      </c>
      <c r="E8" s="16">
        <f t="shared" si="2"/>
        <v>-32864.75</v>
      </c>
      <c r="F8" s="16">
        <f t="shared" si="3"/>
        <v>32864.75</v>
      </c>
      <c r="G8" s="16">
        <f>+SUMSQ($E$6:E8)/(A8-4)</f>
        <v>988134901.54166663</v>
      </c>
      <c r="H8" s="16">
        <f>+SUM($F$6:F8)/(A8-4)</f>
        <v>31417.833333333332</v>
      </c>
      <c r="I8" s="16">
        <f t="shared" si="4"/>
        <v>25.701086233997795</v>
      </c>
      <c r="J8" s="16">
        <f>+AVERAGE($I$6:I8)</f>
        <v>24.949515112519975</v>
      </c>
      <c r="K8" s="16">
        <f>+SUM($E$6:E8)/H8</f>
        <v>-3</v>
      </c>
    </row>
    <row r="9" spans="1:11" x14ac:dyDescent="0.25">
      <c r="A9" s="1">
        <v>8</v>
      </c>
      <c r="B9" s="17">
        <v>129841</v>
      </c>
      <c r="C9" s="16">
        <f t="shared" si="0"/>
        <v>126882.5</v>
      </c>
      <c r="D9" s="16">
        <f t="shared" si="1"/>
        <v>125345.25</v>
      </c>
      <c r="E9" s="16">
        <f t="shared" si="2"/>
        <v>-4495.75</v>
      </c>
      <c r="F9" s="16">
        <f t="shared" si="3"/>
        <v>4495.75</v>
      </c>
      <c r="G9" s="16">
        <f>+SUMSQ($E$6:E9)/(A9-4)</f>
        <v>746154118.171875</v>
      </c>
      <c r="H9" s="16">
        <f>+SUM($F$6:F9)/(A9-4)</f>
        <v>24687.3125</v>
      </c>
      <c r="I9" s="16">
        <f t="shared" si="4"/>
        <v>3.4625041396785301</v>
      </c>
      <c r="J9" s="16">
        <f>+AVERAGE($I$6:I9)</f>
        <v>19.577762369309614</v>
      </c>
      <c r="K9" s="16">
        <f>+SUM($E$6:E9)/H9</f>
        <v>-4</v>
      </c>
    </row>
    <row r="10" spans="1:11" x14ac:dyDescent="0.25">
      <c r="A10" s="1">
        <v>9</v>
      </c>
      <c r="B10" s="17">
        <v>133033</v>
      </c>
      <c r="C10" s="16">
        <f t="shared" si="0"/>
        <v>128952</v>
      </c>
      <c r="D10" s="16">
        <f t="shared" si="1"/>
        <v>126882.5</v>
      </c>
      <c r="E10" s="16">
        <f t="shared" si="2"/>
        <v>-6150.5</v>
      </c>
      <c r="F10" s="16">
        <f t="shared" si="3"/>
        <v>6150.5</v>
      </c>
      <c r="G10" s="16">
        <f>+SUMSQ($E$6:E10)/(A10-4)</f>
        <v>604489024.58749998</v>
      </c>
      <c r="H10" s="16">
        <f>+SUM($F$6:F10)/(A10-4)</f>
        <v>20979.95</v>
      </c>
      <c r="I10" s="16">
        <f t="shared" si="4"/>
        <v>4.6232889583787484</v>
      </c>
      <c r="J10" s="16">
        <f>+AVERAGE($I$6:I10)</f>
        <v>16.586867687123441</v>
      </c>
      <c r="K10" s="16">
        <f>+SUM($E$6:E10)/H10</f>
        <v>-5</v>
      </c>
    </row>
    <row r="11" spans="1:11" x14ac:dyDescent="0.25">
      <c r="A11" s="1">
        <v>10</v>
      </c>
      <c r="B11" s="17">
        <v>137783</v>
      </c>
      <c r="C11" s="16">
        <f t="shared" si="0"/>
        <v>132132.5</v>
      </c>
      <c r="D11" s="16">
        <f t="shared" si="1"/>
        <v>128952</v>
      </c>
      <c r="E11" s="16">
        <f t="shared" si="2"/>
        <v>-8831</v>
      </c>
      <c r="F11" s="16">
        <f t="shared" si="3"/>
        <v>8831</v>
      </c>
      <c r="G11" s="16">
        <f>+SUMSQ($E$6:E11)/(A11-4)</f>
        <v>516738613.98958331</v>
      </c>
      <c r="H11" s="16">
        <f>+SUM($F$6:F11)/(A11-4)</f>
        <v>18955.125</v>
      </c>
      <c r="I11" s="16">
        <f t="shared" si="4"/>
        <v>6.409353839007716</v>
      </c>
      <c r="J11" s="16">
        <f>+AVERAGE($I$6:I11)</f>
        <v>14.890615379104155</v>
      </c>
      <c r="K11" s="16">
        <f>+SUM($E$6:E11)/H11</f>
        <v>-6</v>
      </c>
    </row>
    <row r="12" spans="1:11" x14ac:dyDescent="0.25">
      <c r="A12" s="1">
        <v>11</v>
      </c>
      <c r="B12" s="17">
        <v>135618</v>
      </c>
      <c r="C12" s="16">
        <f t="shared" si="0"/>
        <v>134068.75</v>
      </c>
      <c r="D12" s="16">
        <f t="shared" si="1"/>
        <v>132132.5</v>
      </c>
      <c r="E12" s="16">
        <f t="shared" si="2"/>
        <v>-3485.5</v>
      </c>
      <c r="F12" s="16">
        <f t="shared" si="3"/>
        <v>3485.5</v>
      </c>
      <c r="G12" s="16">
        <f>+SUMSQ($E$6:E12)/(A12-4)</f>
        <v>444654342.02678573</v>
      </c>
      <c r="H12" s="16">
        <f>+SUM($F$6:F12)/(A12-4)</f>
        <v>16745.178571428572</v>
      </c>
      <c r="I12" s="16">
        <f t="shared" si="4"/>
        <v>2.5700865666799393</v>
      </c>
      <c r="J12" s="16">
        <f>+AVERAGE($I$6:I12)</f>
        <v>13.130539834472122</v>
      </c>
      <c r="K12" s="16">
        <f>+SUM($E$6:E12)/H12</f>
        <v>-7</v>
      </c>
    </row>
    <row r="13" spans="1:11" x14ac:dyDescent="0.25">
      <c r="A13" s="1">
        <v>12</v>
      </c>
      <c r="B13" s="17">
        <v>144694</v>
      </c>
      <c r="C13" s="16">
        <f t="shared" si="0"/>
        <v>137782</v>
      </c>
      <c r="D13" s="16">
        <f t="shared" si="1"/>
        <v>134068.75</v>
      </c>
      <c r="E13" s="16">
        <f t="shared" si="2"/>
        <v>-10625.25</v>
      </c>
      <c r="F13" s="16">
        <f t="shared" si="3"/>
        <v>10625.25</v>
      </c>
      <c r="G13" s="16">
        <f>+SUMSQ($E$6:E13)/(A13-4)</f>
        <v>403184541.46875</v>
      </c>
      <c r="H13" s="16">
        <f>+SUM($F$6:F13)/(A13-4)</f>
        <v>15980.1875</v>
      </c>
      <c r="I13" s="16">
        <f t="shared" si="4"/>
        <v>7.343255421786667</v>
      </c>
      <c r="J13" s="16">
        <f>+AVERAGE($I$6:I13)</f>
        <v>12.407129282886441</v>
      </c>
      <c r="K13" s="16">
        <f>+SUM($E$6:E13)/H13</f>
        <v>-8</v>
      </c>
    </row>
    <row r="14" spans="1:11" x14ac:dyDescent="0.25">
      <c r="A14" s="1">
        <v>13</v>
      </c>
      <c r="B14" s="17">
        <v>155135</v>
      </c>
      <c r="C14" s="16">
        <f t="shared" si="0"/>
        <v>143307.5</v>
      </c>
      <c r="D14" s="16">
        <f t="shared" si="1"/>
        <v>137782</v>
      </c>
      <c r="E14" s="16">
        <f t="shared" si="2"/>
        <v>-17353</v>
      </c>
      <c r="F14" s="16">
        <f t="shared" si="3"/>
        <v>17353</v>
      </c>
      <c r="G14" s="16">
        <f>+SUMSQ($E$6:E14)/(A14-4)</f>
        <v>391844771.19444442</v>
      </c>
      <c r="H14" s="16">
        <f>+SUM($F$6:F14)/(A14-4)</f>
        <v>16132.722222222223</v>
      </c>
      <c r="I14" s="16">
        <f t="shared" si="4"/>
        <v>11.185741450994295</v>
      </c>
      <c r="J14" s="16">
        <f>+AVERAGE($I$6:I14)</f>
        <v>12.271419523787314</v>
      </c>
      <c r="K14" s="16">
        <f>+SUM($E$6:E14)/H14</f>
        <v>-9</v>
      </c>
    </row>
    <row r="15" spans="1:11" x14ac:dyDescent="0.25">
      <c r="A15" s="1">
        <v>14</v>
      </c>
      <c r="B15" s="17">
        <v>153530</v>
      </c>
      <c r="C15" s="16">
        <f t="shared" si="0"/>
        <v>147244.25</v>
      </c>
      <c r="D15" s="31">
        <f t="shared" si="1"/>
        <v>143307.5</v>
      </c>
      <c r="E15" s="16">
        <f t="shared" si="2"/>
        <v>-10222.5</v>
      </c>
      <c r="F15" s="16">
        <f t="shared" si="3"/>
        <v>10222.5</v>
      </c>
      <c r="G15" s="16">
        <f>+SUMSQ($E$6:E15)/(A15-4)</f>
        <v>363110244.69999999</v>
      </c>
      <c r="H15" s="18">
        <f>+SUM($F$6:F15)/(A15-4)</f>
        <v>15541.7</v>
      </c>
      <c r="I15" s="16">
        <f t="shared" si="4"/>
        <v>6.6583078225753916</v>
      </c>
      <c r="J15" s="18">
        <f>+AVERAGE($I$6:I15)</f>
        <v>11.710108353666122</v>
      </c>
      <c r="K15" s="18">
        <f>+SUM($E$6:E15)/H15</f>
        <v>-10</v>
      </c>
    </row>
  </sheetData>
  <pageMargins left="0.7" right="0.7" top="0.75" bottom="0.75" header="0.3" footer="0.3"/>
  <ignoredErrors>
    <ignoredError sqref="C5:C1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E090B-8F4B-4923-8B9A-38C0014DAF02}">
  <dimension ref="A1:K18"/>
  <sheetViews>
    <sheetView workbookViewId="0">
      <selection sqref="A1:K17"/>
    </sheetView>
  </sheetViews>
  <sheetFormatPr baseColWidth="10" defaultRowHeight="15" x14ac:dyDescent="0.25"/>
  <cols>
    <col min="2" max="2" width="13" customWidth="1"/>
    <col min="3" max="5" width="11.5703125" bestFit="1" customWidth="1"/>
    <col min="6" max="6" width="12.140625" bestFit="1" customWidth="1"/>
    <col min="7" max="7" width="14.5703125" bestFit="1" customWidth="1"/>
    <col min="8" max="8" width="12.140625" bestFit="1" customWidth="1"/>
    <col min="9" max="11" width="11.5703125" bestFit="1" customWidth="1"/>
  </cols>
  <sheetData>
    <row r="1" spans="1:11" x14ac:dyDescent="0.25">
      <c r="A1" s="1" t="s">
        <v>0</v>
      </c>
      <c r="B1" s="1" t="s">
        <v>57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0</v>
      </c>
      <c r="B2" s="2"/>
      <c r="C2" s="17">
        <f>+AVERAGE(B3:B16)</f>
        <v>124509.35714285714</v>
      </c>
      <c r="D2" s="2"/>
      <c r="E2" s="2"/>
      <c r="F2" s="2"/>
      <c r="G2" s="2"/>
      <c r="H2" s="2"/>
      <c r="I2" s="2"/>
      <c r="J2" s="2"/>
      <c r="K2" s="2"/>
    </row>
    <row r="3" spans="1:11" x14ac:dyDescent="0.25">
      <c r="A3" s="1">
        <v>1</v>
      </c>
      <c r="B3" s="17">
        <v>122662</v>
      </c>
      <c r="C3" s="16">
        <f t="shared" ref="C3:C16" si="0">+($B$18*B3)+((1-$B$18)*C2)</f>
        <v>124324.62142857142</v>
      </c>
      <c r="D3" s="16">
        <f>+C2</f>
        <v>124509.35714285714</v>
      </c>
      <c r="E3" s="16">
        <f>+D3-B3</f>
        <v>1847.3571428571449</v>
      </c>
      <c r="F3" s="16">
        <f>+ABS(E3)</f>
        <v>1847.3571428571449</v>
      </c>
      <c r="G3" s="16">
        <f>+SUMSQ($E$3:E3)/A3</f>
        <v>3412728.413265314</v>
      </c>
      <c r="H3" s="16">
        <f>+SUM($F$3:F3)/A3</f>
        <v>1847.3571428571449</v>
      </c>
      <c r="I3" s="16">
        <f>+(F3/B3)*100</f>
        <v>1.5060549663768281</v>
      </c>
      <c r="J3" s="16">
        <f>+AVERAGE($I$3:I3)</f>
        <v>1.5060549663768281</v>
      </c>
      <c r="K3" s="15">
        <f>+SUM($E$3:E3)/H3</f>
        <v>1</v>
      </c>
    </row>
    <row r="4" spans="1:11" x14ac:dyDescent="0.25">
      <c r="A4" s="1">
        <v>2</v>
      </c>
      <c r="B4" s="17">
        <v>122929</v>
      </c>
      <c r="C4" s="16">
        <f t="shared" si="0"/>
        <v>124185.05928571429</v>
      </c>
      <c r="D4" s="16">
        <f t="shared" ref="D4:D16" si="1">+C3</f>
        <v>124324.62142857142</v>
      </c>
      <c r="E4" s="16">
        <f t="shared" ref="E4:E16" si="2">+D4-B4</f>
        <v>1395.6214285714232</v>
      </c>
      <c r="F4" s="16">
        <f t="shared" ref="F4:F16" si="3">+ABS(E4)</f>
        <v>1395.6214285714232</v>
      </c>
      <c r="G4" s="16">
        <f>+SUMSQ($E$3:E4)/A4</f>
        <v>2680243.7925765272</v>
      </c>
      <c r="H4" s="16">
        <f>+SUM($F$3:F4)/A4</f>
        <v>1621.4892857142841</v>
      </c>
      <c r="I4" s="16">
        <f t="shared" ref="I4:I16" si="4">+(F4/B4)*100</f>
        <v>1.1353069077039781</v>
      </c>
      <c r="J4" s="16">
        <f>+AVERAGE($I$3:I4)</f>
        <v>1.3206809370404031</v>
      </c>
      <c r="K4" s="15">
        <f>+SUM($E$3:E4)/H4</f>
        <v>2</v>
      </c>
    </row>
    <row r="5" spans="1:11" x14ac:dyDescent="0.25">
      <c r="A5" s="1">
        <v>3</v>
      </c>
      <c r="B5" s="17">
        <v>6525</v>
      </c>
      <c r="C5" s="16">
        <f t="shared" si="0"/>
        <v>112419.05335714287</v>
      </c>
      <c r="D5" s="16">
        <f t="shared" si="1"/>
        <v>124185.05928571429</v>
      </c>
      <c r="E5" s="16">
        <f t="shared" si="2"/>
        <v>117660.05928571429</v>
      </c>
      <c r="F5" s="16">
        <f t="shared" si="3"/>
        <v>117660.05928571429</v>
      </c>
      <c r="G5" s="16">
        <f>+SUMSQ($E$3:E5)/A5</f>
        <v>4616416679.5676517</v>
      </c>
      <c r="H5" s="16">
        <f>+SUM($F$3:F5)/A5</f>
        <v>40301.012619047622</v>
      </c>
      <c r="I5" s="16">
        <f t="shared" si="4"/>
        <v>1803.2192993979202</v>
      </c>
      <c r="J5" s="16">
        <f>+AVERAGE($I$3:I5)</f>
        <v>601.95355375733368</v>
      </c>
      <c r="K5" s="15">
        <f>+SUM($E$3:E5)/H5</f>
        <v>3</v>
      </c>
    </row>
    <row r="6" spans="1:11" x14ac:dyDescent="0.25">
      <c r="A6" s="1">
        <v>4</v>
      </c>
      <c r="B6" s="17">
        <v>123692</v>
      </c>
      <c r="C6" s="16">
        <f t="shared" si="0"/>
        <v>113546.34802142858</v>
      </c>
      <c r="D6" s="16">
        <f t="shared" si="1"/>
        <v>112419.05335714287</v>
      </c>
      <c r="E6" s="16">
        <f t="shared" si="2"/>
        <v>-11272.946642857132</v>
      </c>
      <c r="F6" s="16">
        <f t="shared" si="3"/>
        <v>11272.946642857132</v>
      </c>
      <c r="G6" s="16">
        <f>+SUMSQ($E$3:E6)/A6</f>
        <v>3494082341.178915</v>
      </c>
      <c r="H6" s="16">
        <f>+SUM($F$3:F6)/A6</f>
        <v>33043.996124999998</v>
      </c>
      <c r="I6" s="16">
        <f t="shared" si="4"/>
        <v>9.1137233150544361</v>
      </c>
      <c r="J6" s="16">
        <f>+AVERAGE($I$3:I6)</f>
        <v>453.74359614676382</v>
      </c>
      <c r="K6" s="15">
        <f>+SUM($E$3:E6)/H6</f>
        <v>3.31770076474931</v>
      </c>
    </row>
    <row r="7" spans="1:11" x14ac:dyDescent="0.25">
      <c r="A7" s="1">
        <v>5</v>
      </c>
      <c r="B7" s="17">
        <v>124755</v>
      </c>
      <c r="C7" s="16">
        <f t="shared" si="0"/>
        <v>114667.21321928572</v>
      </c>
      <c r="D7" s="16">
        <f t="shared" si="1"/>
        <v>113546.34802142858</v>
      </c>
      <c r="E7" s="16">
        <f t="shared" si="2"/>
        <v>-11208.651978571419</v>
      </c>
      <c r="F7" s="16">
        <f t="shared" si="3"/>
        <v>11208.651978571419</v>
      </c>
      <c r="G7" s="16">
        <f>+SUMSQ($E$3:E7)/A7</f>
        <v>2820392648.7784786</v>
      </c>
      <c r="H7" s="16">
        <f>+SUM($F$3:F7)/A7</f>
        <v>28676.927295714278</v>
      </c>
      <c r="I7" s="16">
        <f t="shared" si="4"/>
        <v>8.9845312641348407</v>
      </c>
      <c r="J7" s="16">
        <f>+AVERAGE($I$3:I7)</f>
        <v>364.79178317023803</v>
      </c>
      <c r="K7" s="23">
        <f>+SUM($E$3:E7)/H7</f>
        <v>3.4320775800280123</v>
      </c>
    </row>
    <row r="8" spans="1:11" x14ac:dyDescent="0.25">
      <c r="A8" s="1">
        <v>6</v>
      </c>
      <c r="B8" s="17">
        <v>125061</v>
      </c>
      <c r="C8" s="16">
        <f t="shared" si="0"/>
        <v>115706.59189735715</v>
      </c>
      <c r="D8" s="16">
        <f t="shared" si="1"/>
        <v>114667.21321928572</v>
      </c>
      <c r="E8" s="16">
        <f t="shared" si="2"/>
        <v>-10393.786780714276</v>
      </c>
      <c r="F8" s="16">
        <f t="shared" si="3"/>
        <v>10393.786780714276</v>
      </c>
      <c r="G8" s="16">
        <f>+SUMSQ($E$3:E8)/A8</f>
        <v>2368332341.2558904</v>
      </c>
      <c r="H8" s="16">
        <f>+SUM($F$3:F8)/A8</f>
        <v>25629.737209880946</v>
      </c>
      <c r="I8" s="16">
        <f t="shared" si="4"/>
        <v>8.3109736694207434</v>
      </c>
      <c r="J8" s="16">
        <f>+AVERAGE($I$3:I8)</f>
        <v>305.37831492010179</v>
      </c>
      <c r="K8" s="15">
        <f>+SUM($E$3:E8)/H8</f>
        <v>3.434590520150282</v>
      </c>
    </row>
    <row r="9" spans="1:11" x14ac:dyDescent="0.25">
      <c r="A9" s="1">
        <v>7</v>
      </c>
      <c r="B9" s="17">
        <v>127873</v>
      </c>
      <c r="C9" s="16">
        <f t="shared" si="0"/>
        <v>116923.23270762144</v>
      </c>
      <c r="D9" s="16">
        <f t="shared" si="1"/>
        <v>115706.59189735715</v>
      </c>
      <c r="E9" s="16">
        <f t="shared" si="2"/>
        <v>-12166.408102642847</v>
      </c>
      <c r="F9" s="16">
        <f t="shared" si="3"/>
        <v>12166.408102642847</v>
      </c>
      <c r="G9" s="16">
        <f>+SUMSQ($E$3:E9)/A9</f>
        <v>2051145076.2364852</v>
      </c>
      <c r="H9" s="16">
        <f>+SUM($F$3:F9)/A9</f>
        <v>23706.404480275505</v>
      </c>
      <c r="I9" s="16">
        <f t="shared" si="4"/>
        <v>9.5144464450218944</v>
      </c>
      <c r="J9" s="16">
        <f>+AVERAGE($I$3:I9)</f>
        <v>263.11204799509039</v>
      </c>
      <c r="K9" s="15">
        <f>+SUM($E$3:E9)/H9</f>
        <v>3.2000316376731104</v>
      </c>
    </row>
    <row r="10" spans="1:11" x14ac:dyDescent="0.25">
      <c r="A10" s="1">
        <v>8</v>
      </c>
      <c r="B10" s="17">
        <v>129841</v>
      </c>
      <c r="C10" s="16">
        <f t="shared" si="0"/>
        <v>118215.00943685931</v>
      </c>
      <c r="D10" s="16">
        <f t="shared" si="1"/>
        <v>116923.23270762144</v>
      </c>
      <c r="E10" s="16">
        <f t="shared" si="2"/>
        <v>-12917.767292378558</v>
      </c>
      <c r="F10" s="16">
        <f t="shared" si="3"/>
        <v>12917.767292378558</v>
      </c>
      <c r="G10" s="16">
        <f>+SUMSQ($E$3:E10)/A10</f>
        <v>1815610530.6844304</v>
      </c>
      <c r="H10" s="16">
        <f>+SUM($F$3:F10)/A10</f>
        <v>22357.824831788388</v>
      </c>
      <c r="I10" s="16">
        <f t="shared" si="4"/>
        <v>9.9489123561729791</v>
      </c>
      <c r="J10" s="16">
        <f>+AVERAGE($I$3:I10)</f>
        <v>231.4666560402257</v>
      </c>
      <c r="K10" s="15">
        <f>+SUM($E$3:E10)/H10</f>
        <v>2.8152773149240127</v>
      </c>
    </row>
    <row r="11" spans="1:11" x14ac:dyDescent="0.25">
      <c r="A11" s="1">
        <v>9</v>
      </c>
      <c r="B11" s="17">
        <v>133033</v>
      </c>
      <c r="C11" s="16">
        <f t="shared" si="0"/>
        <v>119696.80849317339</v>
      </c>
      <c r="D11" s="16">
        <f t="shared" si="1"/>
        <v>118215.00943685931</v>
      </c>
      <c r="E11" s="16">
        <f t="shared" si="2"/>
        <v>-14817.990563140687</v>
      </c>
      <c r="F11" s="16">
        <f t="shared" si="3"/>
        <v>14817.990563140687</v>
      </c>
      <c r="G11" s="16">
        <f>+SUMSQ($E$3:E11)/A11</f>
        <v>1638273009.9783077</v>
      </c>
      <c r="H11" s="16">
        <f>+SUM($F$3:F11)/A11</f>
        <v>21520.065468605309</v>
      </c>
      <c r="I11" s="16">
        <f t="shared" si="4"/>
        <v>11.1385825796161</v>
      </c>
      <c r="J11" s="16">
        <f>+AVERAGE($I$3:I11)</f>
        <v>206.98575898904684</v>
      </c>
      <c r="K11" s="15">
        <f>+SUM($E$3:E11)/H11</f>
        <v>2.236307624948731</v>
      </c>
    </row>
    <row r="12" spans="1:11" x14ac:dyDescent="0.25">
      <c r="A12" s="1">
        <v>10</v>
      </c>
      <c r="B12" s="17">
        <v>137783</v>
      </c>
      <c r="C12" s="16">
        <f t="shared" si="0"/>
        <v>121505.42764385606</v>
      </c>
      <c r="D12" s="16">
        <f t="shared" si="1"/>
        <v>119696.80849317339</v>
      </c>
      <c r="E12" s="16">
        <f t="shared" si="2"/>
        <v>-18086.19150682661</v>
      </c>
      <c r="F12" s="16">
        <f t="shared" si="3"/>
        <v>18086.19150682661</v>
      </c>
      <c r="G12" s="16">
        <f>+SUMSQ($E$3:E12)/A12</f>
        <v>1507156741.3026376</v>
      </c>
      <c r="H12" s="16">
        <f>+SUM($F$3:F12)/A12</f>
        <v>21176.678072427439</v>
      </c>
      <c r="I12" s="16">
        <f t="shared" si="4"/>
        <v>13.126576941151383</v>
      </c>
      <c r="J12" s="16">
        <f>+AVERAGE($I$3:I12)</f>
        <v>187.59984078425731</v>
      </c>
      <c r="K12" s="15">
        <f>+SUM($E$3:E12)/H12</f>
        <v>1.4185083650642656</v>
      </c>
    </row>
    <row r="13" spans="1:11" x14ac:dyDescent="0.25">
      <c r="A13" s="1">
        <v>11</v>
      </c>
      <c r="B13" s="17">
        <v>135618</v>
      </c>
      <c r="C13" s="16">
        <f t="shared" si="0"/>
        <v>122916.68487947046</v>
      </c>
      <c r="D13" s="16">
        <f t="shared" si="1"/>
        <v>121505.42764385606</v>
      </c>
      <c r="E13" s="16">
        <f t="shared" si="2"/>
        <v>-14112.572356143937</v>
      </c>
      <c r="F13" s="16">
        <f t="shared" si="3"/>
        <v>14112.572356143937</v>
      </c>
      <c r="G13" s="16">
        <f>+SUMSQ($E$3:E13)/A13</f>
        <v>1388248373.7757978</v>
      </c>
      <c r="H13" s="16">
        <f>+SUM($F$3:F13)/A13</f>
        <v>20534.486643674394</v>
      </c>
      <c r="I13" s="16">
        <f t="shared" si="4"/>
        <v>10.406120394154122</v>
      </c>
      <c r="J13" s="16">
        <f>+AVERAGE($I$3:I13)</f>
        <v>171.49132074879338</v>
      </c>
      <c r="K13" s="15">
        <f>+SUM($E$3:E13)/H13</f>
        <v>0.7756085121696279</v>
      </c>
    </row>
    <row r="14" spans="1:11" x14ac:dyDescent="0.25">
      <c r="A14" s="1">
        <v>12</v>
      </c>
      <c r="B14" s="17">
        <v>144694</v>
      </c>
      <c r="C14" s="16">
        <f t="shared" si="0"/>
        <v>125094.41639152341</v>
      </c>
      <c r="D14" s="16">
        <f t="shared" si="1"/>
        <v>122916.68487947046</v>
      </c>
      <c r="E14" s="16">
        <f t="shared" si="2"/>
        <v>-21777.315120529543</v>
      </c>
      <c r="F14" s="16">
        <f t="shared" si="3"/>
        <v>21777.315120529543</v>
      </c>
      <c r="G14" s="16">
        <f>+SUMSQ($E$3:E14)/A14</f>
        <v>1312081963.7827184</v>
      </c>
      <c r="H14" s="16">
        <f>+SUM($F$3:F14)/A14</f>
        <v>20638.055683412324</v>
      </c>
      <c r="I14" s="16">
        <f t="shared" si="4"/>
        <v>15.050599969956973</v>
      </c>
      <c r="J14" s="16">
        <f>+AVERAGE($I$3:I14)</f>
        <v>158.45459401722368</v>
      </c>
      <c r="K14" s="15">
        <f>+SUM($E$3:E14)/H14</f>
        <v>-0.28348564304749491</v>
      </c>
    </row>
    <row r="15" spans="1:11" x14ac:dyDescent="0.25">
      <c r="A15" s="1">
        <v>13</v>
      </c>
      <c r="B15" s="17">
        <v>155135</v>
      </c>
      <c r="C15" s="16">
        <f t="shared" si="0"/>
        <v>128098.47475237107</v>
      </c>
      <c r="D15" s="16">
        <f t="shared" si="1"/>
        <v>125094.41639152341</v>
      </c>
      <c r="E15" s="16">
        <f t="shared" si="2"/>
        <v>-30040.583608476591</v>
      </c>
      <c r="F15" s="16">
        <f t="shared" si="3"/>
        <v>30040.583608476591</v>
      </c>
      <c r="G15" s="16">
        <f>+SUMSQ($E$3:E15)/A15</f>
        <v>1280570786.8408072</v>
      </c>
      <c r="H15" s="16">
        <f>+SUM($F$3:F15)/A15</f>
        <v>21361.327062263423</v>
      </c>
      <c r="I15" s="16">
        <f t="shared" si="4"/>
        <v>19.364156127551226</v>
      </c>
      <c r="J15" s="16">
        <f>+AVERAGE($I$3:I15)</f>
        <v>147.75532956417194</v>
      </c>
      <c r="K15" s="15">
        <f>+SUM($E$3:E15)/H15</f>
        <v>-1.6801941185828064</v>
      </c>
    </row>
    <row r="16" spans="1:11" x14ac:dyDescent="0.25">
      <c r="A16" s="1">
        <v>14</v>
      </c>
      <c r="B16" s="17">
        <v>153530</v>
      </c>
      <c r="C16" s="16">
        <f t="shared" si="0"/>
        <v>130641.62727713396</v>
      </c>
      <c r="D16" s="31">
        <f t="shared" si="1"/>
        <v>128098.47475237107</v>
      </c>
      <c r="E16" s="16">
        <f t="shared" si="2"/>
        <v>-25431.525247628932</v>
      </c>
      <c r="F16" s="16">
        <f t="shared" si="3"/>
        <v>25431.525247628932</v>
      </c>
      <c r="G16" s="16">
        <f>+SUMSQ($E$3:E16)/A16</f>
        <v>1235298764.6679485</v>
      </c>
      <c r="H16" s="18">
        <f>+SUM($F$3:F16)/A16</f>
        <v>21652.055504075244</v>
      </c>
      <c r="I16" s="16">
        <f t="shared" si="4"/>
        <v>16.564531523239062</v>
      </c>
      <c r="J16" s="18">
        <f>+AVERAGE($I$3:I16)</f>
        <v>138.38455827553389</v>
      </c>
      <c r="K16" s="22">
        <f>+SUM($E$3:E16)/H16</f>
        <v>-2.8321884419345689</v>
      </c>
    </row>
    <row r="17" spans="1:6" x14ac:dyDescent="0.25">
      <c r="A17" s="1">
        <v>15</v>
      </c>
      <c r="F17" s="16">
        <f>AVERAGE(F3:F16)</f>
        <v>21652.055504075244</v>
      </c>
    </row>
    <row r="18" spans="1:6" x14ac:dyDescent="0.25">
      <c r="A18" s="13" t="s">
        <v>50</v>
      </c>
      <c r="B18" s="13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11B9-0840-4397-BD74-5EB8B0DD7165}">
  <dimension ref="A1:L20"/>
  <sheetViews>
    <sheetView workbookViewId="0">
      <selection sqref="A1:L17"/>
    </sheetView>
  </sheetViews>
  <sheetFormatPr baseColWidth="10" defaultRowHeight="15" x14ac:dyDescent="0.25"/>
  <cols>
    <col min="8" max="8" width="14.42578125" customWidth="1"/>
    <col min="9" max="9" width="12" bestFit="1" customWidth="1"/>
    <col min="10" max="11" width="11.42578125" customWidth="1"/>
  </cols>
  <sheetData>
    <row r="1" spans="1:12" x14ac:dyDescent="0.25">
      <c r="A1" s="1" t="s">
        <v>0</v>
      </c>
      <c r="B1" s="1" t="s">
        <v>57</v>
      </c>
      <c r="C1" s="1" t="s">
        <v>2</v>
      </c>
      <c r="D1" s="1" t="s">
        <v>35</v>
      </c>
      <c r="E1" s="1" t="s">
        <v>36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6">
        <v>0</v>
      </c>
      <c r="B2" s="2"/>
      <c r="C2" s="5">
        <f>'Regresión_Holt_APROBADOS-PRIMAV'!B17</f>
        <v>88681.164835164818</v>
      </c>
      <c r="D2" s="5">
        <f>'Regresión_Holt_APROBADOS-PRIMAV'!B18</f>
        <v>4777.0923076923091</v>
      </c>
      <c r="E2" s="2"/>
      <c r="F2" s="2"/>
      <c r="G2" s="2"/>
      <c r="H2" s="2"/>
      <c r="I2" s="2"/>
      <c r="J2" s="2"/>
      <c r="K2" s="2"/>
      <c r="L2" s="2"/>
    </row>
    <row r="3" spans="1:12" x14ac:dyDescent="0.25">
      <c r="A3" s="1">
        <v>1</v>
      </c>
      <c r="B3" s="17">
        <v>122662</v>
      </c>
      <c r="C3" s="16">
        <f t="shared" ref="C3:C16" si="0">+($B$19*B3)+((1-$B$19)*(C2+D2))</f>
        <v>96378.631428571418</v>
      </c>
      <c r="D3" s="16">
        <f t="shared" ref="D3:D16" si="1">+($B$20*(C3-C2)+((1-$B$20)*D2))</f>
        <v>5361.1671648351676</v>
      </c>
      <c r="E3" s="16">
        <f>+C2+D2</f>
        <v>93458.257142857125</v>
      </c>
      <c r="F3" s="16">
        <f>+E3-B3</f>
        <v>-29203.742857142875</v>
      </c>
      <c r="G3" s="16">
        <f>+ABS(F3)</f>
        <v>29203.742857142875</v>
      </c>
      <c r="H3" s="16">
        <f>+SUMSQ($F$3:F3)/A3</f>
        <v>852858596.86612356</v>
      </c>
      <c r="I3" s="16">
        <f>+SUM($G$3:G3)/A3</f>
        <v>29203.742857142875</v>
      </c>
      <c r="J3" s="21">
        <f>+(G3/B3)*100</f>
        <v>23.808304819049809</v>
      </c>
      <c r="K3" s="21">
        <f>+AVERAGE($J$3:J3)</f>
        <v>23.808304819049809</v>
      </c>
      <c r="L3" s="15">
        <f>+SUM($F$3:F3)/I3</f>
        <v>-1</v>
      </c>
    </row>
    <row r="4" spans="1:12" x14ac:dyDescent="0.25">
      <c r="A4" s="1">
        <v>2</v>
      </c>
      <c r="B4" s="17">
        <v>122929</v>
      </c>
      <c r="C4" s="16">
        <f t="shared" si="0"/>
        <v>103858.71873406591</v>
      </c>
      <c r="D4" s="16">
        <f t="shared" si="1"/>
        <v>5784.9511929670343</v>
      </c>
      <c r="E4" s="16">
        <f t="shared" ref="E4:E15" si="2">+C3+D3</f>
        <v>101739.79859340658</v>
      </c>
      <c r="F4" s="16">
        <f t="shared" ref="F4:F16" si="3">+E4-B4</f>
        <v>-21189.20140659342</v>
      </c>
      <c r="G4" s="16">
        <f t="shared" ref="G4:G16" si="4">+ABS(F4)</f>
        <v>21189.20140659342</v>
      </c>
      <c r="H4" s="16">
        <f>+SUMSQ($F$3:F4)/A4</f>
        <v>650920426.557652</v>
      </c>
      <c r="I4" s="16">
        <f>+SUM($G$3:G4)/A4</f>
        <v>25196.472131868148</v>
      </c>
      <c r="J4" s="21">
        <f t="shared" ref="J4:J16" si="5">+(G4/B4)*100</f>
        <v>17.236942793477063</v>
      </c>
      <c r="K4" s="21">
        <f>+AVERAGE($J$3:J4)</f>
        <v>20.522623806263436</v>
      </c>
      <c r="L4" s="23">
        <f>+SUM($F$3:F4)/I4</f>
        <v>-2</v>
      </c>
    </row>
    <row r="5" spans="1:12" x14ac:dyDescent="0.25">
      <c r="A5" s="1">
        <v>3</v>
      </c>
      <c r="B5" s="17">
        <v>6525</v>
      </c>
      <c r="C5" s="16">
        <f t="shared" si="0"/>
        <v>99331.802934329666</v>
      </c>
      <c r="D5" s="16">
        <f t="shared" si="1"/>
        <v>3722.5777944263782</v>
      </c>
      <c r="E5" s="16">
        <f t="shared" si="2"/>
        <v>109643.66992703296</v>
      </c>
      <c r="F5" s="16">
        <f t="shared" si="3"/>
        <v>103118.66992703296</v>
      </c>
      <c r="G5" s="16">
        <f t="shared" si="4"/>
        <v>103118.66992703296</v>
      </c>
      <c r="H5" s="16">
        <f>+SUMSQ($F$3:F5)/A5</f>
        <v>3978433646.8785577</v>
      </c>
      <c r="I5" s="16">
        <f>+SUM($G$3:G5)/A5</f>
        <v>51170.538063589753</v>
      </c>
      <c r="J5" s="21">
        <f t="shared" si="5"/>
        <v>1580.3627575024209</v>
      </c>
      <c r="K5" s="21">
        <f>+AVERAGE($J$3:J5)</f>
        <v>540.46933503831599</v>
      </c>
      <c r="L5" s="23">
        <f>+SUM($F$3:F5)/I5</f>
        <v>1.0303922463698598</v>
      </c>
    </row>
    <row r="6" spans="1:12" x14ac:dyDescent="0.25">
      <c r="A6" s="1">
        <v>4</v>
      </c>
      <c r="B6" s="17">
        <v>123692</v>
      </c>
      <c r="C6" s="16">
        <f t="shared" si="0"/>
        <v>105118.14265588044</v>
      </c>
      <c r="D6" s="16">
        <f t="shared" si="1"/>
        <v>4135.3301798512575</v>
      </c>
      <c r="E6" s="16">
        <f t="shared" si="2"/>
        <v>103054.38072875605</v>
      </c>
      <c r="F6" s="16">
        <f t="shared" si="3"/>
        <v>-20637.619271243952</v>
      </c>
      <c r="G6" s="16">
        <f t="shared" si="4"/>
        <v>20637.619271243952</v>
      </c>
      <c r="H6" s="16">
        <f>+SUMSQ($F$3:F6)/A6</f>
        <v>3090303067.4551234</v>
      </c>
      <c r="I6" s="16">
        <f>+SUM($G$3:G6)/A6</f>
        <v>43537.308365503304</v>
      </c>
      <c r="J6" s="21">
        <f t="shared" si="5"/>
        <v>16.684683949846356</v>
      </c>
      <c r="K6" s="21">
        <f>+AVERAGE($J$3:J6)</f>
        <v>409.52317226619857</v>
      </c>
      <c r="L6" s="15">
        <f>+SUM($F$3:F6)/I6</f>
        <v>0.73702549828453923</v>
      </c>
    </row>
    <row r="7" spans="1:12" x14ac:dyDescent="0.25">
      <c r="A7" s="1">
        <v>5</v>
      </c>
      <c r="B7" s="17">
        <v>124755</v>
      </c>
      <c r="C7" s="16">
        <f t="shared" si="0"/>
        <v>110803.62555215853</v>
      </c>
      <c r="D7" s="16">
        <f t="shared" si="1"/>
        <v>4445.3607231366241</v>
      </c>
      <c r="E7" s="16">
        <f t="shared" si="2"/>
        <v>109253.47283573169</v>
      </c>
      <c r="F7" s="16">
        <f t="shared" si="3"/>
        <v>-15501.527164268307</v>
      </c>
      <c r="G7" s="16">
        <f t="shared" si="4"/>
        <v>15501.527164268307</v>
      </c>
      <c r="H7" s="16">
        <f>+SUMSQ($F$3:F7)/A7</f>
        <v>2520301922.8490086</v>
      </c>
      <c r="I7" s="16">
        <f>+SUM($G$3:G7)/A7</f>
        <v>37930.152125256303</v>
      </c>
      <c r="J7" s="21">
        <f t="shared" si="5"/>
        <v>12.425575860100443</v>
      </c>
      <c r="K7" s="21">
        <f>+AVERAGE($J$3:J7)</f>
        <v>330.10365298497896</v>
      </c>
      <c r="L7" s="15">
        <f>+SUM($F$3:F7)/I7</f>
        <v>0.43729271564771827</v>
      </c>
    </row>
    <row r="8" spans="1:12" x14ac:dyDescent="0.25">
      <c r="A8" s="1">
        <v>6</v>
      </c>
      <c r="B8" s="17">
        <v>125061</v>
      </c>
      <c r="C8" s="16">
        <f t="shared" si="0"/>
        <v>116230.18764776563</v>
      </c>
      <c r="D8" s="16">
        <f t="shared" si="1"/>
        <v>4641.6009976307214</v>
      </c>
      <c r="E8" s="16">
        <f t="shared" si="2"/>
        <v>115248.98627529514</v>
      </c>
      <c r="F8" s="16">
        <f t="shared" si="3"/>
        <v>-9812.0137247048551</v>
      </c>
      <c r="G8" s="16">
        <f t="shared" si="4"/>
        <v>9812.0137247048551</v>
      </c>
      <c r="H8" s="16">
        <f>+SUMSQ($F$3:F8)/A8</f>
        <v>2116297537.9298065</v>
      </c>
      <c r="I8" s="16">
        <f>+SUM($G$3:G8)/A8</f>
        <v>33243.795725164397</v>
      </c>
      <c r="J8" s="21">
        <f t="shared" si="5"/>
        <v>7.8457822380317248</v>
      </c>
      <c r="K8" s="21">
        <f>+AVERAGE($J$3:J8)</f>
        <v>276.39400786048776</v>
      </c>
      <c r="L8" s="15">
        <f>+SUM($F$3:F8)/I8</f>
        <v>0.20378435600695968</v>
      </c>
    </row>
    <row r="9" spans="1:12" x14ac:dyDescent="0.25">
      <c r="A9" s="1">
        <v>7</v>
      </c>
      <c r="B9" s="17">
        <v>127873</v>
      </c>
      <c r="C9" s="16">
        <f t="shared" si="0"/>
        <v>121571.90978085673</v>
      </c>
      <c r="D9" s="16">
        <f t="shared" si="1"/>
        <v>4781.6252247227967</v>
      </c>
      <c r="E9" s="16">
        <f t="shared" si="2"/>
        <v>120871.78864539636</v>
      </c>
      <c r="F9" s="16">
        <f t="shared" si="3"/>
        <v>-7001.2113546036417</v>
      </c>
      <c r="G9" s="16">
        <f t="shared" si="4"/>
        <v>7001.2113546036417</v>
      </c>
      <c r="H9" s="16">
        <f>+SUMSQ($F$3:F9)/A9</f>
        <v>1820971741.1443813</v>
      </c>
      <c r="I9" s="16">
        <f>+SUM($G$3:G9)/A9</f>
        <v>29494.855100798573</v>
      </c>
      <c r="J9" s="21">
        <f t="shared" si="5"/>
        <v>5.4751287250659963</v>
      </c>
      <c r="K9" s="21">
        <f>+AVERAGE($J$3:J9)</f>
        <v>237.69131084114179</v>
      </c>
      <c r="L9" s="15">
        <f>+SUM($F$3:F9)/I9</f>
        <v>-7.6842503802623937E-3</v>
      </c>
    </row>
    <row r="10" spans="1:12" x14ac:dyDescent="0.25">
      <c r="A10" s="1">
        <v>8</v>
      </c>
      <c r="B10" s="17">
        <v>129841</v>
      </c>
      <c r="C10" s="16">
        <f t="shared" si="0"/>
        <v>126702.28150502159</v>
      </c>
      <c r="D10" s="16">
        <f t="shared" si="1"/>
        <v>4851.3745246112085</v>
      </c>
      <c r="E10" s="16">
        <f t="shared" si="2"/>
        <v>126353.53500557953</v>
      </c>
      <c r="F10" s="16">
        <f t="shared" si="3"/>
        <v>-3487.4649944204721</v>
      </c>
      <c r="G10" s="16">
        <f t="shared" si="4"/>
        <v>3487.4649944204721</v>
      </c>
      <c r="H10" s="16">
        <f>+SUMSQ($F$3:F10)/A10</f>
        <v>1594870575.0122473</v>
      </c>
      <c r="I10" s="16">
        <f>+SUM($G$3:G10)/A10</f>
        <v>26243.931337501312</v>
      </c>
      <c r="J10" s="21">
        <f t="shared" si="5"/>
        <v>2.6859505044019008</v>
      </c>
      <c r="K10" s="21">
        <f>+AVERAGE($J$3:J10)</f>
        <v>208.31564079904931</v>
      </c>
      <c r="L10" s="15">
        <f>+SUM($F$3:F10)/I10</f>
        <v>-0.14152265520666421</v>
      </c>
    </row>
    <row r="11" spans="1:12" x14ac:dyDescent="0.25">
      <c r="A11" s="1">
        <v>9</v>
      </c>
      <c r="B11" s="17">
        <v>133033</v>
      </c>
      <c r="C11" s="16">
        <f t="shared" si="0"/>
        <v>131701.59042666951</v>
      </c>
      <c r="D11" s="16">
        <f t="shared" si="1"/>
        <v>4880.9614040185525</v>
      </c>
      <c r="E11" s="16">
        <f t="shared" si="2"/>
        <v>131553.65602963278</v>
      </c>
      <c r="F11" s="16">
        <f t="shared" si="3"/>
        <v>-1479.3439703672193</v>
      </c>
      <c r="G11" s="16">
        <f t="shared" si="4"/>
        <v>1479.3439703672193</v>
      </c>
      <c r="H11" s="16">
        <f>+SUMSQ($F$3:F11)/A11</f>
        <v>1417905895.4089601</v>
      </c>
      <c r="I11" s="16">
        <f>+SUM($G$3:G11)/A11</f>
        <v>23492.310518930855</v>
      </c>
      <c r="J11" s="21">
        <f t="shared" si="5"/>
        <v>1.1120127865771794</v>
      </c>
      <c r="K11" s="21">
        <f>+AVERAGE($J$3:J11)</f>
        <v>185.29301546433018</v>
      </c>
      <c r="L11" s="15">
        <f>+SUM($F$3:F11)/I11</f>
        <v>-0.22107041417346901</v>
      </c>
    </row>
    <row r="12" spans="1:12" x14ac:dyDescent="0.25">
      <c r="A12" s="1">
        <v>10</v>
      </c>
      <c r="B12" s="17">
        <v>137783</v>
      </c>
      <c r="C12" s="16">
        <f t="shared" si="0"/>
        <v>136702.59664761924</v>
      </c>
      <c r="D12" s="16">
        <f t="shared" si="1"/>
        <v>4904.9703674047878</v>
      </c>
      <c r="E12" s="16">
        <f t="shared" si="2"/>
        <v>136582.55183068805</v>
      </c>
      <c r="F12" s="16">
        <f t="shared" si="3"/>
        <v>-1200.4481693119451</v>
      </c>
      <c r="G12" s="16">
        <f t="shared" si="4"/>
        <v>1200.4481693119451</v>
      </c>
      <c r="H12" s="16">
        <f>+SUMSQ($F$3:F12)/A12</f>
        <v>1276259413.4487846</v>
      </c>
      <c r="I12" s="16">
        <f>+SUM($G$3:G12)/A12</f>
        <v>21263.124283968966</v>
      </c>
      <c r="J12" s="21">
        <f t="shared" si="5"/>
        <v>0.87126000254889568</v>
      </c>
      <c r="K12" s="21">
        <f>+AVERAGE($J$3:J12)</f>
        <v>166.85083991815208</v>
      </c>
      <c r="L12" s="15">
        <f>+SUM($F$3:F12)/I12</f>
        <v>-0.30070383355866126</v>
      </c>
    </row>
    <row r="13" spans="1:12" x14ac:dyDescent="0.25">
      <c r="A13" s="1">
        <v>11</v>
      </c>
      <c r="B13" s="17">
        <v>135618</v>
      </c>
      <c r="C13" s="16">
        <f t="shared" si="0"/>
        <v>141008.61031352161</v>
      </c>
      <c r="D13" s="16">
        <f t="shared" si="1"/>
        <v>4785.1790271043046</v>
      </c>
      <c r="E13" s="16">
        <f t="shared" si="2"/>
        <v>141607.56701502402</v>
      </c>
      <c r="F13" s="16">
        <f t="shared" si="3"/>
        <v>5989.5670150240185</v>
      </c>
      <c r="G13" s="16">
        <f t="shared" si="4"/>
        <v>5989.5670150240185</v>
      </c>
      <c r="H13" s="16">
        <f>+SUMSQ($F$3:F13)/A13</f>
        <v>1163497186.1377554</v>
      </c>
      <c r="I13" s="16">
        <f>+SUM($G$3:G13)/A13</f>
        <v>19874.619077701242</v>
      </c>
      <c r="J13" s="21">
        <f t="shared" si="5"/>
        <v>4.4164985584686534</v>
      </c>
      <c r="K13" s="21">
        <f>+AVERAGE($J$3:J13)</f>
        <v>152.08408161272629</v>
      </c>
      <c r="L13" s="15">
        <f>+SUM($F$3:F13)/I13</f>
        <v>-2.0344338123862063E-2</v>
      </c>
    </row>
    <row r="14" spans="1:12" x14ac:dyDescent="0.25">
      <c r="A14" s="1">
        <v>12</v>
      </c>
      <c r="B14" s="17">
        <v>144694</v>
      </c>
      <c r="C14" s="16">
        <f t="shared" si="0"/>
        <v>145683.81040656334</v>
      </c>
      <c r="D14" s="16">
        <f t="shared" si="1"/>
        <v>4763.1832402917889</v>
      </c>
      <c r="E14" s="16">
        <f t="shared" si="2"/>
        <v>145793.78934062592</v>
      </c>
      <c r="F14" s="16">
        <f t="shared" si="3"/>
        <v>1099.7893406259245</v>
      </c>
      <c r="G14" s="16">
        <f t="shared" si="4"/>
        <v>1099.7893406259245</v>
      </c>
      <c r="H14" s="16">
        <f>+SUMSQ($F$3:F14)/A14</f>
        <v>1066639882.0090886</v>
      </c>
      <c r="I14" s="16">
        <f>+SUM($G$3:G14)/A14</f>
        <v>18310.049932944967</v>
      </c>
      <c r="J14" s="21">
        <f t="shared" si="5"/>
        <v>0.76007943703672887</v>
      </c>
      <c r="K14" s="21">
        <f>+AVERAGE($J$3:J14)</f>
        <v>139.47374809808551</v>
      </c>
      <c r="L14" s="15">
        <f>+SUM($F$3:F14)/I14</f>
        <v>3.798205753523879E-2</v>
      </c>
    </row>
    <row r="15" spans="1:12" x14ac:dyDescent="0.25">
      <c r="A15" s="1">
        <v>13</v>
      </c>
      <c r="B15" s="17">
        <v>155135</v>
      </c>
      <c r="C15" s="16">
        <f t="shared" si="0"/>
        <v>150915.79428216961</v>
      </c>
      <c r="D15" s="16">
        <f t="shared" si="1"/>
        <v>4856.9433673546846</v>
      </c>
      <c r="E15" s="16">
        <f t="shared" si="2"/>
        <v>150446.99364685512</v>
      </c>
      <c r="F15" s="16">
        <f t="shared" si="3"/>
        <v>-4688.0063531448832</v>
      </c>
      <c r="G15" s="16">
        <f t="shared" si="4"/>
        <v>4688.0063531448832</v>
      </c>
      <c r="H15" s="16">
        <f>+SUMSQ($F$3:F15)/A15</f>
        <v>986281229.82124543</v>
      </c>
      <c r="I15" s="16">
        <f>+SUM($G$3:G15)/A15</f>
        <v>17262.200426806499</v>
      </c>
      <c r="J15" s="21">
        <f t="shared" si="5"/>
        <v>3.0218882606406572</v>
      </c>
      <c r="K15" s="21">
        <f>+AVERAGE($J$3:J15)</f>
        <v>128.97745118751283</v>
      </c>
      <c r="L15" s="15">
        <f>+SUM($F$3:F15)/I15</f>
        <v>-0.23128876298520032</v>
      </c>
    </row>
    <row r="16" spans="1:12" x14ac:dyDescent="0.25">
      <c r="A16" s="1">
        <v>14</v>
      </c>
      <c r="B16" s="17">
        <v>153530</v>
      </c>
      <c r="C16" s="16">
        <f t="shared" si="0"/>
        <v>155548.46388457186</v>
      </c>
      <c r="D16" s="16">
        <f t="shared" si="1"/>
        <v>4812.0886143641983</v>
      </c>
      <c r="E16" s="16">
        <f>+$C$15+($D$15*A3)</f>
        <v>155772.73764952429</v>
      </c>
      <c r="F16" s="16">
        <f t="shared" si="3"/>
        <v>2242.7376495242934</v>
      </c>
      <c r="G16" s="16">
        <f t="shared" si="4"/>
        <v>2242.7376495242934</v>
      </c>
      <c r="H16" s="16">
        <f>+SUMSQ($F$3:F16)/A16</f>
        <v>916191847.13148475</v>
      </c>
      <c r="I16" s="24">
        <f>+SUM($G$3:G16)/A16</f>
        <v>16189.381657000627</v>
      </c>
      <c r="J16" s="21">
        <f t="shared" si="5"/>
        <v>1.4607813779224212</v>
      </c>
      <c r="K16" s="25">
        <f>+AVERAGE($J$3:J16)</f>
        <v>119.86911762968494</v>
      </c>
      <c r="L16" s="15">
        <f>+SUM($F$3:F16)/I16</f>
        <v>-0.10808413629792477</v>
      </c>
    </row>
    <row r="17" spans="1:5" x14ac:dyDescent="0.25">
      <c r="A17" s="1">
        <v>15</v>
      </c>
      <c r="E17" s="31">
        <f>+$C$15+($D$15*A4)</f>
        <v>160629.68101687898</v>
      </c>
    </row>
    <row r="19" spans="1:5" x14ac:dyDescent="0.25">
      <c r="A19" s="13" t="s">
        <v>50</v>
      </c>
      <c r="B19" s="13">
        <v>0.1</v>
      </c>
    </row>
    <row r="20" spans="1:5" x14ac:dyDescent="0.25">
      <c r="A20" s="13" t="s">
        <v>51</v>
      </c>
      <c r="B20" s="13"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4A6CF-D38C-4602-9230-97E3CF548DB4}">
  <dimension ref="A1:M21"/>
  <sheetViews>
    <sheetView workbookViewId="0">
      <selection sqref="A1:M17"/>
    </sheetView>
  </sheetViews>
  <sheetFormatPr baseColWidth="10" defaultRowHeight="15" x14ac:dyDescent="0.25"/>
  <cols>
    <col min="10" max="10" width="15.5703125" customWidth="1"/>
    <col min="11" max="11" width="12" bestFit="1" customWidth="1"/>
    <col min="12" max="12" width="14.7109375" customWidth="1"/>
  </cols>
  <sheetData>
    <row r="1" spans="1:13" x14ac:dyDescent="0.25">
      <c r="A1" s="1" t="s">
        <v>0</v>
      </c>
      <c r="B1" s="7" t="s">
        <v>1</v>
      </c>
      <c r="C1" s="7" t="s">
        <v>2</v>
      </c>
      <c r="D1" s="7" t="s">
        <v>35</v>
      </c>
      <c r="E1" s="7" t="s">
        <v>37</v>
      </c>
      <c r="F1" s="7" t="s">
        <v>38</v>
      </c>
      <c r="G1" s="7" t="s">
        <v>4</v>
      </c>
      <c r="H1" s="7" t="s">
        <v>5</v>
      </c>
      <c r="I1" s="7" t="s">
        <v>6</v>
      </c>
      <c r="J1" s="7" t="s">
        <v>39</v>
      </c>
      <c r="K1" s="7" t="s">
        <v>8</v>
      </c>
      <c r="L1" s="7" t="s">
        <v>9</v>
      </c>
      <c r="M1" s="7" t="s">
        <v>10</v>
      </c>
    </row>
    <row r="2" spans="1:13" x14ac:dyDescent="0.25">
      <c r="A2" s="6">
        <v>0</v>
      </c>
      <c r="B2" s="8"/>
      <c r="C2" s="5">
        <f>Regresión_Winter_APROBADOS_PRIM!B17</f>
        <v>79574.130555555574</v>
      </c>
      <c r="D2" s="5">
        <f>Regresión_Winter_APROBADOS_PRIM!B18</f>
        <v>5985.8583333333299</v>
      </c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1">
        <v>1</v>
      </c>
      <c r="B3" s="17">
        <v>122662</v>
      </c>
      <c r="C3" s="2">
        <f t="shared" ref="C3:C16" si="0">+($B$19*(B3/E3))+((1-$B$19)*(C2+D2))</f>
        <v>87312.253585134575</v>
      </c>
      <c r="D3" s="2">
        <f t="shared" ref="D3:D16" si="1">+($B$20*(C3-C2)+((1-$B$20)*D2))</f>
        <v>6336.311272582464</v>
      </c>
      <c r="E3" s="19">
        <f>AVERAGE('Demanda_des_Factor esta_winter'!E2,'Demanda_des_Factor esta_winter'!E6,'Demanda_des_Factor esta_winter'!E10)</f>
        <v>1.1899385283171227</v>
      </c>
      <c r="F3" s="2">
        <f>(C2+D2)*E3</f>
        <v>101811.12726127384</v>
      </c>
      <c r="G3" s="2">
        <f>+F3-B3</f>
        <v>-20850.872738726161</v>
      </c>
      <c r="H3" s="2">
        <f>+ABS(G3)</f>
        <v>20850.872738726161</v>
      </c>
      <c r="I3" s="2">
        <f>+SUMSQ($G$3:G3)/A3</f>
        <v>434758893.96655381</v>
      </c>
      <c r="J3" s="4">
        <f>+SUM($H$3:H3)/A3</f>
        <v>20850.872738726161</v>
      </c>
      <c r="K3" s="4">
        <f>+(H3/B3)*100</f>
        <v>16.998640767903801</v>
      </c>
      <c r="L3" s="20">
        <f>+AVERAGE($K$3:K3)</f>
        <v>16.998640767903801</v>
      </c>
      <c r="M3" s="2">
        <f>+SUM($G$3:G3)/J3</f>
        <v>-1</v>
      </c>
    </row>
    <row r="4" spans="1:13" x14ac:dyDescent="0.25">
      <c r="A4" s="1">
        <v>2</v>
      </c>
      <c r="B4" s="17">
        <v>122929</v>
      </c>
      <c r="C4" s="2">
        <f t="shared" si="0"/>
        <v>95086.343093786927</v>
      </c>
      <c r="D4" s="2">
        <f t="shared" si="1"/>
        <v>6623.8669197964427</v>
      </c>
      <c r="E4" s="19">
        <f>AVERAGE('Demanda_des_Factor esta_winter'!E3,'Demanda_des_Factor esta_winter'!E7,'Demanda_des_Factor esta_winter'!E11)</f>
        <v>1.1379538711186152</v>
      </c>
      <c r="F4" s="2">
        <f t="shared" ref="F4:F17" si="2">(C3+D3)*E4</f>
        <v>106567.74690454181</v>
      </c>
      <c r="G4" s="2">
        <f t="shared" ref="G4:G16" si="3">+F4-B4</f>
        <v>-16361.253095458189</v>
      </c>
      <c r="H4" s="2">
        <f t="shared" ref="H4:H16" si="4">+ABS(G4)</f>
        <v>16361.253095458189</v>
      </c>
      <c r="I4" s="2">
        <f>+SUMSQ($G$3:G4)/A4</f>
        <v>351224748.410097</v>
      </c>
      <c r="J4" s="4">
        <f>+SUM($H$3:H4)/A4</f>
        <v>18606.062917092175</v>
      </c>
      <c r="K4" s="4">
        <f t="shared" ref="K4:K16" si="5">+(H4/B4)*100</f>
        <v>13.309514512814868</v>
      </c>
      <c r="L4" s="20">
        <f>+AVERAGE($K$3:K4)</f>
        <v>15.154077640359334</v>
      </c>
      <c r="M4" s="28">
        <f>+SUM($G$3:G4)/J4</f>
        <v>-2</v>
      </c>
    </row>
    <row r="5" spans="1:13" x14ac:dyDescent="0.25">
      <c r="A5" s="1">
        <v>3</v>
      </c>
      <c r="B5" s="17">
        <v>6525</v>
      </c>
      <c r="C5" s="2">
        <f t="shared" si="0"/>
        <v>92493.055595187776</v>
      </c>
      <c r="D5" s="2">
        <f t="shared" si="1"/>
        <v>4780.436036117324</v>
      </c>
      <c r="E5" s="19">
        <f>AVERAGE('Demanda_des_Factor esta_winter'!E4,'Demanda_des_Factor esta_winter'!E8,'Demanda_des_Factor esta_winter'!E12)</f>
        <v>0.68405792975083468</v>
      </c>
      <c r="F5" s="2">
        <f t="shared" si="2"/>
        <v>69575.675696414459</v>
      </c>
      <c r="G5" s="2">
        <f t="shared" si="3"/>
        <v>63050.675696414459</v>
      </c>
      <c r="H5" s="2">
        <f t="shared" si="4"/>
        <v>63050.675696414459</v>
      </c>
      <c r="I5" s="2">
        <f>+SUMSQ($G$3:G5)/A5</f>
        <v>1559279067.5315409</v>
      </c>
      <c r="J5" s="4">
        <f>+SUM($H$3:H5)/A5</f>
        <v>33420.933843532934</v>
      </c>
      <c r="K5" s="4">
        <f t="shared" si="5"/>
        <v>966.29388040481922</v>
      </c>
      <c r="L5" s="20">
        <f>+AVERAGE($K$3:K5)</f>
        <v>332.20067856184596</v>
      </c>
      <c r="M5" s="3">
        <f>+SUM($G$3:G5)/J5</f>
        <v>0.77312471228956869</v>
      </c>
    </row>
    <row r="6" spans="1:13" x14ac:dyDescent="0.25">
      <c r="A6" s="1">
        <v>4</v>
      </c>
      <c r="B6" s="17">
        <v>123692</v>
      </c>
      <c r="C6" s="2">
        <f t="shared" si="0"/>
        <v>99254.816417434267</v>
      </c>
      <c r="D6" s="2">
        <f t="shared" si="1"/>
        <v>5176.7009933431582</v>
      </c>
      <c r="E6" s="19">
        <f>AVERAGE('Demanda_des_Factor esta_winter'!E5,'Demanda_des_Factor esta_winter'!E9,'Demanda_des_Factor esta_winter'!E13)</f>
        <v>1.0564133951976766</v>
      </c>
      <c r="F6" s="2">
        <f t="shared" si="2"/>
        <v>102761.01955695981</v>
      </c>
      <c r="G6" s="2">
        <f t="shared" si="3"/>
        <v>-20930.980443040185</v>
      </c>
      <c r="H6" s="2">
        <f t="shared" si="4"/>
        <v>20930.980443040185</v>
      </c>
      <c r="I6" s="2">
        <f>+SUMSQ($G$3:G6)/A6</f>
        <v>1278985786.2253883</v>
      </c>
      <c r="J6" s="4">
        <f>+SUM($H$3:H6)/A6</f>
        <v>30298.445493409748</v>
      </c>
      <c r="K6" s="4">
        <f t="shared" si="5"/>
        <v>16.921854641399754</v>
      </c>
      <c r="L6" s="20">
        <f>+AVERAGE($K$3:K6)</f>
        <v>253.3809725817344</v>
      </c>
      <c r="M6" s="3">
        <f>+SUM($G$3:G6)/J6</f>
        <v>0.16197429733671898</v>
      </c>
    </row>
    <row r="7" spans="1:13" x14ac:dyDescent="0.25">
      <c r="A7" s="1">
        <v>5</v>
      </c>
      <c r="B7" s="17">
        <v>124755</v>
      </c>
      <c r="C7" s="2">
        <f t="shared" si="0"/>
        <v>104286.51501289316</v>
      </c>
      <c r="D7" s="2">
        <f t="shared" si="1"/>
        <v>5147.7005137663045</v>
      </c>
      <c r="E7" s="3">
        <f t="shared" ref="E7:E17" si="6">+($B$21*(B3/C3)+(1-$B$21)*E3)</f>
        <v>1.2114312566505585</v>
      </c>
      <c r="F7" s="2">
        <f t="shared" si="2"/>
        <v>126511.60437086277</v>
      </c>
      <c r="G7" s="2">
        <f t="shared" si="3"/>
        <v>1756.6043708627694</v>
      </c>
      <c r="H7" s="2">
        <f t="shared" si="4"/>
        <v>1756.6043708627694</v>
      </c>
      <c r="I7" s="2">
        <f>+SUMSQ($G$3:G7)/A7</f>
        <v>1023805760.7634575</v>
      </c>
      <c r="J7" s="4">
        <f>+SUM($H$3:H7)/A7</f>
        <v>24590.077268900353</v>
      </c>
      <c r="K7" s="4">
        <f t="shared" si="5"/>
        <v>1.4080432614827216</v>
      </c>
      <c r="L7" s="20">
        <f>+AVERAGE($K$3:K7)</f>
        <v>202.98638671768407</v>
      </c>
      <c r="M7" s="3">
        <f>+SUM($G$3:G7)/J7</f>
        <v>0.27101068927835498</v>
      </c>
    </row>
    <row r="8" spans="1:13" x14ac:dyDescent="0.25">
      <c r="A8" s="1">
        <v>6</v>
      </c>
      <c r="B8" s="17">
        <v>125061</v>
      </c>
      <c r="C8" s="2">
        <f t="shared" si="0"/>
        <v>109333.23116267902</v>
      </c>
      <c r="D8" s="2">
        <f t="shared" si="1"/>
        <v>5127.5036409702161</v>
      </c>
      <c r="E8" s="3">
        <f t="shared" si="6"/>
        <v>1.1534399307427492</v>
      </c>
      <c r="F8" s="2">
        <f t="shared" si="2"/>
        <v>126225.79397795718</v>
      </c>
      <c r="G8" s="2">
        <f t="shared" si="3"/>
        <v>1164.7939779571752</v>
      </c>
      <c r="H8" s="2">
        <f t="shared" si="4"/>
        <v>1164.7939779571752</v>
      </c>
      <c r="I8" s="2">
        <f>+SUMSQ($G$3:G8)/A8</f>
        <v>853397591.47139549</v>
      </c>
      <c r="J8" s="4">
        <f>+SUM($H$3:H8)/A8</f>
        <v>20685.86338707649</v>
      </c>
      <c r="K8" s="4">
        <f t="shared" si="5"/>
        <v>0.93138066859946367</v>
      </c>
      <c r="L8" s="20">
        <f>+AVERAGE($K$3:K8)</f>
        <v>169.31055237616997</v>
      </c>
      <c r="M8" s="3">
        <f>+SUM($G$3:G8)/J8</f>
        <v>0.37846947074498338</v>
      </c>
    </row>
    <row r="9" spans="1:13" x14ac:dyDescent="0.25">
      <c r="A9" s="1">
        <v>7</v>
      </c>
      <c r="B9" s="17">
        <v>127873</v>
      </c>
      <c r="C9" s="2">
        <f t="shared" si="0"/>
        <v>123549.68941926424</v>
      </c>
      <c r="D9" s="2">
        <f t="shared" si="1"/>
        <v>6945.2945640932166</v>
      </c>
      <c r="E9" s="3">
        <f t="shared" si="6"/>
        <v>0.62270672045018172</v>
      </c>
      <c r="F9" s="2">
        <f t="shared" si="2"/>
        <v>71275.468789898383</v>
      </c>
      <c r="G9" s="2">
        <f t="shared" si="3"/>
        <v>-56597.531210101617</v>
      </c>
      <c r="H9" s="2">
        <f t="shared" si="4"/>
        <v>56597.531210101617</v>
      </c>
      <c r="I9" s="2">
        <f>+SUMSQ($G$3:G9)/A9</f>
        <v>1189095155.415257</v>
      </c>
      <c r="J9" s="4">
        <f>+SUM($H$3:H9)/A9</f>
        <v>25816.101647508651</v>
      </c>
      <c r="K9" s="4">
        <f t="shared" si="5"/>
        <v>44.260736207097366</v>
      </c>
      <c r="L9" s="20">
        <f>+AVERAGE($K$3:K9)</f>
        <v>151.4462929234453</v>
      </c>
      <c r="M9" s="3">
        <f>+SUM($G$3:G9)/J9</f>
        <v>-1.8890754347025163</v>
      </c>
    </row>
    <row r="10" spans="1:13" x14ac:dyDescent="0.25">
      <c r="A10" s="1">
        <v>8</v>
      </c>
      <c r="B10" s="17">
        <v>129841</v>
      </c>
      <c r="C10" s="2">
        <f t="shared" si="0"/>
        <v>129519.3074544866</v>
      </c>
      <c r="D10" s="2">
        <f t="shared" si="1"/>
        <v>6750.1592583190459</v>
      </c>
      <c r="E10" s="3">
        <f t="shared" si="6"/>
        <v>1.0753927083218984</v>
      </c>
      <c r="F10" s="2">
        <f t="shared" si="2"/>
        <v>140333.35424828553</v>
      </c>
      <c r="G10" s="2">
        <f t="shared" si="3"/>
        <v>10492.354248285526</v>
      </c>
      <c r="H10" s="2">
        <f t="shared" si="4"/>
        <v>10492.354248285526</v>
      </c>
      <c r="I10" s="2">
        <f>+SUMSQ($G$3:G10)/A10</f>
        <v>1054219448.1972893</v>
      </c>
      <c r="J10" s="4">
        <f>+SUM($H$3:H10)/A10</f>
        <v>23900.63322260576</v>
      </c>
      <c r="K10" s="4">
        <f t="shared" si="5"/>
        <v>8.080925322729744</v>
      </c>
      <c r="L10" s="20">
        <f>+AVERAGE($K$3:K10)</f>
        <v>133.52562197335587</v>
      </c>
      <c r="M10" s="3">
        <f>+SUM($G$3:G10)/J10</f>
        <v>-1.6014725985420217</v>
      </c>
    </row>
    <row r="11" spans="1:13" x14ac:dyDescent="0.25">
      <c r="A11" s="1">
        <v>9</v>
      </c>
      <c r="B11" s="17">
        <v>133033</v>
      </c>
      <c r="C11" s="2">
        <f t="shared" si="0"/>
        <v>133637.7525662863</v>
      </c>
      <c r="D11" s="2">
        <f t="shared" si="1"/>
        <v>6223.816429015179</v>
      </c>
      <c r="E11" s="3">
        <f t="shared" si="6"/>
        <v>1.2099152946552985</v>
      </c>
      <c r="F11" s="2">
        <f t="shared" si="2"/>
        <v>164874.51197034464</v>
      </c>
      <c r="G11" s="2">
        <f t="shared" si="3"/>
        <v>31841.51197034464</v>
      </c>
      <c r="H11" s="2">
        <f t="shared" si="4"/>
        <v>31841.51197034464</v>
      </c>
      <c r="I11" s="2">
        <f>+SUMSQ($G$3:G11)/A11</f>
        <v>1049737496.6817684</v>
      </c>
      <c r="J11" s="4">
        <f>+SUM($H$3:H11)/A11</f>
        <v>24782.953083465636</v>
      </c>
      <c r="K11" s="4">
        <f t="shared" si="5"/>
        <v>23.935047672641105</v>
      </c>
      <c r="L11" s="20">
        <f>+AVERAGE($K$3:K11)</f>
        <v>121.34889149549866</v>
      </c>
      <c r="M11" s="3">
        <f>+SUM($G$3:G11)/J11</f>
        <v>-0.25964206936075745</v>
      </c>
    </row>
    <row r="12" spans="1:13" x14ac:dyDescent="0.25">
      <c r="A12" s="1">
        <v>10</v>
      </c>
      <c r="B12" s="17">
        <v>137783</v>
      </c>
      <c r="C12" s="2">
        <f t="shared" si="0"/>
        <v>137830.74909333239</v>
      </c>
      <c r="D12" s="2">
        <f t="shared" si="1"/>
        <v>5817.6524486213602</v>
      </c>
      <c r="E12" s="3">
        <f t="shared" si="6"/>
        <v>1.1524811055356157</v>
      </c>
      <c r="F12" s="2">
        <f t="shared" si="2"/>
        <v>161187.81565765085</v>
      </c>
      <c r="G12" s="2">
        <f t="shared" si="3"/>
        <v>23404.815657650848</v>
      </c>
      <c r="H12" s="2">
        <f t="shared" si="4"/>
        <v>23404.815657650848</v>
      </c>
      <c r="I12" s="2">
        <f>+SUMSQ($G$3:G12)/A12</f>
        <v>999542286.61045337</v>
      </c>
      <c r="J12" s="4">
        <f>+SUM($H$3:H12)/A12</f>
        <v>24645.139340884158</v>
      </c>
      <c r="K12" s="4">
        <f t="shared" si="5"/>
        <v>16.986722351560676</v>
      </c>
      <c r="L12" s="20">
        <f>+AVERAGE($K$3:K12)</f>
        <v>110.91267458110488</v>
      </c>
      <c r="M12" s="3">
        <f>+SUM($G$3:G12)/J12</f>
        <v>0.68857871726605757</v>
      </c>
    </row>
    <row r="13" spans="1:13" x14ac:dyDescent="0.25">
      <c r="A13" s="1">
        <v>11</v>
      </c>
      <c r="B13" s="17">
        <v>135618</v>
      </c>
      <c r="C13" s="2">
        <f t="shared" si="0"/>
        <v>149709.9494174709</v>
      </c>
      <c r="D13" s="2">
        <f t="shared" si="1"/>
        <v>7029.96202372479</v>
      </c>
      <c r="E13" s="3">
        <f t="shared" si="6"/>
        <v>0.6639352968460599</v>
      </c>
      <c r="F13" s="2">
        <f t="shared" si="2"/>
        <v>95373.24411921906</v>
      </c>
      <c r="G13" s="2">
        <f t="shared" si="3"/>
        <v>-40244.75588078094</v>
      </c>
      <c r="H13" s="2">
        <f t="shared" si="4"/>
        <v>40244.75588078094</v>
      </c>
      <c r="I13" s="2">
        <f>+SUMSQ($G$3:G13)/A13</f>
        <v>1055914840.1825624</v>
      </c>
      <c r="J13" s="4">
        <f>+SUM($H$3:H13)/A13</f>
        <v>26063.286299056592</v>
      </c>
      <c r="K13" s="4">
        <f t="shared" si="5"/>
        <v>29.675084340412734</v>
      </c>
      <c r="L13" s="20">
        <f>+AVERAGE($K$3:K13)</f>
        <v>103.52743910467831</v>
      </c>
      <c r="M13" s="3">
        <f>+SUM($G$3:G13)/J13</f>
        <v>-0.89300471089995059</v>
      </c>
    </row>
    <row r="14" spans="1:13" x14ac:dyDescent="0.25">
      <c r="A14" s="1">
        <v>12</v>
      </c>
      <c r="B14" s="17">
        <v>144694</v>
      </c>
      <c r="C14" s="2">
        <f t="shared" si="0"/>
        <v>154612.75622753036</v>
      </c>
      <c r="D14" s="2">
        <f t="shared" si="1"/>
        <v>6604.5309809917262</v>
      </c>
      <c r="E14" s="3">
        <f t="shared" si="6"/>
        <v>1.0681018116910812</v>
      </c>
      <c r="F14" s="2">
        <f t="shared" si="2"/>
        <v>167414.18337464076</v>
      </c>
      <c r="G14" s="2">
        <f t="shared" si="3"/>
        <v>22720.183374640765</v>
      </c>
      <c r="H14" s="2">
        <f t="shared" si="4"/>
        <v>22720.183374640765</v>
      </c>
      <c r="I14" s="2">
        <f>+SUMSQ($G$3:G14)/A14</f>
        <v>1010939164.5487908</v>
      </c>
      <c r="J14" s="4">
        <f>+SUM($H$3:H14)/A14</f>
        <v>25784.694388688604</v>
      </c>
      <c r="K14" s="4">
        <f t="shared" si="5"/>
        <v>15.702229100474632</v>
      </c>
      <c r="L14" s="20">
        <f>+AVERAGE($K$3:K14)</f>
        <v>96.208671604328003</v>
      </c>
      <c r="M14" s="3">
        <f>+SUM($G$3:G14)/J14</f>
        <v>-2.1503224494068118E-2</v>
      </c>
    </row>
    <row r="15" spans="1:13" x14ac:dyDescent="0.25">
      <c r="A15" s="1">
        <v>13</v>
      </c>
      <c r="B15" s="17">
        <v>155135</v>
      </c>
      <c r="C15" s="2">
        <f t="shared" si="0"/>
        <v>158148.88241905373</v>
      </c>
      <c r="D15" s="2">
        <f t="shared" si="1"/>
        <v>5990.8500230980535</v>
      </c>
      <c r="E15" s="3">
        <f t="shared" si="6"/>
        <v>1.1884712339591299</v>
      </c>
      <c r="F15" s="2">
        <f t="shared" si="2"/>
        <v>191602.10826425569</v>
      </c>
      <c r="G15" s="2">
        <f t="shared" si="3"/>
        <v>36467.108264255687</v>
      </c>
      <c r="H15" s="2">
        <f t="shared" si="4"/>
        <v>36467.108264255687</v>
      </c>
      <c r="I15" s="2">
        <f>+SUMSQ($G$3:G15)/A15</f>
        <v>1035470766.1340334</v>
      </c>
      <c r="J15" s="4">
        <f>+SUM($H$3:H15)/A15</f>
        <v>26606.418532962995</v>
      </c>
      <c r="K15" s="4">
        <f t="shared" si="5"/>
        <v>23.506693050733677</v>
      </c>
      <c r="L15" s="20">
        <f>+AVERAGE($K$3:K15)</f>
        <v>90.616211715589984</v>
      </c>
      <c r="M15" s="3">
        <f>+SUM($G$3:G15)/J15</f>
        <v>1.3497740835660457</v>
      </c>
    </row>
    <row r="16" spans="1:13" x14ac:dyDescent="0.25">
      <c r="A16" s="1">
        <v>14</v>
      </c>
      <c r="B16" s="17">
        <v>153530</v>
      </c>
      <c r="C16" s="2">
        <f t="shared" si="0"/>
        <v>161226.48224860828</v>
      </c>
      <c r="D16" s="2">
        <f t="shared" si="1"/>
        <v>5408.1999843893554</v>
      </c>
      <c r="E16" s="3">
        <f t="shared" si="6"/>
        <v>1.1371983517013302</v>
      </c>
      <c r="F16" s="2">
        <f t="shared" si="2"/>
        <v>186659.43318191238</v>
      </c>
      <c r="G16" s="2">
        <f t="shared" si="3"/>
        <v>33129.433181912376</v>
      </c>
      <c r="H16" s="2">
        <f t="shared" si="4"/>
        <v>33129.433181912376</v>
      </c>
      <c r="I16" s="2">
        <f>+SUMSQ($G$3:G16)/A16</f>
        <v>1039905664.4783736</v>
      </c>
      <c r="J16" s="27">
        <f>+SUM($H$3:H16)/A16</f>
        <v>27072.348150745092</v>
      </c>
      <c r="K16" s="4">
        <f t="shared" si="5"/>
        <v>21.578475335056584</v>
      </c>
      <c r="L16" s="26">
        <f>+AVERAGE($K$3:K16)</f>
        <v>85.684944831266165</v>
      </c>
      <c r="M16" s="29">
        <f>+SUM($G$3:G16)/J16</f>
        <v>2.5502807140989341</v>
      </c>
    </row>
    <row r="17" spans="1:6" x14ac:dyDescent="0.25">
      <c r="A17" s="1">
        <v>15</v>
      </c>
      <c r="E17" s="3">
        <f t="shared" si="6"/>
        <v>0.68812893289606047</v>
      </c>
      <c r="F17" s="32">
        <f t="shared" si="2"/>
        <v>114666.1460684668</v>
      </c>
    </row>
    <row r="18" spans="1:6" x14ac:dyDescent="0.25">
      <c r="D18" s="13"/>
    </row>
    <row r="19" spans="1:6" x14ac:dyDescent="0.25">
      <c r="A19" s="13" t="s">
        <v>50</v>
      </c>
      <c r="B19" s="13">
        <v>0.1</v>
      </c>
      <c r="D19" s="13"/>
    </row>
    <row r="20" spans="1:6" x14ac:dyDescent="0.25">
      <c r="A20" s="13" t="s">
        <v>51</v>
      </c>
      <c r="B20" s="13">
        <v>0.2</v>
      </c>
      <c r="D20" s="13"/>
    </row>
    <row r="21" spans="1:6" x14ac:dyDescent="0.25">
      <c r="A21" s="13" t="s">
        <v>53</v>
      </c>
      <c r="B21" s="13"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42FD-443B-4D06-A93C-1E81302F96F0}">
  <dimension ref="A1:I6"/>
  <sheetViews>
    <sheetView workbookViewId="0">
      <selection sqref="A1:F6"/>
    </sheetView>
  </sheetViews>
  <sheetFormatPr baseColWidth="10" defaultRowHeight="15" x14ac:dyDescent="0.25"/>
  <cols>
    <col min="1" max="1" width="17.7109375" customWidth="1"/>
    <col min="2" max="2" width="12" bestFit="1" customWidth="1"/>
    <col min="4" max="4" width="14.28515625" customWidth="1"/>
    <col min="5" max="5" width="15.7109375" customWidth="1"/>
    <col min="6" max="6" width="13.5703125" customWidth="1"/>
    <col min="8" max="8" width="20.85546875" customWidth="1"/>
    <col min="9" max="9" width="22.140625" customWidth="1"/>
    <col min="10" max="10" width="15" customWidth="1"/>
    <col min="11" max="11" width="15.140625" customWidth="1"/>
    <col min="12" max="12" width="17.85546875" customWidth="1"/>
    <col min="13" max="13" width="21.7109375" customWidth="1"/>
  </cols>
  <sheetData>
    <row r="1" spans="1:9" x14ac:dyDescent="0.25">
      <c r="A1" s="40" t="s">
        <v>74</v>
      </c>
      <c r="B1" s="40"/>
      <c r="C1" s="40"/>
      <c r="D1" s="40"/>
      <c r="E1" s="40"/>
      <c r="F1" s="40"/>
      <c r="H1" s="41" t="s">
        <v>75</v>
      </c>
      <c r="I1" s="41"/>
    </row>
    <row r="2" spans="1:9" x14ac:dyDescent="0.25">
      <c r="A2" s="9" t="s">
        <v>40</v>
      </c>
      <c r="B2" s="10" t="s">
        <v>7</v>
      </c>
      <c r="C2" s="10" t="s">
        <v>9</v>
      </c>
      <c r="D2" s="10" t="s">
        <v>41</v>
      </c>
      <c r="E2" s="10" t="s">
        <v>42</v>
      </c>
      <c r="F2" s="10" t="s">
        <v>43</v>
      </c>
      <c r="H2" s="9" t="s">
        <v>59</v>
      </c>
      <c r="I2" s="10" t="s">
        <v>58</v>
      </c>
    </row>
    <row r="3" spans="1:9" x14ac:dyDescent="0.25">
      <c r="A3" s="9" t="s">
        <v>55</v>
      </c>
      <c r="B3" s="4">
        <f>'Promedio móvil_APROBADOS-PRIMAV'!H15</f>
        <v>15541.7</v>
      </c>
      <c r="C3" s="4">
        <f>'Promedio móvil_APROBADOS-PRIMAV'!J15</f>
        <v>11.710108353666122</v>
      </c>
      <c r="D3" s="3">
        <f>MIN('Promedio móvil_APROBADOS-PRIMAV'!K6:K15)</f>
        <v>-10</v>
      </c>
      <c r="E3" s="3">
        <f>MAX('Promedio móvil_APROBADOS-PRIMAV'!K6:K15)</f>
        <v>-1</v>
      </c>
      <c r="F3" s="30">
        <f>1.25*B3</f>
        <v>19427.125</v>
      </c>
      <c r="H3" s="9" t="s">
        <v>55</v>
      </c>
      <c r="I3" s="16">
        <f>'Promedio móvil_APROBADOS-PRIMAV'!D15</f>
        <v>143307.5</v>
      </c>
    </row>
    <row r="4" spans="1:9" x14ac:dyDescent="0.25">
      <c r="A4" s="9" t="s">
        <v>54</v>
      </c>
      <c r="B4" s="4">
        <f>'Suav_Expo_APROBADOS-PRIMAVERA'!H16</f>
        <v>21652.055504075244</v>
      </c>
      <c r="C4" s="4">
        <f>'Suav_Expo_APROBADOS-PRIMAVERA'!J16</f>
        <v>138.38455827553389</v>
      </c>
      <c r="D4" s="3">
        <f>MIN('Suav_Expo_APROBADOS-PRIMAVERA'!K3:K16)</f>
        <v>-2.8321884419345689</v>
      </c>
      <c r="E4" s="3">
        <f>MAX('Suav_Expo_APROBADOS-PRIMAVERA'!K3:K16)</f>
        <v>3.434590520150282</v>
      </c>
      <c r="F4" s="30">
        <f t="shared" ref="F4:F6" si="0">1.25*B4</f>
        <v>27065.069380094057</v>
      </c>
      <c r="H4" s="9" t="s">
        <v>54</v>
      </c>
      <c r="I4" s="16">
        <f>'Suav_Expo_APROBADOS-PRIMAVERA'!D16</f>
        <v>128098.47475237107</v>
      </c>
    </row>
    <row r="5" spans="1:9" x14ac:dyDescent="0.25">
      <c r="A5" s="9" t="s">
        <v>44</v>
      </c>
      <c r="B5" s="4">
        <f>'Holt_APROBADOS-PRIMAVERA'!I16</f>
        <v>16189.381657000627</v>
      </c>
      <c r="C5" s="4">
        <f>'Holt_APROBADOS-PRIMAVERA'!K16</f>
        <v>119.86911762968494</v>
      </c>
      <c r="D5" s="3">
        <f>MIN('Holt_APROBADOS-PRIMAVERA'!L3:L16)</f>
        <v>-2</v>
      </c>
      <c r="E5" s="20">
        <f>MAX('Holt_APROBADOS-PRIMAVERA'!L3:L16)</f>
        <v>1.0303922463698598</v>
      </c>
      <c r="F5" s="30">
        <f t="shared" si="0"/>
        <v>20236.727071250785</v>
      </c>
      <c r="H5" s="9" t="s">
        <v>44</v>
      </c>
      <c r="I5" s="16">
        <f>'Holt_APROBADOS-PRIMAVERA'!E17</f>
        <v>160629.68101687898</v>
      </c>
    </row>
    <row r="6" spans="1:9" x14ac:dyDescent="0.25">
      <c r="A6" s="9" t="s">
        <v>45</v>
      </c>
      <c r="B6" s="4">
        <f>'Winter_APROBADOS-PRIMAVERA'!J16</f>
        <v>27072.348150745092</v>
      </c>
      <c r="C6" s="4">
        <f>'Winter_APROBADOS-PRIMAVERA'!L16</f>
        <v>85.684944831266165</v>
      </c>
      <c r="D6" s="3">
        <f>MIN('Winter_APROBADOS-PRIMAVERA'!M3:M16)</f>
        <v>-2</v>
      </c>
      <c r="E6" s="20">
        <f>MAX('Winter_APROBADOS-PRIMAVERA'!M3:M16)</f>
        <v>2.5502807140989341</v>
      </c>
      <c r="F6" s="30">
        <f t="shared" si="0"/>
        <v>33840.435188431366</v>
      </c>
      <c r="H6" s="9" t="s">
        <v>45</v>
      </c>
      <c r="I6" s="16">
        <f>'Winter_APROBADOS-PRIMAVERA'!F17</f>
        <v>114666.1460684668</v>
      </c>
    </row>
  </sheetData>
  <mergeCells count="2">
    <mergeCell ref="A1:F1"/>
    <mergeCell ref="H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C530-7D47-44FD-98D9-59D4793F87AE}">
  <dimension ref="A1:I18"/>
  <sheetViews>
    <sheetView workbookViewId="0">
      <selection activeCell="A17" sqref="A17:B18"/>
    </sheetView>
  </sheetViews>
  <sheetFormatPr baseColWidth="10" defaultRowHeight="15" x14ac:dyDescent="0.25"/>
  <sheetData>
    <row r="1" spans="1:9" x14ac:dyDescent="0.25">
      <c r="A1" t="s">
        <v>11</v>
      </c>
    </row>
    <row r="2" spans="1:9" ht="15.75" thickBot="1" x14ac:dyDescent="0.3"/>
    <row r="3" spans="1:9" x14ac:dyDescent="0.25">
      <c r="A3" s="36" t="s">
        <v>12</v>
      </c>
      <c r="B3" s="36"/>
    </row>
    <row r="4" spans="1:9" x14ac:dyDescent="0.25">
      <c r="A4" t="s">
        <v>13</v>
      </c>
      <c r="B4">
        <v>0.56048005668525791</v>
      </c>
    </row>
    <row r="5" spans="1:9" x14ac:dyDescent="0.25">
      <c r="A5" t="s">
        <v>14</v>
      </c>
      <c r="B5">
        <v>0.31413789394190994</v>
      </c>
    </row>
    <row r="6" spans="1:9" x14ac:dyDescent="0.25">
      <c r="A6" t="s">
        <v>15</v>
      </c>
      <c r="B6">
        <v>0.25698271843706905</v>
      </c>
    </row>
    <row r="7" spans="1:9" x14ac:dyDescent="0.25">
      <c r="A7" t="s">
        <v>16</v>
      </c>
      <c r="B7">
        <v>30734.202695281558</v>
      </c>
    </row>
    <row r="8" spans="1:9" ht="15.75" thickBot="1" x14ac:dyDescent="0.3">
      <c r="A8" s="34" t="s">
        <v>17</v>
      </c>
      <c r="B8" s="34">
        <v>14</v>
      </c>
    </row>
    <row r="10" spans="1:9" ht="15.75" thickBot="1" x14ac:dyDescent="0.3">
      <c r="A10" t="s">
        <v>18</v>
      </c>
    </row>
    <row r="11" spans="1:9" x14ac:dyDescent="0.25">
      <c r="A11" s="35"/>
      <c r="B11" s="35" t="s">
        <v>23</v>
      </c>
      <c r="C11" s="35" t="s">
        <v>24</v>
      </c>
      <c r="D11" s="35" t="s">
        <v>25</v>
      </c>
      <c r="E11" s="35" t="s">
        <v>26</v>
      </c>
      <c r="F11" s="35" t="s">
        <v>27</v>
      </c>
    </row>
    <row r="12" spans="1:9" x14ac:dyDescent="0.25">
      <c r="A12" t="s">
        <v>19</v>
      </c>
      <c r="B12">
        <v>1</v>
      </c>
      <c r="C12">
        <v>5191688983.4384613</v>
      </c>
      <c r="D12">
        <v>5191688983.4384613</v>
      </c>
      <c r="E12">
        <v>5.4962283147097253</v>
      </c>
      <c r="F12">
        <v>3.7087836597424505E-2</v>
      </c>
    </row>
    <row r="13" spans="1:9" x14ac:dyDescent="0.25">
      <c r="A13" t="s">
        <v>20</v>
      </c>
      <c r="B13">
        <v>12</v>
      </c>
      <c r="C13">
        <v>11335094583.775826</v>
      </c>
      <c r="D13">
        <v>944591215.31465209</v>
      </c>
    </row>
    <row r="14" spans="1:9" ht="15.75" thickBot="1" x14ac:dyDescent="0.3">
      <c r="A14" s="34" t="s">
        <v>21</v>
      </c>
      <c r="B14" s="34">
        <v>13</v>
      </c>
      <c r="C14" s="34">
        <v>16526783567.214287</v>
      </c>
      <c r="D14" s="34"/>
      <c r="E14" s="34"/>
      <c r="F14" s="34"/>
    </row>
    <row r="15" spans="1:9" ht="15.75" thickBot="1" x14ac:dyDescent="0.3"/>
    <row r="16" spans="1:9" x14ac:dyDescent="0.25">
      <c r="A16" s="35"/>
      <c r="B16" s="35" t="s">
        <v>28</v>
      </c>
      <c r="C16" s="35" t="s">
        <v>16</v>
      </c>
      <c r="D16" s="35" t="s">
        <v>29</v>
      </c>
      <c r="E16" s="35" t="s">
        <v>30</v>
      </c>
      <c r="F16" s="35" t="s">
        <v>31</v>
      </c>
      <c r="G16" s="35" t="s">
        <v>32</v>
      </c>
      <c r="H16" s="35" t="s">
        <v>33</v>
      </c>
      <c r="I16" s="35" t="s">
        <v>34</v>
      </c>
    </row>
    <row r="17" spans="1:9" x14ac:dyDescent="0.25">
      <c r="A17" s="37" t="s">
        <v>22</v>
      </c>
      <c r="B17" s="37">
        <v>88681.164835164818</v>
      </c>
      <c r="C17">
        <v>17350.030954187452</v>
      </c>
      <c r="D17">
        <v>5.1112972114762423</v>
      </c>
      <c r="E17">
        <v>2.5693980308651323E-4</v>
      </c>
      <c r="F17">
        <v>50878.694797057651</v>
      </c>
      <c r="G17">
        <v>126483.63487327198</v>
      </c>
      <c r="H17">
        <v>50878.694797057651</v>
      </c>
      <c r="I17">
        <v>126483.63487327198</v>
      </c>
    </row>
    <row r="18" spans="1:9" ht="15.75" thickBot="1" x14ac:dyDescent="0.3">
      <c r="A18" s="38" t="s">
        <v>47</v>
      </c>
      <c r="B18" s="38">
        <v>4777.0923076923091</v>
      </c>
      <c r="C18" s="34">
        <v>2037.6577971009715</v>
      </c>
      <c r="D18" s="34">
        <v>2.3444036159991151</v>
      </c>
      <c r="E18" s="34">
        <v>3.7087836597424505E-2</v>
      </c>
      <c r="F18" s="34">
        <v>337.4173568972501</v>
      </c>
      <c r="G18" s="34">
        <v>9216.767258487369</v>
      </c>
      <c r="H18" s="34">
        <v>337.4173568972501</v>
      </c>
      <c r="I18" s="34">
        <v>9216.767258487369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5188-3543-4998-ADE0-A35E7B023E8B}">
  <dimension ref="A1:I18"/>
  <sheetViews>
    <sheetView workbookViewId="0">
      <selection activeCell="A17" sqref="A17:B18"/>
    </sheetView>
  </sheetViews>
  <sheetFormatPr baseColWidth="10" defaultRowHeight="15" x14ac:dyDescent="0.25"/>
  <cols>
    <col min="1" max="1" width="28.42578125" customWidth="1"/>
  </cols>
  <sheetData>
    <row r="1" spans="1:9" x14ac:dyDescent="0.25">
      <c r="A1" t="s">
        <v>11</v>
      </c>
    </row>
    <row r="2" spans="1:9" ht="15.75" thickBot="1" x14ac:dyDescent="0.3"/>
    <row r="3" spans="1:9" x14ac:dyDescent="0.25">
      <c r="A3" s="36" t="s">
        <v>12</v>
      </c>
      <c r="B3" s="36"/>
    </row>
    <row r="4" spans="1:9" x14ac:dyDescent="0.25">
      <c r="A4" t="s">
        <v>13</v>
      </c>
      <c r="B4">
        <v>0.93897303312750935</v>
      </c>
    </row>
    <row r="5" spans="1:9" x14ac:dyDescent="0.25">
      <c r="A5" t="s">
        <v>14</v>
      </c>
      <c r="B5">
        <v>0.88167035694067475</v>
      </c>
    </row>
    <row r="6" spans="1:9" x14ac:dyDescent="0.25">
      <c r="A6" t="s">
        <v>15</v>
      </c>
      <c r="B6">
        <v>0.86476612221791405</v>
      </c>
    </row>
    <row r="7" spans="1:9" x14ac:dyDescent="0.25">
      <c r="A7" t="s">
        <v>16</v>
      </c>
      <c r="B7">
        <v>6420.172498486113</v>
      </c>
    </row>
    <row r="8" spans="1:9" ht="15.75" thickBot="1" x14ac:dyDescent="0.3">
      <c r="A8" s="34" t="s">
        <v>17</v>
      </c>
      <c r="B8" s="34">
        <v>9</v>
      </c>
    </row>
    <row r="10" spans="1:9" ht="15.75" thickBot="1" x14ac:dyDescent="0.3">
      <c r="A10" t="s">
        <v>18</v>
      </c>
    </row>
    <row r="11" spans="1:9" x14ac:dyDescent="0.25">
      <c r="A11" s="35"/>
      <c r="B11" s="35" t="s">
        <v>23</v>
      </c>
      <c r="C11" s="35" t="s">
        <v>24</v>
      </c>
      <c r="D11" s="35" t="s">
        <v>25</v>
      </c>
      <c r="E11" s="35" t="s">
        <v>26</v>
      </c>
      <c r="F11" s="35" t="s">
        <v>27</v>
      </c>
    </row>
    <row r="12" spans="1:9" x14ac:dyDescent="0.25">
      <c r="A12" t="s">
        <v>19</v>
      </c>
      <c r="B12">
        <v>1</v>
      </c>
      <c r="C12">
        <v>2149829999.2041669</v>
      </c>
      <c r="D12">
        <v>2149829999.2041669</v>
      </c>
      <c r="E12">
        <v>52.156774405974616</v>
      </c>
      <c r="F12">
        <v>1.7410456637644264E-4</v>
      </c>
    </row>
    <row r="13" spans="1:9" x14ac:dyDescent="0.25">
      <c r="A13" t="s">
        <v>20</v>
      </c>
      <c r="B13">
        <v>7</v>
      </c>
      <c r="C13">
        <v>288530304.37222189</v>
      </c>
      <c r="D13">
        <v>41218614.910317414</v>
      </c>
    </row>
    <row r="14" spans="1:9" ht="15.75" thickBot="1" x14ac:dyDescent="0.3">
      <c r="A14" s="34" t="s">
        <v>21</v>
      </c>
      <c r="B14" s="34">
        <v>8</v>
      </c>
      <c r="C14" s="34">
        <v>2438360303.5763888</v>
      </c>
      <c r="D14" s="34"/>
      <c r="E14" s="34"/>
      <c r="F14" s="34"/>
    </row>
    <row r="15" spans="1:9" ht="15.75" thickBot="1" x14ac:dyDescent="0.3"/>
    <row r="16" spans="1:9" x14ac:dyDescent="0.25">
      <c r="A16" s="35"/>
      <c r="B16" s="35" t="s">
        <v>28</v>
      </c>
      <c r="C16" s="35" t="s">
        <v>16</v>
      </c>
      <c r="D16" s="35" t="s">
        <v>29</v>
      </c>
      <c r="E16" s="35" t="s">
        <v>30</v>
      </c>
      <c r="F16" s="35" t="s">
        <v>31</v>
      </c>
      <c r="G16" s="35" t="s">
        <v>32</v>
      </c>
      <c r="H16" s="35" t="s">
        <v>33</v>
      </c>
      <c r="I16" s="35" t="s">
        <v>34</v>
      </c>
    </row>
    <row r="17" spans="1:9" x14ac:dyDescent="0.25">
      <c r="A17" s="37" t="s">
        <v>22</v>
      </c>
      <c r="B17" s="37">
        <v>79574.130555555574</v>
      </c>
      <c r="C17">
        <v>6183.9885951198412</v>
      </c>
      <c r="D17">
        <v>12.867767999823338</v>
      </c>
      <c r="E17">
        <v>3.9745058945543215E-6</v>
      </c>
      <c r="F17">
        <v>64951.321151962002</v>
      </c>
      <c r="G17">
        <v>94196.939959149138</v>
      </c>
      <c r="H17">
        <v>64951.321151962002</v>
      </c>
      <c r="I17">
        <v>94196.939959149138</v>
      </c>
    </row>
    <row r="18" spans="1:9" ht="15.75" thickBot="1" x14ac:dyDescent="0.3">
      <c r="A18" s="38" t="s">
        <v>47</v>
      </c>
      <c r="B18" s="38">
        <v>5985.8583333333299</v>
      </c>
      <c r="C18" s="34">
        <v>828.84070554718585</v>
      </c>
      <c r="D18" s="34">
        <v>7.2219647192418872</v>
      </c>
      <c r="E18" s="34">
        <v>1.7410456637644359E-4</v>
      </c>
      <c r="F18" s="34">
        <v>4025.9615002891796</v>
      </c>
      <c r="G18" s="34">
        <v>7945.7551663774802</v>
      </c>
      <c r="H18" s="34">
        <v>4025.9615002891796</v>
      </c>
      <c r="I18" s="34">
        <v>7945.7551663774802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7C223-1B0A-43AC-B887-C61993C0769F}">
  <dimension ref="A1:H15"/>
  <sheetViews>
    <sheetView workbookViewId="0">
      <selection activeCell="F15" sqref="F15"/>
    </sheetView>
  </sheetViews>
  <sheetFormatPr baseColWidth="10" defaultRowHeight="15" x14ac:dyDescent="0.25"/>
  <cols>
    <col min="3" max="3" width="18.42578125" customWidth="1"/>
    <col min="4" max="4" width="24.28515625" customWidth="1"/>
    <col min="5" max="5" width="17.140625" customWidth="1"/>
  </cols>
  <sheetData>
    <row r="1" spans="1:8" ht="30" x14ac:dyDescent="0.25">
      <c r="A1" s="1" t="s">
        <v>0</v>
      </c>
      <c r="B1" s="11" t="s">
        <v>1</v>
      </c>
      <c r="C1" s="12" t="s">
        <v>46</v>
      </c>
      <c r="D1" s="12" t="s">
        <v>48</v>
      </c>
      <c r="E1" s="5" t="s">
        <v>49</v>
      </c>
    </row>
    <row r="2" spans="1:8" x14ac:dyDescent="0.25">
      <c r="A2" s="1">
        <v>1</v>
      </c>
      <c r="B2" s="17">
        <v>122662</v>
      </c>
      <c r="C2" s="2"/>
      <c r="D2" s="2">
        <f>79574.1306+A2*(5985.85833)</f>
        <v>85559.988930000007</v>
      </c>
      <c r="E2" s="19">
        <f>B2/D2</f>
        <v>1.4336373991393876</v>
      </c>
    </row>
    <row r="3" spans="1:8" x14ac:dyDescent="0.25">
      <c r="A3" s="1">
        <v>2</v>
      </c>
      <c r="B3" s="17">
        <v>122929</v>
      </c>
      <c r="C3" s="2"/>
      <c r="D3" s="2">
        <f t="shared" ref="D3:D15" si="0">79574.1306+A3*(5985.85833)</f>
        <v>91545.84726000001</v>
      </c>
      <c r="E3" s="3">
        <f t="shared" ref="E3:E15" si="1">B3/D3</f>
        <v>1.3428135047007481</v>
      </c>
    </row>
    <row r="4" spans="1:8" x14ac:dyDescent="0.25">
      <c r="A4" s="1">
        <v>3</v>
      </c>
      <c r="B4" s="17">
        <v>6525</v>
      </c>
      <c r="C4" s="2">
        <f>(B2+B6+2*SUM(B3:B5))/8</f>
        <v>94213.625</v>
      </c>
      <c r="D4" s="2">
        <f t="shared" si="0"/>
        <v>97531.705589999998</v>
      </c>
      <c r="E4" s="3">
        <f t="shared" si="1"/>
        <v>6.6901321580794884E-2</v>
      </c>
    </row>
    <row r="5" spans="1:8" x14ac:dyDescent="0.25">
      <c r="A5" s="1">
        <v>4</v>
      </c>
      <c r="B5" s="17">
        <v>123692</v>
      </c>
      <c r="C5" s="2">
        <f t="shared" ref="C5:C11" si="2">(B3+B7+2*SUM(B4:B6))/8</f>
        <v>94741.75</v>
      </c>
      <c r="D5" s="2">
        <f t="shared" si="0"/>
        <v>103517.56392</v>
      </c>
      <c r="E5" s="3">
        <f t="shared" si="1"/>
        <v>1.1948890151200924</v>
      </c>
      <c r="G5" s="37" t="s">
        <v>22</v>
      </c>
      <c r="H5" s="37">
        <v>79574.130555555574</v>
      </c>
    </row>
    <row r="6" spans="1:8" ht="15.75" thickBot="1" x14ac:dyDescent="0.3">
      <c r="A6" s="1">
        <v>5</v>
      </c>
      <c r="B6" s="17">
        <v>124755</v>
      </c>
      <c r="C6" s="2">
        <f t="shared" si="2"/>
        <v>110176.75</v>
      </c>
      <c r="D6" s="2">
        <f t="shared" si="0"/>
        <v>109503.42225</v>
      </c>
      <c r="E6" s="19">
        <f t="shared" si="1"/>
        <v>1.1392794621083178</v>
      </c>
      <c r="G6" s="38" t="s">
        <v>47</v>
      </c>
      <c r="H6" s="38">
        <v>5985.8583333333299</v>
      </c>
    </row>
    <row r="7" spans="1:8" x14ac:dyDescent="0.25">
      <c r="A7" s="1">
        <v>6</v>
      </c>
      <c r="B7" s="17">
        <v>125061</v>
      </c>
      <c r="C7" s="2">
        <f t="shared" si="2"/>
        <v>126113.875</v>
      </c>
      <c r="D7" s="2">
        <f t="shared" si="0"/>
        <v>115489.28058000001</v>
      </c>
      <c r="E7" s="3">
        <f t="shared" si="1"/>
        <v>1.0828797215804771</v>
      </c>
    </row>
    <row r="8" spans="1:8" x14ac:dyDescent="0.25">
      <c r="A8" s="1">
        <v>7</v>
      </c>
      <c r="B8" s="17">
        <v>127873</v>
      </c>
      <c r="C8" s="2">
        <f t="shared" si="2"/>
        <v>127917.25</v>
      </c>
      <c r="D8" s="2">
        <f t="shared" si="0"/>
        <v>121475.13891000001</v>
      </c>
      <c r="E8" s="3">
        <f t="shared" si="1"/>
        <v>1.0526680697582089</v>
      </c>
    </row>
    <row r="9" spans="1:8" x14ac:dyDescent="0.25">
      <c r="A9" s="1">
        <v>8</v>
      </c>
      <c r="B9" s="17">
        <v>129841</v>
      </c>
      <c r="C9" s="2">
        <f t="shared" si="2"/>
        <v>130542.25</v>
      </c>
      <c r="D9" s="2">
        <f t="shared" si="0"/>
        <v>127460.99724</v>
      </c>
      <c r="E9" s="3">
        <f t="shared" si="1"/>
        <v>1.0186724002756595</v>
      </c>
    </row>
    <row r="10" spans="1:8" x14ac:dyDescent="0.25">
      <c r="A10" s="1">
        <v>9</v>
      </c>
      <c r="B10" s="17">
        <v>133033</v>
      </c>
      <c r="C10" s="2">
        <f t="shared" si="2"/>
        <v>133100.625</v>
      </c>
      <c r="D10" s="2">
        <f t="shared" si="0"/>
        <v>133446.85557000001</v>
      </c>
      <c r="E10" s="19">
        <f t="shared" si="1"/>
        <v>0.9968987237036625</v>
      </c>
    </row>
    <row r="11" spans="1:8" x14ac:dyDescent="0.25">
      <c r="A11" s="1">
        <v>10</v>
      </c>
      <c r="B11" s="17">
        <v>137783</v>
      </c>
      <c r="C11" s="2">
        <f t="shared" si="2"/>
        <v>135925.375</v>
      </c>
      <c r="D11" s="2">
        <f t="shared" si="0"/>
        <v>139432.7139</v>
      </c>
      <c r="E11" s="3">
        <f t="shared" si="1"/>
        <v>0.9881683870746204</v>
      </c>
    </row>
    <row r="12" spans="1:8" x14ac:dyDescent="0.25">
      <c r="A12" s="1">
        <v>11</v>
      </c>
      <c r="B12" s="17">
        <v>135618</v>
      </c>
      <c r="C12" s="2">
        <f>(B10+B14+2*SUM(B11:B13))/8</f>
        <v>140544.75</v>
      </c>
      <c r="D12" s="2">
        <f t="shared" si="0"/>
        <v>145418.57222999999</v>
      </c>
      <c r="E12" s="3">
        <f t="shared" si="1"/>
        <v>0.93260439791350036</v>
      </c>
    </row>
    <row r="13" spans="1:8" x14ac:dyDescent="0.25">
      <c r="A13" s="1">
        <v>12</v>
      </c>
      <c r="B13" s="17">
        <v>144694</v>
      </c>
      <c r="C13" s="2"/>
      <c r="D13" s="2">
        <f t="shared" si="0"/>
        <v>151404.43056000001</v>
      </c>
      <c r="E13" s="3">
        <f t="shared" si="1"/>
        <v>0.95567877019727809</v>
      </c>
    </row>
    <row r="14" spans="1:8" x14ac:dyDescent="0.25">
      <c r="A14" s="1">
        <v>13</v>
      </c>
      <c r="B14" s="17">
        <v>155135</v>
      </c>
      <c r="C14" s="2"/>
      <c r="D14" s="2">
        <f t="shared" si="0"/>
        <v>157390.28889000003</v>
      </c>
      <c r="E14" s="3">
        <f t="shared" si="1"/>
        <v>0.98567072399507283</v>
      </c>
    </row>
    <row r="15" spans="1:8" x14ac:dyDescent="0.25">
      <c r="A15" s="1">
        <v>14</v>
      </c>
      <c r="B15" s="17">
        <v>153530</v>
      </c>
      <c r="C15" s="2"/>
      <c r="D15" s="2">
        <f t="shared" si="0"/>
        <v>163376.14721999998</v>
      </c>
      <c r="E15" s="3">
        <f t="shared" si="1"/>
        <v>0.93973326346874064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Datos_APROBADOS-PRIMAVERA</vt:lpstr>
      <vt:lpstr>Promedio móvil_APROBADOS-PRIMAV</vt:lpstr>
      <vt:lpstr>Suav_Expo_APROBADOS-PRIMAVERA</vt:lpstr>
      <vt:lpstr>Holt_APROBADOS-PRIMAVERA</vt:lpstr>
      <vt:lpstr>Winter_APROBADOS-PRIMAVERA</vt:lpstr>
      <vt:lpstr>RESUMEN</vt:lpstr>
      <vt:lpstr>Regresión_Holt_APROBADOS-PRIMAV</vt:lpstr>
      <vt:lpstr>Regresión_Winter_APROBADOS_PRIM</vt:lpstr>
      <vt:lpstr>Demanda_des_Factor esta_winter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Fabiola Montero Gonzalez</dc:creator>
  <cp:lastModifiedBy>Fabiola Montero González</cp:lastModifiedBy>
  <dcterms:created xsi:type="dcterms:W3CDTF">2024-08-20T22:38:25Z</dcterms:created>
  <dcterms:modified xsi:type="dcterms:W3CDTF">2024-09-08T03:45:17Z</dcterms:modified>
</cp:coreProperties>
</file>