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3608918cb459bb5/Escritorio/Maestría en Analítica de Datos/Modelos Predictivos/Data_Proyecto Final/"/>
    </mc:Choice>
  </mc:AlternateContent>
  <xr:revisionPtr revIDLastSave="87133" documentId="8_{AB1ED47D-6679-4284-87E3-F2E88A491766}" xr6:coauthVersionLast="47" xr6:coauthVersionMax="47" xr10:uidLastSave="{0D10DC99-F573-4B13-9A2F-D3B897E33897}"/>
  <bookViews>
    <workbookView xWindow="-28920" yWindow="-120" windowWidth="29040" windowHeight="15720" xr2:uid="{6C81D096-4D99-4FD9-9DE0-950FE3C7DD71}"/>
  </bookViews>
  <sheets>
    <sheet name="Datos_NO_APROBADOS-OTOÑO" sheetId="17" r:id="rId1"/>
    <sheet name="Prom_móvil_NO_APROBADOS-OTOÑO" sheetId="1" r:id="rId2"/>
    <sheet name="Suav_Expo_NO_APROBADOS-OTOÑO" sheetId="2" r:id="rId3"/>
    <sheet name="Holt_NO_APROBADOS-OTOÑO" sheetId="3" r:id="rId4"/>
    <sheet name="Winter_NO_APROBADOS-OTOÑO" sheetId="6" r:id="rId5"/>
    <sheet name="RESUMEN" sheetId="7" r:id="rId6"/>
    <sheet name="Regres_Holt_NO_APROBADOS-OTOÑO" sheetId="21" r:id="rId7"/>
    <sheet name="Regres_Winter_NO_APROBADOS_OTOÑ" sheetId="22" r:id="rId8"/>
    <sheet name="Demanda_des_Factor esta_winter" sheetId="9" r:id="rId9"/>
  </sheets>
  <definedNames>
    <definedName name="solver_adj" localSheetId="3" hidden="1">'Holt_NO_APROBADOS-OTOÑO'!$B$19:$B$20</definedName>
    <definedName name="solver_adj" localSheetId="2" hidden="1">'Suav_Expo_NO_APROBADOS-OTOÑO'!$B$18</definedName>
    <definedName name="solver_adj" localSheetId="4" hidden="1">'Winter_NO_APROBADOS-OTOÑO'!$B$19:$B$21</definedName>
    <definedName name="solver_cvg" localSheetId="3" hidden="1">0.0001</definedName>
    <definedName name="solver_cvg" localSheetId="2" hidden="1">0.0001</definedName>
    <definedName name="solver_cvg" localSheetId="4" hidden="1">0.0001</definedName>
    <definedName name="solver_drv" localSheetId="3" hidden="1">2</definedName>
    <definedName name="solver_drv" localSheetId="2" hidden="1">2</definedName>
    <definedName name="solver_drv" localSheetId="4" hidden="1">1</definedName>
    <definedName name="solver_eng" localSheetId="3" hidden="1">3</definedName>
    <definedName name="solver_eng" localSheetId="2" hidden="1">3</definedName>
    <definedName name="solver_eng" localSheetId="4" hidden="1">3</definedName>
    <definedName name="solver_est" localSheetId="3" hidden="1">1</definedName>
    <definedName name="solver_est" localSheetId="2" hidden="1">1</definedName>
    <definedName name="solver_est" localSheetId="4" hidden="1">1</definedName>
    <definedName name="solver_itr" localSheetId="3" hidden="1">2147483647</definedName>
    <definedName name="solver_itr" localSheetId="2" hidden="1">2147483647</definedName>
    <definedName name="solver_itr" localSheetId="4" hidden="1">2147483647</definedName>
    <definedName name="solver_lhs1" localSheetId="3" hidden="1">'Holt_NO_APROBADOS-OTOÑO'!$B$19</definedName>
    <definedName name="solver_lhs1" localSheetId="2" hidden="1">'Suav_Expo_NO_APROBADOS-OTOÑO'!$B$18</definedName>
    <definedName name="solver_lhs1" localSheetId="4" hidden="1">'Winter_NO_APROBADOS-OTOÑO'!$B$19</definedName>
    <definedName name="solver_lhs2" localSheetId="3" hidden="1">'Holt_NO_APROBADOS-OTOÑO'!$B$20</definedName>
    <definedName name="solver_lhs2" localSheetId="2" hidden="1">'Suav_Expo_NO_APROBADOS-OTOÑO'!$B$18</definedName>
    <definedName name="solver_lhs2" localSheetId="4" hidden="1">'Winter_NO_APROBADOS-OTOÑO'!$B$20</definedName>
    <definedName name="solver_lhs3" localSheetId="4" hidden="1">'Winter_NO_APROBADOS-OTOÑO'!$B$21</definedName>
    <definedName name="solver_mip" localSheetId="3" hidden="1">2147483647</definedName>
    <definedName name="solver_mip" localSheetId="2" hidden="1">2147483647</definedName>
    <definedName name="solver_mip" localSheetId="4" hidden="1">2147483647</definedName>
    <definedName name="solver_mni" localSheetId="3" hidden="1">30</definedName>
    <definedName name="solver_mni" localSheetId="2" hidden="1">30</definedName>
    <definedName name="solver_mni" localSheetId="4" hidden="1">30</definedName>
    <definedName name="solver_mrt" localSheetId="3" hidden="1">0.075</definedName>
    <definedName name="solver_mrt" localSheetId="2" hidden="1">0.075</definedName>
    <definedName name="solver_mrt" localSheetId="4" hidden="1">0.075</definedName>
    <definedName name="solver_msl" localSheetId="3" hidden="1">2</definedName>
    <definedName name="solver_msl" localSheetId="2" hidden="1">2</definedName>
    <definedName name="solver_msl" localSheetId="4" hidden="1">2</definedName>
    <definedName name="solver_neg" localSheetId="3" hidden="1">1</definedName>
    <definedName name="solver_neg" localSheetId="2" hidden="1">1</definedName>
    <definedName name="solver_neg" localSheetId="4" hidden="1">1</definedName>
    <definedName name="solver_nod" localSheetId="3" hidden="1">2147483647</definedName>
    <definedName name="solver_nod" localSheetId="2" hidden="1">2147483647</definedName>
    <definedName name="solver_nod" localSheetId="4" hidden="1">2147483647</definedName>
    <definedName name="solver_num" localSheetId="3" hidden="1">2</definedName>
    <definedName name="solver_num" localSheetId="2" hidden="1">2</definedName>
    <definedName name="solver_num" localSheetId="4" hidden="1">3</definedName>
    <definedName name="solver_nwt" localSheetId="3" hidden="1">1</definedName>
    <definedName name="solver_nwt" localSheetId="2" hidden="1">1</definedName>
    <definedName name="solver_nwt" localSheetId="4" hidden="1">1</definedName>
    <definedName name="solver_opt" localSheetId="3" hidden="1">'Holt_NO_APROBADOS-OTOÑO'!$H$15</definedName>
    <definedName name="solver_opt" localSheetId="2" hidden="1">'Suav_Expo_NO_APROBADOS-OTOÑO'!$F$16</definedName>
    <definedName name="solver_opt" localSheetId="4" hidden="1">'Winter_NO_APROBADOS-OTOÑO'!$J$15</definedName>
    <definedName name="solver_pre" localSheetId="3" hidden="1">0.000001</definedName>
    <definedName name="solver_pre" localSheetId="2" hidden="1">0.000001</definedName>
    <definedName name="solver_pre" localSheetId="4" hidden="1">0.000001</definedName>
    <definedName name="solver_rbv" localSheetId="3" hidden="1">2</definedName>
    <definedName name="solver_rbv" localSheetId="2" hidden="1">2</definedName>
    <definedName name="solver_rbv" localSheetId="4" hidden="1">1</definedName>
    <definedName name="solver_rel1" localSheetId="3" hidden="1">1</definedName>
    <definedName name="solver_rel1" localSheetId="2" hidden="1">1</definedName>
    <definedName name="solver_rel1" localSheetId="4" hidden="1">1</definedName>
    <definedName name="solver_rel2" localSheetId="3" hidden="1">1</definedName>
    <definedName name="solver_rel2" localSheetId="2" hidden="1">3</definedName>
    <definedName name="solver_rel2" localSheetId="4" hidden="1">1</definedName>
    <definedName name="solver_rel3" localSheetId="4" hidden="1">1</definedName>
    <definedName name="solver_rhs1" localSheetId="3" hidden="1">1</definedName>
    <definedName name="solver_rhs1" localSheetId="2" hidden="1">1</definedName>
    <definedName name="solver_rhs1" localSheetId="4" hidden="1">1</definedName>
    <definedName name="solver_rhs2" localSheetId="3" hidden="1">1</definedName>
    <definedName name="solver_rhs2" localSheetId="2" hidden="1">0</definedName>
    <definedName name="solver_rhs2" localSheetId="4" hidden="1">1</definedName>
    <definedName name="solver_rhs3" localSheetId="4" hidden="1">1</definedName>
    <definedName name="solver_rlx" localSheetId="3" hidden="1">2</definedName>
    <definedName name="solver_rlx" localSheetId="2" hidden="1">2</definedName>
    <definedName name="solver_rlx" localSheetId="4" hidden="1">2</definedName>
    <definedName name="solver_rsd" localSheetId="3" hidden="1">0</definedName>
    <definedName name="solver_rsd" localSheetId="2" hidden="1">0</definedName>
    <definedName name="solver_rsd" localSheetId="4" hidden="1">0</definedName>
    <definedName name="solver_scl" localSheetId="3" hidden="1">2</definedName>
    <definedName name="solver_scl" localSheetId="2" hidden="1">2</definedName>
    <definedName name="solver_scl" localSheetId="4" hidden="1">1</definedName>
    <definedName name="solver_sho" localSheetId="3" hidden="1">2</definedName>
    <definedName name="solver_sho" localSheetId="2" hidden="1">2</definedName>
    <definedName name="solver_sho" localSheetId="4" hidden="1">2</definedName>
    <definedName name="solver_ssz" localSheetId="3" hidden="1">100</definedName>
    <definedName name="solver_ssz" localSheetId="2" hidden="1">100</definedName>
    <definedName name="solver_ssz" localSheetId="4" hidden="1">100</definedName>
    <definedName name="solver_tim" localSheetId="3" hidden="1">2147483647</definedName>
    <definedName name="solver_tim" localSheetId="2" hidden="1">2147483647</definedName>
    <definedName name="solver_tim" localSheetId="4" hidden="1">2147483647</definedName>
    <definedName name="solver_tol" localSheetId="3" hidden="1">0.01</definedName>
    <definedName name="solver_tol" localSheetId="2" hidden="1">0.01</definedName>
    <definedName name="solver_tol" localSheetId="4" hidden="1">0.01</definedName>
    <definedName name="solver_typ" localSheetId="3" hidden="1">2</definedName>
    <definedName name="solver_typ" localSheetId="2" hidden="1">2</definedName>
    <definedName name="solver_typ" localSheetId="4" hidden="1">2</definedName>
    <definedName name="solver_val" localSheetId="3" hidden="1">0</definedName>
    <definedName name="solver_val" localSheetId="2" hidden="1">0</definedName>
    <definedName name="solver_val" localSheetId="4" hidden="1">0</definedName>
    <definedName name="solver_ver" localSheetId="3" hidden="1">3</definedName>
    <definedName name="solver_ver" localSheetId="2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7" l="1"/>
  <c r="I3" i="7"/>
  <c r="E4" i="6"/>
  <c r="E5" i="6"/>
  <c r="E6" i="6"/>
  <c r="E3" i="6"/>
  <c r="D2" i="6"/>
  <c r="C2" i="6"/>
  <c r="E3" i="9"/>
  <c r="E4" i="9"/>
  <c r="E5" i="9"/>
  <c r="E6" i="9"/>
  <c r="E7" i="9"/>
  <c r="E8" i="9"/>
  <c r="E9" i="9"/>
  <c r="E10" i="9"/>
  <c r="E11" i="9"/>
  <c r="E12" i="9"/>
  <c r="E13" i="9"/>
  <c r="E14" i="9"/>
  <c r="D3" i="9"/>
  <c r="D4" i="9"/>
  <c r="D5" i="9"/>
  <c r="D6" i="9"/>
  <c r="D7" i="9"/>
  <c r="D8" i="9"/>
  <c r="D9" i="9"/>
  <c r="D10" i="9"/>
  <c r="D11" i="9"/>
  <c r="D12" i="9"/>
  <c r="D13" i="9"/>
  <c r="D14" i="9"/>
  <c r="D2" i="9"/>
  <c r="E2" i="9" s="1"/>
  <c r="D2" i="3"/>
  <c r="C2" i="3"/>
  <c r="C2" i="2" l="1"/>
  <c r="C12" i="9" l="1"/>
  <c r="C5" i="9"/>
  <c r="C6" i="9"/>
  <c r="C7" i="9"/>
  <c r="C8" i="9"/>
  <c r="C9" i="9"/>
  <c r="C10" i="9"/>
  <c r="C11" i="9"/>
  <c r="C4" i="9"/>
  <c r="C3" i="6" l="1"/>
  <c r="E7" i="6" l="1"/>
  <c r="D3" i="6"/>
  <c r="C4" i="6" s="1"/>
  <c r="F3" i="6"/>
  <c r="G3" i="6" s="1"/>
  <c r="C3" i="3"/>
  <c r="D3" i="3" s="1"/>
  <c r="C4" i="3" s="1"/>
  <c r="D4" i="3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6" i="1"/>
  <c r="D7" i="1" s="1"/>
  <c r="E7" i="1" s="1"/>
  <c r="F7" i="1" s="1"/>
  <c r="I7" i="1" s="1"/>
  <c r="C7" i="1"/>
  <c r="D8" i="1" s="1"/>
  <c r="E8" i="1" s="1"/>
  <c r="F8" i="1" s="1"/>
  <c r="I8" i="1" s="1"/>
  <c r="C8" i="1"/>
  <c r="D9" i="1" s="1"/>
  <c r="E9" i="1" s="1"/>
  <c r="F9" i="1" s="1"/>
  <c r="I9" i="1" s="1"/>
  <c r="C9" i="1"/>
  <c r="D10" i="1" s="1"/>
  <c r="E10" i="1" s="1"/>
  <c r="F10" i="1" s="1"/>
  <c r="I10" i="1" s="1"/>
  <c r="C10" i="1"/>
  <c r="D11" i="1" s="1"/>
  <c r="E11" i="1" s="1"/>
  <c r="F11" i="1" s="1"/>
  <c r="I11" i="1" s="1"/>
  <c r="C11" i="1"/>
  <c r="D12" i="1" s="1"/>
  <c r="E12" i="1" s="1"/>
  <c r="F12" i="1" s="1"/>
  <c r="I12" i="1" s="1"/>
  <c r="C12" i="1"/>
  <c r="D13" i="1" s="1"/>
  <c r="E13" i="1" s="1"/>
  <c r="F13" i="1" s="1"/>
  <c r="I13" i="1" s="1"/>
  <c r="C13" i="1"/>
  <c r="D14" i="1" s="1"/>
  <c r="E14" i="1" s="1"/>
  <c r="F14" i="1" s="1"/>
  <c r="I14" i="1" s="1"/>
  <c r="C14" i="1"/>
  <c r="C5" i="1"/>
  <c r="D6" i="1" s="1"/>
  <c r="E6" i="1" s="1"/>
  <c r="E8" i="6" l="1"/>
  <c r="D4" i="6"/>
  <c r="C5" i="6" s="1"/>
  <c r="I3" i="6"/>
  <c r="D5" i="2"/>
  <c r="E5" i="2" s="1"/>
  <c r="F5" i="2" s="1"/>
  <c r="I5" i="2" s="1"/>
  <c r="D3" i="2"/>
  <c r="E3" i="2" s="1"/>
  <c r="D4" i="2"/>
  <c r="E4" i="2" s="1"/>
  <c r="F4" i="2" s="1"/>
  <c r="G14" i="1"/>
  <c r="G7" i="1"/>
  <c r="G8" i="1"/>
  <c r="G9" i="1"/>
  <c r="G10" i="1"/>
  <c r="G11" i="1"/>
  <c r="G12" i="1"/>
  <c r="G13" i="1"/>
  <c r="G6" i="1"/>
  <c r="F6" i="1"/>
  <c r="H3" i="6"/>
  <c r="J3" i="6" s="1"/>
  <c r="F4" i="6"/>
  <c r="G4" i="6" s="1"/>
  <c r="I4" i="6" s="1"/>
  <c r="E3" i="3"/>
  <c r="F3" i="3" s="1"/>
  <c r="E9" i="6" l="1"/>
  <c r="D5" i="6"/>
  <c r="C6" i="6" s="1"/>
  <c r="H3" i="3"/>
  <c r="G4" i="2"/>
  <c r="G3" i="3"/>
  <c r="G5" i="2"/>
  <c r="F3" i="2"/>
  <c r="G3" i="2"/>
  <c r="H7" i="1"/>
  <c r="K7" i="1" s="1"/>
  <c r="H6" i="1"/>
  <c r="K6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I6" i="1"/>
  <c r="H14" i="1"/>
  <c r="I4" i="2"/>
  <c r="D6" i="2"/>
  <c r="E6" i="2" s="1"/>
  <c r="M3" i="6"/>
  <c r="K3" i="6"/>
  <c r="H4" i="6"/>
  <c r="F5" i="6"/>
  <c r="G5" i="6" s="1"/>
  <c r="C5" i="3"/>
  <c r="D5" i="3" s="1"/>
  <c r="E4" i="3"/>
  <c r="F4" i="3" s="1"/>
  <c r="D6" i="6" l="1"/>
  <c r="C7" i="6" s="1"/>
  <c r="E11" i="6" s="1"/>
  <c r="E10" i="6"/>
  <c r="J3" i="3"/>
  <c r="I3" i="3"/>
  <c r="L3" i="3" s="1"/>
  <c r="H5" i="2"/>
  <c r="K5" i="2" s="1"/>
  <c r="H4" i="2"/>
  <c r="K4" i="2" s="1"/>
  <c r="I5" i="6"/>
  <c r="I3" i="2"/>
  <c r="H3" i="2"/>
  <c r="K3" i="2" s="1"/>
  <c r="B3" i="7"/>
  <c r="F3" i="7" s="1"/>
  <c r="K14" i="1"/>
  <c r="E3" i="7"/>
  <c r="D3" i="7"/>
  <c r="J9" i="1"/>
  <c r="J10" i="1"/>
  <c r="J11" i="1"/>
  <c r="J12" i="1"/>
  <c r="J13" i="1"/>
  <c r="J14" i="1"/>
  <c r="C3" i="7" s="1"/>
  <c r="J7" i="1"/>
  <c r="J6" i="1"/>
  <c r="J8" i="1"/>
  <c r="F6" i="2"/>
  <c r="G6" i="2"/>
  <c r="D7" i="2"/>
  <c r="E7" i="2" s="1"/>
  <c r="F7" i="2" s="1"/>
  <c r="I7" i="2" s="1"/>
  <c r="J4" i="6"/>
  <c r="M4" i="6" s="1"/>
  <c r="G4" i="3"/>
  <c r="H4" i="3"/>
  <c r="H5" i="6"/>
  <c r="J5" i="6" s="1"/>
  <c r="K4" i="6"/>
  <c r="L3" i="6"/>
  <c r="C6" i="3"/>
  <c r="D6" i="3" s="1"/>
  <c r="E5" i="3"/>
  <c r="F5" i="3" s="1"/>
  <c r="G5" i="3" s="1"/>
  <c r="J5" i="3" s="1"/>
  <c r="D7" i="6" l="1"/>
  <c r="C8" i="6" s="1"/>
  <c r="E12" i="6" s="1"/>
  <c r="K3" i="3"/>
  <c r="J3" i="2"/>
  <c r="J4" i="2"/>
  <c r="J5" i="2"/>
  <c r="D8" i="2"/>
  <c r="E8" i="2" s="1"/>
  <c r="G7" i="2"/>
  <c r="I6" i="2"/>
  <c r="H6" i="2"/>
  <c r="K6" i="2" s="1"/>
  <c r="H7" i="2"/>
  <c r="K7" i="2" s="1"/>
  <c r="F6" i="6"/>
  <c r="G6" i="6" s="1"/>
  <c r="I4" i="3"/>
  <c r="L4" i="3" s="1"/>
  <c r="I5" i="3"/>
  <c r="L5" i="3" s="1"/>
  <c r="J4" i="3"/>
  <c r="H5" i="3"/>
  <c r="L4" i="6"/>
  <c r="K5" i="6"/>
  <c r="L5" i="6" s="1"/>
  <c r="M5" i="6"/>
  <c r="C7" i="3"/>
  <c r="D7" i="3" s="1"/>
  <c r="E6" i="3"/>
  <c r="F6" i="3" s="1"/>
  <c r="I6" i="6" l="1"/>
  <c r="D9" i="2"/>
  <c r="E9" i="2" s="1"/>
  <c r="G9" i="2" s="1"/>
  <c r="F8" i="2"/>
  <c r="G8" i="2"/>
  <c r="J7" i="2"/>
  <c r="J6" i="2"/>
  <c r="D8" i="6"/>
  <c r="C9" i="6" s="1"/>
  <c r="E13" i="6" s="1"/>
  <c r="H6" i="6"/>
  <c r="F7" i="6"/>
  <c r="G7" i="6" s="1"/>
  <c r="I7" i="6" s="1"/>
  <c r="K4" i="3"/>
  <c r="K5" i="3"/>
  <c r="G6" i="3"/>
  <c r="H6" i="3"/>
  <c r="C8" i="3"/>
  <c r="D8" i="3" s="1"/>
  <c r="E7" i="3"/>
  <c r="F7" i="3" s="1"/>
  <c r="G7" i="3" s="1"/>
  <c r="J7" i="3" s="1"/>
  <c r="I8" i="2" l="1"/>
  <c r="H8" i="2"/>
  <c r="K8" i="2" s="1"/>
  <c r="D10" i="2"/>
  <c r="E10" i="2" s="1"/>
  <c r="F9" i="2"/>
  <c r="I9" i="2" s="1"/>
  <c r="D9" i="6"/>
  <c r="C10" i="6" s="1"/>
  <c r="E14" i="6" s="1"/>
  <c r="J6" i="6"/>
  <c r="M6" i="6" s="1"/>
  <c r="F9" i="6"/>
  <c r="H7" i="6"/>
  <c r="K6" i="6"/>
  <c r="L6" i="6" s="1"/>
  <c r="F8" i="6"/>
  <c r="G8" i="6" s="1"/>
  <c r="H7" i="3"/>
  <c r="J6" i="3"/>
  <c r="I6" i="3"/>
  <c r="L6" i="3" s="1"/>
  <c r="I7" i="3"/>
  <c r="L7" i="3" s="1"/>
  <c r="C9" i="3"/>
  <c r="D9" i="3" s="1"/>
  <c r="E8" i="3"/>
  <c r="F8" i="3" s="1"/>
  <c r="I8" i="6" l="1"/>
  <c r="D11" i="2"/>
  <c r="E11" i="2" s="1"/>
  <c r="H9" i="2"/>
  <c r="K9" i="2" s="1"/>
  <c r="F10" i="2"/>
  <c r="I10" i="2" s="1"/>
  <c r="G10" i="2"/>
  <c r="J9" i="2"/>
  <c r="J8" i="2"/>
  <c r="D10" i="6"/>
  <c r="C11" i="6" s="1"/>
  <c r="E15" i="6" s="1"/>
  <c r="G9" i="6"/>
  <c r="I9" i="6" s="1"/>
  <c r="J7" i="6"/>
  <c r="M7" i="6" s="1"/>
  <c r="K7" i="6"/>
  <c r="L7" i="6" s="1"/>
  <c r="F10" i="6"/>
  <c r="H8" i="6"/>
  <c r="J8" i="6" s="1"/>
  <c r="G8" i="3"/>
  <c r="H8" i="3"/>
  <c r="K7" i="3"/>
  <c r="K6" i="3"/>
  <c r="E9" i="3"/>
  <c r="F9" i="3" s="1"/>
  <c r="C10" i="3"/>
  <c r="D10" i="3" s="1"/>
  <c r="H10" i="2" l="1"/>
  <c r="K10" i="2" s="1"/>
  <c r="F11" i="2"/>
  <c r="D12" i="2"/>
  <c r="E12" i="2" s="1"/>
  <c r="G12" i="2" s="1"/>
  <c r="G11" i="2"/>
  <c r="J10" i="2"/>
  <c r="D11" i="6"/>
  <c r="C12" i="6" s="1"/>
  <c r="E16" i="6" s="1"/>
  <c r="G10" i="6"/>
  <c r="I10" i="6" s="1"/>
  <c r="H9" i="6"/>
  <c r="K8" i="6"/>
  <c r="M8" i="6"/>
  <c r="G9" i="3"/>
  <c r="J9" i="3" s="1"/>
  <c r="H9" i="3"/>
  <c r="J8" i="3"/>
  <c r="I8" i="3"/>
  <c r="L8" i="3" s="1"/>
  <c r="C11" i="3"/>
  <c r="D11" i="3" s="1"/>
  <c r="E10" i="3"/>
  <c r="F10" i="3" s="1"/>
  <c r="G10" i="3" s="1"/>
  <c r="J10" i="3" s="1"/>
  <c r="D13" i="2" l="1"/>
  <c r="E13" i="2" s="1"/>
  <c r="F12" i="2"/>
  <c r="I12" i="2" s="1"/>
  <c r="I11" i="2"/>
  <c r="H11" i="2"/>
  <c r="K11" i="2" s="1"/>
  <c r="K9" i="6"/>
  <c r="L9" i="6" s="1"/>
  <c r="J9" i="6"/>
  <c r="M9" i="6" s="1"/>
  <c r="H10" i="6"/>
  <c r="K10" i="6" s="1"/>
  <c r="L8" i="6"/>
  <c r="F11" i="6"/>
  <c r="G11" i="6" s="1"/>
  <c r="I11" i="6" s="1"/>
  <c r="I9" i="3"/>
  <c r="L9" i="3" s="1"/>
  <c r="H10" i="3"/>
  <c r="I10" i="3"/>
  <c r="L10" i="3" s="1"/>
  <c r="K9" i="3"/>
  <c r="K10" i="3"/>
  <c r="K8" i="3"/>
  <c r="C12" i="3"/>
  <c r="D12" i="3" s="1"/>
  <c r="E11" i="3"/>
  <c r="F11" i="3" s="1"/>
  <c r="G11" i="3" s="1"/>
  <c r="J11" i="3" s="1"/>
  <c r="K11" i="3" s="1"/>
  <c r="H12" i="2" l="1"/>
  <c r="K12" i="2" s="1"/>
  <c r="J11" i="2"/>
  <c r="J12" i="2"/>
  <c r="F13" i="2"/>
  <c r="G13" i="2"/>
  <c r="D14" i="2"/>
  <c r="E14" i="2" s="1"/>
  <c r="D12" i="6"/>
  <c r="C13" i="6" s="1"/>
  <c r="L10" i="6"/>
  <c r="J10" i="6"/>
  <c r="M10" i="6" s="1"/>
  <c r="F12" i="6"/>
  <c r="G12" i="6" s="1"/>
  <c r="I12" i="6" s="1"/>
  <c r="H11" i="6"/>
  <c r="J11" i="6" s="1"/>
  <c r="I11" i="3"/>
  <c r="L11" i="3" s="1"/>
  <c r="H11" i="3"/>
  <c r="C13" i="3"/>
  <c r="D13" i="3" s="1"/>
  <c r="E12" i="3"/>
  <c r="F12" i="3" s="1"/>
  <c r="D15" i="2" l="1"/>
  <c r="E15" i="2" s="1"/>
  <c r="I13" i="2"/>
  <c r="H13" i="2"/>
  <c r="K13" i="2" s="1"/>
  <c r="F14" i="2"/>
  <c r="G14" i="2"/>
  <c r="D13" i="6"/>
  <c r="C14" i="6" s="1"/>
  <c r="K11" i="6"/>
  <c r="L11" i="6" s="1"/>
  <c r="M11" i="6"/>
  <c r="F13" i="6"/>
  <c r="G13" i="6" s="1"/>
  <c r="I13" i="6" s="1"/>
  <c r="H12" i="6"/>
  <c r="J12" i="6" s="1"/>
  <c r="G12" i="3"/>
  <c r="H12" i="3"/>
  <c r="E14" i="3"/>
  <c r="F14" i="3" s="1"/>
  <c r="E13" i="3"/>
  <c r="F13" i="3" s="1"/>
  <c r="C14" i="3" l="1"/>
  <c r="D14" i="3" s="1"/>
  <c r="I14" i="2"/>
  <c r="J14" i="2" s="1"/>
  <c r="H14" i="2"/>
  <c r="K14" i="2" s="1"/>
  <c r="J13" i="2"/>
  <c r="F15" i="2"/>
  <c r="G15" i="2"/>
  <c r="D14" i="6"/>
  <c r="C15" i="6" s="1"/>
  <c r="H13" i="6"/>
  <c r="J13" i="6" s="1"/>
  <c r="K12" i="6"/>
  <c r="L12" i="6" s="1"/>
  <c r="M12" i="6"/>
  <c r="G13" i="3"/>
  <c r="H13" i="3"/>
  <c r="G14" i="3"/>
  <c r="H14" i="3"/>
  <c r="J12" i="3"/>
  <c r="I12" i="3"/>
  <c r="L12" i="3" s="1"/>
  <c r="F16" i="2" l="1"/>
  <c r="C15" i="3"/>
  <c r="I15" i="2"/>
  <c r="H15" i="2"/>
  <c r="D15" i="6"/>
  <c r="F16" i="6" s="1"/>
  <c r="I6" i="7" s="1"/>
  <c r="F14" i="6"/>
  <c r="G14" i="6" s="1"/>
  <c r="I14" i="6" s="1"/>
  <c r="K13" i="6"/>
  <c r="L13" i="6" s="1"/>
  <c r="M13" i="6"/>
  <c r="K12" i="3"/>
  <c r="J14" i="3"/>
  <c r="I14" i="3"/>
  <c r="L14" i="3" s="1"/>
  <c r="J13" i="3"/>
  <c r="K13" i="3" s="1"/>
  <c r="I13" i="3"/>
  <c r="L13" i="3" s="1"/>
  <c r="E15" i="3"/>
  <c r="F15" i="3" s="1"/>
  <c r="D15" i="3" l="1"/>
  <c r="E16" i="3" s="1"/>
  <c r="I5" i="7" s="1"/>
  <c r="J15" i="2"/>
  <c r="C4" i="7" s="1"/>
  <c r="B4" i="7"/>
  <c r="F4" i="7" s="1"/>
  <c r="K15" i="2"/>
  <c r="D4" i="7" s="1"/>
  <c r="H14" i="6"/>
  <c r="J14" i="6" s="1"/>
  <c r="K14" i="3"/>
  <c r="G15" i="3"/>
  <c r="H15" i="3"/>
  <c r="E4" i="7" l="1"/>
  <c r="F15" i="6"/>
  <c r="G15" i="6" s="1"/>
  <c r="I15" i="6" s="1"/>
  <c r="K14" i="6"/>
  <c r="L14" i="6" s="1"/>
  <c r="M14" i="6"/>
  <c r="J15" i="3"/>
  <c r="K15" i="3" s="1"/>
  <c r="C5" i="7" s="1"/>
  <c r="I15" i="3"/>
  <c r="H15" i="6" l="1"/>
  <c r="J15" i="6" s="1"/>
  <c r="B5" i="7"/>
  <c r="F5" i="7" s="1"/>
  <c r="L15" i="3"/>
  <c r="E5" i="7" l="1"/>
  <c r="D5" i="7"/>
  <c r="K15" i="6"/>
  <c r="L15" i="6" s="1"/>
  <c r="C6" i="7" s="1"/>
  <c r="B6" i="7"/>
  <c r="F6" i="7" s="1"/>
  <c r="M15" i="6"/>
  <c r="E6" i="7" l="1"/>
  <c r="D6" i="7"/>
</calcChain>
</file>

<file path=xl/sharedStrings.xml><?xml version="1.0" encoding="utf-8"?>
<sst xmlns="http://schemas.openxmlformats.org/spreadsheetml/2006/main" count="146" uniqueCount="76">
  <si>
    <t>Periodo</t>
  </si>
  <si>
    <t>Dt</t>
  </si>
  <si>
    <t>Lt</t>
  </si>
  <si>
    <t>Ft</t>
  </si>
  <si>
    <t>Et</t>
  </si>
  <si>
    <t>At</t>
  </si>
  <si>
    <t>MSE</t>
  </si>
  <si>
    <t>MAD</t>
  </si>
  <si>
    <t>%Error</t>
  </si>
  <si>
    <t>MAPE</t>
  </si>
  <si>
    <t>TSt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</si>
  <si>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</si>
  <si>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</si>
  <si>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</si>
  <si>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</si>
  <si>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</si>
  <si>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</si>
  <si>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</si>
  <si>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</si>
  <si>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</si>
  <si>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</si>
  <si>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</si>
  <si>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</si>
  <si>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</si>
  <si>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</si>
  <si>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</si>
  <si>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</si>
  <si>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</si>
  <si>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</si>
  <si>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</si>
  <si>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</si>
  <si>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</si>
  <si>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</si>
  <si>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</si>
  <si>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</si>
  <si>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Tt</t>
  </si>
  <si>
    <t>FT</t>
  </si>
  <si>
    <t>St</t>
  </si>
  <si>
    <t>Pronóstico</t>
  </si>
  <si>
    <t>Error cuadratico</t>
  </si>
  <si>
    <t>Método</t>
  </si>
  <si>
    <t>Rango TS inf</t>
  </si>
  <si>
    <t>Rango TS sup</t>
  </si>
  <si>
    <t>Desv. Est.</t>
  </si>
  <si>
    <t>Holt</t>
  </si>
  <si>
    <t>Winter</t>
  </si>
  <si>
    <t>Demanda desestacionalizada</t>
  </si>
  <si>
    <t>Variable X 1</t>
  </si>
  <si>
    <t>Demanda desestacionalizada. Ec7.4</t>
  </si>
  <si>
    <t>Factor estacional</t>
  </si>
  <si>
    <t>Alpha</t>
  </si>
  <si>
    <t>Beta</t>
  </si>
  <si>
    <t>Año</t>
  </si>
  <si>
    <t>Lambda</t>
  </si>
  <si>
    <t>Suavización Expo</t>
  </si>
  <si>
    <t>Promedio Móvil</t>
  </si>
  <si>
    <t>APROBADOS</t>
  </si>
  <si>
    <t>2010-fa</t>
  </si>
  <si>
    <t>2011-fa</t>
  </si>
  <si>
    <t>2012-fa</t>
  </si>
  <si>
    <t>2013-fa</t>
  </si>
  <si>
    <t>2014-fa</t>
  </si>
  <si>
    <t>2015-fa</t>
  </si>
  <si>
    <t>2016-fa</t>
  </si>
  <si>
    <t>2017-fa</t>
  </si>
  <si>
    <t>2018-fa</t>
  </si>
  <si>
    <t>2019-fa</t>
  </si>
  <si>
    <t>2020-fa</t>
  </si>
  <si>
    <t>2021-fa</t>
  </si>
  <si>
    <t>2022-fa</t>
  </si>
  <si>
    <t>Predicción 2024</t>
  </si>
  <si>
    <t>Modelo</t>
  </si>
  <si>
    <t>NO Aprobados</t>
  </si>
  <si>
    <t>NO APROBADOS</t>
  </si>
  <si>
    <t>ESTIMACIONES DE ERROR DE LOS PRONÓSTICOS-NO APROBADOS Otoño (Fall)</t>
  </si>
  <si>
    <t>NO APROBADOS Otoño (Fall)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</si>
</sst>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9" applyNumberFormat="0" applyAlignment="0" applyProtection="0"/>
    <xf numFmtId="0" fontId="12" fillId="8" borderId="10" applyNumberFormat="0" applyAlignment="0" applyProtection="0"/>
    <xf numFmtId="0" fontId="13" fillId="8" borderId="9" applyNumberFormat="0" applyAlignment="0" applyProtection="0"/>
    <xf numFmtId="0" fontId="14" fillId="0" borderId="11" applyNumberFormat="0" applyFill="0" applyAlignment="0" applyProtection="0"/>
    <xf numFmtId="0" fontId="15" fillId="9" borderId="12" applyNumberFormat="0" applyAlignment="0" applyProtection="0"/>
    <xf numFmtId="0" fontId="16" fillId="0" borderId="0" applyNumberFormat="0" applyFill="0" applyBorder="0" applyAlignment="0" applyProtection="0"/>
    <xf numFmtId="0" fontId="3" fillId="10" borderId="13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4" applyNumberFormat="0" applyFill="0" applyAlignment="0" applyProtection="0"/>
    <xf numFmtId="0" fontId="18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8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8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8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8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8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4" xfId="0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0" fillId="0" borderId="1" xfId="0" applyBorder="1" applyAlignment="1">
      <alignment horizontal="left"/>
    </xf>
    <xf numFmtId="4" fontId="0" fillId="0" borderId="1" xfId="0" applyNumberFormat="1" applyBorder="1"/>
    <xf numFmtId="3" fontId="0" fillId="0" borderId="1" xfId="0" applyNumberFormat="1" applyBorder="1"/>
    <xf numFmtId="3" fontId="1" fillId="0" borderId="1" xfId="0" applyNumberFormat="1" applyFont="1" applyBorder="1"/>
    <xf numFmtId="3" fontId="0" fillId="0" borderId="0" xfId="0" applyNumberFormat="1"/>
    <xf numFmtId="164" fontId="0" fillId="0" borderId="1" xfId="0" applyNumberFormat="1" applyBorder="1"/>
    <xf numFmtId="165" fontId="0" fillId="0" borderId="1" xfId="0" applyNumberFormat="1" applyBorder="1"/>
    <xf numFmtId="1" fontId="1" fillId="3" borderId="1" xfId="0" applyNumberFormat="1" applyFont="1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1" fillId="35" borderId="1" xfId="0" applyFont="1" applyFill="1" applyBorder="1" applyAlignment="1">
      <alignment horizontal="center"/>
    </xf>
    <xf numFmtId="3" fontId="0" fillId="35" borderId="1" xfId="0" applyNumberFormat="1" applyFill="1" applyBorder="1"/>
    <xf numFmtId="4" fontId="0" fillId="35" borderId="1" xfId="0" applyNumberFormat="1" applyFill="1" applyBorder="1"/>
    <xf numFmtId="165" fontId="0" fillId="35" borderId="1" xfId="0" applyNumberFormat="1" applyFill="1" applyBorder="1"/>
    <xf numFmtId="1" fontId="0" fillId="35" borderId="1" xfId="0" applyNumberFormat="1" applyFill="1" applyBorder="1"/>
    <xf numFmtId="2" fontId="0" fillId="35" borderId="1" xfId="0" applyNumberFormat="1" applyFill="1" applyBorder="1"/>
    <xf numFmtId="164" fontId="0" fillId="35" borderId="1" xfId="0" applyNumberFormat="1" applyFill="1" applyBorder="1"/>
    <xf numFmtId="0" fontId="0" fillId="35" borderId="0" xfId="0" applyFill="1"/>
    <xf numFmtId="0" fontId="0" fillId="35" borderId="2" xfId="0" applyFill="1" applyBorder="1"/>
    <xf numFmtId="0" fontId="1" fillId="2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'Datos_NO_APROBADOS-OTOÑO'!$C$1</c:f>
              <c:strCache>
                <c:ptCount val="1"/>
                <c:pt idx="0">
                  <c:v>NO Aprobados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49300087489065E-2"/>
                  <c:y val="-0.10378353747448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'Datos_NO_APROBADOS-OTOÑO'!$B$2:$B$14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'Datos_NO_APROBADOS-OTOÑO'!$C$2:$C$14</c:f>
              <c:numCache>
                <c:formatCode>#,##0</c:formatCode>
                <c:ptCount val="13"/>
                <c:pt idx="0">
                  <c:v>2406</c:v>
                </c:pt>
                <c:pt idx="1">
                  <c:v>2638</c:v>
                </c:pt>
                <c:pt idx="2">
                  <c:v>2409</c:v>
                </c:pt>
                <c:pt idx="3">
                  <c:v>2495</c:v>
                </c:pt>
                <c:pt idx="4">
                  <c:v>2802</c:v>
                </c:pt>
                <c:pt idx="5">
                  <c:v>2625</c:v>
                </c:pt>
                <c:pt idx="6">
                  <c:v>3278</c:v>
                </c:pt>
                <c:pt idx="7">
                  <c:v>3150</c:v>
                </c:pt>
                <c:pt idx="8">
                  <c:v>3378</c:v>
                </c:pt>
                <c:pt idx="9">
                  <c:v>3503</c:v>
                </c:pt>
                <c:pt idx="10">
                  <c:v>3402</c:v>
                </c:pt>
                <c:pt idx="11">
                  <c:v>4900</c:v>
                </c:pt>
                <c:pt idx="12">
                  <c:v>3746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1-4CC2-B124-226F238B0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379279"/>
        <c:axId val="1402380239"/>
      </c:scatterChart>
      <c:valAx>
        <c:axId val="140237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402380239"/>
        <c:crosses val="autoZero"/>
        <c:crossBetween val="midCat"/>
      </c:valAx>
      <c:valAx>
        <c:axId val="140238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Cantidad</a:t>
                </a:r>
                <a:r>
                  <a:rPr lang="es-PA" baseline="0"/>
                  <a:t> de No Aprobados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40237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119062</xdr:rowOff>
    </xdr:from>
    <xdr:to>
      <xdr:col>9</xdr:col>
      <xdr:colOff>333375</xdr:colOff>
      <xdr:row>15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1BD3A2-0D49-2F5E-7C62-3747D1961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7</xdr:row>
      <xdr:rowOff>57150</xdr:rowOff>
    </xdr:from>
    <xdr:to>
      <xdr:col>4</xdr:col>
      <xdr:colOff>772584</xdr:colOff>
      <xdr:row>13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C4D12B-691D-48D5-9B86-D9A1C77009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994" t="34427" r="39888" b="53360"/>
        <a:stretch/>
      </xdr:blipFill>
      <xdr:spPr>
        <a:xfrm>
          <a:off x="66675" y="1390650"/>
          <a:ext cx="4401609" cy="12096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45905-A6FB-437D-91DB-A4920B0D1634}">
  <dimension ref="A1:C14"/>
  <sheetViews>
    <sheetView tabSelected="1" workbookViewId="0">
      <selection activeCell="D17" sqref="D17"/>
    </sheetView>
  </sheetViews>
  <sheetFormatPr baseColWidth="10" defaultRowHeight="15" x14ac:dyDescent="0.25"/>
  <cols>
    <col min="1" max="1" width="7.28515625" customWidth="1"/>
    <col min="3" max="3" width="14.28515625" customWidth="1"/>
  </cols>
  <sheetData>
    <row r="1" spans="1:3" x14ac:dyDescent="0.25">
      <c r="A1" s="25" t="s">
        <v>52</v>
      </c>
      <c r="B1" s="25" t="s">
        <v>0</v>
      </c>
      <c r="C1" s="25" t="s">
        <v>72</v>
      </c>
    </row>
    <row r="2" spans="1:3" x14ac:dyDescent="0.25">
      <c r="A2" s="14" t="s">
        <v>57</v>
      </c>
      <c r="B2" s="6">
        <v>1</v>
      </c>
      <c r="C2" s="16">
        <v>2406</v>
      </c>
    </row>
    <row r="3" spans="1:3" x14ac:dyDescent="0.25">
      <c r="A3" s="14" t="s">
        <v>58</v>
      </c>
      <c r="B3" s="6">
        <v>2</v>
      </c>
      <c r="C3" s="16">
        <v>2638</v>
      </c>
    </row>
    <row r="4" spans="1:3" x14ac:dyDescent="0.25">
      <c r="A4" s="14" t="s">
        <v>59</v>
      </c>
      <c r="B4" s="6">
        <v>3</v>
      </c>
      <c r="C4" s="16">
        <v>2409</v>
      </c>
    </row>
    <row r="5" spans="1:3" x14ac:dyDescent="0.25">
      <c r="A5" s="14" t="s">
        <v>60</v>
      </c>
      <c r="B5" s="6">
        <v>4</v>
      </c>
      <c r="C5" s="16">
        <v>2495</v>
      </c>
    </row>
    <row r="6" spans="1:3" x14ac:dyDescent="0.25">
      <c r="A6" s="14" t="s">
        <v>61</v>
      </c>
      <c r="B6" s="6">
        <v>5</v>
      </c>
      <c r="C6" s="16">
        <v>2802</v>
      </c>
    </row>
    <row r="7" spans="1:3" x14ac:dyDescent="0.25">
      <c r="A7" s="14" t="s">
        <v>62</v>
      </c>
      <c r="B7" s="6">
        <v>6</v>
      </c>
      <c r="C7" s="16">
        <v>2625</v>
      </c>
    </row>
    <row r="8" spans="1:3" x14ac:dyDescent="0.25">
      <c r="A8" s="14" t="s">
        <v>63</v>
      </c>
      <c r="B8" s="6">
        <v>7</v>
      </c>
      <c r="C8" s="16">
        <v>3278</v>
      </c>
    </row>
    <row r="9" spans="1:3" x14ac:dyDescent="0.25">
      <c r="A9" s="14" t="s">
        <v>64</v>
      </c>
      <c r="B9" s="6">
        <v>8</v>
      </c>
      <c r="C9" s="16">
        <v>3150</v>
      </c>
    </row>
    <row r="10" spans="1:3" x14ac:dyDescent="0.25">
      <c r="A10" s="14" t="s">
        <v>65</v>
      </c>
      <c r="B10" s="6">
        <v>9</v>
      </c>
      <c r="C10" s="16">
        <v>3378</v>
      </c>
    </row>
    <row r="11" spans="1:3" x14ac:dyDescent="0.25">
      <c r="A11" s="14" t="s">
        <v>66</v>
      </c>
      <c r="B11" s="6">
        <v>10</v>
      </c>
      <c r="C11" s="16">
        <v>3503</v>
      </c>
    </row>
    <row r="12" spans="1:3" x14ac:dyDescent="0.25">
      <c r="A12" s="14" t="s">
        <v>67</v>
      </c>
      <c r="B12" s="6">
        <v>11</v>
      </c>
      <c r="C12" s="16">
        <v>3402</v>
      </c>
    </row>
    <row r="13" spans="1:3" x14ac:dyDescent="0.25">
      <c r="A13" s="14" t="s">
        <v>68</v>
      </c>
      <c r="B13" s="6">
        <v>12</v>
      </c>
      <c r="C13" s="16">
        <v>4900</v>
      </c>
    </row>
    <row r="14" spans="1:3" x14ac:dyDescent="0.25">
      <c r="A14" s="14" t="s">
        <v>69</v>
      </c>
      <c r="B14" s="6">
        <v>13</v>
      </c>
      <c r="C14" s="16">
        <v>3746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4371-5962-4B6D-812A-81FC13929716}">
  <dimension ref="A1:K14"/>
  <sheetViews>
    <sheetView workbookViewId="0">
      <selection sqref="A1:K14"/>
    </sheetView>
  </sheetViews>
  <sheetFormatPr baseColWidth="10" defaultRowHeight="15" x14ac:dyDescent="0.25"/>
  <cols>
    <col min="2" max="2" width="14.42578125" customWidth="1"/>
    <col min="3" max="3" width="14.140625" customWidth="1"/>
    <col min="4" max="6" width="11.5703125" bestFit="1" customWidth="1"/>
    <col min="7" max="7" width="13.5703125" bestFit="1" customWidth="1"/>
    <col min="8" max="8" width="12.7109375" bestFit="1" customWidth="1"/>
    <col min="9" max="11" width="11.5703125" bestFit="1" customWidth="1"/>
  </cols>
  <sheetData>
    <row r="1" spans="1:11" x14ac:dyDescent="0.25">
      <c r="A1" s="1" t="s">
        <v>0</v>
      </c>
      <c r="B1" s="1" t="s">
        <v>72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7">
        <v>2406</v>
      </c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>
        <v>2</v>
      </c>
      <c r="B3" s="17">
        <v>2638</v>
      </c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1">
        <v>3</v>
      </c>
      <c r="B4" s="17">
        <v>2409</v>
      </c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1">
        <v>4</v>
      </c>
      <c r="B5" s="17">
        <v>2495</v>
      </c>
      <c r="C5" s="16">
        <f>+AVERAGE(B2:B5)</f>
        <v>2487</v>
      </c>
      <c r="D5" s="16"/>
      <c r="E5" s="16"/>
      <c r="F5" s="16"/>
      <c r="G5" s="16"/>
      <c r="H5" s="16"/>
      <c r="I5" s="16"/>
      <c r="J5" s="16"/>
      <c r="K5" s="16"/>
    </row>
    <row r="6" spans="1:11" x14ac:dyDescent="0.25">
      <c r="A6" s="1">
        <v>5</v>
      </c>
      <c r="B6" s="17">
        <v>2802</v>
      </c>
      <c r="C6" s="16">
        <f t="shared" ref="C6:C14" si="0">+AVERAGE(B3:B6)</f>
        <v>2586</v>
      </c>
      <c r="D6" s="16">
        <f>+C5</f>
        <v>2487</v>
      </c>
      <c r="E6" s="16">
        <f>+D6-B6</f>
        <v>-315</v>
      </c>
      <c r="F6" s="16">
        <f>+ABS(E6)</f>
        <v>315</v>
      </c>
      <c r="G6" s="16">
        <f>+SUMSQ($E$6:E6)/(A6-4)</f>
        <v>99225</v>
      </c>
      <c r="H6" s="16">
        <f>+SUM($F$6:F6)/(A6-4)</f>
        <v>315</v>
      </c>
      <c r="I6" s="16">
        <f>+(F6/B6)*100</f>
        <v>11.241970021413277</v>
      </c>
      <c r="J6" s="16">
        <f>+AVERAGE($I$6:I6)</f>
        <v>11.241970021413277</v>
      </c>
      <c r="K6" s="27">
        <f>+SUM($E$6:E6)/H6</f>
        <v>-1</v>
      </c>
    </row>
    <row r="7" spans="1:11" x14ac:dyDescent="0.25">
      <c r="A7" s="1">
        <v>6</v>
      </c>
      <c r="B7" s="17">
        <v>2625</v>
      </c>
      <c r="C7" s="16">
        <f t="shared" si="0"/>
        <v>2582.75</v>
      </c>
      <c r="D7" s="16">
        <f t="shared" ref="D7:D14" si="1">+C6</f>
        <v>2586</v>
      </c>
      <c r="E7" s="16">
        <f t="shared" ref="E7:E14" si="2">+D7-B7</f>
        <v>-39</v>
      </c>
      <c r="F7" s="16">
        <f t="shared" ref="F7:F14" si="3">+ABS(E7)</f>
        <v>39</v>
      </c>
      <c r="G7" s="16">
        <f>+SUMSQ($E$6:E7)/(A7-4)</f>
        <v>50373</v>
      </c>
      <c r="H7" s="16">
        <f>+SUM($F$6:F7)/(A7-4)</f>
        <v>177</v>
      </c>
      <c r="I7" s="16">
        <f t="shared" ref="I7:I14" si="4">+(F7/B7)*100</f>
        <v>1.4857142857142858</v>
      </c>
      <c r="J7" s="16">
        <f>+AVERAGE($I$6:I7)</f>
        <v>6.3638421535637812</v>
      </c>
      <c r="K7" s="15">
        <f>+SUM($E$6:E7)/H7</f>
        <v>-2</v>
      </c>
    </row>
    <row r="8" spans="1:11" x14ac:dyDescent="0.25">
      <c r="A8" s="1">
        <v>7</v>
      </c>
      <c r="B8" s="17">
        <v>3278</v>
      </c>
      <c r="C8" s="16">
        <f t="shared" si="0"/>
        <v>2800</v>
      </c>
      <c r="D8" s="16">
        <f t="shared" si="1"/>
        <v>2582.75</v>
      </c>
      <c r="E8" s="16">
        <f t="shared" si="2"/>
        <v>-695.25</v>
      </c>
      <c r="F8" s="16">
        <f t="shared" si="3"/>
        <v>695.25</v>
      </c>
      <c r="G8" s="16">
        <f>+SUMSQ($E$6:E8)/(A8-4)</f>
        <v>194706.1875</v>
      </c>
      <c r="H8" s="16">
        <f>+SUM($F$6:F8)/(A8-4)</f>
        <v>349.75</v>
      </c>
      <c r="I8" s="16">
        <f t="shared" si="4"/>
        <v>21.209579011592432</v>
      </c>
      <c r="J8" s="16">
        <f>+AVERAGE($I$6:I8)</f>
        <v>11.312421106239997</v>
      </c>
      <c r="K8" s="15">
        <f>+SUM($E$6:E8)/H8</f>
        <v>-3</v>
      </c>
    </row>
    <row r="9" spans="1:11" x14ac:dyDescent="0.25">
      <c r="A9" s="1">
        <v>8</v>
      </c>
      <c r="B9" s="17">
        <v>3150</v>
      </c>
      <c r="C9" s="16">
        <f t="shared" si="0"/>
        <v>2963.75</v>
      </c>
      <c r="D9" s="16">
        <f t="shared" si="1"/>
        <v>2800</v>
      </c>
      <c r="E9" s="16">
        <f t="shared" si="2"/>
        <v>-350</v>
      </c>
      <c r="F9" s="16">
        <f t="shared" si="3"/>
        <v>350</v>
      </c>
      <c r="G9" s="16">
        <f>+SUMSQ($E$6:E9)/(A9-4)</f>
        <v>176654.640625</v>
      </c>
      <c r="H9" s="16">
        <f>+SUM($F$6:F9)/(A9-4)</f>
        <v>349.8125</v>
      </c>
      <c r="I9" s="16">
        <f t="shared" si="4"/>
        <v>11.111111111111111</v>
      </c>
      <c r="J9" s="16">
        <f>+AVERAGE($I$6:I9)</f>
        <v>11.262093607457775</v>
      </c>
      <c r="K9" s="15">
        <f>+SUM($E$6:E9)/H9</f>
        <v>-4</v>
      </c>
    </row>
    <row r="10" spans="1:11" x14ac:dyDescent="0.25">
      <c r="A10" s="1">
        <v>9</v>
      </c>
      <c r="B10" s="17">
        <v>3378</v>
      </c>
      <c r="C10" s="16">
        <f t="shared" si="0"/>
        <v>3107.75</v>
      </c>
      <c r="D10" s="16">
        <f t="shared" si="1"/>
        <v>2963.75</v>
      </c>
      <c r="E10" s="16">
        <f t="shared" si="2"/>
        <v>-414.25</v>
      </c>
      <c r="F10" s="16">
        <f t="shared" si="3"/>
        <v>414.25</v>
      </c>
      <c r="G10" s="16">
        <f>+SUMSQ($E$6:E10)/(A10-4)</f>
        <v>175644.32500000001</v>
      </c>
      <c r="H10" s="16">
        <f>+SUM($F$6:F10)/(A10-4)</f>
        <v>362.7</v>
      </c>
      <c r="I10" s="16">
        <f t="shared" si="4"/>
        <v>12.263173475429248</v>
      </c>
      <c r="J10" s="16">
        <f>+AVERAGE($I$6:I10)</f>
        <v>11.46230958105207</v>
      </c>
      <c r="K10" s="15">
        <f>+SUM($E$6:E10)/H10</f>
        <v>-5</v>
      </c>
    </row>
    <row r="11" spans="1:11" x14ac:dyDescent="0.25">
      <c r="A11" s="1">
        <v>10</v>
      </c>
      <c r="B11" s="17">
        <v>3503</v>
      </c>
      <c r="C11" s="16">
        <f t="shared" si="0"/>
        <v>3327.25</v>
      </c>
      <c r="D11" s="16">
        <f t="shared" si="1"/>
        <v>3107.75</v>
      </c>
      <c r="E11" s="16">
        <f t="shared" si="2"/>
        <v>-395.25</v>
      </c>
      <c r="F11" s="16">
        <f t="shared" si="3"/>
        <v>395.25</v>
      </c>
      <c r="G11" s="16">
        <f>+SUMSQ($E$6:E11)/(A11-4)</f>
        <v>172407.36458333334</v>
      </c>
      <c r="H11" s="16">
        <f>+SUM($F$6:F11)/(A11-4)</f>
        <v>368.125</v>
      </c>
      <c r="I11" s="16">
        <f t="shared" si="4"/>
        <v>11.283185840707963</v>
      </c>
      <c r="J11" s="16">
        <f>+AVERAGE($I$6:I11)</f>
        <v>11.432455624328052</v>
      </c>
      <c r="K11" s="15">
        <f>+SUM($E$6:E11)/H11</f>
        <v>-6</v>
      </c>
    </row>
    <row r="12" spans="1:11" x14ac:dyDescent="0.25">
      <c r="A12" s="1">
        <v>11</v>
      </c>
      <c r="B12" s="17">
        <v>3402</v>
      </c>
      <c r="C12" s="16">
        <f t="shared" si="0"/>
        <v>3358.25</v>
      </c>
      <c r="D12" s="16">
        <f t="shared" si="1"/>
        <v>3327.25</v>
      </c>
      <c r="E12" s="16">
        <f t="shared" si="2"/>
        <v>-74.75</v>
      </c>
      <c r="F12" s="16">
        <f t="shared" si="3"/>
        <v>74.75</v>
      </c>
      <c r="G12" s="16">
        <f>+SUMSQ($E$6:E12)/(A12-4)</f>
        <v>148575.96428571429</v>
      </c>
      <c r="H12" s="16">
        <f>+SUM($F$6:F12)/(A12-4)</f>
        <v>326.21428571428572</v>
      </c>
      <c r="I12" s="16">
        <f t="shared" si="4"/>
        <v>2.1972369194591419</v>
      </c>
      <c r="J12" s="16">
        <f>+AVERAGE($I$6:I12)</f>
        <v>10.113138666489636</v>
      </c>
      <c r="K12" s="15">
        <f>+SUM($E$6:E12)/H12</f>
        <v>-7</v>
      </c>
    </row>
    <row r="13" spans="1:11" x14ac:dyDescent="0.25">
      <c r="A13" s="1">
        <v>12</v>
      </c>
      <c r="B13" s="17">
        <v>4900</v>
      </c>
      <c r="C13" s="16">
        <f t="shared" si="0"/>
        <v>3795.75</v>
      </c>
      <c r="D13" s="16">
        <f t="shared" si="1"/>
        <v>3358.25</v>
      </c>
      <c r="E13" s="16">
        <f t="shared" si="2"/>
        <v>-1541.75</v>
      </c>
      <c r="F13" s="16">
        <f t="shared" si="3"/>
        <v>1541.75</v>
      </c>
      <c r="G13" s="16">
        <f>+SUMSQ($E$6:E13)/(A13-4)</f>
        <v>427128.1015625</v>
      </c>
      <c r="H13" s="16">
        <f>+SUM($F$6:F13)/(A13-4)</f>
        <v>478.15625</v>
      </c>
      <c r="I13" s="16">
        <f t="shared" si="4"/>
        <v>31.464285714285715</v>
      </c>
      <c r="J13" s="16">
        <f>+AVERAGE($I$6:I13)</f>
        <v>12.782032047464146</v>
      </c>
      <c r="K13" s="15">
        <f>+SUM($E$6:E13)/H13</f>
        <v>-8</v>
      </c>
    </row>
    <row r="14" spans="1:11" x14ac:dyDescent="0.25">
      <c r="A14" s="1">
        <v>13</v>
      </c>
      <c r="B14" s="17">
        <v>3746</v>
      </c>
      <c r="C14" s="16">
        <f t="shared" si="0"/>
        <v>3887.75</v>
      </c>
      <c r="D14" s="26">
        <f t="shared" si="1"/>
        <v>3795.75</v>
      </c>
      <c r="E14" s="16">
        <f t="shared" si="2"/>
        <v>49.75</v>
      </c>
      <c r="F14" s="16">
        <f t="shared" si="3"/>
        <v>49.75</v>
      </c>
      <c r="G14" s="16">
        <f>+SUMSQ($E$6:E14)/(A14-4)</f>
        <v>379944.43055555556</v>
      </c>
      <c r="H14" s="26">
        <f>+SUM($F$6:F14)/(A14-4)</f>
        <v>430.55555555555554</v>
      </c>
      <c r="I14" s="16">
        <f t="shared" si="4"/>
        <v>1.3280832888414309</v>
      </c>
      <c r="J14" s="26">
        <f>+AVERAGE($I$6:I14)</f>
        <v>11.509371074283843</v>
      </c>
      <c r="K14" s="27">
        <f>+SUM($E$6:E14)/H14</f>
        <v>-8.7689032258064525</v>
      </c>
    </row>
  </sheetData>
  <pageMargins left="0.7" right="0.7" top="0.75" bottom="0.75" header="0.3" footer="0.3"/>
  <ignoredErrors>
    <ignoredError sqref="C5 C6:C1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E090B-8F4B-4923-8B9A-38C0014DAF02}">
  <dimension ref="A1:K18"/>
  <sheetViews>
    <sheetView workbookViewId="0">
      <selection sqref="A1:K16"/>
    </sheetView>
  </sheetViews>
  <sheetFormatPr baseColWidth="10" defaultRowHeight="15" x14ac:dyDescent="0.25"/>
  <cols>
    <col min="2" max="2" width="16.42578125" customWidth="1"/>
    <col min="3" max="5" width="11.5703125" bestFit="1" customWidth="1"/>
    <col min="6" max="6" width="12.140625" bestFit="1" customWidth="1"/>
    <col min="7" max="7" width="14.5703125" bestFit="1" customWidth="1"/>
    <col min="8" max="8" width="12.140625" bestFit="1" customWidth="1"/>
    <col min="9" max="11" width="11.5703125" bestFit="1" customWidth="1"/>
  </cols>
  <sheetData>
    <row r="1" spans="1:11" x14ac:dyDescent="0.25">
      <c r="A1" s="1" t="s">
        <v>0</v>
      </c>
      <c r="B1" s="1" t="s">
        <v>73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0</v>
      </c>
      <c r="B2" s="2"/>
      <c r="C2" s="17">
        <f>+AVERAGE(B3:B15)</f>
        <v>3133.2307692307691</v>
      </c>
      <c r="D2" s="2"/>
      <c r="E2" s="2"/>
      <c r="F2" s="2"/>
      <c r="G2" s="2"/>
      <c r="H2" s="2"/>
      <c r="I2" s="2"/>
      <c r="J2" s="2"/>
      <c r="K2" s="2"/>
    </row>
    <row r="3" spans="1:11" x14ac:dyDescent="0.25">
      <c r="A3" s="1">
        <v>1</v>
      </c>
      <c r="B3" s="17">
        <v>2406</v>
      </c>
      <c r="C3" s="16">
        <f t="shared" ref="C3:C15" si="0">+($B$18*B3)+((1-$B$18)*C2)</f>
        <v>3060.5076923076922</v>
      </c>
      <c r="D3" s="16">
        <f>+C2</f>
        <v>3133.2307692307691</v>
      </c>
      <c r="E3" s="16">
        <f>+D3-B3</f>
        <v>727.23076923076906</v>
      </c>
      <c r="F3" s="16">
        <f>+ABS(E3)</f>
        <v>727.23076923076906</v>
      </c>
      <c r="G3" s="16">
        <f>+SUMSQ($E$3:E3)/A3</f>
        <v>528864.59171597613</v>
      </c>
      <c r="H3" s="16">
        <f>+SUM($F$3:F3)/A3</f>
        <v>727.23076923076906</v>
      </c>
      <c r="I3" s="16">
        <f>+(F3/B3)*100</f>
        <v>30.225717756889818</v>
      </c>
      <c r="J3" s="16">
        <f>+AVERAGE($I$3:I3)</f>
        <v>30.225717756889818</v>
      </c>
      <c r="K3" s="15">
        <f>+SUM($E$3:E3)/H3</f>
        <v>1</v>
      </c>
    </row>
    <row r="4" spans="1:11" x14ac:dyDescent="0.25">
      <c r="A4" s="1">
        <v>2</v>
      </c>
      <c r="B4" s="17">
        <v>2638</v>
      </c>
      <c r="C4" s="16">
        <f t="shared" si="0"/>
        <v>3018.2569230769232</v>
      </c>
      <c r="D4" s="16">
        <f t="shared" ref="D4:D15" si="1">+C3</f>
        <v>3060.5076923076922</v>
      </c>
      <c r="E4" s="16">
        <f t="shared" ref="E4:E15" si="2">+D4-B4</f>
        <v>422.5076923076922</v>
      </c>
      <c r="F4" s="16">
        <f t="shared" ref="F4:F15" si="3">+ABS(E4)</f>
        <v>422.5076923076922</v>
      </c>
      <c r="G4" s="16">
        <f>+SUMSQ($E$3:E4)/A4</f>
        <v>353688.6708875738</v>
      </c>
      <c r="H4" s="16">
        <f>+SUM($F$3:F4)/A4</f>
        <v>574.86923076923063</v>
      </c>
      <c r="I4" s="16">
        <f t="shared" ref="I4:I15" si="4">+(F4/B4)*100</f>
        <v>16.016212748585755</v>
      </c>
      <c r="J4" s="16">
        <f>+AVERAGE($I$3:I4)</f>
        <v>23.120965252737786</v>
      </c>
      <c r="K4" s="15">
        <f>+SUM($E$3:E4)/H4</f>
        <v>2</v>
      </c>
    </row>
    <row r="5" spans="1:11" x14ac:dyDescent="0.25">
      <c r="A5" s="1">
        <v>3</v>
      </c>
      <c r="B5" s="17">
        <v>2409</v>
      </c>
      <c r="C5" s="16">
        <f t="shared" si="0"/>
        <v>2957.3312307692308</v>
      </c>
      <c r="D5" s="16">
        <f t="shared" si="1"/>
        <v>3018.2569230769232</v>
      </c>
      <c r="E5" s="16">
        <f t="shared" si="2"/>
        <v>609.25692307692316</v>
      </c>
      <c r="F5" s="16">
        <f t="shared" si="3"/>
        <v>609.25692307692316</v>
      </c>
      <c r="G5" s="16">
        <f>+SUMSQ($E$3:E5)/A5</f>
        <v>359523.78003076912</v>
      </c>
      <c r="H5" s="16">
        <f>+SUM($F$3:F5)/A5</f>
        <v>586.33179487179484</v>
      </c>
      <c r="I5" s="16">
        <f t="shared" si="4"/>
        <v>25.290864386754802</v>
      </c>
      <c r="J5" s="16">
        <f>+AVERAGE($I$3:I5)</f>
        <v>23.844264964076789</v>
      </c>
      <c r="K5" s="15">
        <f>+SUM($E$3:E5)/H5</f>
        <v>3</v>
      </c>
    </row>
    <row r="6" spans="1:11" x14ac:dyDescent="0.25">
      <c r="A6" s="1">
        <v>4</v>
      </c>
      <c r="B6" s="17">
        <v>2495</v>
      </c>
      <c r="C6" s="16">
        <f t="shared" si="0"/>
        <v>2911.0981076923076</v>
      </c>
      <c r="D6" s="16">
        <f t="shared" si="1"/>
        <v>2957.3312307692308</v>
      </c>
      <c r="E6" s="16">
        <f t="shared" si="2"/>
        <v>462.33123076923084</v>
      </c>
      <c r="F6" s="16">
        <f t="shared" si="3"/>
        <v>462.33123076923084</v>
      </c>
      <c r="G6" s="16">
        <f>+SUMSQ($E$3:E6)/A6</f>
        <v>323080.3767592248</v>
      </c>
      <c r="H6" s="16">
        <f>+SUM($F$3:F6)/A6</f>
        <v>555.33165384615381</v>
      </c>
      <c r="I6" s="16">
        <f t="shared" si="4"/>
        <v>18.530309850470175</v>
      </c>
      <c r="J6" s="16">
        <f>+AVERAGE($I$3:I6)</f>
        <v>22.515776185675136</v>
      </c>
      <c r="K6" s="15">
        <f>+SUM($E$3:E6)/H6</f>
        <v>4</v>
      </c>
    </row>
    <row r="7" spans="1:11" x14ac:dyDescent="0.25">
      <c r="A7" s="1">
        <v>5</v>
      </c>
      <c r="B7" s="17">
        <v>2802</v>
      </c>
      <c r="C7" s="16">
        <f t="shared" si="0"/>
        <v>2900.1882969230769</v>
      </c>
      <c r="D7" s="16">
        <f t="shared" si="1"/>
        <v>2911.0981076923076</v>
      </c>
      <c r="E7" s="16">
        <f t="shared" si="2"/>
        <v>109.09810769230762</v>
      </c>
      <c r="F7" s="16">
        <f t="shared" si="3"/>
        <v>109.09810769230762</v>
      </c>
      <c r="G7" s="16">
        <f>+SUMSQ($E$3:E7)/A7</f>
        <v>260844.78082778832</v>
      </c>
      <c r="H7" s="16">
        <f>+SUM($F$3:F7)/A7</f>
        <v>466.08494461538459</v>
      </c>
      <c r="I7" s="16">
        <f t="shared" si="4"/>
        <v>3.8935798605391732</v>
      </c>
      <c r="J7" s="16">
        <f>+AVERAGE($I$3:I7)</f>
        <v>18.791336920647943</v>
      </c>
      <c r="K7" s="15">
        <f>+SUM($E$3:E7)/H7</f>
        <v>5</v>
      </c>
    </row>
    <row r="8" spans="1:11" x14ac:dyDescent="0.25">
      <c r="A8" s="1">
        <v>6</v>
      </c>
      <c r="B8" s="17">
        <v>2625</v>
      </c>
      <c r="C8" s="16">
        <f t="shared" si="0"/>
        <v>2872.6694672307694</v>
      </c>
      <c r="D8" s="16">
        <f t="shared" si="1"/>
        <v>2900.1882969230769</v>
      </c>
      <c r="E8" s="16">
        <f t="shared" si="2"/>
        <v>275.1882969230769</v>
      </c>
      <c r="F8" s="16">
        <f t="shared" si="3"/>
        <v>275.1882969230769</v>
      </c>
      <c r="G8" s="16">
        <f>+SUMSQ($E$3:E8)/A8</f>
        <v>229992.08381706083</v>
      </c>
      <c r="H8" s="16">
        <f>+SUM($F$3:F8)/A8</f>
        <v>434.26883666666663</v>
      </c>
      <c r="I8" s="16">
        <f t="shared" si="4"/>
        <v>10.483363692307691</v>
      </c>
      <c r="J8" s="16">
        <f>+AVERAGE($I$3:I8)</f>
        <v>17.40667471592457</v>
      </c>
      <c r="K8" s="27">
        <f>+SUM($E$3:E8)/H8</f>
        <v>6</v>
      </c>
    </row>
    <row r="9" spans="1:11" x14ac:dyDescent="0.25">
      <c r="A9" s="1">
        <v>7</v>
      </c>
      <c r="B9" s="17">
        <v>3278</v>
      </c>
      <c r="C9" s="16">
        <f t="shared" si="0"/>
        <v>2913.202520507693</v>
      </c>
      <c r="D9" s="16">
        <f t="shared" si="1"/>
        <v>2872.6694672307694</v>
      </c>
      <c r="E9" s="16">
        <f t="shared" si="2"/>
        <v>-405.33053276923056</v>
      </c>
      <c r="F9" s="16">
        <f t="shared" si="3"/>
        <v>405.33053276923056</v>
      </c>
      <c r="G9" s="16">
        <f>+SUMSQ($E$3:E9)/A9</f>
        <v>220606.47767105047</v>
      </c>
      <c r="H9" s="16">
        <f>+SUM($F$3:F9)/A9</f>
        <v>430.13479325274722</v>
      </c>
      <c r="I9" s="16">
        <f t="shared" si="4"/>
        <v>12.365177936828266</v>
      </c>
      <c r="J9" s="16">
        <f>+AVERAGE($I$3:I9)</f>
        <v>16.686460890339383</v>
      </c>
      <c r="K9" s="15">
        <f>+SUM($E$3:E9)/H9</f>
        <v>5.1153324998238006</v>
      </c>
    </row>
    <row r="10" spans="1:11" x14ac:dyDescent="0.25">
      <c r="A10" s="1">
        <v>8</v>
      </c>
      <c r="B10" s="17">
        <v>3150</v>
      </c>
      <c r="C10" s="16">
        <f t="shared" si="0"/>
        <v>2936.8822684569236</v>
      </c>
      <c r="D10" s="16">
        <f t="shared" si="1"/>
        <v>2913.202520507693</v>
      </c>
      <c r="E10" s="16">
        <f t="shared" si="2"/>
        <v>-236.79747949230705</v>
      </c>
      <c r="F10" s="16">
        <f t="shared" si="3"/>
        <v>236.79747949230705</v>
      </c>
      <c r="G10" s="16">
        <f>+SUMSQ($E$3:E10)/A10</f>
        <v>200039.79874890787</v>
      </c>
      <c r="H10" s="16">
        <f>+SUM($F$3:F10)/A10</f>
        <v>405.96762903269217</v>
      </c>
      <c r="I10" s="16">
        <f t="shared" si="4"/>
        <v>7.5173803013430813</v>
      </c>
      <c r="J10" s="16">
        <f>+AVERAGE($I$3:I10)</f>
        <v>15.540325816714844</v>
      </c>
      <c r="K10" s="15">
        <f>+SUM($E$3:E10)/H10</f>
        <v>4.8365555953732082</v>
      </c>
    </row>
    <row r="11" spans="1:11" x14ac:dyDescent="0.25">
      <c r="A11" s="1">
        <v>9</v>
      </c>
      <c r="B11" s="17">
        <v>3378</v>
      </c>
      <c r="C11" s="16">
        <f t="shared" si="0"/>
        <v>2980.9940416112313</v>
      </c>
      <c r="D11" s="16">
        <f t="shared" si="1"/>
        <v>2936.8822684569236</v>
      </c>
      <c r="E11" s="16">
        <f t="shared" si="2"/>
        <v>-441.11773154307639</v>
      </c>
      <c r="F11" s="16">
        <f t="shared" si="3"/>
        <v>441.11773154307639</v>
      </c>
      <c r="G11" s="16">
        <f>+SUMSQ($E$3:E11)/A11</f>
        <v>199433.69367477472</v>
      </c>
      <c r="H11" s="16">
        <f>+SUM($F$3:F11)/A11</f>
        <v>409.87319597829043</v>
      </c>
      <c r="I11" s="16">
        <f t="shared" si="4"/>
        <v>13.058547410985092</v>
      </c>
      <c r="J11" s="16">
        <f>+AVERAGE($I$3:I11)</f>
        <v>15.264572660522649</v>
      </c>
      <c r="K11" s="15">
        <f>+SUM($E$3:E11)/H11</f>
        <v>3.7142396505382127</v>
      </c>
    </row>
    <row r="12" spans="1:11" x14ac:dyDescent="0.25">
      <c r="A12" s="1">
        <v>10</v>
      </c>
      <c r="B12" s="17">
        <v>3503</v>
      </c>
      <c r="C12" s="16">
        <f t="shared" si="0"/>
        <v>3033.1946374501085</v>
      </c>
      <c r="D12" s="16">
        <f t="shared" si="1"/>
        <v>2980.9940416112313</v>
      </c>
      <c r="E12" s="16">
        <f t="shared" si="2"/>
        <v>-522.0059583887687</v>
      </c>
      <c r="F12" s="16">
        <f t="shared" si="3"/>
        <v>522.0059583887687</v>
      </c>
      <c r="G12" s="16">
        <f>+SUMSQ($E$3:E12)/A12</f>
        <v>206739.34636663497</v>
      </c>
      <c r="H12" s="16">
        <f>+SUM($F$3:F12)/A12</f>
        <v>421.08647221933825</v>
      </c>
      <c r="I12" s="16">
        <f t="shared" si="4"/>
        <v>14.901683082751033</v>
      </c>
      <c r="J12" s="16">
        <f>+AVERAGE($I$3:I12)</f>
        <v>15.228283702745486</v>
      </c>
      <c r="K12" s="15">
        <f>+SUM($E$3:E12)/H12</f>
        <v>2.3756671938051297</v>
      </c>
    </row>
    <row r="13" spans="1:11" x14ac:dyDescent="0.25">
      <c r="A13" s="1">
        <v>11</v>
      </c>
      <c r="B13" s="17">
        <v>3402</v>
      </c>
      <c r="C13" s="16">
        <f t="shared" si="0"/>
        <v>3070.0751737050978</v>
      </c>
      <c r="D13" s="16">
        <f t="shared" si="1"/>
        <v>3033.1946374501085</v>
      </c>
      <c r="E13" s="16">
        <f t="shared" si="2"/>
        <v>-368.80536254989147</v>
      </c>
      <c r="F13" s="16">
        <f t="shared" si="3"/>
        <v>368.80536254989147</v>
      </c>
      <c r="G13" s="16">
        <f>+SUMSQ($E$3:E13)/A13</f>
        <v>200310.07810108241</v>
      </c>
      <c r="H13" s="16">
        <f>+SUM($F$3:F13)/A13</f>
        <v>416.33364406757033</v>
      </c>
      <c r="I13" s="16">
        <f t="shared" si="4"/>
        <v>10.840839581125557</v>
      </c>
      <c r="J13" s="16">
        <f>+AVERAGE($I$3:I13)</f>
        <v>14.829425146234582</v>
      </c>
      <c r="K13" s="15">
        <f>+SUM($E$3:E13)/H13</f>
        <v>1.5169467187096344</v>
      </c>
    </row>
    <row r="14" spans="1:11" x14ac:dyDescent="0.25">
      <c r="A14" s="1">
        <v>12</v>
      </c>
      <c r="B14" s="17">
        <v>4900</v>
      </c>
      <c r="C14" s="16">
        <f t="shared" si="0"/>
        <v>3253.0676563345883</v>
      </c>
      <c r="D14" s="16">
        <f t="shared" si="1"/>
        <v>3070.0751737050978</v>
      </c>
      <c r="E14" s="16">
        <f t="shared" si="2"/>
        <v>-1829.9248262949022</v>
      </c>
      <c r="F14" s="16">
        <f t="shared" si="3"/>
        <v>1829.9248262949022</v>
      </c>
      <c r="G14" s="16">
        <f>+SUMSQ($E$3:E14)/A14</f>
        <v>462669.64408352785</v>
      </c>
      <c r="H14" s="16">
        <f>+SUM($F$3:F14)/A14</f>
        <v>534.13290925318131</v>
      </c>
      <c r="I14" s="16">
        <f t="shared" si="4"/>
        <v>37.345404618263309</v>
      </c>
      <c r="J14" s="16">
        <f>+AVERAGE($I$3:I14)</f>
        <v>16.705756768903644</v>
      </c>
      <c r="K14" s="15">
        <f>+SUM($E$3:E14)/H14</f>
        <v>-2.2435780501031526</v>
      </c>
    </row>
    <row r="15" spans="1:11" x14ac:dyDescent="0.25">
      <c r="A15" s="1">
        <v>13</v>
      </c>
      <c r="B15" s="17">
        <v>3746</v>
      </c>
      <c r="C15" s="16">
        <f t="shared" si="0"/>
        <v>3302.3608907011294</v>
      </c>
      <c r="D15" s="26">
        <f t="shared" si="1"/>
        <v>3253.0676563345883</v>
      </c>
      <c r="E15" s="16">
        <f t="shared" si="2"/>
        <v>-492.93234366541174</v>
      </c>
      <c r="F15" s="16">
        <f t="shared" si="3"/>
        <v>492.93234366541174</v>
      </c>
      <c r="G15" s="16">
        <f>+SUMSQ($E$3:E15)/A15</f>
        <v>445770.61726413917</v>
      </c>
      <c r="H15" s="26">
        <f>+SUM($F$3:F15)/A15</f>
        <v>530.96363497719904</v>
      </c>
      <c r="I15" s="16">
        <f t="shared" si="4"/>
        <v>13.158898656311043</v>
      </c>
      <c r="J15" s="26">
        <f>+AVERAGE($I$3:I15)</f>
        <v>16.432921529473443</v>
      </c>
      <c r="K15" s="27">
        <f>+SUM($E$3:E15)/H15</f>
        <v>-3.1853428432555786</v>
      </c>
    </row>
    <row r="16" spans="1:11" x14ac:dyDescent="0.25">
      <c r="A16" s="1">
        <v>14</v>
      </c>
      <c r="C16" s="18"/>
      <c r="D16" s="18"/>
      <c r="E16" s="18"/>
      <c r="F16" s="16">
        <f>AVERAGE(F3:F15)</f>
        <v>530.96363497719904</v>
      </c>
      <c r="G16" s="18"/>
      <c r="H16" s="18"/>
      <c r="I16" s="18"/>
      <c r="J16" s="18"/>
      <c r="K16" s="18"/>
    </row>
    <row r="18" spans="1:2" x14ac:dyDescent="0.25">
      <c r="A18" s="13" t="s">
        <v>50</v>
      </c>
      <c r="B18" s="13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11B9-0840-4397-BD74-5EB8B0DD7165}">
  <dimension ref="A1:L20"/>
  <sheetViews>
    <sheetView workbookViewId="0">
      <selection sqref="A1:L16"/>
    </sheetView>
  </sheetViews>
  <sheetFormatPr baseColWidth="10" defaultRowHeight="15" x14ac:dyDescent="0.25"/>
  <cols>
    <col min="8" max="8" width="14.42578125" customWidth="1"/>
    <col min="9" max="9" width="12" bestFit="1" customWidth="1"/>
    <col min="10" max="11" width="11.42578125" customWidth="1"/>
  </cols>
  <sheetData>
    <row r="1" spans="1:12" x14ac:dyDescent="0.25">
      <c r="A1" s="1" t="s">
        <v>0</v>
      </c>
      <c r="B1" s="1" t="s">
        <v>56</v>
      </c>
      <c r="C1" s="1" t="s">
        <v>2</v>
      </c>
      <c r="D1" s="1" t="s">
        <v>35</v>
      </c>
      <c r="E1" s="1" t="s">
        <v>36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6">
        <v>0</v>
      </c>
      <c r="B2" s="2"/>
      <c r="C2" s="5">
        <f>'Regres_Holt_NO_APROBADOS-OTOÑO'!B17</f>
        <v>2055.4230769230767</v>
      </c>
      <c r="D2" s="5">
        <f>'Regres_Holt_NO_APROBADOS-OTOÑO'!B18</f>
        <v>153.97252747252747</v>
      </c>
      <c r="E2" s="2"/>
      <c r="F2" s="2"/>
      <c r="G2" s="2"/>
      <c r="H2" s="2"/>
      <c r="I2" s="2"/>
      <c r="J2" s="2"/>
      <c r="K2" s="2"/>
      <c r="L2" s="2"/>
    </row>
    <row r="3" spans="1:12" x14ac:dyDescent="0.25">
      <c r="A3" s="1">
        <v>1</v>
      </c>
      <c r="B3" s="17">
        <v>2406</v>
      </c>
      <c r="C3" s="16">
        <f t="shared" ref="C3:C15" si="0">+($B$19*B3)+((1-$B$19)*(C2+D2))</f>
        <v>2229.0560439560436</v>
      </c>
      <c r="D3" s="16">
        <f t="shared" ref="D3:D15" si="1">+($B$20*(C3-C2)+((1-$B$20)*D2))</f>
        <v>157.90461538461537</v>
      </c>
      <c r="E3" s="16">
        <f>+C2+D2</f>
        <v>2209.3956043956041</v>
      </c>
      <c r="F3" s="16">
        <f>+E3-B3</f>
        <v>-196.6043956043959</v>
      </c>
      <c r="G3" s="16">
        <f>+ABS(F3)</f>
        <v>196.6043956043959</v>
      </c>
      <c r="H3" s="16">
        <f>+SUMSQ($F$3:F3)/A3</f>
        <v>38653.288370969807</v>
      </c>
      <c r="I3" s="16">
        <f>+SUM($G$3:G3)/A3</f>
        <v>196.6043956043959</v>
      </c>
      <c r="J3" s="20">
        <f>+(G3/B3)*100</f>
        <v>8.1714212636906023</v>
      </c>
      <c r="K3" s="16">
        <f>+AVERAGE($J$3:J3)</f>
        <v>8.1714212636906023</v>
      </c>
      <c r="L3" s="15">
        <f>+SUM($F$3:F3)/I3</f>
        <v>-1</v>
      </c>
    </row>
    <row r="4" spans="1:12" x14ac:dyDescent="0.25">
      <c r="A4" s="1">
        <v>2</v>
      </c>
      <c r="B4" s="17">
        <v>2638</v>
      </c>
      <c r="C4" s="16">
        <f t="shared" si="0"/>
        <v>2412.0645934065933</v>
      </c>
      <c r="D4" s="16">
        <f t="shared" si="1"/>
        <v>162.92540219780224</v>
      </c>
      <c r="E4" s="16">
        <f t="shared" ref="E4:E15" si="2">+C3+D3</f>
        <v>2386.9606593406588</v>
      </c>
      <c r="F4" s="16">
        <f t="shared" ref="F4:F15" si="3">+E4-B4</f>
        <v>-251.03934065934118</v>
      </c>
      <c r="G4" s="16">
        <f t="shared" ref="G4:G15" si="4">+ABS(F4)</f>
        <v>251.03934065934118</v>
      </c>
      <c r="H4" s="16">
        <f>+SUMSQ($F$3:F4)/A4</f>
        <v>50837.019464823279</v>
      </c>
      <c r="I4" s="16">
        <f>+SUM($G$3:G4)/A4</f>
        <v>223.82186813186854</v>
      </c>
      <c r="J4" s="20">
        <f t="shared" ref="J4:J15" si="5">+(G4/B4)*100</f>
        <v>9.5162752334852598</v>
      </c>
      <c r="K4" s="16">
        <f>+AVERAGE($J$3:J4)</f>
        <v>8.8438482485879319</v>
      </c>
      <c r="L4" s="27">
        <f>+SUM($F$3:F4)/I4</f>
        <v>-2</v>
      </c>
    </row>
    <row r="5" spans="1:12" x14ac:dyDescent="0.25">
      <c r="A5" s="1">
        <v>3</v>
      </c>
      <c r="B5" s="17">
        <v>2409</v>
      </c>
      <c r="C5" s="16">
        <f t="shared" si="0"/>
        <v>2558.390996043956</v>
      </c>
      <c r="D5" s="16">
        <f t="shared" si="1"/>
        <v>159.60560228571433</v>
      </c>
      <c r="E5" s="16">
        <f t="shared" si="2"/>
        <v>2574.9899956043955</v>
      </c>
      <c r="F5" s="16">
        <f t="shared" si="3"/>
        <v>165.98999560439552</v>
      </c>
      <c r="G5" s="16">
        <f t="shared" si="4"/>
        <v>165.98999560439552</v>
      </c>
      <c r="H5" s="16">
        <f>+SUMSQ($F$3:F5)/A5</f>
        <v>43075.572523464602</v>
      </c>
      <c r="I5" s="16">
        <f>+SUM($G$3:G5)/A5</f>
        <v>204.54457728937754</v>
      </c>
      <c r="J5" s="20">
        <f t="shared" si="5"/>
        <v>6.8904107764381699</v>
      </c>
      <c r="K5" s="16">
        <f>+AVERAGE($J$3:J5)</f>
        <v>8.1927024245380107</v>
      </c>
      <c r="L5" s="15">
        <f>+SUM($F$3:F5)/I5</f>
        <v>-1.3769797488245046</v>
      </c>
    </row>
    <row r="6" spans="1:12" x14ac:dyDescent="0.25">
      <c r="A6" s="1">
        <v>4</v>
      </c>
      <c r="B6" s="17">
        <v>2495</v>
      </c>
      <c r="C6" s="16">
        <f t="shared" si="0"/>
        <v>2695.6969384967033</v>
      </c>
      <c r="D6" s="16">
        <f t="shared" si="1"/>
        <v>155.14567031912094</v>
      </c>
      <c r="E6" s="16">
        <f t="shared" si="2"/>
        <v>2717.9965983296702</v>
      </c>
      <c r="F6" s="16">
        <f t="shared" si="3"/>
        <v>222.99659832967018</v>
      </c>
      <c r="G6" s="16">
        <f t="shared" si="4"/>
        <v>222.99659832967018</v>
      </c>
      <c r="H6" s="16">
        <f>+SUMSQ($F$3:F6)/A6</f>
        <v>44738.550109249511</v>
      </c>
      <c r="I6" s="16">
        <f>+SUM($G$3:G6)/A6</f>
        <v>209.15758254945069</v>
      </c>
      <c r="J6" s="20">
        <f t="shared" si="5"/>
        <v>8.9377394120108278</v>
      </c>
      <c r="K6" s="16">
        <f>+AVERAGE($J$3:J6)</f>
        <v>8.3789616714062163</v>
      </c>
      <c r="L6" s="15">
        <f>+SUM($F$3:F6)/I6</f>
        <v>-0.28044473269719111</v>
      </c>
    </row>
    <row r="7" spans="1:12" x14ac:dyDescent="0.25">
      <c r="A7" s="1">
        <v>5</v>
      </c>
      <c r="B7" s="17">
        <v>2802</v>
      </c>
      <c r="C7" s="16">
        <f t="shared" si="0"/>
        <v>2845.9583479342418</v>
      </c>
      <c r="D7" s="16">
        <f t="shared" si="1"/>
        <v>154.16881814280447</v>
      </c>
      <c r="E7" s="16">
        <f t="shared" si="2"/>
        <v>2850.8426088158244</v>
      </c>
      <c r="F7" s="16">
        <f t="shared" si="3"/>
        <v>48.842608815824406</v>
      </c>
      <c r="G7" s="16">
        <f t="shared" si="4"/>
        <v>48.842608815824406</v>
      </c>
      <c r="H7" s="16">
        <f>+SUMSQ($F$3:F7)/A7</f>
        <v>36267.96017458674</v>
      </c>
      <c r="I7" s="16">
        <f>+SUM($G$3:G7)/A7</f>
        <v>177.09458780272544</v>
      </c>
      <c r="J7" s="20">
        <f t="shared" si="5"/>
        <v>1.7431337907146467</v>
      </c>
      <c r="K7" s="16">
        <f>+AVERAGE($J$3:J7)</f>
        <v>7.0517960952679015</v>
      </c>
      <c r="L7" s="15">
        <f>+SUM($F$3:F7)/I7</f>
        <v>-5.5419725896874293E-2</v>
      </c>
    </row>
    <row r="8" spans="1:12" x14ac:dyDescent="0.25">
      <c r="A8" s="1">
        <v>6</v>
      </c>
      <c r="B8" s="17">
        <v>2625</v>
      </c>
      <c r="C8" s="16">
        <f t="shared" si="0"/>
        <v>2962.6144494693417</v>
      </c>
      <c r="D8" s="16">
        <f t="shared" si="1"/>
        <v>146.66627482126356</v>
      </c>
      <c r="E8" s="16">
        <f t="shared" si="2"/>
        <v>3000.1271660770462</v>
      </c>
      <c r="F8" s="16">
        <f t="shared" si="3"/>
        <v>375.12716607704624</v>
      </c>
      <c r="G8" s="16">
        <f t="shared" si="4"/>
        <v>375.12716607704624</v>
      </c>
      <c r="H8" s="16">
        <f>+SUMSQ($F$3:F8)/A8</f>
        <v>53676.698600321593</v>
      </c>
      <c r="I8" s="16">
        <f>+SUM($G$3:G8)/A8</f>
        <v>210.10001751511223</v>
      </c>
      <c r="J8" s="20">
        <f t="shared" si="5"/>
        <v>14.290558707696999</v>
      </c>
      <c r="K8" s="16">
        <f>+AVERAGE($J$3:J8)</f>
        <v>8.2582565306727513</v>
      </c>
      <c r="L8" s="15">
        <f>+SUM($F$3:F8)/I8</f>
        <v>1.7387558405935057</v>
      </c>
    </row>
    <row r="9" spans="1:12" x14ac:dyDescent="0.25">
      <c r="A9" s="1">
        <v>7</v>
      </c>
      <c r="B9" s="17">
        <v>3278</v>
      </c>
      <c r="C9" s="16">
        <f t="shared" si="0"/>
        <v>3126.1526518615447</v>
      </c>
      <c r="D9" s="16">
        <f t="shared" si="1"/>
        <v>150.04066033545143</v>
      </c>
      <c r="E9" s="16">
        <f t="shared" si="2"/>
        <v>3109.2807242906051</v>
      </c>
      <c r="F9" s="16">
        <f t="shared" si="3"/>
        <v>-168.71927570939488</v>
      </c>
      <c r="G9" s="16">
        <f t="shared" si="4"/>
        <v>168.71927570939488</v>
      </c>
      <c r="H9" s="16">
        <f>+SUMSQ($F$3:F9)/A9</f>
        <v>50075.197942547478</v>
      </c>
      <c r="I9" s="16">
        <f>+SUM($G$3:G9)/A9</f>
        <v>204.18848297143833</v>
      </c>
      <c r="J9" s="20">
        <f t="shared" si="5"/>
        <v>5.1470187830809904</v>
      </c>
      <c r="K9" s="16">
        <f>+AVERAGE($J$3:J9)</f>
        <v>7.8137939953024986</v>
      </c>
      <c r="L9" s="15">
        <f>+SUM($F$3:F9)/I9</f>
        <v>0.96280335694204477</v>
      </c>
    </row>
    <row r="10" spans="1:12" x14ac:dyDescent="0.25">
      <c r="A10" s="1">
        <v>8</v>
      </c>
      <c r="B10" s="17">
        <v>3150</v>
      </c>
      <c r="C10" s="16">
        <f t="shared" si="0"/>
        <v>3263.5739809772963</v>
      </c>
      <c r="D10" s="16">
        <f t="shared" si="1"/>
        <v>147.51679409151149</v>
      </c>
      <c r="E10" s="16">
        <f t="shared" si="2"/>
        <v>3276.193312196996</v>
      </c>
      <c r="F10" s="16">
        <f t="shared" si="3"/>
        <v>126.19331219699598</v>
      </c>
      <c r="G10" s="16">
        <f t="shared" si="4"/>
        <v>126.19331219699598</v>
      </c>
      <c r="H10" s="16">
        <f>+SUMSQ($F$3:F10)/A10</f>
        <v>45806.392205135104</v>
      </c>
      <c r="I10" s="16">
        <f>+SUM($G$3:G10)/A10</f>
        <v>194.43908662463303</v>
      </c>
      <c r="J10" s="20">
        <f t="shared" si="5"/>
        <v>4.0061368951427294</v>
      </c>
      <c r="K10" s="16">
        <f>+AVERAGE($J$3:J10)</f>
        <v>7.3378368577825279</v>
      </c>
      <c r="L10" s="15">
        <f>+SUM($F$3:F10)/I10</f>
        <v>1.6600914695405038</v>
      </c>
    </row>
    <row r="11" spans="1:12" x14ac:dyDescent="0.25">
      <c r="A11" s="1">
        <v>9</v>
      </c>
      <c r="B11" s="17">
        <v>3378</v>
      </c>
      <c r="C11" s="16">
        <f t="shared" si="0"/>
        <v>3407.7816975619276</v>
      </c>
      <c r="D11" s="16">
        <f t="shared" si="1"/>
        <v>146.85497859013546</v>
      </c>
      <c r="E11" s="16">
        <f t="shared" si="2"/>
        <v>3411.0907750688079</v>
      </c>
      <c r="F11" s="16">
        <f t="shared" si="3"/>
        <v>33.090775068807943</v>
      </c>
      <c r="G11" s="16">
        <f t="shared" si="4"/>
        <v>33.090775068807943</v>
      </c>
      <c r="H11" s="16">
        <f>+SUMSQ($F$3:F11)/A11</f>
        <v>40838.459670637247</v>
      </c>
      <c r="I11" s="16">
        <f>+SUM($G$3:G11)/A11</f>
        <v>176.51149645176358</v>
      </c>
      <c r="J11" s="20">
        <f t="shared" si="5"/>
        <v>0.97959665686228381</v>
      </c>
      <c r="K11" s="16">
        <f>+AVERAGE($J$3:J11)</f>
        <v>6.6313657243469457</v>
      </c>
      <c r="L11" s="15">
        <f>+SUM($F$3:F11)/I11</f>
        <v>2.0161714747960406</v>
      </c>
    </row>
    <row r="12" spans="1:12" x14ac:dyDescent="0.25">
      <c r="A12" s="1">
        <v>10</v>
      </c>
      <c r="B12" s="17">
        <v>3503</v>
      </c>
      <c r="C12" s="16">
        <f t="shared" si="0"/>
        <v>3549.4730085368569</v>
      </c>
      <c r="D12" s="16">
        <f t="shared" si="1"/>
        <v>145.82224506709423</v>
      </c>
      <c r="E12" s="16">
        <f t="shared" si="2"/>
        <v>3554.636676152063</v>
      </c>
      <c r="F12" s="16">
        <f t="shared" si="3"/>
        <v>51.636676152063046</v>
      </c>
      <c r="G12" s="16">
        <f t="shared" si="4"/>
        <v>51.636676152063046</v>
      </c>
      <c r="H12" s="16">
        <f>+SUMSQ($F$3:F12)/A12</f>
        <v>37021.24833597683</v>
      </c>
      <c r="I12" s="16">
        <f>+SUM($G$3:G12)/A12</f>
        <v>164.02401442179354</v>
      </c>
      <c r="J12" s="20">
        <f t="shared" si="5"/>
        <v>1.4740701156740805</v>
      </c>
      <c r="K12" s="16">
        <f>+AVERAGE($J$3:J12)</f>
        <v>6.1156361634796585</v>
      </c>
      <c r="L12" s="15">
        <f>+SUM($F$3:F12)/I12</f>
        <v>2.4844783960946986</v>
      </c>
    </row>
    <row r="13" spans="1:12" x14ac:dyDescent="0.25">
      <c r="A13" s="1">
        <v>11</v>
      </c>
      <c r="B13" s="17">
        <v>3402</v>
      </c>
      <c r="C13" s="16">
        <f t="shared" si="0"/>
        <v>3665.9657282435564</v>
      </c>
      <c r="D13" s="16">
        <f t="shared" si="1"/>
        <v>139.9563399950153</v>
      </c>
      <c r="E13" s="16">
        <f t="shared" si="2"/>
        <v>3695.2952536039511</v>
      </c>
      <c r="F13" s="16">
        <f t="shared" si="3"/>
        <v>293.2952536039511</v>
      </c>
      <c r="G13" s="16">
        <f t="shared" si="4"/>
        <v>293.2952536039511</v>
      </c>
      <c r="H13" s="16">
        <f>+SUMSQ($F$3:F13)/A13</f>
        <v>41475.871740579481</v>
      </c>
      <c r="I13" s="16">
        <f>+SUM($G$3:G13)/A13</f>
        <v>175.77594525653512</v>
      </c>
      <c r="J13" s="20">
        <f t="shared" si="5"/>
        <v>8.6212596591402448</v>
      </c>
      <c r="K13" s="16">
        <f>+AVERAGE($J$3:J13)</f>
        <v>6.3434201176306209</v>
      </c>
      <c r="L13" s="28">
        <f>+SUM($F$3:F13)/I13</f>
        <v>3.9869469787394998</v>
      </c>
    </row>
    <row r="14" spans="1:12" x14ac:dyDescent="0.25">
      <c r="A14" s="1">
        <v>12</v>
      </c>
      <c r="B14" s="17">
        <v>4900</v>
      </c>
      <c r="C14" s="16">
        <f t="shared" si="0"/>
        <v>3915.3298614147147</v>
      </c>
      <c r="D14" s="16">
        <f t="shared" si="1"/>
        <v>161.8378986302439</v>
      </c>
      <c r="E14" s="16">
        <f t="shared" si="2"/>
        <v>3805.9220682385717</v>
      </c>
      <c r="F14" s="16">
        <f t="shared" si="3"/>
        <v>-1094.0779317614283</v>
      </c>
      <c r="G14" s="16">
        <f t="shared" si="4"/>
        <v>1094.0779317614283</v>
      </c>
      <c r="H14" s="16">
        <f>+SUMSQ($F$3:F14)/A14</f>
        <v>137770.09249281159</v>
      </c>
      <c r="I14" s="16">
        <f>+SUM($G$3:G14)/A14</f>
        <v>252.30111079860956</v>
      </c>
      <c r="J14" s="20">
        <f t="shared" si="5"/>
        <v>22.32812105635568</v>
      </c>
      <c r="K14" s="16">
        <f>+AVERAGE($J$3:J14)</f>
        <v>7.675478529191043</v>
      </c>
      <c r="L14" s="15">
        <f>+SUM($F$3:F14)/I14</f>
        <v>-1.5587270172572432</v>
      </c>
    </row>
    <row r="15" spans="1:12" x14ac:dyDescent="0.25">
      <c r="A15" s="1">
        <v>13</v>
      </c>
      <c r="B15" s="17">
        <v>3746</v>
      </c>
      <c r="C15" s="16">
        <f t="shared" si="0"/>
        <v>4044.0509840404625</v>
      </c>
      <c r="D15" s="16">
        <f t="shared" si="1"/>
        <v>155.21454342934467</v>
      </c>
      <c r="E15" s="16">
        <f t="shared" si="2"/>
        <v>4077.1677600449584</v>
      </c>
      <c r="F15" s="16">
        <f t="shared" si="3"/>
        <v>331.16776004495841</v>
      </c>
      <c r="G15" s="16">
        <f t="shared" si="4"/>
        <v>331.16776004495841</v>
      </c>
      <c r="H15" s="16">
        <f>+SUMSQ($F$3:F15)/A15</f>
        <v>135608.70732361032</v>
      </c>
      <c r="I15" s="26">
        <f>+SUM($G$3:G15)/A15</f>
        <v>258.36777612525179</v>
      </c>
      <c r="J15" s="20">
        <f t="shared" si="5"/>
        <v>8.8405702094222747</v>
      </c>
      <c r="K15" s="26">
        <f>+AVERAGE($J$3:J15)</f>
        <v>7.7651009661319064</v>
      </c>
      <c r="L15" s="15">
        <f>+SUM($F$3:F15)/I15</f>
        <v>-0.24035813897605471</v>
      </c>
    </row>
    <row r="16" spans="1:12" x14ac:dyDescent="0.25">
      <c r="A16" s="1">
        <v>14</v>
      </c>
      <c r="C16" s="18"/>
      <c r="D16" s="18"/>
      <c r="E16" s="26">
        <f>+$C$15+($D$15*A3)</f>
        <v>4199.2655274698072</v>
      </c>
      <c r="F16" s="18"/>
      <c r="G16" s="18"/>
      <c r="H16" s="18"/>
      <c r="I16" s="18"/>
      <c r="J16" s="18"/>
      <c r="K16" s="18"/>
      <c r="L16" s="18"/>
    </row>
    <row r="19" spans="1:2" x14ac:dyDescent="0.25">
      <c r="A19" s="13" t="s">
        <v>50</v>
      </c>
      <c r="B19" s="13">
        <v>0.1</v>
      </c>
    </row>
    <row r="20" spans="1:2" x14ac:dyDescent="0.25">
      <c r="A20" s="13" t="s">
        <v>51</v>
      </c>
      <c r="B20" s="13"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4A6CF-D38C-4602-9230-97E3CF548DB4}">
  <dimension ref="A1:M21"/>
  <sheetViews>
    <sheetView workbookViewId="0">
      <selection sqref="A1:M16"/>
    </sheetView>
  </sheetViews>
  <sheetFormatPr baseColWidth="10" defaultRowHeight="15" x14ac:dyDescent="0.25"/>
  <cols>
    <col min="10" max="10" width="15.5703125" customWidth="1"/>
    <col min="11" max="11" width="12" bestFit="1" customWidth="1"/>
    <col min="12" max="12" width="14.7109375" customWidth="1"/>
  </cols>
  <sheetData>
    <row r="1" spans="1:13" x14ac:dyDescent="0.25">
      <c r="A1" s="1" t="s">
        <v>0</v>
      </c>
      <c r="B1" s="7" t="s">
        <v>1</v>
      </c>
      <c r="C1" s="7" t="s">
        <v>2</v>
      </c>
      <c r="D1" s="7" t="s">
        <v>35</v>
      </c>
      <c r="E1" s="7" t="s">
        <v>37</v>
      </c>
      <c r="F1" s="7" t="s">
        <v>38</v>
      </c>
      <c r="G1" s="7" t="s">
        <v>4</v>
      </c>
      <c r="H1" s="7" t="s">
        <v>5</v>
      </c>
      <c r="I1" s="7" t="s">
        <v>6</v>
      </c>
      <c r="J1" s="7" t="s">
        <v>39</v>
      </c>
      <c r="K1" s="7" t="s">
        <v>8</v>
      </c>
      <c r="L1" s="7" t="s">
        <v>9</v>
      </c>
      <c r="M1" s="7" t="s">
        <v>10</v>
      </c>
    </row>
    <row r="2" spans="1:13" x14ac:dyDescent="0.25">
      <c r="A2" s="6">
        <v>0</v>
      </c>
      <c r="B2" s="8"/>
      <c r="C2" s="5">
        <f>Regres_Winter_NO_APROBADOS_OTOÑ!B17</f>
        <v>1931.0847222222221</v>
      </c>
      <c r="D2" s="5">
        <f>Regres_Winter_NO_APROBADOS_OTOÑ!B18</f>
        <v>163.95416666666665</v>
      </c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1">
        <v>1</v>
      </c>
      <c r="B3" s="17">
        <v>2406</v>
      </c>
      <c r="C3" s="2">
        <f t="shared" ref="C3:C15" si="0">+($B$19*(B3/E3))+((1-$B$19)*(C2+D2))</f>
        <v>2114.0537415456629</v>
      </c>
      <c r="D3" s="2">
        <f t="shared" ref="D3:D15" si="1">+($B$20*(C3-C2)+((1-$B$20)*D2))</f>
        <v>167.7571371980215</v>
      </c>
      <c r="E3" s="30">
        <f>AVERAGE('Demanda_des_Factor esta_winter'!E2,'Demanda_des_Factor esta_winter'!E6,'Demanda_des_Factor esta_winter'!E10)</f>
        <v>1.0528676920440811</v>
      </c>
      <c r="F3" s="4">
        <f>(C2+D2)*E3</f>
        <v>2205.7987596870403</v>
      </c>
      <c r="G3" s="2">
        <f>+F3-B3</f>
        <v>-200.20124031295973</v>
      </c>
      <c r="H3" s="2">
        <f>+ABS(G3)</f>
        <v>200.20124031295973</v>
      </c>
      <c r="I3" s="2">
        <f>+SUMSQ($G$3:G3)/A3</f>
        <v>40080.536622847452</v>
      </c>
      <c r="J3" s="4">
        <f>+SUM($H$3:H3)/A3</f>
        <v>200.20124031295973</v>
      </c>
      <c r="K3" s="4">
        <f>+(H3/B3)*100</f>
        <v>8.3209160562327398</v>
      </c>
      <c r="L3" s="19">
        <f>+AVERAGE($K$3:K3)</f>
        <v>8.3209160562327398</v>
      </c>
      <c r="M3" s="2">
        <f>+SUM($G$3:G3)/J3</f>
        <v>-1</v>
      </c>
    </row>
    <row r="4" spans="1:13" x14ac:dyDescent="0.25">
      <c r="A4" s="1">
        <v>2</v>
      </c>
      <c r="B4" s="17">
        <v>2638</v>
      </c>
      <c r="C4" s="2">
        <f t="shared" si="0"/>
        <v>2313.155347544061</v>
      </c>
      <c r="D4" s="2">
        <f t="shared" si="1"/>
        <v>174.02603095809684</v>
      </c>
      <c r="E4" s="30">
        <f>AVERAGE('Demanda_des_Factor esta_winter'!E3,'Demanda_des_Factor esta_winter'!E7,'Demanda_des_Factor esta_winter'!E11)</f>
        <v>1.0164702211991086</v>
      </c>
      <c r="F4" s="4">
        <f t="shared" ref="F4:F16" si="2">(C3+D3)*E4</f>
        <v>2319.3928086511255</v>
      </c>
      <c r="G4" s="2">
        <f t="shared" ref="G4:G15" si="3">+F4-B4</f>
        <v>-318.60719134887449</v>
      </c>
      <c r="H4" s="2">
        <f t="shared" ref="H4:H15" si="4">+ABS(G4)</f>
        <v>318.60719134887449</v>
      </c>
      <c r="I4" s="2">
        <f>+SUMSQ($G$3:G4)/A4</f>
        <v>70795.539501032894</v>
      </c>
      <c r="J4" s="4">
        <f>+SUM($H$3:H4)/A4</f>
        <v>259.40421583091711</v>
      </c>
      <c r="K4" s="4">
        <f t="shared" ref="K4:K15" si="5">+(H4/B4)*100</f>
        <v>12.077603917698047</v>
      </c>
      <c r="L4" s="19">
        <f>+AVERAGE($K$3:K4)</f>
        <v>10.199259986965394</v>
      </c>
      <c r="M4" s="2">
        <f>+SUM($G$3:G4)/J4</f>
        <v>-2</v>
      </c>
    </row>
    <row r="5" spans="1:13" x14ac:dyDescent="0.25">
      <c r="A5" s="1">
        <v>3</v>
      </c>
      <c r="B5" s="17">
        <v>2409</v>
      </c>
      <c r="C5" s="2">
        <f t="shared" si="0"/>
        <v>2481.8045714905888</v>
      </c>
      <c r="D5" s="2">
        <f t="shared" si="1"/>
        <v>172.95066955578307</v>
      </c>
      <c r="E5" s="30">
        <f>AVERAGE('Demanda_des_Factor esta_winter'!E4,'Demanda_des_Factor esta_winter'!E8,'Demanda_des_Factor esta_winter'!E12)</f>
        <v>0.98996746327377672</v>
      </c>
      <c r="F5" s="4">
        <f t="shared" si="2"/>
        <v>2462.2286399775562</v>
      </c>
      <c r="G5" s="2">
        <f t="shared" si="3"/>
        <v>53.228639977556213</v>
      </c>
      <c r="H5" s="2">
        <f t="shared" si="4"/>
        <v>53.228639977556213</v>
      </c>
      <c r="I5" s="2">
        <f>+SUMSQ($G$3:G5)/A5</f>
        <v>48141.455705308697</v>
      </c>
      <c r="J5" s="4">
        <f>+SUM($H$3:H5)/A5</f>
        <v>190.6790238797968</v>
      </c>
      <c r="K5" s="4">
        <f t="shared" si="5"/>
        <v>2.2095740962040771</v>
      </c>
      <c r="L5" s="19">
        <f>+AVERAGE($K$3:K5)</f>
        <v>7.5360313567116215</v>
      </c>
      <c r="M5" s="30">
        <f>+SUM($G$3:G5)/J5</f>
        <v>-2.4416938067491758</v>
      </c>
    </row>
    <row r="6" spans="1:13" x14ac:dyDescent="0.25">
      <c r="A6" s="1">
        <v>4</v>
      </c>
      <c r="B6" s="17">
        <v>2495</v>
      </c>
      <c r="C6" s="2">
        <f t="shared" si="0"/>
        <v>2623.7160772817351</v>
      </c>
      <c r="D6" s="2">
        <f t="shared" si="1"/>
        <v>166.74283680285572</v>
      </c>
      <c r="E6" s="30">
        <f>AVERAGE('Demanda_des_Factor esta_winter'!E5,'Demanda_des_Factor esta_winter'!E9,'Demanda_des_Factor esta_winter'!E13)</f>
        <v>1.0642547070691279</v>
      </c>
      <c r="F6" s="4">
        <f t="shared" si="2"/>
        <v>2825.3357614000388</v>
      </c>
      <c r="G6" s="2">
        <f t="shared" si="3"/>
        <v>330.33576140003879</v>
      </c>
      <c r="H6" s="2">
        <f t="shared" si="4"/>
        <v>330.33576140003879</v>
      </c>
      <c r="I6" s="2">
        <f>+SUMSQ($G$3:G6)/A6</f>
        <v>63386.520593917361</v>
      </c>
      <c r="J6" s="4">
        <f>+SUM($H$3:H6)/A6</f>
        <v>225.59320825985731</v>
      </c>
      <c r="K6" s="4">
        <f t="shared" si="5"/>
        <v>13.239910276554662</v>
      </c>
      <c r="L6" s="19">
        <f>+AVERAGE($K$3:K6)</f>
        <v>8.962001086672382</v>
      </c>
      <c r="M6" s="3">
        <f>+SUM($G$3:G6)/J6</f>
        <v>-0.59950399804790988</v>
      </c>
    </row>
    <row r="7" spans="1:13" x14ac:dyDescent="0.25">
      <c r="A7" s="1">
        <v>5</v>
      </c>
      <c r="B7" s="17">
        <v>2802</v>
      </c>
      <c r="C7" s="2">
        <f t="shared" si="0"/>
        <v>2775.4062893927371</v>
      </c>
      <c r="D7" s="2">
        <f t="shared" si="1"/>
        <v>163.73231186448498</v>
      </c>
      <c r="E7" s="3">
        <f t="shared" ref="E7:E16" si="6">+($B$21*(B3/C3)+(1-$B$21)*E3)</f>
        <v>1.061390706986451</v>
      </c>
      <c r="F7" s="4">
        <f t="shared" si="2"/>
        <v>2961.7671596368882</v>
      </c>
      <c r="G7" s="2">
        <f t="shared" si="3"/>
        <v>159.76715963688821</v>
      </c>
      <c r="H7" s="2">
        <f t="shared" si="4"/>
        <v>159.76715963688821</v>
      </c>
      <c r="I7" s="2">
        <f>+SUMSQ($G$3:G7)/A7</f>
        <v>55814.325534821677</v>
      </c>
      <c r="J7" s="4">
        <f>+SUM($H$3:H7)/A7</f>
        <v>212.4279985352635</v>
      </c>
      <c r="K7" s="4">
        <f t="shared" si="5"/>
        <v>5.7018972033150686</v>
      </c>
      <c r="L7" s="19">
        <f>+AVERAGE($K$3:K7)</f>
        <v>8.3099803100009204</v>
      </c>
      <c r="M7" s="3">
        <f>+SUM($G$3:G7)/J7</f>
        <v>0.11544207694720666</v>
      </c>
    </row>
    <row r="8" spans="1:13" x14ac:dyDescent="0.25">
      <c r="A8" s="1">
        <v>6</v>
      </c>
      <c r="B8" s="17">
        <v>2625</v>
      </c>
      <c r="C8" s="2">
        <f t="shared" si="0"/>
        <v>2900.3598687823269</v>
      </c>
      <c r="D8" s="2">
        <f t="shared" si="1"/>
        <v>155.97656536950595</v>
      </c>
      <c r="E8" s="3">
        <f t="shared" si="6"/>
        <v>1.0288665556052017</v>
      </c>
      <c r="F8" s="4">
        <f t="shared" si="2"/>
        <v>3023.9814091218082</v>
      </c>
      <c r="G8" s="2">
        <f t="shared" si="3"/>
        <v>398.98140912180816</v>
      </c>
      <c r="H8" s="2">
        <f t="shared" si="4"/>
        <v>398.98140912180816</v>
      </c>
      <c r="I8" s="2">
        <f>+SUMSQ($G$3:G8)/A8</f>
        <v>73042.965416488674</v>
      </c>
      <c r="J8" s="4">
        <f>+SUM($H$3:H8)/A8</f>
        <v>243.52023363302092</v>
      </c>
      <c r="K8" s="4">
        <f t="shared" si="5"/>
        <v>15.199291776068883</v>
      </c>
      <c r="L8" s="19">
        <f>+AVERAGE($K$3:K8)</f>
        <v>9.4581988876789129</v>
      </c>
      <c r="M8" s="3">
        <f>+SUM($G$3:G8)/J8</f>
        <v>1.7390938410180248</v>
      </c>
    </row>
    <row r="9" spans="1:13" x14ac:dyDescent="0.25">
      <c r="A9" s="1">
        <v>7</v>
      </c>
      <c r="B9" s="17">
        <v>3278</v>
      </c>
      <c r="C9" s="2">
        <f t="shared" si="0"/>
        <v>3082.4716811507201</v>
      </c>
      <c r="D9" s="2">
        <f t="shared" si="1"/>
        <v>161.2036147692834</v>
      </c>
      <c r="E9" s="3">
        <f t="shared" si="6"/>
        <v>0.98803718332626955</v>
      </c>
      <c r="F9" s="4">
        <f t="shared" si="2"/>
        <v>3019.7740416968313</v>
      </c>
      <c r="G9" s="2">
        <f t="shared" si="3"/>
        <v>-258.22595830316868</v>
      </c>
      <c r="H9" s="2">
        <f t="shared" si="4"/>
        <v>258.22595830316868</v>
      </c>
      <c r="I9" s="2">
        <f>+SUMSQ($G$3:G9)/A9</f>
        <v>72134.06257721741</v>
      </c>
      <c r="J9" s="4">
        <f>+SUM($H$3:H9)/A9</f>
        <v>245.62105144304203</v>
      </c>
      <c r="K9" s="4">
        <f t="shared" si="5"/>
        <v>7.877546012909356</v>
      </c>
      <c r="L9" s="19">
        <f>+AVERAGE($K$3:K9)</f>
        <v>9.2323913341404058</v>
      </c>
      <c r="M9" s="3">
        <f>+SUM($G$3:G9)/J9</f>
        <v>0.67290071107612504</v>
      </c>
    </row>
    <row r="10" spans="1:13" x14ac:dyDescent="0.25">
      <c r="A10" s="1">
        <v>8</v>
      </c>
      <c r="B10" s="17">
        <v>3150</v>
      </c>
      <c r="C10" s="2">
        <f t="shared" si="0"/>
        <v>3218.4748375557683</v>
      </c>
      <c r="D10" s="2">
        <f t="shared" si="1"/>
        <v>156.16352309643639</v>
      </c>
      <c r="E10" s="3">
        <f t="shared" si="6"/>
        <v>1.052923367225068</v>
      </c>
      <c r="F10" s="4">
        <f t="shared" si="2"/>
        <v>3415.3415147648589</v>
      </c>
      <c r="G10" s="2">
        <f t="shared" si="3"/>
        <v>265.34151476485886</v>
      </c>
      <c r="H10" s="2">
        <f t="shared" si="4"/>
        <v>265.34151476485886</v>
      </c>
      <c r="I10" s="2">
        <f>+SUMSQ($G$3:G10)/A10</f>
        <v>71918.069687278956</v>
      </c>
      <c r="J10" s="4">
        <f>+SUM($H$3:H10)/A10</f>
        <v>248.08610935826914</v>
      </c>
      <c r="K10" s="4">
        <f t="shared" si="5"/>
        <v>8.4235401512653603</v>
      </c>
      <c r="L10" s="19">
        <f>+AVERAGE($K$3:K10)</f>
        <v>9.1312849362810251</v>
      </c>
      <c r="M10" s="3">
        <f>+SUM($G$3:G10)/J10</f>
        <v>1.7357686653639885</v>
      </c>
    </row>
    <row r="11" spans="1:13" x14ac:dyDescent="0.25">
      <c r="A11" s="1">
        <v>9</v>
      </c>
      <c r="B11" s="17">
        <v>3378</v>
      </c>
      <c r="C11" s="2">
        <f t="shared" si="0"/>
        <v>3356.9973392143897</v>
      </c>
      <c r="D11" s="2">
        <f t="shared" si="1"/>
        <v>152.63531880887339</v>
      </c>
      <c r="E11" s="3">
        <f t="shared" si="6"/>
        <v>1.0562098279121783</v>
      </c>
      <c r="F11" s="4">
        <f t="shared" si="2"/>
        <v>3564.3262021703008</v>
      </c>
      <c r="G11" s="2">
        <f t="shared" si="3"/>
        <v>186.3262021703008</v>
      </c>
      <c r="H11" s="2">
        <f t="shared" si="4"/>
        <v>186.3262021703008</v>
      </c>
      <c r="I11" s="2">
        <f>+SUMSQ($G$3:G11)/A11</f>
        <v>67784.667901493274</v>
      </c>
      <c r="J11" s="4">
        <f>+SUM($H$3:H11)/A11</f>
        <v>241.22389744849488</v>
      </c>
      <c r="K11" s="4">
        <f t="shared" si="5"/>
        <v>5.5158733620574543</v>
      </c>
      <c r="L11" s="19">
        <f>+AVERAGE($K$3:K11)</f>
        <v>8.7295725391450727</v>
      </c>
      <c r="M11" s="3">
        <f>+SUM($G$3:G11)/J11</f>
        <v>2.5575670720525356</v>
      </c>
    </row>
    <row r="12" spans="1:13" x14ac:dyDescent="0.25">
      <c r="A12" s="1">
        <v>10</v>
      </c>
      <c r="B12" s="17">
        <v>3503</v>
      </c>
      <c r="C12" s="2">
        <f t="shared" si="0"/>
        <v>3503.2880401075136</v>
      </c>
      <c r="D12" s="2">
        <f t="shared" si="1"/>
        <v>151.36639522572349</v>
      </c>
      <c r="E12" s="3">
        <f t="shared" si="6"/>
        <v>1.0164859102903021</v>
      </c>
      <c r="F12" s="4">
        <f t="shared" si="2"/>
        <v>3567.4921471753491</v>
      </c>
      <c r="G12" s="2">
        <f t="shared" si="3"/>
        <v>64.492147175349146</v>
      </c>
      <c r="H12" s="2">
        <f t="shared" si="4"/>
        <v>64.492147175349146</v>
      </c>
      <c r="I12" s="2">
        <f>+SUMSQ($G$3:G12)/A12</f>
        <v>61422.124816072639</v>
      </c>
      <c r="J12" s="4">
        <f>+SUM($H$3:H12)/A12</f>
        <v>223.5507224211803</v>
      </c>
      <c r="K12" s="4">
        <f t="shared" si="5"/>
        <v>1.8410547295275235</v>
      </c>
      <c r="L12" s="19">
        <f>+AVERAGE($K$3:K12)</f>
        <v>8.0407207581833173</v>
      </c>
      <c r="M12" s="3">
        <f>+SUM($G$3:G12)/J12</f>
        <v>3.0482497971889106</v>
      </c>
    </row>
    <row r="13" spans="1:13" x14ac:dyDescent="0.25">
      <c r="A13" s="1">
        <v>11</v>
      </c>
      <c r="B13" s="17">
        <v>3402</v>
      </c>
      <c r="C13" s="2">
        <f t="shared" si="0"/>
        <v>3630.9004854012524</v>
      </c>
      <c r="D13" s="2">
        <f t="shared" si="1"/>
        <v>146.61560523932656</v>
      </c>
      <c r="E13" s="3">
        <f t="shared" si="6"/>
        <v>0.99557669662963577</v>
      </c>
      <c r="F13" s="4">
        <f t="shared" si="2"/>
        <v>3638.4887900519107</v>
      </c>
      <c r="G13" s="2">
        <f t="shared" si="3"/>
        <v>236.48879005191066</v>
      </c>
      <c r="H13" s="2">
        <f t="shared" si="4"/>
        <v>236.48879005191066</v>
      </c>
      <c r="I13" s="2">
        <f>+SUMSQ($G$3:G13)/A13</f>
        <v>60922.563270994819</v>
      </c>
      <c r="J13" s="4">
        <f>+SUM($H$3:H13)/A13</f>
        <v>224.72691038761033</v>
      </c>
      <c r="K13" s="4">
        <f t="shared" si="5"/>
        <v>6.9514635523783257</v>
      </c>
      <c r="L13" s="19">
        <f>+AVERAGE($K$3:K13)</f>
        <v>7.9416973758374096</v>
      </c>
      <c r="M13" s="31">
        <f>+SUM($G$3:G13)/J13</f>
        <v>4.0846342467417962</v>
      </c>
    </row>
    <row r="14" spans="1:13" x14ac:dyDescent="0.25">
      <c r="A14" s="1">
        <v>12</v>
      </c>
      <c r="B14" s="17">
        <v>4900</v>
      </c>
      <c r="C14" s="2">
        <f t="shared" si="0"/>
        <v>3868.4381987883917</v>
      </c>
      <c r="D14" s="2">
        <f t="shared" si="1"/>
        <v>164.80002686888912</v>
      </c>
      <c r="E14" s="3">
        <f t="shared" si="6"/>
        <v>1.045503475029492</v>
      </c>
      <c r="F14" s="4">
        <f t="shared" si="2"/>
        <v>3949.4061997445469</v>
      </c>
      <c r="G14" s="2">
        <f t="shared" si="3"/>
        <v>-950.59380025545306</v>
      </c>
      <c r="H14" s="2">
        <f t="shared" si="4"/>
        <v>950.59380025545306</v>
      </c>
      <c r="I14" s="2">
        <f>+SUMSQ($G$3:G14)/A14</f>
        <v>131148.06408875392</v>
      </c>
      <c r="J14" s="4">
        <f>+SUM($H$3:H14)/A14</f>
        <v>285.21581787659721</v>
      </c>
      <c r="K14" s="4">
        <f t="shared" si="5"/>
        <v>19.399873474601083</v>
      </c>
      <c r="L14" s="19">
        <f>+AVERAGE($K$3:K14)</f>
        <v>8.896545384067716</v>
      </c>
      <c r="M14" s="3">
        <f>+SUM($G$3:G14)/J14</f>
        <v>-0.11453279893431015</v>
      </c>
    </row>
    <row r="15" spans="1:13" x14ac:dyDescent="0.25">
      <c r="A15" s="1">
        <v>13</v>
      </c>
      <c r="B15" s="17">
        <v>3746</v>
      </c>
      <c r="C15" s="2">
        <f t="shared" si="0"/>
        <v>3986.2641356257836</v>
      </c>
      <c r="D15" s="2">
        <f t="shared" si="1"/>
        <v>155.40520886258969</v>
      </c>
      <c r="E15" s="3">
        <f t="shared" si="6"/>
        <v>1.0512144834120687</v>
      </c>
      <c r="F15" s="4">
        <f t="shared" si="2"/>
        <v>4239.7984378621268</v>
      </c>
      <c r="G15" s="2">
        <f t="shared" si="3"/>
        <v>493.79843786212678</v>
      </c>
      <c r="H15" s="2">
        <f t="shared" si="4"/>
        <v>493.79843786212678</v>
      </c>
      <c r="I15" s="2">
        <f>+SUMSQ($G$3:G15)/A15</f>
        <v>139816.43586924029</v>
      </c>
      <c r="J15" s="29">
        <f>+SUM($H$3:H15)/A15</f>
        <v>301.26063479856106</v>
      </c>
      <c r="K15" s="4">
        <f t="shared" si="5"/>
        <v>13.182019163431042</v>
      </c>
      <c r="L15" s="31">
        <f>+AVERAGE($K$3:K15)</f>
        <v>9.2261972132495096</v>
      </c>
      <c r="M15" s="3">
        <f>+SUM($G$3:G15)/J15</f>
        <v>1.5306741693906309</v>
      </c>
    </row>
    <row r="16" spans="1:13" x14ac:dyDescent="0.25">
      <c r="A16" s="1">
        <v>14</v>
      </c>
      <c r="E16" s="3">
        <f t="shared" si="6"/>
        <v>1.0148290972679841</v>
      </c>
      <c r="F16" s="29">
        <f t="shared" si="2"/>
        <v>4203.0865620496188</v>
      </c>
    </row>
    <row r="18" spans="1:4" x14ac:dyDescent="0.25">
      <c r="D18" s="13"/>
    </row>
    <row r="19" spans="1:4" x14ac:dyDescent="0.25">
      <c r="A19" s="13" t="s">
        <v>50</v>
      </c>
      <c r="B19" s="13">
        <v>0.1</v>
      </c>
      <c r="D19" s="13"/>
    </row>
    <row r="20" spans="1:4" x14ac:dyDescent="0.25">
      <c r="A20" s="13" t="s">
        <v>51</v>
      </c>
      <c r="B20" s="13">
        <v>0.2</v>
      </c>
      <c r="D20" s="13"/>
    </row>
    <row r="21" spans="1:4" x14ac:dyDescent="0.25">
      <c r="A21" s="13" t="s">
        <v>53</v>
      </c>
      <c r="B21" s="13"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42FD-443B-4D06-A93C-1E81302F96F0}">
  <dimension ref="A1:I6"/>
  <sheetViews>
    <sheetView workbookViewId="0">
      <selection activeCell="G14" sqref="G14"/>
    </sheetView>
  </sheetViews>
  <sheetFormatPr baseColWidth="10" defaultRowHeight="15" x14ac:dyDescent="0.25"/>
  <cols>
    <col min="1" max="1" width="17.7109375" customWidth="1"/>
    <col min="2" max="2" width="12" bestFit="1" customWidth="1"/>
    <col min="4" max="4" width="14.28515625" customWidth="1"/>
    <col min="5" max="5" width="15.7109375" customWidth="1"/>
    <col min="6" max="6" width="13.5703125" customWidth="1"/>
    <col min="8" max="8" width="20.85546875" customWidth="1"/>
    <col min="9" max="9" width="22.140625" customWidth="1"/>
    <col min="10" max="10" width="15" customWidth="1"/>
    <col min="11" max="11" width="15.140625" customWidth="1"/>
    <col min="12" max="12" width="17.85546875" customWidth="1"/>
    <col min="13" max="13" width="21.7109375" customWidth="1"/>
  </cols>
  <sheetData>
    <row r="1" spans="1:9" x14ac:dyDescent="0.25">
      <c r="A1" s="34" t="s">
        <v>74</v>
      </c>
      <c r="B1" s="34"/>
      <c r="C1" s="34"/>
      <c r="D1" s="34"/>
      <c r="E1" s="34"/>
      <c r="F1" s="34"/>
      <c r="H1" s="35" t="s">
        <v>75</v>
      </c>
      <c r="I1" s="35"/>
    </row>
    <row r="2" spans="1:9" x14ac:dyDescent="0.25">
      <c r="A2" s="9" t="s">
        <v>40</v>
      </c>
      <c r="B2" s="10" t="s">
        <v>7</v>
      </c>
      <c r="C2" s="10" t="s">
        <v>9</v>
      </c>
      <c r="D2" s="10" t="s">
        <v>41</v>
      </c>
      <c r="E2" s="10" t="s">
        <v>42</v>
      </c>
      <c r="F2" s="10" t="s">
        <v>43</v>
      </c>
      <c r="H2" s="9" t="s">
        <v>71</v>
      </c>
      <c r="I2" s="10" t="s">
        <v>70</v>
      </c>
    </row>
    <row r="3" spans="1:9" x14ac:dyDescent="0.25">
      <c r="A3" s="9" t="s">
        <v>55</v>
      </c>
      <c r="B3" s="4">
        <f>'Prom_móvil_NO_APROBADOS-OTOÑO'!H14</f>
        <v>430.55555555555554</v>
      </c>
      <c r="C3" s="4">
        <f>'Prom_móvil_NO_APROBADOS-OTOÑO'!J14</f>
        <v>11.509371074283843</v>
      </c>
      <c r="D3" s="3">
        <f>MIN('Prom_móvil_NO_APROBADOS-OTOÑO'!K6:K14)</f>
        <v>-8.7689032258064525</v>
      </c>
      <c r="E3" s="3">
        <f>MAX('Prom_móvil_NO_APROBADOS-OTOÑO'!K6:K14)</f>
        <v>-1</v>
      </c>
      <c r="F3" s="21">
        <f>1.25*B3</f>
        <v>538.19444444444446</v>
      </c>
      <c r="H3" s="9" t="s">
        <v>55</v>
      </c>
      <c r="I3" s="16">
        <f>'Prom_móvil_NO_APROBADOS-OTOÑO'!D14</f>
        <v>3795.75</v>
      </c>
    </row>
    <row r="4" spans="1:9" x14ac:dyDescent="0.25">
      <c r="A4" s="9" t="s">
        <v>54</v>
      </c>
      <c r="B4" s="4">
        <f>'Suav_Expo_NO_APROBADOS-OTOÑO'!H15</f>
        <v>530.96363497719904</v>
      </c>
      <c r="C4" s="4">
        <f>'Suav_Expo_NO_APROBADOS-OTOÑO'!J15</f>
        <v>16.432921529473443</v>
      </c>
      <c r="D4" s="3">
        <f>MIN('Suav_Expo_NO_APROBADOS-OTOÑO'!K3:K15)</f>
        <v>-3.1853428432555786</v>
      </c>
      <c r="E4" s="3">
        <f>MAX('Suav_Expo_NO_APROBADOS-OTOÑO'!K3:K15)</f>
        <v>6</v>
      </c>
      <c r="F4" s="21">
        <f t="shared" ref="F4:F6" si="0">1.25*B4</f>
        <v>663.70454372149879</v>
      </c>
      <c r="H4" s="9" t="s">
        <v>54</v>
      </c>
      <c r="I4" s="16">
        <f>'Suav_Expo_NO_APROBADOS-OTOÑO'!D15</f>
        <v>3253.0676563345883</v>
      </c>
    </row>
    <row r="5" spans="1:9" x14ac:dyDescent="0.25">
      <c r="A5" s="9" t="s">
        <v>44</v>
      </c>
      <c r="B5" s="4">
        <f>'Holt_NO_APROBADOS-OTOÑO'!I15</f>
        <v>258.36777612525179</v>
      </c>
      <c r="C5" s="4">
        <f>'Holt_NO_APROBADOS-OTOÑO'!K15</f>
        <v>7.7651009661319064</v>
      </c>
      <c r="D5" s="3">
        <f>MIN('Holt_NO_APROBADOS-OTOÑO'!L3:L15)</f>
        <v>-2</v>
      </c>
      <c r="E5" s="19">
        <f>MAX('Holt_NO_APROBADOS-OTOÑO'!L3:L15)</f>
        <v>3.9869469787394998</v>
      </c>
      <c r="F5" s="21">
        <f t="shared" si="0"/>
        <v>322.95972015656474</v>
      </c>
      <c r="H5" s="9" t="s">
        <v>44</v>
      </c>
      <c r="I5" s="16">
        <f>'Holt_NO_APROBADOS-OTOÑO'!E16</f>
        <v>4199.2655274698072</v>
      </c>
    </row>
    <row r="6" spans="1:9" x14ac:dyDescent="0.25">
      <c r="A6" s="9" t="s">
        <v>45</v>
      </c>
      <c r="B6" s="4">
        <f>'Winter_NO_APROBADOS-OTOÑO'!J15</f>
        <v>301.26063479856106</v>
      </c>
      <c r="C6" s="4">
        <f>'Winter_NO_APROBADOS-OTOÑO'!L15</f>
        <v>9.2261972132495096</v>
      </c>
      <c r="D6" s="3">
        <f>MIN('Winter_NO_APROBADOS-OTOÑO'!M3:M15)</f>
        <v>-2.4416938067491758</v>
      </c>
      <c r="E6" s="19">
        <f>MAX('Winter_NO_APROBADOS-OTOÑO'!M3:M15)</f>
        <v>4.0846342467417962</v>
      </c>
      <c r="F6" s="21">
        <f t="shared" si="0"/>
        <v>376.57579349820134</v>
      </c>
      <c r="H6" s="9" t="s">
        <v>45</v>
      </c>
      <c r="I6" s="16">
        <f>'Winter_NO_APROBADOS-OTOÑO'!F16</f>
        <v>4203.0865620496188</v>
      </c>
    </row>
  </sheetData>
  <mergeCells count="2">
    <mergeCell ref="A1:F1"/>
    <mergeCell ref="H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1418-66FC-4CBC-A624-2D30B9F89A3A}">
  <dimension ref="A1:I18"/>
  <sheetViews>
    <sheetView workbookViewId="0">
      <selection activeCell="A17" sqref="A17:B18"/>
    </sheetView>
  </sheetViews>
  <sheetFormatPr baseColWidth="10" defaultRowHeight="15" x14ac:dyDescent="0.25"/>
  <sheetData>
    <row r="1" spans="1:9" x14ac:dyDescent="0.25">
      <c r="A1" t="s">
        <v>11</v>
      </c>
    </row>
    <row r="2" spans="1:9" ht="15.75" thickBot="1" x14ac:dyDescent="0.3"/>
    <row r="3" spans="1:9" x14ac:dyDescent="0.25">
      <c r="A3" s="24" t="s">
        <v>12</v>
      </c>
      <c r="B3" s="24"/>
    </row>
    <row r="4" spans="1:9" x14ac:dyDescent="0.25">
      <c r="A4" t="s">
        <v>13</v>
      </c>
      <c r="B4">
        <v>0.85800730607240216</v>
      </c>
    </row>
    <row r="5" spans="1:9" x14ac:dyDescent="0.25">
      <c r="A5" t="s">
        <v>14</v>
      </c>
      <c r="B5">
        <v>0.73617653727362087</v>
      </c>
    </row>
    <row r="6" spans="1:9" x14ac:dyDescent="0.25">
      <c r="A6" t="s">
        <v>15</v>
      </c>
      <c r="B6">
        <v>0.71219258611667735</v>
      </c>
    </row>
    <row r="7" spans="1:9" x14ac:dyDescent="0.25">
      <c r="A7" t="s">
        <v>16</v>
      </c>
      <c r="B7">
        <v>374.9283774426633</v>
      </c>
    </row>
    <row r="8" spans="1:9" ht="15.75" thickBot="1" x14ac:dyDescent="0.3">
      <c r="A8" s="22" t="s">
        <v>17</v>
      </c>
      <c r="B8" s="22">
        <v>13</v>
      </c>
    </row>
    <row r="10" spans="1:9" ht="15.75" thickBot="1" x14ac:dyDescent="0.3">
      <c r="A10" t="s">
        <v>18</v>
      </c>
    </row>
    <row r="11" spans="1:9" x14ac:dyDescent="0.25">
      <c r="A11" s="23"/>
      <c r="B11" s="23" t="s">
        <v>23</v>
      </c>
      <c r="C11" s="23" t="s">
        <v>24</v>
      </c>
      <c r="D11" s="23" t="s">
        <v>25</v>
      </c>
      <c r="E11" s="23" t="s">
        <v>26</v>
      </c>
      <c r="F11" s="23" t="s">
        <v>27</v>
      </c>
    </row>
    <row r="12" spans="1:9" x14ac:dyDescent="0.25">
      <c r="A12" t="s">
        <v>19</v>
      </c>
      <c r="B12">
        <v>1</v>
      </c>
      <c r="C12">
        <v>4314772.1373626366</v>
      </c>
      <c r="D12">
        <v>4314772.1373626366</v>
      </c>
      <c r="E12">
        <v>30.694547885638592</v>
      </c>
      <c r="F12">
        <v>1.7529871176487737E-4</v>
      </c>
    </row>
    <row r="13" spans="1:9" x14ac:dyDescent="0.25">
      <c r="A13" t="s">
        <v>20</v>
      </c>
      <c r="B13">
        <v>11</v>
      </c>
      <c r="C13">
        <v>1546284.1703296702</v>
      </c>
      <c r="D13">
        <v>140571.2882117882</v>
      </c>
    </row>
    <row r="14" spans="1:9" ht="15.75" thickBot="1" x14ac:dyDescent="0.3">
      <c r="A14" s="22" t="s">
        <v>21</v>
      </c>
      <c r="B14" s="22">
        <v>12</v>
      </c>
      <c r="C14" s="22">
        <v>5861056.307692307</v>
      </c>
      <c r="D14" s="22"/>
      <c r="E14" s="22"/>
      <c r="F14" s="22"/>
    </row>
    <row r="15" spans="1:9" ht="15.75" thickBot="1" x14ac:dyDescent="0.3"/>
    <row r="16" spans="1:9" x14ac:dyDescent="0.25">
      <c r="A16" s="23"/>
      <c r="B16" s="23" t="s">
        <v>28</v>
      </c>
      <c r="C16" s="23" t="s">
        <v>16</v>
      </c>
      <c r="D16" s="23" t="s">
        <v>29</v>
      </c>
      <c r="E16" s="23" t="s">
        <v>30</v>
      </c>
      <c r="F16" s="23" t="s">
        <v>31</v>
      </c>
      <c r="G16" s="23" t="s">
        <v>32</v>
      </c>
      <c r="H16" s="23" t="s">
        <v>33</v>
      </c>
      <c r="I16" s="23" t="s">
        <v>34</v>
      </c>
    </row>
    <row r="17" spans="1:9" x14ac:dyDescent="0.25">
      <c r="A17" s="32" t="s">
        <v>22</v>
      </c>
      <c r="B17" s="32">
        <v>2055.4230769230767</v>
      </c>
      <c r="C17">
        <v>220.58851301305629</v>
      </c>
      <c r="D17">
        <v>9.3179062175437011</v>
      </c>
      <c r="E17">
        <v>1.4906175154087555E-6</v>
      </c>
      <c r="F17">
        <v>1569.9110332946584</v>
      </c>
      <c r="G17">
        <v>2540.9351205514949</v>
      </c>
      <c r="H17">
        <v>1569.9110332946584</v>
      </c>
      <c r="I17">
        <v>2540.9351205514949</v>
      </c>
    </row>
    <row r="18" spans="1:9" ht="15.75" thickBot="1" x14ac:dyDescent="0.3">
      <c r="A18" s="33" t="s">
        <v>47</v>
      </c>
      <c r="B18" s="33">
        <v>153.97252747252747</v>
      </c>
      <c r="C18" s="22">
        <v>27.79154035762296</v>
      </c>
      <c r="D18" s="22">
        <v>5.5402660482722847</v>
      </c>
      <c r="E18" s="22">
        <v>1.7529871176487705E-4</v>
      </c>
      <c r="F18" s="22">
        <v>92.803759569311467</v>
      </c>
      <c r="G18" s="22">
        <v>215.14129537574348</v>
      </c>
      <c r="H18" s="22">
        <v>92.803759569311467</v>
      </c>
      <c r="I18" s="22">
        <v>215.14129537574348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85D2-14CD-4566-A653-5F381B56E41B}">
  <dimension ref="A1:I18"/>
  <sheetViews>
    <sheetView workbookViewId="0">
      <selection activeCell="B17" sqref="A17:B18"/>
    </sheetView>
  </sheetViews>
  <sheetFormatPr baseColWidth="10" defaultRowHeight="15" x14ac:dyDescent="0.25"/>
  <cols>
    <col min="1" max="1" width="33.140625" customWidth="1"/>
  </cols>
  <sheetData>
    <row r="1" spans="1:9" x14ac:dyDescent="0.25">
      <c r="A1" t="s">
        <v>11</v>
      </c>
    </row>
    <row r="2" spans="1:9" ht="15.75" thickBot="1" x14ac:dyDescent="0.3"/>
    <row r="3" spans="1:9" x14ac:dyDescent="0.25">
      <c r="A3" s="24" t="s">
        <v>12</v>
      </c>
      <c r="B3" s="24"/>
    </row>
    <row r="4" spans="1:9" x14ac:dyDescent="0.25">
      <c r="A4" t="s">
        <v>13</v>
      </c>
      <c r="B4">
        <v>0.989136687288237</v>
      </c>
    </row>
    <row r="5" spans="1:9" x14ac:dyDescent="0.25">
      <c r="A5" t="s">
        <v>14</v>
      </c>
      <c r="B5">
        <v>0.97839138613954757</v>
      </c>
    </row>
    <row r="6" spans="1:9" x14ac:dyDescent="0.25">
      <c r="A6" t="s">
        <v>15</v>
      </c>
      <c r="B6">
        <v>0.97530444130234006</v>
      </c>
    </row>
    <row r="7" spans="1:9" x14ac:dyDescent="0.25">
      <c r="A7" t="s">
        <v>16</v>
      </c>
      <c r="B7">
        <v>71.335581781987315</v>
      </c>
    </row>
    <row r="8" spans="1:9" ht="15.75" thickBot="1" x14ac:dyDescent="0.3">
      <c r="A8" s="22" t="s">
        <v>17</v>
      </c>
      <c r="B8" s="22">
        <v>9</v>
      </c>
    </row>
    <row r="10" spans="1:9" ht="15.75" thickBot="1" x14ac:dyDescent="0.3">
      <c r="A10" t="s">
        <v>18</v>
      </c>
    </row>
    <row r="11" spans="1:9" x14ac:dyDescent="0.25">
      <c r="A11" s="23"/>
      <c r="B11" s="23" t="s">
        <v>23</v>
      </c>
      <c r="C11" s="23" t="s">
        <v>24</v>
      </c>
      <c r="D11" s="23" t="s">
        <v>25</v>
      </c>
      <c r="E11" s="23" t="s">
        <v>26</v>
      </c>
      <c r="F11" s="23" t="s">
        <v>27</v>
      </c>
    </row>
    <row r="12" spans="1:9" x14ac:dyDescent="0.25">
      <c r="A12" t="s">
        <v>19</v>
      </c>
      <c r="B12">
        <v>1</v>
      </c>
      <c r="C12">
        <v>1612858.1260416666</v>
      </c>
      <c r="D12">
        <v>1612858.1260416666</v>
      </c>
      <c r="E12">
        <v>316.94488814533463</v>
      </c>
      <c r="F12">
        <v>4.3532063246457086E-7</v>
      </c>
    </row>
    <row r="13" spans="1:9" x14ac:dyDescent="0.25">
      <c r="A13" t="s">
        <v>20</v>
      </c>
      <c r="B13">
        <v>7</v>
      </c>
      <c r="C13">
        <v>35621.356597222199</v>
      </c>
      <c r="D13">
        <v>5088.7652281745995</v>
      </c>
    </row>
    <row r="14" spans="1:9" ht="15.75" thickBot="1" x14ac:dyDescent="0.3">
      <c r="A14" s="22" t="s">
        <v>21</v>
      </c>
      <c r="B14" s="22">
        <v>8</v>
      </c>
      <c r="C14" s="22">
        <v>1648479.4826388888</v>
      </c>
      <c r="D14" s="22"/>
      <c r="E14" s="22"/>
      <c r="F14" s="22"/>
    </row>
    <row r="15" spans="1:9" ht="15.75" thickBot="1" x14ac:dyDescent="0.3"/>
    <row r="16" spans="1:9" x14ac:dyDescent="0.25">
      <c r="A16" s="23"/>
      <c r="B16" s="23" t="s">
        <v>28</v>
      </c>
      <c r="C16" s="23" t="s">
        <v>16</v>
      </c>
      <c r="D16" s="23" t="s">
        <v>29</v>
      </c>
      <c r="E16" s="23" t="s">
        <v>30</v>
      </c>
      <c r="F16" s="23" t="s">
        <v>31</v>
      </c>
      <c r="G16" s="23" t="s">
        <v>32</v>
      </c>
      <c r="H16" s="23" t="s">
        <v>33</v>
      </c>
      <c r="I16" s="23" t="s">
        <v>34</v>
      </c>
    </row>
    <row r="17" spans="1:9" x14ac:dyDescent="0.25">
      <c r="A17" s="32" t="s">
        <v>22</v>
      </c>
      <c r="B17" s="32">
        <v>1931.0847222222221</v>
      </c>
      <c r="C17">
        <v>68.711303982886648</v>
      </c>
      <c r="D17">
        <v>28.10432360158936</v>
      </c>
      <c r="E17">
        <v>1.8554129564557931E-8</v>
      </c>
      <c r="F17">
        <v>1768.6083064657244</v>
      </c>
      <c r="G17">
        <v>2093.5611379787197</v>
      </c>
      <c r="H17">
        <v>1768.6083064657244</v>
      </c>
      <c r="I17">
        <v>2093.5611379787197</v>
      </c>
    </row>
    <row r="18" spans="1:9" ht="15.75" thickBot="1" x14ac:dyDescent="0.3">
      <c r="A18" s="33" t="s">
        <v>47</v>
      </c>
      <c r="B18" s="33">
        <v>163.95416666666665</v>
      </c>
      <c r="C18" s="22">
        <v>9.2093840077884668</v>
      </c>
      <c r="D18" s="22">
        <v>17.802946052418815</v>
      </c>
      <c r="E18" s="22">
        <v>4.3532063246457086E-7</v>
      </c>
      <c r="F18" s="22">
        <v>142.1774338996193</v>
      </c>
      <c r="G18" s="22">
        <v>185.730899433714</v>
      </c>
      <c r="H18" s="22">
        <v>142.1774338996193</v>
      </c>
      <c r="I18" s="22">
        <v>185.730899433714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7C223-1B0A-43AC-B887-C61993C0769F}">
  <dimension ref="A1:H14"/>
  <sheetViews>
    <sheetView workbookViewId="0">
      <selection activeCell="H18" sqref="H18"/>
    </sheetView>
  </sheetViews>
  <sheetFormatPr baseColWidth="10" defaultRowHeight="15" x14ac:dyDescent="0.25"/>
  <cols>
    <col min="3" max="3" width="18.42578125" customWidth="1"/>
    <col min="4" max="4" width="24.28515625" customWidth="1"/>
    <col min="5" max="5" width="17.140625" customWidth="1"/>
  </cols>
  <sheetData>
    <row r="1" spans="1:8" ht="30" x14ac:dyDescent="0.25">
      <c r="A1" s="1" t="s">
        <v>0</v>
      </c>
      <c r="B1" s="11" t="s">
        <v>1</v>
      </c>
      <c r="C1" s="12" t="s">
        <v>46</v>
      </c>
      <c r="D1" s="12" t="s">
        <v>48</v>
      </c>
      <c r="E1" s="5" t="s">
        <v>49</v>
      </c>
    </row>
    <row r="2" spans="1:8" x14ac:dyDescent="0.25">
      <c r="A2" s="1">
        <v>1</v>
      </c>
      <c r="B2" s="17">
        <v>2406</v>
      </c>
      <c r="C2" s="2"/>
      <c r="D2" s="2">
        <f>1931.08472+A2*(163.954167)</f>
        <v>2095.0388870000002</v>
      </c>
      <c r="E2" s="30">
        <f>B2/D2</f>
        <v>1.1484273704557733</v>
      </c>
    </row>
    <row r="3" spans="1:8" x14ac:dyDescent="0.25">
      <c r="A3" s="1">
        <v>2</v>
      </c>
      <c r="B3" s="17">
        <v>2638</v>
      </c>
      <c r="C3" s="2"/>
      <c r="D3" s="2">
        <f t="shared" ref="D3:D14" si="0">1931.08472+A3*(163.954167)</f>
        <v>2258.993054</v>
      </c>
      <c r="E3" s="3">
        <f t="shared" ref="E3:E14" si="1">B3/D3</f>
        <v>1.1677769417346779</v>
      </c>
    </row>
    <row r="4" spans="1:8" x14ac:dyDescent="0.25">
      <c r="A4" s="1">
        <v>3</v>
      </c>
      <c r="B4" s="17">
        <v>2409</v>
      </c>
      <c r="C4" s="2">
        <f>(B2+B6+2*SUM(B3:B5))/8</f>
        <v>2536.5</v>
      </c>
      <c r="D4" s="2">
        <f t="shared" si="0"/>
        <v>2422.9472210000004</v>
      </c>
      <c r="E4" s="3">
        <f t="shared" si="1"/>
        <v>0.99424369590921424</v>
      </c>
    </row>
    <row r="5" spans="1:8" x14ac:dyDescent="0.25">
      <c r="A5" s="1">
        <v>4</v>
      </c>
      <c r="B5" s="17">
        <v>2495</v>
      </c>
      <c r="C5" s="2">
        <f t="shared" ref="C5:C11" si="2">(B3+B7+2*SUM(B4:B6))/8</f>
        <v>2584.375</v>
      </c>
      <c r="D5" s="2">
        <f t="shared" si="0"/>
        <v>2586.9013880000002</v>
      </c>
      <c r="E5" s="3">
        <f t="shared" si="1"/>
        <v>0.96447433658418202</v>
      </c>
    </row>
    <row r="6" spans="1:8" x14ac:dyDescent="0.25">
      <c r="A6" s="1">
        <v>5</v>
      </c>
      <c r="B6" s="17">
        <v>2802</v>
      </c>
      <c r="C6" s="2">
        <f t="shared" si="2"/>
        <v>2691.375</v>
      </c>
      <c r="D6" s="2">
        <f t="shared" si="0"/>
        <v>2750.8555550000001</v>
      </c>
      <c r="E6" s="30">
        <f t="shared" si="1"/>
        <v>1.0185921957650734</v>
      </c>
      <c r="G6" s="32" t="s">
        <v>22</v>
      </c>
      <c r="H6" s="32">
        <v>1931.0847222222221</v>
      </c>
    </row>
    <row r="7" spans="1:8" ht="15.75" thickBot="1" x14ac:dyDescent="0.3">
      <c r="A7" s="1">
        <v>6</v>
      </c>
      <c r="B7" s="17">
        <v>2625</v>
      </c>
      <c r="C7" s="2">
        <f t="shared" si="2"/>
        <v>2881.875</v>
      </c>
      <c r="D7" s="2">
        <f t="shared" si="0"/>
        <v>2914.809722</v>
      </c>
      <c r="E7" s="3">
        <f t="shared" si="1"/>
        <v>0.90057336511106922</v>
      </c>
      <c r="G7" s="33" t="s">
        <v>47</v>
      </c>
      <c r="H7" s="33">
        <v>163.95416666666665</v>
      </c>
    </row>
    <row r="8" spans="1:8" x14ac:dyDescent="0.25">
      <c r="A8" s="1">
        <v>7</v>
      </c>
      <c r="B8" s="17">
        <v>3278</v>
      </c>
      <c r="C8" s="2">
        <f t="shared" si="2"/>
        <v>3035.75</v>
      </c>
      <c r="D8" s="2">
        <f t="shared" si="0"/>
        <v>3078.7638889999998</v>
      </c>
      <c r="E8" s="3">
        <f t="shared" si="1"/>
        <v>1.0647130206092916</v>
      </c>
    </row>
    <row r="9" spans="1:8" x14ac:dyDescent="0.25">
      <c r="A9" s="1">
        <v>8</v>
      </c>
      <c r="B9" s="17">
        <v>3150</v>
      </c>
      <c r="C9" s="2">
        <f t="shared" si="2"/>
        <v>3217.5</v>
      </c>
      <c r="D9" s="2">
        <f t="shared" si="0"/>
        <v>3242.7180560000002</v>
      </c>
      <c r="E9" s="3">
        <f t="shared" si="1"/>
        <v>0.97140730263969632</v>
      </c>
    </row>
    <row r="10" spans="1:8" x14ac:dyDescent="0.25">
      <c r="A10" s="1">
        <v>9</v>
      </c>
      <c r="B10" s="17">
        <v>3378</v>
      </c>
      <c r="C10" s="2">
        <f t="shared" si="2"/>
        <v>3342.75</v>
      </c>
      <c r="D10" s="2">
        <f t="shared" si="0"/>
        <v>3406.6722230000005</v>
      </c>
      <c r="E10" s="30">
        <f t="shared" si="1"/>
        <v>0.99158350991139643</v>
      </c>
    </row>
    <row r="11" spans="1:8" x14ac:dyDescent="0.25">
      <c r="A11" s="1">
        <v>10</v>
      </c>
      <c r="B11" s="17">
        <v>3503</v>
      </c>
      <c r="C11" s="2">
        <f t="shared" si="2"/>
        <v>3577</v>
      </c>
      <c r="D11" s="2">
        <f t="shared" si="0"/>
        <v>3570.6263900000004</v>
      </c>
      <c r="E11" s="3">
        <f t="shared" si="1"/>
        <v>0.98106035675157821</v>
      </c>
    </row>
    <row r="12" spans="1:8" x14ac:dyDescent="0.25">
      <c r="A12" s="1">
        <v>11</v>
      </c>
      <c r="B12" s="17">
        <v>3402</v>
      </c>
      <c r="C12" s="2">
        <f>(B10+B14+2*SUM(B11:B13))/8</f>
        <v>3841.75</v>
      </c>
      <c r="D12" s="2">
        <f t="shared" si="0"/>
        <v>3734.5805570000002</v>
      </c>
      <c r="E12" s="3">
        <f t="shared" si="1"/>
        <v>0.91094567330282383</v>
      </c>
    </row>
    <row r="13" spans="1:8" x14ac:dyDescent="0.25">
      <c r="A13" s="1">
        <v>12</v>
      </c>
      <c r="B13" s="17">
        <v>4900</v>
      </c>
      <c r="C13" s="2"/>
      <c r="D13" s="2">
        <f t="shared" si="0"/>
        <v>3898.5347240000001</v>
      </c>
      <c r="E13" s="3">
        <f t="shared" si="1"/>
        <v>1.2568824819835054</v>
      </c>
    </row>
    <row r="14" spans="1:8" x14ac:dyDescent="0.25">
      <c r="A14" s="1">
        <v>13</v>
      </c>
      <c r="B14" s="17">
        <v>3746</v>
      </c>
      <c r="C14" s="2"/>
      <c r="D14" s="2">
        <f t="shared" si="0"/>
        <v>4062.488891</v>
      </c>
      <c r="E14" s="3">
        <f t="shared" si="1"/>
        <v>0.92209482918189722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Datos_NO_APROBADOS-OTOÑO</vt:lpstr>
      <vt:lpstr>Prom_móvil_NO_APROBADOS-OTOÑO</vt:lpstr>
      <vt:lpstr>Suav_Expo_NO_APROBADOS-OTOÑO</vt:lpstr>
      <vt:lpstr>Holt_NO_APROBADOS-OTOÑO</vt:lpstr>
      <vt:lpstr>Winter_NO_APROBADOS-OTOÑO</vt:lpstr>
      <vt:lpstr>RESUMEN</vt:lpstr>
      <vt:lpstr>Regres_Holt_NO_APROBADOS-OTOÑO</vt:lpstr>
      <vt:lpstr>Regres_Winter_NO_APROBADOS_OTOÑ</vt:lpstr>
      <vt:lpstr>Demanda_des_Factor esta_winter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Fabiola Montero Gonzalez</dc:creator>
  <cp:lastModifiedBy>Fabiola Montero González</cp:lastModifiedBy>
  <dcterms:created xsi:type="dcterms:W3CDTF">2024-08-20T22:38:25Z</dcterms:created>
  <dcterms:modified xsi:type="dcterms:W3CDTF">2024-09-08T03:45:50Z</dcterms:modified>
</cp:coreProperties>
</file>