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7c5a732e66f747f/5 - FAVIP-TRABALHOS/CONCRETO/TRABALHO DE CONCRETO/"/>
    </mc:Choice>
  </mc:AlternateContent>
  <xr:revisionPtr revIDLastSave="11" documentId="11_EF70F19260765E087551D360EC047726356D0741" xr6:coauthVersionLast="45" xr6:coauthVersionMax="45" xr10:uidLastSave="{11E596D1-45EF-4955-8D8B-A4A28AD051A2}"/>
  <bookViews>
    <workbookView xWindow="-120" yWindow="-120" windowWidth="20730" windowHeight="11160" xr2:uid="{00000000-000D-0000-FFFF-FFFF00000000}"/>
  </bookViews>
  <sheets>
    <sheet name="Pré-dimencionamento das Vigas" sheetId="1" r:id="rId1"/>
    <sheet name="Cálculo das Armaduras das Vigas" sheetId="2" r:id="rId2"/>
    <sheet name="Pré-dimensionamento de Lajes" sheetId="3" r:id="rId3"/>
    <sheet name="Momentos Fletores" sheetId="4" r:id="rId4"/>
    <sheet name="Cargas Atuantes" sheetId="5" r:id="rId5"/>
    <sheet name="Compatibilização de Momentos" sheetId="6" r:id="rId6"/>
    <sheet name="Dimensionamento das Armaduras" sheetId="7" r:id="rId7"/>
    <sheet name="Detalhamento das Armaduras" sheetId="8" r:id="rId8"/>
    <sheet name="Quantitativo - Lajes" sheetId="9" r:id="rId9"/>
    <sheet name="Quantitativo - Vigas" sheetId="10" r:id="rId10"/>
    <sheet name="Quantitativo - TOT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0" l="1"/>
  <c r="D18" i="10"/>
  <c r="C18" i="10"/>
  <c r="D17" i="10"/>
  <c r="C17" i="10"/>
  <c r="E17" i="10" s="1"/>
  <c r="D16" i="10"/>
  <c r="C16" i="10"/>
  <c r="E16" i="10" s="1"/>
  <c r="C15" i="10"/>
  <c r="E15" i="10" s="1"/>
  <c r="D14" i="10"/>
  <c r="C14" i="10"/>
  <c r="E14" i="10" s="1"/>
  <c r="E13" i="10"/>
  <c r="C13" i="10"/>
  <c r="E12" i="10"/>
  <c r="D12" i="10"/>
  <c r="C12" i="10"/>
  <c r="E11" i="10"/>
  <c r="D11" i="10"/>
  <c r="C11" i="10"/>
  <c r="D10" i="10"/>
  <c r="E10" i="10" s="1"/>
  <c r="C10" i="10"/>
  <c r="E9" i="10"/>
  <c r="C9" i="10"/>
  <c r="E8" i="10"/>
  <c r="D8" i="10"/>
  <c r="C8" i="10"/>
  <c r="D7" i="10"/>
  <c r="C7" i="10"/>
  <c r="E7" i="10" s="1"/>
  <c r="D6" i="10"/>
  <c r="C6" i="10"/>
  <c r="E6" i="10" s="1"/>
  <c r="C5" i="10"/>
  <c r="E5" i="10" s="1"/>
  <c r="E19" i="10" s="1"/>
  <c r="C23" i="9"/>
  <c r="B23" i="9"/>
  <c r="C22" i="9"/>
  <c r="B22" i="9"/>
  <c r="E21" i="9"/>
  <c r="D21" i="9"/>
  <c r="C21" i="9"/>
  <c r="B21" i="9"/>
  <c r="D16" i="9"/>
  <c r="D15" i="9"/>
  <c r="D14" i="9"/>
  <c r="D13" i="9"/>
  <c r="D12" i="9"/>
  <c r="D11" i="9"/>
  <c r="D10" i="9"/>
  <c r="D9" i="9"/>
  <c r="D8" i="9"/>
  <c r="D7" i="9"/>
  <c r="D6" i="9"/>
  <c r="D5" i="9"/>
  <c r="C4" i="9"/>
  <c r="AS45" i="8"/>
  <c r="AO21" i="8"/>
  <c r="AN21" i="8"/>
  <c r="AM21" i="8"/>
  <c r="AA21" i="8" s="1"/>
  <c r="AL21" i="8"/>
  <c r="AO20" i="8"/>
  <c r="AN20" i="8"/>
  <c r="AM20" i="8"/>
  <c r="AL20" i="8"/>
  <c r="AS44" i="8" s="1"/>
  <c r="AA20" i="8"/>
  <c r="AO19" i="8"/>
  <c r="AN19" i="8"/>
  <c r="AM19" i="8"/>
  <c r="AL19" i="8"/>
  <c r="AS43" i="8" s="1"/>
  <c r="AA19" i="8"/>
  <c r="AO18" i="8"/>
  <c r="AN18" i="8"/>
  <c r="AM18" i="8"/>
  <c r="AA18" i="8" s="1"/>
  <c r="AL18" i="8"/>
  <c r="AS42" i="8" s="1"/>
  <c r="AO17" i="8"/>
  <c r="AN17" i="8"/>
  <c r="AM17" i="8"/>
  <c r="AA17" i="8" s="1"/>
  <c r="AL17" i="8"/>
  <c r="AS41" i="8" s="1"/>
  <c r="N17" i="8"/>
  <c r="M17" i="8"/>
  <c r="AS28" i="8" s="1"/>
  <c r="I17" i="8"/>
  <c r="H17" i="8"/>
  <c r="AS27" i="8" s="1"/>
  <c r="AO16" i="8"/>
  <c r="AN16" i="8"/>
  <c r="AM16" i="8"/>
  <c r="AL16" i="8"/>
  <c r="AS40" i="8" s="1"/>
  <c r="AA16" i="8"/>
  <c r="N16" i="8"/>
  <c r="M16" i="8"/>
  <c r="AS26" i="8" s="1"/>
  <c r="I16" i="8"/>
  <c r="H16" i="8"/>
  <c r="AS25" i="8" s="1"/>
  <c r="AO15" i="8"/>
  <c r="AN15" i="8"/>
  <c r="AM15" i="8"/>
  <c r="AL15" i="8"/>
  <c r="AS39" i="8" s="1"/>
  <c r="AA15" i="8"/>
  <c r="N15" i="8"/>
  <c r="M15" i="8"/>
  <c r="AS24" i="8" s="1"/>
  <c r="I15" i="8"/>
  <c r="H15" i="8"/>
  <c r="AS23" i="8" s="1"/>
  <c r="AO14" i="8"/>
  <c r="AN14" i="8"/>
  <c r="AM14" i="8"/>
  <c r="AL14" i="8"/>
  <c r="AS38" i="8" s="1"/>
  <c r="AA14" i="8"/>
  <c r="N14" i="8"/>
  <c r="M14" i="8"/>
  <c r="AS22" i="8" s="1"/>
  <c r="I14" i="8"/>
  <c r="H14" i="8"/>
  <c r="AS21" i="8" s="1"/>
  <c r="AO13" i="8"/>
  <c r="AN13" i="8"/>
  <c r="AM13" i="8"/>
  <c r="AA13" i="8" s="1"/>
  <c r="AL13" i="8"/>
  <c r="AS37" i="8" s="1"/>
  <c r="N13" i="8"/>
  <c r="M13" i="8"/>
  <c r="AS20" i="8" s="1"/>
  <c r="I13" i="8"/>
  <c r="H13" i="8"/>
  <c r="AS19" i="8" s="1"/>
  <c r="AO12" i="8"/>
  <c r="AN12" i="8"/>
  <c r="AM12" i="8"/>
  <c r="AA12" i="8" s="1"/>
  <c r="AL12" i="8"/>
  <c r="AS36" i="8" s="1"/>
  <c r="N12" i="8"/>
  <c r="M12" i="8"/>
  <c r="AS18" i="8" s="1"/>
  <c r="I12" i="8"/>
  <c r="H12" i="8"/>
  <c r="AS17" i="8" s="1"/>
  <c r="AO11" i="8"/>
  <c r="AN11" i="8"/>
  <c r="AM11" i="8"/>
  <c r="AL11" i="8"/>
  <c r="AS35" i="8" s="1"/>
  <c r="AA11" i="8"/>
  <c r="R11" i="8"/>
  <c r="N11" i="8"/>
  <c r="M11" i="8"/>
  <c r="AS16" i="8" s="1"/>
  <c r="I11" i="8"/>
  <c r="H11" i="8"/>
  <c r="AS15" i="8" s="1"/>
  <c r="AO10" i="8"/>
  <c r="AN10" i="8"/>
  <c r="AM10" i="8"/>
  <c r="AL10" i="8"/>
  <c r="AS34" i="8" s="1"/>
  <c r="AA10" i="8"/>
  <c r="N10" i="8"/>
  <c r="M10" i="8"/>
  <c r="AS14" i="8" s="1"/>
  <c r="I10" i="8"/>
  <c r="H10" i="8"/>
  <c r="AS13" i="8" s="1"/>
  <c r="AO9" i="8"/>
  <c r="AN9" i="8"/>
  <c r="AM9" i="8"/>
  <c r="AL9" i="8"/>
  <c r="AS33" i="8" s="1"/>
  <c r="AA9" i="8"/>
  <c r="N9" i="8"/>
  <c r="M9" i="8"/>
  <c r="AS12" i="8" s="1"/>
  <c r="I9" i="8"/>
  <c r="H9" i="8"/>
  <c r="AS11" i="8" s="1"/>
  <c r="AO8" i="8"/>
  <c r="AN8" i="8"/>
  <c r="AM8" i="8"/>
  <c r="AA8" i="8" s="1"/>
  <c r="AL8" i="8"/>
  <c r="AS32" i="8" s="1"/>
  <c r="N8" i="8"/>
  <c r="M8" i="8"/>
  <c r="AS10" i="8" s="1"/>
  <c r="I8" i="8"/>
  <c r="H8" i="8"/>
  <c r="AS9" i="8" s="1"/>
  <c r="AO7" i="8"/>
  <c r="AN7" i="8"/>
  <c r="AM7" i="8"/>
  <c r="AL7" i="8"/>
  <c r="AS31" i="8" s="1"/>
  <c r="AA7" i="8"/>
  <c r="N7" i="8"/>
  <c r="M7" i="8"/>
  <c r="AS8" i="8" s="1"/>
  <c r="I7" i="8"/>
  <c r="H7" i="8"/>
  <c r="AS7" i="8" s="1"/>
  <c r="AS6" i="8"/>
  <c r="AO6" i="8"/>
  <c r="AN6" i="8"/>
  <c r="AM6" i="8"/>
  <c r="AA6" i="8" s="1"/>
  <c r="AL6" i="8"/>
  <c r="AS30" i="8" s="1"/>
  <c r="N6" i="8"/>
  <c r="M6" i="8"/>
  <c r="I6" i="8"/>
  <c r="H6" i="8"/>
  <c r="AS5" i="8"/>
  <c r="AO5" i="8"/>
  <c r="AN5" i="8"/>
  <c r="AM5" i="8"/>
  <c r="AA5" i="8" s="1"/>
  <c r="AL5" i="8"/>
  <c r="AS29" i="8" s="1"/>
  <c r="BH21" i="7"/>
  <c r="BG21" i="7"/>
  <c r="BH20" i="7"/>
  <c r="BG20" i="7"/>
  <c r="BH19" i="7"/>
  <c r="BG19" i="7"/>
  <c r="BH18" i="7"/>
  <c r="BG18" i="7"/>
  <c r="BH17" i="7"/>
  <c r="BG17" i="7"/>
  <c r="Z17" i="7"/>
  <c r="Y17" i="7"/>
  <c r="X17" i="7"/>
  <c r="F17" i="7"/>
  <c r="E17" i="7"/>
  <c r="B17" i="7"/>
  <c r="AJ17" i="7" s="1"/>
  <c r="BH16" i="7"/>
  <c r="BG16" i="7"/>
  <c r="Z16" i="7"/>
  <c r="Y16" i="7"/>
  <c r="X16" i="7"/>
  <c r="F16" i="7"/>
  <c r="E16" i="7"/>
  <c r="B16" i="7"/>
  <c r="BH15" i="7"/>
  <c r="BG15" i="7"/>
  <c r="AK15" i="7"/>
  <c r="AE15" i="7"/>
  <c r="Z15" i="7"/>
  <c r="Y15" i="7"/>
  <c r="X15" i="7"/>
  <c r="F15" i="7"/>
  <c r="E15" i="7"/>
  <c r="C15" i="7"/>
  <c r="B15" i="7"/>
  <c r="AF15" i="7" s="1"/>
  <c r="BH14" i="7"/>
  <c r="BG14" i="7"/>
  <c r="AK14" i="7"/>
  <c r="AF14" i="7"/>
  <c r="AE14" i="7"/>
  <c r="Z14" i="7"/>
  <c r="Y14" i="7"/>
  <c r="X14" i="7"/>
  <c r="F14" i="7"/>
  <c r="E14" i="7"/>
  <c r="C14" i="7"/>
  <c r="B14" i="7"/>
  <c r="AJ14" i="7" s="1"/>
  <c r="BH13" i="7"/>
  <c r="BG13" i="7"/>
  <c r="AF13" i="7"/>
  <c r="Z13" i="7"/>
  <c r="Y13" i="7"/>
  <c r="X13" i="7"/>
  <c r="F13" i="7"/>
  <c r="E13" i="7"/>
  <c r="B13" i="7"/>
  <c r="AJ13" i="7" s="1"/>
  <c r="BH12" i="7"/>
  <c r="BG12" i="7"/>
  <c r="Z12" i="7"/>
  <c r="Y12" i="7"/>
  <c r="X12" i="7"/>
  <c r="O12" i="7"/>
  <c r="F12" i="7"/>
  <c r="E12" i="7"/>
  <c r="B12" i="7"/>
  <c r="AJ12" i="7" s="1"/>
  <c r="BH11" i="7"/>
  <c r="BG11" i="7"/>
  <c r="AK11" i="7"/>
  <c r="AE11" i="7"/>
  <c r="Z11" i="7"/>
  <c r="Y11" i="7"/>
  <c r="X11" i="7"/>
  <c r="F11" i="7"/>
  <c r="E11" i="7"/>
  <c r="C11" i="7"/>
  <c r="B11" i="7"/>
  <c r="AF11" i="7" s="1"/>
  <c r="BH10" i="7"/>
  <c r="BG10" i="7"/>
  <c r="AK10" i="7"/>
  <c r="AF10" i="7"/>
  <c r="AE10" i="7"/>
  <c r="Z10" i="7"/>
  <c r="Y10" i="7"/>
  <c r="X10" i="7"/>
  <c r="F10" i="7"/>
  <c r="E10" i="7"/>
  <c r="C10" i="7"/>
  <c r="B10" i="7"/>
  <c r="AJ10" i="7" s="1"/>
  <c r="BH9" i="7"/>
  <c r="BG9" i="7"/>
  <c r="AF9" i="7"/>
  <c r="Z9" i="7"/>
  <c r="Y9" i="7"/>
  <c r="X9" i="7"/>
  <c r="F9" i="7"/>
  <c r="E9" i="7"/>
  <c r="B9" i="7"/>
  <c r="AJ9" i="7" s="1"/>
  <c r="BH8" i="7"/>
  <c r="BG8" i="7"/>
  <c r="AK8" i="7"/>
  <c r="AJ8" i="7"/>
  <c r="Z8" i="7"/>
  <c r="F8" i="7"/>
  <c r="E8" i="7"/>
  <c r="B8" i="7"/>
  <c r="BH7" i="7"/>
  <c r="BG7" i="7"/>
  <c r="AK7" i="7"/>
  <c r="AJ7" i="7"/>
  <c r="Z7" i="7"/>
  <c r="F7" i="7"/>
  <c r="E7" i="7"/>
  <c r="C7" i="7"/>
  <c r="B7" i="7"/>
  <c r="AF7" i="7" s="1"/>
  <c r="BH6" i="7"/>
  <c r="BG6" i="7"/>
  <c r="AK6" i="7"/>
  <c r="AF6" i="7"/>
  <c r="AE6" i="7"/>
  <c r="Z6" i="7"/>
  <c r="Y6" i="7"/>
  <c r="X6" i="7"/>
  <c r="F6" i="7"/>
  <c r="E6" i="7"/>
  <c r="C6" i="7"/>
  <c r="B6" i="7"/>
  <c r="AJ6" i="7" s="1"/>
  <c r="BH5" i="7"/>
  <c r="BG5" i="7"/>
  <c r="Z16" i="5"/>
  <c r="J16" i="5"/>
  <c r="H16" i="5"/>
  <c r="C16" i="5"/>
  <c r="E16" i="5" s="1"/>
  <c r="J15" i="5"/>
  <c r="H15" i="5"/>
  <c r="C15" i="5"/>
  <c r="E15" i="5" s="1"/>
  <c r="Z15" i="5" s="1"/>
  <c r="J14" i="5"/>
  <c r="H14" i="5"/>
  <c r="C14" i="5"/>
  <c r="E14" i="5" s="1"/>
  <c r="Z14" i="5" s="1"/>
  <c r="J13" i="5"/>
  <c r="H13" i="5"/>
  <c r="C13" i="5"/>
  <c r="E13" i="5" s="1"/>
  <c r="Z12" i="5"/>
  <c r="J12" i="5"/>
  <c r="H12" i="5"/>
  <c r="C12" i="5"/>
  <c r="E12" i="5" s="1"/>
  <c r="J11" i="5"/>
  <c r="H11" i="5"/>
  <c r="C11" i="5"/>
  <c r="E11" i="5" s="1"/>
  <c r="Z11" i="5" s="1"/>
  <c r="J10" i="5"/>
  <c r="H10" i="5"/>
  <c r="C10" i="5"/>
  <c r="E10" i="5" s="1"/>
  <c r="Z10" i="5" s="1"/>
  <c r="J9" i="5"/>
  <c r="H9" i="5"/>
  <c r="C9" i="5"/>
  <c r="E9" i="5" s="1"/>
  <c r="Z8" i="5"/>
  <c r="J8" i="5"/>
  <c r="H8" i="5"/>
  <c r="C8" i="5"/>
  <c r="E8" i="5" s="1"/>
  <c r="J7" i="5"/>
  <c r="H7" i="5"/>
  <c r="C7" i="5"/>
  <c r="E7" i="5" s="1"/>
  <c r="J6" i="5"/>
  <c r="H6" i="5"/>
  <c r="C6" i="5"/>
  <c r="E6" i="5" s="1"/>
  <c r="Z6" i="5" s="1"/>
  <c r="J5" i="5"/>
  <c r="H5" i="5"/>
  <c r="C5" i="5"/>
  <c r="E5" i="5" s="1"/>
  <c r="Z5" i="5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L20" i="3"/>
  <c r="K20" i="3"/>
  <c r="M20" i="3" s="1"/>
  <c r="G20" i="3"/>
  <c r="W18" i="3" s="1"/>
  <c r="Y18" i="3" s="1"/>
  <c r="F20" i="3"/>
  <c r="E20" i="3"/>
  <c r="L19" i="3"/>
  <c r="K19" i="3"/>
  <c r="F19" i="3"/>
  <c r="E19" i="3"/>
  <c r="G19" i="3" s="1"/>
  <c r="W17" i="3" s="1"/>
  <c r="BF18" i="3"/>
  <c r="AU18" i="3"/>
  <c r="AT18" i="3"/>
  <c r="AS18" i="3"/>
  <c r="AO18" i="3"/>
  <c r="AN18" i="3"/>
  <c r="AM18" i="3"/>
  <c r="AL18" i="3"/>
  <c r="AV18" i="3" s="1"/>
  <c r="X18" i="3"/>
  <c r="L18" i="3"/>
  <c r="K18" i="3"/>
  <c r="M18" i="3" s="1"/>
  <c r="F18" i="3"/>
  <c r="G18" i="3" s="1"/>
  <c r="W16" i="3" s="1"/>
  <c r="E18" i="3"/>
  <c r="BF17" i="3"/>
  <c r="AU17" i="3"/>
  <c r="AW17" i="3" s="1"/>
  <c r="AT17" i="3"/>
  <c r="AS17" i="3"/>
  <c r="AO17" i="3"/>
  <c r="AQ17" i="3" s="1"/>
  <c r="AN17" i="3"/>
  <c r="AP17" i="3" s="1"/>
  <c r="AM17" i="3"/>
  <c r="AL17" i="3"/>
  <c r="AV17" i="3" s="1"/>
  <c r="L17" i="3"/>
  <c r="K17" i="3"/>
  <c r="M17" i="3" s="1"/>
  <c r="F17" i="3"/>
  <c r="E17" i="3"/>
  <c r="G17" i="3" s="1"/>
  <c r="W15" i="3" s="1"/>
  <c r="BF16" i="3"/>
  <c r="AU16" i="3"/>
  <c r="AT16" i="3"/>
  <c r="AS16" i="3"/>
  <c r="AO16" i="3"/>
  <c r="AN16" i="3"/>
  <c r="AM16" i="3"/>
  <c r="AL16" i="3"/>
  <c r="AQ16" i="3" s="1"/>
  <c r="L16" i="3"/>
  <c r="K16" i="3"/>
  <c r="M16" i="3" s="1"/>
  <c r="F16" i="3"/>
  <c r="E16" i="3"/>
  <c r="G16" i="3" s="1"/>
  <c r="W14" i="3" s="1"/>
  <c r="BF15" i="3"/>
  <c r="AW15" i="3"/>
  <c r="AU15" i="3"/>
  <c r="AT15" i="3"/>
  <c r="AV15" i="3" s="1"/>
  <c r="AS15" i="3"/>
  <c r="AO15" i="3"/>
  <c r="AQ15" i="3" s="1"/>
  <c r="AN15" i="3"/>
  <c r="AM15" i="3"/>
  <c r="AL15" i="3"/>
  <c r="AP15" i="3" s="1"/>
  <c r="L15" i="3"/>
  <c r="K15" i="3"/>
  <c r="M15" i="3" s="1"/>
  <c r="X13" i="3" s="1"/>
  <c r="G15" i="3"/>
  <c r="F15" i="3"/>
  <c r="E15" i="3"/>
  <c r="BF14" i="3"/>
  <c r="AW14" i="3"/>
  <c r="AV14" i="3"/>
  <c r="AU14" i="3"/>
  <c r="AT14" i="3"/>
  <c r="AS14" i="3"/>
  <c r="AO14" i="3"/>
  <c r="AQ14" i="3" s="1"/>
  <c r="AN14" i="3"/>
  <c r="AP14" i="3" s="1"/>
  <c r="AM14" i="3"/>
  <c r="AL14" i="3"/>
  <c r="M14" i="3"/>
  <c r="L14" i="3"/>
  <c r="K14" i="3"/>
  <c r="F14" i="3"/>
  <c r="G14" i="3" s="1"/>
  <c r="W12" i="3" s="1"/>
  <c r="E14" i="3"/>
  <c r="BF13" i="3"/>
  <c r="AV13" i="3"/>
  <c r="AU13" i="3"/>
  <c r="AW13" i="3" s="1"/>
  <c r="AT13" i="3"/>
  <c r="AS13" i="3"/>
  <c r="AQ13" i="3"/>
  <c r="AO13" i="3"/>
  <c r="AN13" i="3"/>
  <c r="AP13" i="3" s="1"/>
  <c r="AM13" i="3"/>
  <c r="AL13" i="3"/>
  <c r="L13" i="3"/>
  <c r="M13" i="3" s="1"/>
  <c r="K13" i="3"/>
  <c r="F13" i="3"/>
  <c r="E13" i="3"/>
  <c r="G13" i="3" s="1"/>
  <c r="W11" i="3" s="1"/>
  <c r="BF12" i="3"/>
  <c r="AU12" i="3"/>
  <c r="AW12" i="3" s="1"/>
  <c r="AT12" i="3"/>
  <c r="AS12" i="3"/>
  <c r="AO12" i="3"/>
  <c r="AN12" i="3"/>
  <c r="AM12" i="3"/>
  <c r="AL12" i="3"/>
  <c r="AQ12" i="3" s="1"/>
  <c r="L12" i="3"/>
  <c r="K12" i="3"/>
  <c r="M12" i="3" s="1"/>
  <c r="N12" i="3" s="1"/>
  <c r="N9" i="4" s="1"/>
  <c r="F12" i="3"/>
  <c r="E12" i="3"/>
  <c r="G12" i="3" s="1"/>
  <c r="W10" i="3" s="1"/>
  <c r="BF11" i="3"/>
  <c r="AW11" i="3"/>
  <c r="AU11" i="3"/>
  <c r="AT11" i="3"/>
  <c r="AV11" i="3" s="1"/>
  <c r="AS11" i="3"/>
  <c r="AO11" i="3"/>
  <c r="AQ11" i="3" s="1"/>
  <c r="AN11" i="3"/>
  <c r="AM11" i="3"/>
  <c r="AL11" i="3"/>
  <c r="AP11" i="3" s="1"/>
  <c r="L11" i="3"/>
  <c r="K11" i="3"/>
  <c r="M11" i="3" s="1"/>
  <c r="G11" i="3"/>
  <c r="F11" i="3"/>
  <c r="E11" i="3"/>
  <c r="BF10" i="3"/>
  <c r="AW10" i="3"/>
  <c r="AV10" i="3"/>
  <c r="AU10" i="3"/>
  <c r="AT10" i="3"/>
  <c r="AS10" i="3"/>
  <c r="AR10" i="3"/>
  <c r="AO10" i="3"/>
  <c r="AQ10" i="3" s="1"/>
  <c r="AN10" i="3"/>
  <c r="AP10" i="3" s="1"/>
  <c r="AM10" i="3"/>
  <c r="AL10" i="3"/>
  <c r="X10" i="3"/>
  <c r="M10" i="3"/>
  <c r="L10" i="3"/>
  <c r="K10" i="3"/>
  <c r="F10" i="3"/>
  <c r="G10" i="3" s="1"/>
  <c r="W8" i="3" s="1"/>
  <c r="E10" i="3"/>
  <c r="BF9" i="3"/>
  <c r="AV9" i="3"/>
  <c r="AU9" i="3"/>
  <c r="AW9" i="3" s="1"/>
  <c r="AT9" i="3"/>
  <c r="AS9" i="3"/>
  <c r="AQ9" i="3"/>
  <c r="AO9" i="3"/>
  <c r="AN9" i="3"/>
  <c r="AP9" i="3" s="1"/>
  <c r="AM9" i="3"/>
  <c r="AL9" i="3"/>
  <c r="W9" i="3"/>
  <c r="L9" i="3"/>
  <c r="M9" i="3" s="1"/>
  <c r="K9" i="3"/>
  <c r="F9" i="3"/>
  <c r="E9" i="3"/>
  <c r="G9" i="3" s="1"/>
  <c r="W7" i="3" s="1"/>
  <c r="BF8" i="3"/>
  <c r="AU8" i="3"/>
  <c r="AT8" i="3"/>
  <c r="AV8" i="3" s="1"/>
  <c r="AS8" i="3"/>
  <c r="AO8" i="3"/>
  <c r="AN8" i="3"/>
  <c r="AM8" i="3"/>
  <c r="AL8" i="3"/>
  <c r="AQ8" i="3" s="1"/>
  <c r="T8" i="3"/>
  <c r="BF7" i="3"/>
  <c r="AU7" i="3"/>
  <c r="AT7" i="3"/>
  <c r="AS7" i="3"/>
  <c r="AO7" i="3"/>
  <c r="AN7" i="3"/>
  <c r="AM7" i="3"/>
  <c r="AL7" i="3"/>
  <c r="AQ7" i="3" s="1"/>
  <c r="T7" i="3"/>
  <c r="AN35" i="2"/>
  <c r="AL35" i="2"/>
  <c r="AF35" i="2"/>
  <c r="AA35" i="2"/>
  <c r="X35" i="2"/>
  <c r="L35" i="2"/>
  <c r="H35" i="2"/>
  <c r="K35" i="2" s="1"/>
  <c r="F35" i="2"/>
  <c r="E35" i="2"/>
  <c r="D35" i="2"/>
  <c r="B35" i="2"/>
  <c r="AN34" i="2"/>
  <c r="AL34" i="2"/>
  <c r="AF34" i="2"/>
  <c r="AA34" i="2"/>
  <c r="X34" i="2"/>
  <c r="H34" i="2"/>
  <c r="L34" i="2" s="1"/>
  <c r="F34" i="2"/>
  <c r="E34" i="2"/>
  <c r="D34" i="2"/>
  <c r="B34" i="2"/>
  <c r="AN33" i="2"/>
  <c r="AL33" i="2"/>
  <c r="AF33" i="2"/>
  <c r="AA33" i="2"/>
  <c r="H33" i="2"/>
  <c r="F33" i="2"/>
  <c r="E33" i="2"/>
  <c r="D33" i="2"/>
  <c r="B33" i="2"/>
  <c r="AQ32" i="2"/>
  <c r="AN32" i="2"/>
  <c r="AL32" i="2"/>
  <c r="AF32" i="2"/>
  <c r="AA32" i="2"/>
  <c r="L32" i="2"/>
  <c r="K32" i="2"/>
  <c r="H32" i="2"/>
  <c r="X32" i="2" s="1"/>
  <c r="F32" i="2"/>
  <c r="M32" i="2" s="1"/>
  <c r="E32" i="2"/>
  <c r="D32" i="2"/>
  <c r="B32" i="2"/>
  <c r="AN31" i="2"/>
  <c r="AL31" i="2"/>
  <c r="AF31" i="2"/>
  <c r="AA31" i="2"/>
  <c r="X31" i="2"/>
  <c r="L31" i="2"/>
  <c r="K31" i="2"/>
  <c r="H31" i="2"/>
  <c r="F31" i="2"/>
  <c r="M31" i="2" s="1"/>
  <c r="E31" i="2"/>
  <c r="D31" i="2"/>
  <c r="B31" i="2"/>
  <c r="AN30" i="2"/>
  <c r="AL30" i="2"/>
  <c r="AF30" i="2"/>
  <c r="AA30" i="2"/>
  <c r="X30" i="2"/>
  <c r="H30" i="2"/>
  <c r="L30" i="2" s="1"/>
  <c r="F30" i="2"/>
  <c r="E30" i="2"/>
  <c r="D30" i="2"/>
  <c r="B30" i="2"/>
  <c r="AN29" i="2"/>
  <c r="AL29" i="2"/>
  <c r="AF29" i="2"/>
  <c r="AA29" i="2"/>
  <c r="K29" i="2"/>
  <c r="H29" i="2"/>
  <c r="F29" i="2"/>
  <c r="E29" i="2"/>
  <c r="D29" i="2"/>
  <c r="B29" i="2"/>
  <c r="AN28" i="2"/>
  <c r="AL28" i="2"/>
  <c r="AF28" i="2"/>
  <c r="AA28" i="2"/>
  <c r="L28" i="2"/>
  <c r="K28" i="2"/>
  <c r="H28" i="2"/>
  <c r="X28" i="2" s="1"/>
  <c r="F28" i="2"/>
  <c r="E28" i="2"/>
  <c r="D28" i="2"/>
  <c r="B28" i="2"/>
  <c r="AN27" i="2"/>
  <c r="AL27" i="2"/>
  <c r="AF27" i="2"/>
  <c r="AA27" i="2"/>
  <c r="X27" i="2"/>
  <c r="L27" i="2"/>
  <c r="K27" i="2"/>
  <c r="H27" i="2"/>
  <c r="F27" i="2"/>
  <c r="E27" i="2"/>
  <c r="D27" i="2"/>
  <c r="B27" i="2"/>
  <c r="AN26" i="2"/>
  <c r="AL26" i="2"/>
  <c r="AF26" i="2"/>
  <c r="AA26" i="2"/>
  <c r="H26" i="2"/>
  <c r="F26" i="2"/>
  <c r="E26" i="2"/>
  <c r="D26" i="2"/>
  <c r="B26" i="2"/>
  <c r="AN25" i="2"/>
  <c r="AL25" i="2"/>
  <c r="AF25" i="2"/>
  <c r="AA25" i="2"/>
  <c r="H25" i="2"/>
  <c r="F25" i="2"/>
  <c r="E25" i="2"/>
  <c r="D25" i="2"/>
  <c r="B25" i="2"/>
  <c r="AN24" i="2"/>
  <c r="AL24" i="2"/>
  <c r="AF24" i="2"/>
  <c r="AA24" i="2"/>
  <c r="L24" i="2"/>
  <c r="H24" i="2"/>
  <c r="F24" i="2"/>
  <c r="E24" i="2"/>
  <c r="D24" i="2"/>
  <c r="B24" i="2"/>
  <c r="AN23" i="2"/>
  <c r="AL23" i="2"/>
  <c r="AF23" i="2"/>
  <c r="AA23" i="2"/>
  <c r="X23" i="2"/>
  <c r="L23" i="2"/>
  <c r="K23" i="2"/>
  <c r="M23" i="2" s="1"/>
  <c r="H23" i="2"/>
  <c r="F23" i="2"/>
  <c r="E23" i="2"/>
  <c r="D23" i="2"/>
  <c r="B23" i="2"/>
  <c r="AN22" i="2"/>
  <c r="AL22" i="2"/>
  <c r="AF22" i="2"/>
  <c r="AA22" i="2"/>
  <c r="H22" i="2"/>
  <c r="F22" i="2"/>
  <c r="E22" i="2"/>
  <c r="D22" i="2"/>
  <c r="B22" i="2"/>
  <c r="AN21" i="2"/>
  <c r="AL21" i="2"/>
  <c r="AF21" i="2"/>
  <c r="AA21" i="2"/>
  <c r="X21" i="2"/>
  <c r="K21" i="2"/>
  <c r="M21" i="2" s="1"/>
  <c r="H21" i="2"/>
  <c r="L21" i="2" s="1"/>
  <c r="F21" i="2"/>
  <c r="E21" i="2"/>
  <c r="D21" i="2"/>
  <c r="B21" i="2"/>
  <c r="AN20" i="2"/>
  <c r="AL20" i="2"/>
  <c r="AF20" i="2"/>
  <c r="AA20" i="2"/>
  <c r="H20" i="2"/>
  <c r="L20" i="2" s="1"/>
  <c r="F20" i="2"/>
  <c r="E20" i="2"/>
  <c r="D20" i="2"/>
  <c r="B20" i="2"/>
  <c r="AN19" i="2"/>
  <c r="AL19" i="2"/>
  <c r="AF19" i="2"/>
  <c r="AA19" i="2"/>
  <c r="X19" i="2"/>
  <c r="K19" i="2"/>
  <c r="M19" i="2" s="1"/>
  <c r="H19" i="2"/>
  <c r="L19" i="2" s="1"/>
  <c r="F19" i="2"/>
  <c r="E19" i="2"/>
  <c r="D19" i="2"/>
  <c r="B19" i="2"/>
  <c r="AN18" i="2"/>
  <c r="AL18" i="2"/>
  <c r="AF18" i="2"/>
  <c r="AA18" i="2"/>
  <c r="H18" i="2"/>
  <c r="F18" i="2"/>
  <c r="E18" i="2"/>
  <c r="D18" i="2"/>
  <c r="B18" i="2"/>
  <c r="AN17" i="2"/>
  <c r="AL17" i="2"/>
  <c r="AF17" i="2"/>
  <c r="AA17" i="2"/>
  <c r="X17" i="2"/>
  <c r="K17" i="2"/>
  <c r="M17" i="2" s="1"/>
  <c r="H17" i="2"/>
  <c r="L17" i="2" s="1"/>
  <c r="F17" i="2"/>
  <c r="E17" i="2"/>
  <c r="D17" i="2"/>
  <c r="B17" i="2"/>
  <c r="AN16" i="2"/>
  <c r="AL16" i="2"/>
  <c r="AF16" i="2"/>
  <c r="AA16" i="2"/>
  <c r="H16" i="2"/>
  <c r="L16" i="2" s="1"/>
  <c r="F16" i="2"/>
  <c r="E16" i="2"/>
  <c r="D16" i="2"/>
  <c r="B16" i="2"/>
  <c r="AN15" i="2"/>
  <c r="AL15" i="2"/>
  <c r="AF15" i="2"/>
  <c r="AA15" i="2"/>
  <c r="X15" i="2"/>
  <c r="K15" i="2"/>
  <c r="M15" i="2" s="1"/>
  <c r="H15" i="2"/>
  <c r="L15" i="2" s="1"/>
  <c r="F15" i="2"/>
  <c r="E15" i="2"/>
  <c r="D15" i="2"/>
  <c r="B15" i="2"/>
  <c r="AN14" i="2"/>
  <c r="AL14" i="2"/>
  <c r="AF14" i="2"/>
  <c r="AA14" i="2"/>
  <c r="H14" i="2"/>
  <c r="F14" i="2"/>
  <c r="E14" i="2"/>
  <c r="D14" i="2"/>
  <c r="B14" i="2"/>
  <c r="AQ13" i="2"/>
  <c r="AU13" i="2" s="1"/>
  <c r="AN13" i="2"/>
  <c r="AL13" i="2"/>
  <c r="AF13" i="2"/>
  <c r="AA13" i="2"/>
  <c r="X13" i="2"/>
  <c r="M13" i="2"/>
  <c r="L13" i="2"/>
  <c r="K13" i="2"/>
  <c r="H13" i="2"/>
  <c r="F13" i="2"/>
  <c r="E13" i="2"/>
  <c r="D13" i="2"/>
  <c r="B13" i="2"/>
  <c r="AN12" i="2"/>
  <c r="AL12" i="2"/>
  <c r="AF12" i="2"/>
  <c r="AA12" i="2"/>
  <c r="L12" i="2"/>
  <c r="H12" i="2"/>
  <c r="F12" i="2"/>
  <c r="E12" i="2"/>
  <c r="D12" i="2"/>
  <c r="B12" i="2"/>
  <c r="AN11" i="2"/>
  <c r="AL11" i="2"/>
  <c r="AF11" i="2"/>
  <c r="AA11" i="2"/>
  <c r="X11" i="2"/>
  <c r="M11" i="2"/>
  <c r="AQ11" i="2" s="1"/>
  <c r="K11" i="2"/>
  <c r="H11" i="2"/>
  <c r="L11" i="2" s="1"/>
  <c r="F11" i="2"/>
  <c r="E11" i="2"/>
  <c r="D11" i="2"/>
  <c r="B11" i="2"/>
  <c r="AN10" i="2"/>
  <c r="AL10" i="2"/>
  <c r="AF10" i="2"/>
  <c r="AA10" i="2"/>
  <c r="L10" i="2"/>
  <c r="H10" i="2"/>
  <c r="F10" i="2"/>
  <c r="E10" i="2"/>
  <c r="D10" i="2"/>
  <c r="B10" i="2"/>
  <c r="AN9" i="2"/>
  <c r="AL9" i="2"/>
  <c r="AF9" i="2"/>
  <c r="AA9" i="2"/>
  <c r="X9" i="2"/>
  <c r="K9" i="2"/>
  <c r="H9" i="2"/>
  <c r="L9" i="2" s="1"/>
  <c r="M9" i="2" s="1"/>
  <c r="F9" i="2"/>
  <c r="E9" i="2"/>
  <c r="D9" i="2"/>
  <c r="B9" i="2"/>
  <c r="AN8" i="2"/>
  <c r="AL8" i="2"/>
  <c r="AF8" i="2"/>
  <c r="AA8" i="2"/>
  <c r="L8" i="2"/>
  <c r="H8" i="2"/>
  <c r="F8" i="2"/>
  <c r="E8" i="2"/>
  <c r="D8" i="2"/>
  <c r="B8" i="2"/>
  <c r="AN7" i="2"/>
  <c r="AL7" i="2"/>
  <c r="AF7" i="2"/>
  <c r="AA7" i="2"/>
  <c r="X7" i="2"/>
  <c r="M7" i="2"/>
  <c r="AQ7" i="2" s="1"/>
  <c r="K7" i="2"/>
  <c r="H7" i="2"/>
  <c r="L7" i="2" s="1"/>
  <c r="F7" i="2"/>
  <c r="E7" i="2"/>
  <c r="D7" i="2"/>
  <c r="B7" i="2"/>
  <c r="AN6" i="2"/>
  <c r="AL6" i="2"/>
  <c r="AF6" i="2"/>
  <c r="AA6" i="2"/>
  <c r="L6" i="2"/>
  <c r="H6" i="2"/>
  <c r="F6" i="2"/>
  <c r="E6" i="2"/>
  <c r="D6" i="2"/>
  <c r="B6" i="2"/>
  <c r="AN5" i="2"/>
  <c r="AL5" i="2"/>
  <c r="AF5" i="2"/>
  <c r="AA5" i="2"/>
  <c r="X5" i="2"/>
  <c r="K5" i="2"/>
  <c r="H5" i="2"/>
  <c r="L5" i="2" s="1"/>
  <c r="M5" i="2" s="1"/>
  <c r="F5" i="2"/>
  <c r="E5" i="2"/>
  <c r="D5" i="2"/>
  <c r="B5" i="2"/>
  <c r="AN4" i="2"/>
  <c r="AL4" i="2"/>
  <c r="AF4" i="2"/>
  <c r="AA4" i="2"/>
  <c r="X4" i="2"/>
  <c r="K4" i="2"/>
  <c r="M4" i="2" s="1"/>
  <c r="H4" i="2"/>
  <c r="L4" i="2" s="1"/>
  <c r="G4" i="2"/>
  <c r="G5" i="2" s="1"/>
  <c r="F4" i="2"/>
  <c r="E4" i="2"/>
  <c r="D4" i="2"/>
  <c r="B4" i="2"/>
  <c r="AN3" i="2"/>
  <c r="AL3" i="2"/>
  <c r="AF3" i="2"/>
  <c r="AA3" i="2"/>
  <c r="Y3" i="2"/>
  <c r="Q3" i="2"/>
  <c r="S3" i="2" s="1"/>
  <c r="L3" i="2"/>
  <c r="H3" i="2"/>
  <c r="K3" i="2" s="1"/>
  <c r="G3" i="2"/>
  <c r="F3" i="2"/>
  <c r="M3" i="2" s="1"/>
  <c r="E3" i="2"/>
  <c r="D3" i="2"/>
  <c r="B3" i="2"/>
  <c r="E2" i="2"/>
  <c r="D2" i="2"/>
  <c r="E83" i="1"/>
  <c r="E82" i="1"/>
  <c r="E81" i="1"/>
  <c r="E80" i="1"/>
  <c r="E77" i="1"/>
  <c r="E76" i="1"/>
  <c r="E75" i="1"/>
  <c r="E74" i="1"/>
  <c r="E71" i="1"/>
  <c r="E70" i="1"/>
  <c r="E69" i="1"/>
  <c r="E68" i="1"/>
  <c r="E65" i="1"/>
  <c r="E64" i="1"/>
  <c r="E63" i="1"/>
  <c r="E62" i="1"/>
  <c r="E61" i="1"/>
  <c r="E58" i="1"/>
  <c r="E55" i="1"/>
  <c r="E52" i="1"/>
  <c r="E51" i="1"/>
  <c r="E48" i="1"/>
  <c r="E47" i="1"/>
  <c r="E44" i="1"/>
  <c r="E41" i="1"/>
  <c r="E38" i="1"/>
  <c r="E35" i="1"/>
  <c r="E34" i="1"/>
  <c r="E31" i="1"/>
  <c r="E30" i="1"/>
  <c r="E27" i="1"/>
  <c r="E26" i="1"/>
  <c r="E25" i="1"/>
  <c r="AQ3" i="2" l="1"/>
  <c r="N3" i="2"/>
  <c r="P3" i="2" s="1"/>
  <c r="AQ4" i="2"/>
  <c r="N4" i="2"/>
  <c r="P4" i="2" s="1"/>
  <c r="AU11" i="2"/>
  <c r="AQ17" i="2"/>
  <c r="AQ21" i="2"/>
  <c r="AU7" i="2"/>
  <c r="AQ9" i="2"/>
  <c r="T3" i="2"/>
  <c r="U3" i="2" s="1"/>
  <c r="V3" i="2" s="1"/>
  <c r="AQ15" i="2"/>
  <c r="AQ19" i="2"/>
  <c r="AQ23" i="2"/>
  <c r="N5" i="2"/>
  <c r="P5" i="2" s="1"/>
  <c r="AQ5" i="2"/>
  <c r="Q5" i="2"/>
  <c r="S5" i="2" s="1"/>
  <c r="T5" i="2" s="1"/>
  <c r="U5" i="2" s="1"/>
  <c r="V5" i="2" s="1"/>
  <c r="G6" i="2"/>
  <c r="Y5" i="2"/>
  <c r="X3" i="2"/>
  <c r="AB3" i="2" s="1"/>
  <c r="Q4" i="2"/>
  <c r="S4" i="2" s="1"/>
  <c r="T4" i="2" s="1"/>
  <c r="U4" i="2" s="1"/>
  <c r="V4" i="2" s="1"/>
  <c r="AB4" i="2" s="1"/>
  <c r="K6" i="2"/>
  <c r="X6" i="2"/>
  <c r="K10" i="2"/>
  <c r="X10" i="2"/>
  <c r="X24" i="2"/>
  <c r="K24" i="2"/>
  <c r="M27" i="2"/>
  <c r="N15" i="3"/>
  <c r="W13" i="3"/>
  <c r="Y13" i="3" s="1"/>
  <c r="N16" i="3"/>
  <c r="X14" i="3"/>
  <c r="E16" i="8"/>
  <c r="O16" i="8" s="1"/>
  <c r="AU26" i="8" s="1"/>
  <c r="D16" i="8"/>
  <c r="AX17" i="3"/>
  <c r="M6" i="2"/>
  <c r="M10" i="2"/>
  <c r="AB5" i="2"/>
  <c r="AC5" i="2" s="1"/>
  <c r="AD5" i="2" s="1"/>
  <c r="K14" i="2"/>
  <c r="M14" i="2" s="1"/>
  <c r="X14" i="2"/>
  <c r="K18" i="2"/>
  <c r="M18" i="2" s="1"/>
  <c r="X18" i="2"/>
  <c r="K22" i="2"/>
  <c r="M22" i="2" s="1"/>
  <c r="X22" i="2"/>
  <c r="L26" i="2"/>
  <c r="K26" i="2"/>
  <c r="M26" i="2" s="1"/>
  <c r="X26" i="2"/>
  <c r="M28" i="2"/>
  <c r="AQ31" i="2"/>
  <c r="AU32" i="2"/>
  <c r="AP7" i="3"/>
  <c r="X9" i="3"/>
  <c r="N11" i="3"/>
  <c r="AP18" i="3"/>
  <c r="AG18" i="3"/>
  <c r="AH18" i="3" s="1"/>
  <c r="AA18" i="3"/>
  <c r="AB18" i="3" s="1"/>
  <c r="D13" i="4"/>
  <c r="M13" i="4" s="1"/>
  <c r="AA12" i="5"/>
  <c r="E13" i="4" s="1"/>
  <c r="D15" i="4"/>
  <c r="M15" i="4" s="1"/>
  <c r="AA14" i="5"/>
  <c r="E15" i="4" s="1"/>
  <c r="X16" i="2"/>
  <c r="K16" i="2"/>
  <c r="X20" i="2"/>
  <c r="K20" i="2"/>
  <c r="M24" i="2"/>
  <c r="Y4" i="2"/>
  <c r="AG5" i="2"/>
  <c r="AH5" i="2" s="1"/>
  <c r="AJ5" i="2" s="1"/>
  <c r="AK5" i="2" s="1"/>
  <c r="AM5" i="2" s="1"/>
  <c r="X8" i="2"/>
  <c r="K8" i="2"/>
  <c r="M8" i="2" s="1"/>
  <c r="X12" i="2"/>
  <c r="K12" i="2"/>
  <c r="M12" i="2" s="1"/>
  <c r="L14" i="2"/>
  <c r="M16" i="2"/>
  <c r="L18" i="2"/>
  <c r="M20" i="2"/>
  <c r="L22" i="2"/>
  <c r="X25" i="2"/>
  <c r="L25" i="2"/>
  <c r="K25" i="2"/>
  <c r="BL10" i="3"/>
  <c r="K9" i="4" s="1"/>
  <c r="BC10" i="3"/>
  <c r="AR14" i="3"/>
  <c r="AP16" i="3"/>
  <c r="N18" i="3"/>
  <c r="X16" i="3"/>
  <c r="Y16" i="3" s="1"/>
  <c r="AV7" i="3"/>
  <c r="AP8" i="3"/>
  <c r="Y9" i="3"/>
  <c r="X11" i="3"/>
  <c r="Y11" i="3" s="1"/>
  <c r="N13" i="3"/>
  <c r="C12" i="8"/>
  <c r="J12" i="8" s="1"/>
  <c r="AU17" i="8" s="1"/>
  <c r="B12" i="8"/>
  <c r="AR13" i="3"/>
  <c r="X12" i="3"/>
  <c r="Y12" i="3" s="1"/>
  <c r="N14" i="3"/>
  <c r="E14" i="8"/>
  <c r="O14" i="8" s="1"/>
  <c r="AU22" i="8" s="1"/>
  <c r="D14" i="8"/>
  <c r="AX15" i="3"/>
  <c r="Y14" i="3"/>
  <c r="AV16" i="3"/>
  <c r="D7" i="4"/>
  <c r="M7" i="4" s="1"/>
  <c r="AA6" i="5"/>
  <c r="E7" i="4" s="1"/>
  <c r="X29" i="2"/>
  <c r="L29" i="2"/>
  <c r="M29" i="2" s="1"/>
  <c r="X33" i="2"/>
  <c r="L33" i="2"/>
  <c r="K33" i="2"/>
  <c r="M33" i="2" s="1"/>
  <c r="AW7" i="3"/>
  <c r="AP12" i="3"/>
  <c r="AW18" i="3"/>
  <c r="AX18" i="3" s="1"/>
  <c r="AA5" i="5"/>
  <c r="E6" i="4" s="1"/>
  <c r="D6" i="4"/>
  <c r="M6" i="4" s="1"/>
  <c r="D11" i="4"/>
  <c r="M11" i="4" s="1"/>
  <c r="AA10" i="5"/>
  <c r="E11" i="4" s="1"/>
  <c r="AA15" i="5"/>
  <c r="E16" i="4" s="1"/>
  <c r="D16" i="4"/>
  <c r="M16" i="4" s="1"/>
  <c r="M25" i="2"/>
  <c r="M35" i="2"/>
  <c r="AW8" i="3"/>
  <c r="AX8" i="3" s="1"/>
  <c r="N9" i="3"/>
  <c r="X7" i="3"/>
  <c r="Y7" i="3" s="1"/>
  <c r="B8" i="8"/>
  <c r="C8" i="8"/>
  <c r="J8" i="8" s="1"/>
  <c r="AU9" i="8" s="1"/>
  <c r="AR9" i="3"/>
  <c r="X8" i="3"/>
  <c r="Y8" i="3" s="1"/>
  <c r="N10" i="3"/>
  <c r="D10" i="8"/>
  <c r="E10" i="8"/>
  <c r="O10" i="8" s="1"/>
  <c r="AU14" i="8" s="1"/>
  <c r="AX11" i="3"/>
  <c r="Y10" i="3"/>
  <c r="O12" i="3"/>
  <c r="AV12" i="3"/>
  <c r="AX12" i="3" s="1"/>
  <c r="X15" i="3"/>
  <c r="Y15" i="3" s="1"/>
  <c r="N17" i="3"/>
  <c r="B16" i="8"/>
  <c r="C16" i="8"/>
  <c r="J16" i="8" s="1"/>
  <c r="AU25" i="8" s="1"/>
  <c r="AR17" i="3"/>
  <c r="N20" i="3"/>
  <c r="B6" i="8"/>
  <c r="C6" i="8"/>
  <c r="J6" i="8" s="1"/>
  <c r="AU5" i="8" s="1"/>
  <c r="C7" i="8"/>
  <c r="J7" i="8" s="1"/>
  <c r="AU7" i="8" s="1"/>
  <c r="B7" i="8"/>
  <c r="E9" i="8"/>
  <c r="O9" i="8" s="1"/>
  <c r="AU12" i="8" s="1"/>
  <c r="D9" i="8"/>
  <c r="C11" i="8"/>
  <c r="J11" i="8" s="1"/>
  <c r="AU15" i="8" s="1"/>
  <c r="B11" i="8"/>
  <c r="E13" i="8"/>
  <c r="O13" i="8" s="1"/>
  <c r="AU20" i="8" s="1"/>
  <c r="D13" i="8"/>
  <c r="B15" i="8"/>
  <c r="C15" i="8"/>
  <c r="J15" i="8" s="1"/>
  <c r="AU23" i="8" s="1"/>
  <c r="AW16" i="3"/>
  <c r="Z13" i="5"/>
  <c r="AK16" i="7"/>
  <c r="AE16" i="7"/>
  <c r="C16" i="7"/>
  <c r="AF16" i="7"/>
  <c r="AJ16" i="7"/>
  <c r="O16" i="7"/>
  <c r="K30" i="2"/>
  <c r="M30" i="2" s="1"/>
  <c r="K34" i="2"/>
  <c r="M34" i="2" s="1"/>
  <c r="AR7" i="3"/>
  <c r="AR8" i="3"/>
  <c r="E8" i="8"/>
  <c r="O8" i="8" s="1"/>
  <c r="AU10" i="8" s="1"/>
  <c r="D8" i="8"/>
  <c r="AX10" i="3"/>
  <c r="BN10" i="3" s="1"/>
  <c r="C8" i="9" s="1"/>
  <c r="E8" i="9" s="1"/>
  <c r="C10" i="8"/>
  <c r="J10" i="8" s="1"/>
  <c r="AU13" i="8" s="1"/>
  <c r="B10" i="8"/>
  <c r="AR12" i="3"/>
  <c r="E12" i="8"/>
  <c r="O12" i="8" s="1"/>
  <c r="AU18" i="8" s="1"/>
  <c r="D12" i="8"/>
  <c r="AX14" i="3"/>
  <c r="C14" i="8"/>
  <c r="J14" i="8" s="1"/>
  <c r="AU21" i="8" s="1"/>
  <c r="B14" i="8"/>
  <c r="AR16" i="3"/>
  <c r="D9" i="4"/>
  <c r="M9" i="4" s="1"/>
  <c r="AA8" i="5"/>
  <c r="E9" i="4" s="1"/>
  <c r="AA11" i="5"/>
  <c r="E12" i="4" s="1"/>
  <c r="D12" i="4"/>
  <c r="M12" i="4" s="1"/>
  <c r="D17" i="4"/>
  <c r="M17" i="4" s="1"/>
  <c r="AA16" i="5"/>
  <c r="E17" i="4" s="1"/>
  <c r="D6" i="8"/>
  <c r="E6" i="8"/>
  <c r="O6" i="8" s="1"/>
  <c r="AU6" i="8" s="1"/>
  <c r="E7" i="8"/>
  <c r="O7" i="8" s="1"/>
  <c r="AU8" i="8" s="1"/>
  <c r="D7" i="8"/>
  <c r="AX9" i="3"/>
  <c r="C9" i="8"/>
  <c r="J9" i="8" s="1"/>
  <c r="AU11" i="8" s="1"/>
  <c r="B9" i="8"/>
  <c r="AR11" i="3"/>
  <c r="E11" i="8"/>
  <c r="O11" i="8" s="1"/>
  <c r="AU16" i="8" s="1"/>
  <c r="D11" i="8"/>
  <c r="AX13" i="3"/>
  <c r="B13" i="8"/>
  <c r="C13" i="8"/>
  <c r="J13" i="8" s="1"/>
  <c r="AU19" i="8" s="1"/>
  <c r="AR15" i="3"/>
  <c r="AQ18" i="3"/>
  <c r="M19" i="3"/>
  <c r="Z9" i="5"/>
  <c r="D17" i="8"/>
  <c r="E17" i="8"/>
  <c r="O17" i="8" s="1"/>
  <c r="AU28" i="8" s="1"/>
  <c r="O7" i="7"/>
  <c r="P7" i="7" s="1"/>
  <c r="Q7" i="7" s="1"/>
  <c r="S7" i="7" s="1"/>
  <c r="T7" i="7" s="1"/>
  <c r="Y7" i="7" s="1"/>
  <c r="AE7" i="7"/>
  <c r="AE8" i="7"/>
  <c r="C8" i="7"/>
  <c r="AF8" i="7"/>
  <c r="E15" i="8"/>
  <c r="O15" i="8" s="1"/>
  <c r="AU24" i="8" s="1"/>
  <c r="D15" i="8"/>
  <c r="C17" i="8"/>
  <c r="J17" i="8" s="1"/>
  <c r="AU27" i="8" s="1"/>
  <c r="B17" i="8"/>
  <c r="O8" i="7"/>
  <c r="AK12" i="7"/>
  <c r="AE12" i="7"/>
  <c r="C12" i="7"/>
  <c r="AF12" i="7"/>
  <c r="O6" i="7"/>
  <c r="P6" i="7" s="1"/>
  <c r="Q6" i="7" s="1"/>
  <c r="S6" i="7" s="1"/>
  <c r="T6" i="7" s="1"/>
  <c r="C9" i="7"/>
  <c r="AE9" i="7"/>
  <c r="AK9" i="7"/>
  <c r="O10" i="7"/>
  <c r="P10" i="7" s="1"/>
  <c r="Q10" i="7" s="1"/>
  <c r="S10" i="7" s="1"/>
  <c r="T10" i="7" s="1"/>
  <c r="C13" i="7"/>
  <c r="AE13" i="7"/>
  <c r="AK13" i="7"/>
  <c r="O14" i="7"/>
  <c r="P14" i="7" s="1"/>
  <c r="Q14" i="7" s="1"/>
  <c r="S14" i="7" s="1"/>
  <c r="T14" i="7" s="1"/>
  <c r="C17" i="7"/>
  <c r="AE17" i="7"/>
  <c r="AK17" i="7"/>
  <c r="O11" i="7"/>
  <c r="P11" i="7" s="1"/>
  <c r="Q11" i="7" s="1"/>
  <c r="S11" i="7" s="1"/>
  <c r="T11" i="7" s="1"/>
  <c r="AJ11" i="7"/>
  <c r="O15" i="7"/>
  <c r="P15" i="7" s="1"/>
  <c r="Q15" i="7" s="1"/>
  <c r="S15" i="7" s="1"/>
  <c r="T15" i="7" s="1"/>
  <c r="AJ15" i="7"/>
  <c r="AF17" i="7"/>
  <c r="V11" i="8"/>
  <c r="Z21" i="8"/>
  <c r="Z17" i="8"/>
  <c r="Z20" i="8"/>
  <c r="Z16" i="8"/>
  <c r="Z9" i="8"/>
  <c r="Z5" i="8"/>
  <c r="Z14" i="8"/>
  <c r="Z11" i="8"/>
  <c r="Z10" i="8"/>
  <c r="Z19" i="8"/>
  <c r="Z15" i="8"/>
  <c r="Z12" i="8"/>
  <c r="Z7" i="8"/>
  <c r="Z18" i="8"/>
  <c r="Z13" i="8"/>
  <c r="Z8" i="8"/>
  <c r="Z6" i="8"/>
  <c r="O9" i="7"/>
  <c r="O13" i="7"/>
  <c r="O17" i="7"/>
  <c r="X11" i="8"/>
  <c r="J4" i="10"/>
  <c r="E4" i="11"/>
  <c r="AG8" i="3" l="1"/>
  <c r="AH8" i="3" s="1"/>
  <c r="AA8" i="3"/>
  <c r="AB8" i="3" s="1"/>
  <c r="AG7" i="3"/>
  <c r="AH7" i="3" s="1"/>
  <c r="AA7" i="3"/>
  <c r="AB7" i="3" s="1"/>
  <c r="AG16" i="3"/>
  <c r="AH16" i="3" s="1"/>
  <c r="AA16" i="3"/>
  <c r="AB16" i="3" s="1"/>
  <c r="AQ8" i="2"/>
  <c r="AQ18" i="2"/>
  <c r="AC4" i="2"/>
  <c r="AD4" i="2" s="1"/>
  <c r="AG4" i="2"/>
  <c r="AH4" i="2" s="1"/>
  <c r="AJ4" i="2" s="1"/>
  <c r="AK4" i="2" s="1"/>
  <c r="AM4" i="2" s="1"/>
  <c r="AQ29" i="2"/>
  <c r="BM8" i="3"/>
  <c r="L7" i="4" s="1"/>
  <c r="AY8" i="3"/>
  <c r="AZ8" i="3" s="1"/>
  <c r="BD8" i="3"/>
  <c r="AQ33" i="2"/>
  <c r="AQ12" i="2"/>
  <c r="AQ22" i="2"/>
  <c r="AQ14" i="2"/>
  <c r="BM18" i="3"/>
  <c r="L17" i="4" s="1"/>
  <c r="BD18" i="3"/>
  <c r="AG12" i="3"/>
  <c r="AH12" i="3" s="1"/>
  <c r="AA12" i="3"/>
  <c r="AB12" i="3" s="1"/>
  <c r="AI11" i="8"/>
  <c r="P12" i="7"/>
  <c r="Q12" i="7" s="1"/>
  <c r="S12" i="7" s="1"/>
  <c r="T12" i="7" s="1"/>
  <c r="X17" i="3"/>
  <c r="Y17" i="3" s="1"/>
  <c r="N19" i="3"/>
  <c r="V15" i="8"/>
  <c r="L13" i="8"/>
  <c r="AT20" i="8" s="1"/>
  <c r="AV20" i="8" s="1"/>
  <c r="U18" i="8"/>
  <c r="BL11" i="3"/>
  <c r="K10" i="4" s="1"/>
  <c r="BC11" i="3"/>
  <c r="BN11" i="3"/>
  <c r="C9" i="9" s="1"/>
  <c r="E9" i="9" s="1"/>
  <c r="W7" i="8"/>
  <c r="W8" i="8"/>
  <c r="G7" i="8"/>
  <c r="AT7" i="8" s="1"/>
  <c r="AV7" i="8" s="1"/>
  <c r="X5" i="8"/>
  <c r="AI5" i="8" s="1"/>
  <c r="T9" i="4"/>
  <c r="AA9" i="4" s="1"/>
  <c r="S9" i="4"/>
  <c r="Z9" i="4" s="1"/>
  <c r="G9" i="7" s="1"/>
  <c r="V9" i="4"/>
  <c r="AC9" i="4" s="1"/>
  <c r="U9" i="4"/>
  <c r="AB9" i="4" s="1"/>
  <c r="K9" i="7" s="1"/>
  <c r="BN12" i="3"/>
  <c r="C10" i="9" s="1"/>
  <c r="E10" i="9" s="1"/>
  <c r="BC12" i="3"/>
  <c r="BL12" i="3"/>
  <c r="K11" i="4" s="1"/>
  <c r="G8" i="8"/>
  <c r="AT9" i="8" s="1"/>
  <c r="AV9" i="8" s="1"/>
  <c r="X7" i="8"/>
  <c r="AI7" i="8" s="1"/>
  <c r="W9" i="8"/>
  <c r="AQ34" i="2"/>
  <c r="W18" i="8"/>
  <c r="AH18" i="8" s="1"/>
  <c r="X15" i="8"/>
  <c r="G13" i="8"/>
  <c r="AT19" i="8" s="1"/>
  <c r="AV19" i="8" s="1"/>
  <c r="W11" i="8"/>
  <c r="AH11" i="8" s="1"/>
  <c r="AK11" i="8" s="1"/>
  <c r="AT35" i="8" s="1"/>
  <c r="W10" i="8"/>
  <c r="G9" i="8"/>
  <c r="AT11" i="8" s="1"/>
  <c r="AV11" i="8" s="1"/>
  <c r="X9" i="8"/>
  <c r="AI9" i="8" s="1"/>
  <c r="BM11" i="3"/>
  <c r="L10" i="4" s="1"/>
  <c r="AY11" i="3"/>
  <c r="AZ11" i="3" s="1"/>
  <c r="BD11" i="3"/>
  <c r="AQ25" i="2"/>
  <c r="BM15" i="3"/>
  <c r="L14" i="4" s="1"/>
  <c r="AY15" i="3"/>
  <c r="AZ15" i="3" s="1"/>
  <c r="BD15" i="3"/>
  <c r="N10" i="4"/>
  <c r="O13" i="3"/>
  <c r="AQ20" i="2"/>
  <c r="AQ24" i="2"/>
  <c r="AR18" i="3"/>
  <c r="AY18" i="3" s="1"/>
  <c r="AZ18" i="3" s="1"/>
  <c r="N8" i="4"/>
  <c r="O11" i="3"/>
  <c r="AQ28" i="2"/>
  <c r="BD17" i="3"/>
  <c r="BM17" i="3"/>
  <c r="L16" i="4" s="1"/>
  <c r="AY17" i="3"/>
  <c r="AZ17" i="3" s="1"/>
  <c r="N13" i="4"/>
  <c r="O16" i="3"/>
  <c r="AQ27" i="2"/>
  <c r="AU19" i="2"/>
  <c r="AU17" i="2"/>
  <c r="J4" i="11"/>
  <c r="P9" i="7"/>
  <c r="Q9" i="7" s="1"/>
  <c r="S9" i="7" s="1"/>
  <c r="T9" i="7" s="1"/>
  <c r="L9" i="7"/>
  <c r="H9" i="7"/>
  <c r="X20" i="8"/>
  <c r="G15" i="8"/>
  <c r="AT23" i="8" s="1"/>
  <c r="AV23" i="8" s="1"/>
  <c r="X17" i="8"/>
  <c r="BD13" i="3"/>
  <c r="BM13" i="3"/>
  <c r="L12" i="4" s="1"/>
  <c r="AY13" i="3"/>
  <c r="AZ13" i="3" s="1"/>
  <c r="V9" i="8"/>
  <c r="L9" i="8"/>
  <c r="AT12" i="8" s="1"/>
  <c r="AV12" i="8" s="1"/>
  <c r="U11" i="8"/>
  <c r="U10" i="8"/>
  <c r="AY14" i="3"/>
  <c r="AZ14" i="3" s="1"/>
  <c r="BD14" i="3"/>
  <c r="BM14" i="3"/>
  <c r="L13" i="4" s="1"/>
  <c r="U13" i="8"/>
  <c r="L10" i="8"/>
  <c r="AT14" i="8" s="1"/>
  <c r="AV14" i="8" s="1"/>
  <c r="U12" i="8"/>
  <c r="V6" i="8"/>
  <c r="AI6" i="8" s="1"/>
  <c r="AQ30" i="2"/>
  <c r="P16" i="7"/>
  <c r="Q16" i="7" s="1"/>
  <c r="S16" i="7" s="1"/>
  <c r="T16" i="7" s="1"/>
  <c r="U6" i="8"/>
  <c r="L6" i="8"/>
  <c r="AT6" i="8" s="1"/>
  <c r="AV6" i="8" s="1"/>
  <c r="U5" i="8"/>
  <c r="U20" i="8"/>
  <c r="L16" i="8"/>
  <c r="AT26" i="8" s="1"/>
  <c r="AV26" i="8" s="1"/>
  <c r="U21" i="8"/>
  <c r="V19" i="8"/>
  <c r="BM12" i="3"/>
  <c r="L11" i="4" s="1"/>
  <c r="AY12" i="3"/>
  <c r="AZ12" i="3" s="1"/>
  <c r="BD12" i="3"/>
  <c r="BN9" i="3"/>
  <c r="C7" i="9" s="1"/>
  <c r="E7" i="9" s="1"/>
  <c r="BC9" i="3"/>
  <c r="BL9" i="3"/>
  <c r="K8" i="4" s="1"/>
  <c r="N6" i="4"/>
  <c r="O9" i="3"/>
  <c r="M5" i="5" s="1"/>
  <c r="X18" i="8"/>
  <c r="X16" i="8"/>
  <c r="G14" i="8"/>
  <c r="AT21" i="8" s="1"/>
  <c r="AV21" i="8" s="1"/>
  <c r="W19" i="8"/>
  <c r="AH19" i="8" s="1"/>
  <c r="BN13" i="3"/>
  <c r="C11" i="9" s="1"/>
  <c r="E11" i="9" s="1"/>
  <c r="BC13" i="3"/>
  <c r="BE13" i="3" s="1"/>
  <c r="BG13" i="3" s="1"/>
  <c r="BH13" i="3" s="1"/>
  <c r="BL13" i="3"/>
  <c r="K12" i="4" s="1"/>
  <c r="S12" i="4" s="1"/>
  <c r="Z12" i="4" s="1"/>
  <c r="G12" i="7" s="1"/>
  <c r="H12" i="7" s="1"/>
  <c r="AG11" i="3"/>
  <c r="AH11" i="3" s="1"/>
  <c r="AA11" i="3"/>
  <c r="AB11" i="3" s="1"/>
  <c r="N15" i="4"/>
  <c r="O18" i="3"/>
  <c r="AU31" i="2"/>
  <c r="AQ10" i="2"/>
  <c r="X19" i="8"/>
  <c r="G16" i="8"/>
  <c r="AT25" i="8" s="1"/>
  <c r="AV25" i="8" s="1"/>
  <c r="W21" i="8"/>
  <c r="AH21" i="8" s="1"/>
  <c r="W20" i="8"/>
  <c r="AH20" i="8" s="1"/>
  <c r="AA13" i="3"/>
  <c r="AB13" i="3" s="1"/>
  <c r="AG13" i="3"/>
  <c r="AH13" i="3" s="1"/>
  <c r="Y6" i="2"/>
  <c r="Q6" i="2"/>
  <c r="S6" i="2" s="1"/>
  <c r="G7" i="2"/>
  <c r="AU9" i="2"/>
  <c r="AU4" i="2"/>
  <c r="AT4" i="2"/>
  <c r="P17" i="7"/>
  <c r="Q17" i="7" s="1"/>
  <c r="S17" i="7" s="1"/>
  <c r="T17" i="7" s="1"/>
  <c r="X21" i="8"/>
  <c r="G17" i="8"/>
  <c r="AT27" i="8" s="1"/>
  <c r="AV27" i="8" s="1"/>
  <c r="BL15" i="3"/>
  <c r="K14" i="4" s="1"/>
  <c r="BN15" i="3"/>
  <c r="C13" i="9" s="1"/>
  <c r="E13" i="9" s="1"/>
  <c r="BC15" i="3"/>
  <c r="BE15" i="3" s="1"/>
  <c r="BG15" i="3" s="1"/>
  <c r="BH15" i="3" s="1"/>
  <c r="W17" i="8"/>
  <c r="AH17" i="8" s="1"/>
  <c r="X12" i="8"/>
  <c r="X8" i="8"/>
  <c r="W16" i="8"/>
  <c r="AH16" i="8" s="1"/>
  <c r="W15" i="8"/>
  <c r="AH15" i="8" s="1"/>
  <c r="W14" i="8"/>
  <c r="AH14" i="8" s="1"/>
  <c r="G11" i="8"/>
  <c r="AT15" i="8" s="1"/>
  <c r="AV15" i="8" s="1"/>
  <c r="X10" i="8"/>
  <c r="BC16" i="3"/>
  <c r="BL16" i="3"/>
  <c r="K15" i="4" s="1"/>
  <c r="X14" i="8"/>
  <c r="X13" i="8"/>
  <c r="G12" i="8"/>
  <c r="AT17" i="8" s="1"/>
  <c r="AV17" i="8" s="1"/>
  <c r="BN8" i="3"/>
  <c r="C6" i="9" s="1"/>
  <c r="E6" i="9" s="1"/>
  <c r="BC8" i="3"/>
  <c r="BE8" i="3" s="1"/>
  <c r="BG8" i="3" s="1"/>
  <c r="BH8" i="3" s="1"/>
  <c r="BL8" i="3"/>
  <c r="K7" i="4" s="1"/>
  <c r="V7" i="4" s="1"/>
  <c r="AC7" i="4" s="1"/>
  <c r="U16" i="8"/>
  <c r="U15" i="8"/>
  <c r="U14" i="8"/>
  <c r="V10" i="8"/>
  <c r="AI10" i="8" s="1"/>
  <c r="V12" i="8"/>
  <c r="U17" i="8"/>
  <c r="L11" i="8"/>
  <c r="AT16" i="8" s="1"/>
  <c r="AV16" i="8" s="1"/>
  <c r="V8" i="8"/>
  <c r="AI8" i="8" s="1"/>
  <c r="U8" i="8"/>
  <c r="V5" i="8"/>
  <c r="U7" i="8"/>
  <c r="L7" i="8"/>
  <c r="AT8" i="8" s="1"/>
  <c r="AV8" i="8" s="1"/>
  <c r="N17" i="4"/>
  <c r="O20" i="3"/>
  <c r="O17" i="3"/>
  <c r="N14" i="4"/>
  <c r="W12" i="8"/>
  <c r="AH12" i="8" s="1"/>
  <c r="W13" i="8"/>
  <c r="AH13" i="8" s="1"/>
  <c r="G10" i="8"/>
  <c r="AT13" i="8" s="1"/>
  <c r="AV13" i="8" s="1"/>
  <c r="X6" i="8"/>
  <c r="T11" i="4"/>
  <c r="AA11" i="4" s="1"/>
  <c r="B18" i="6" s="1"/>
  <c r="AP17" i="7" s="1"/>
  <c r="S11" i="4"/>
  <c r="Z11" i="4" s="1"/>
  <c r="G11" i="7" s="1"/>
  <c r="H11" i="7" s="1"/>
  <c r="V11" i="4"/>
  <c r="AC11" i="4" s="1"/>
  <c r="U11" i="4"/>
  <c r="AB11" i="4" s="1"/>
  <c r="K11" i="7" s="1"/>
  <c r="L11" i="7" s="1"/>
  <c r="AX16" i="3"/>
  <c r="BN16" i="3" s="1"/>
  <c r="C14" i="9" s="1"/>
  <c r="E14" i="9" s="1"/>
  <c r="V14" i="8"/>
  <c r="V13" i="8"/>
  <c r="L12" i="8"/>
  <c r="AT18" i="8" s="1"/>
  <c r="AV18" i="8" s="1"/>
  <c r="AQ26" i="2"/>
  <c r="N12" i="4"/>
  <c r="O15" i="3"/>
  <c r="AU23" i="2"/>
  <c r="AU15" i="2"/>
  <c r="AU21" i="2"/>
  <c r="P13" i="7"/>
  <c r="Q13" i="7" s="1"/>
  <c r="S13" i="7" s="1"/>
  <c r="T13" i="7" s="1"/>
  <c r="V21" i="8"/>
  <c r="L17" i="8"/>
  <c r="AT28" i="8" s="1"/>
  <c r="AV28" i="8" s="1"/>
  <c r="P8" i="7"/>
  <c r="Q8" i="7" s="1"/>
  <c r="S8" i="7" s="1"/>
  <c r="T8" i="7" s="1"/>
  <c r="Y8" i="7" s="1"/>
  <c r="AA9" i="5"/>
  <c r="E10" i="4" s="1"/>
  <c r="D10" i="4"/>
  <c r="M10" i="4" s="1"/>
  <c r="BD9" i="3"/>
  <c r="BM9" i="3"/>
  <c r="L8" i="4" s="1"/>
  <c r="AY9" i="3"/>
  <c r="AZ9" i="3" s="1"/>
  <c r="G6" i="8"/>
  <c r="AT5" i="8" s="1"/>
  <c r="AV5" i="8" s="1"/>
  <c r="W6" i="8"/>
  <c r="W5" i="8"/>
  <c r="U19" i="8"/>
  <c r="V16" i="8"/>
  <c r="V18" i="8"/>
  <c r="L14" i="8"/>
  <c r="AT22" i="8" s="1"/>
  <c r="AV22" i="8" s="1"/>
  <c r="AY10" i="3"/>
  <c r="AZ10" i="3" s="1"/>
  <c r="BD10" i="3"/>
  <c r="BE10" i="3" s="1"/>
  <c r="BG10" i="3" s="1"/>
  <c r="BH10" i="3" s="1"/>
  <c r="BM10" i="3"/>
  <c r="L9" i="4" s="1"/>
  <c r="BC7" i="3"/>
  <c r="BL7" i="3"/>
  <c r="K6" i="4" s="1"/>
  <c r="S6" i="4" s="1"/>
  <c r="Z6" i="4" s="1"/>
  <c r="G6" i="7" s="1"/>
  <c r="H6" i="7" s="1"/>
  <c r="AA13" i="5"/>
  <c r="E14" i="4" s="1"/>
  <c r="D14" i="4"/>
  <c r="M14" i="4" s="1"/>
  <c r="V17" i="8"/>
  <c r="V20" i="8"/>
  <c r="L15" i="8"/>
  <c r="AT24" i="8" s="1"/>
  <c r="AV24" i="8" s="1"/>
  <c r="BN17" i="3"/>
  <c r="C15" i="9" s="1"/>
  <c r="E15" i="9" s="1"/>
  <c r="BL17" i="3"/>
  <c r="K16" i="4" s="1"/>
  <c r="S16" i="4" s="1"/>
  <c r="Z16" i="4" s="1"/>
  <c r="G16" i="7" s="1"/>
  <c r="H16" i="7" s="1"/>
  <c r="BC17" i="3"/>
  <c r="BE17" i="3" s="1"/>
  <c r="BG17" i="3" s="1"/>
  <c r="BH17" i="3" s="1"/>
  <c r="AG15" i="3"/>
  <c r="AH15" i="3" s="1"/>
  <c r="AA15" i="3"/>
  <c r="AB15" i="3" s="1"/>
  <c r="AA10" i="3"/>
  <c r="AB10" i="3" s="1"/>
  <c r="AG10" i="3"/>
  <c r="AH10" i="3" s="1"/>
  <c r="N7" i="4"/>
  <c r="O10" i="3"/>
  <c r="L8" i="8"/>
  <c r="AT10" i="8" s="1"/>
  <c r="AV10" i="8" s="1"/>
  <c r="U9" i="8"/>
  <c r="V7" i="8"/>
  <c r="AQ35" i="2"/>
  <c r="T16" i="4"/>
  <c r="AA16" i="4" s="1"/>
  <c r="B21" i="6" s="1"/>
  <c r="AP20" i="7" s="1"/>
  <c r="U16" i="4"/>
  <c r="AB16" i="4" s="1"/>
  <c r="K16" i="7" s="1"/>
  <c r="L16" i="7" s="1"/>
  <c r="T6" i="4"/>
  <c r="AA6" i="4" s="1"/>
  <c r="U6" i="4"/>
  <c r="AB6" i="4" s="1"/>
  <c r="K6" i="7" s="1"/>
  <c r="L6" i="7" s="1"/>
  <c r="AA14" i="3"/>
  <c r="AB14" i="3" s="1"/>
  <c r="AG14" i="3"/>
  <c r="AH14" i="3" s="1"/>
  <c r="N11" i="4"/>
  <c r="O14" i="3"/>
  <c r="AA9" i="3"/>
  <c r="AB9" i="3" s="1"/>
  <c r="AG9" i="3"/>
  <c r="AH9" i="3" s="1"/>
  <c r="AX7" i="3"/>
  <c r="BL14" i="3"/>
  <c r="K13" i="4" s="1"/>
  <c r="V13" i="4" s="1"/>
  <c r="AC13" i="4" s="1"/>
  <c r="BN14" i="3"/>
  <c r="C12" i="9" s="1"/>
  <c r="E12" i="9" s="1"/>
  <c r="BC14" i="3"/>
  <c r="BE14" i="3" s="1"/>
  <c r="BG14" i="3" s="1"/>
  <c r="BH14" i="3" s="1"/>
  <c r="AQ16" i="2"/>
  <c r="T15" i="4"/>
  <c r="AA15" i="4" s="1"/>
  <c r="S15" i="4"/>
  <c r="Z15" i="4" s="1"/>
  <c r="G15" i="7" s="1"/>
  <c r="H15" i="7" s="1"/>
  <c r="V15" i="4"/>
  <c r="AC15" i="4" s="1"/>
  <c r="U15" i="4"/>
  <c r="AB15" i="4" s="1"/>
  <c r="K15" i="7" s="1"/>
  <c r="L15" i="7" s="1"/>
  <c r="AQ6" i="2"/>
  <c r="N6" i="2"/>
  <c r="P6" i="2" s="1"/>
  <c r="AG3" i="2"/>
  <c r="AH3" i="2" s="1"/>
  <c r="AJ3" i="2" s="1"/>
  <c r="AK3" i="2" s="1"/>
  <c r="AM3" i="2" s="1"/>
  <c r="AC3" i="2"/>
  <c r="AD3" i="2" s="1"/>
  <c r="AT5" i="2"/>
  <c r="AU5" i="2"/>
  <c r="D25" i="10"/>
  <c r="AU3" i="2"/>
  <c r="AT3" i="2"/>
  <c r="J12" i="7" l="1"/>
  <c r="U12" i="7" s="1"/>
  <c r="W12" i="7" s="1"/>
  <c r="AD12" i="7" s="1"/>
  <c r="I12" i="7"/>
  <c r="J16" i="7"/>
  <c r="U16" i="7" s="1"/>
  <c r="W16" i="7" s="1"/>
  <c r="AD16" i="7" s="1"/>
  <c r="I16" i="7"/>
  <c r="N16" i="7"/>
  <c r="V16" i="7" s="1"/>
  <c r="AA16" i="7" s="1"/>
  <c r="AI16" i="7" s="1"/>
  <c r="M16" i="7"/>
  <c r="I6" i="7"/>
  <c r="J6" i="7"/>
  <c r="U6" i="7" s="1"/>
  <c r="W6" i="7" s="1"/>
  <c r="AD6" i="7" s="1"/>
  <c r="AT20" i="7"/>
  <c r="AV20" i="7" s="1"/>
  <c r="AS20" i="7"/>
  <c r="AU20" i="7" s="1"/>
  <c r="AI20" i="8"/>
  <c r="Y20" i="8"/>
  <c r="AI16" i="8"/>
  <c r="AK16" i="8" s="1"/>
  <c r="AT40" i="8" s="1"/>
  <c r="Y16" i="8"/>
  <c r="AZ5" i="8"/>
  <c r="T10" i="4"/>
  <c r="AA10" i="4" s="1"/>
  <c r="B13" i="6" s="1"/>
  <c r="AP12" i="7" s="1"/>
  <c r="S10" i="4"/>
  <c r="Z10" i="4" s="1"/>
  <c r="G10" i="7" s="1"/>
  <c r="H10" i="7" s="1"/>
  <c r="V10" i="4"/>
  <c r="AC10" i="4" s="1"/>
  <c r="B7" i="6" s="1"/>
  <c r="AP6" i="7" s="1"/>
  <c r="U10" i="4"/>
  <c r="AB10" i="4" s="1"/>
  <c r="K10" i="7" s="1"/>
  <c r="L10" i="7" s="1"/>
  <c r="AI13" i="8"/>
  <c r="Y13" i="8"/>
  <c r="M11" i="7"/>
  <c r="N11" i="7"/>
  <c r="V11" i="7" s="1"/>
  <c r="AA11" i="7" s="1"/>
  <c r="AI11" i="7" s="1"/>
  <c r="AK17" i="8"/>
  <c r="AT41" i="8" s="1"/>
  <c r="AK20" i="8"/>
  <c r="AT44" i="8" s="1"/>
  <c r="S13" i="4"/>
  <c r="Z13" i="4" s="1"/>
  <c r="G13" i="7" s="1"/>
  <c r="H13" i="7" s="1"/>
  <c r="S7" i="4"/>
  <c r="Z7" i="4" s="1"/>
  <c r="G7" i="7" s="1"/>
  <c r="H7" i="7" s="1"/>
  <c r="Y6" i="8"/>
  <c r="AH6" i="8"/>
  <c r="AK6" i="8" s="1"/>
  <c r="AT30" i="8" s="1"/>
  <c r="T12" i="4"/>
  <c r="AA12" i="4" s="1"/>
  <c r="M9" i="7"/>
  <c r="N9" i="7"/>
  <c r="V9" i="7" s="1"/>
  <c r="AA9" i="7" s="1"/>
  <c r="AI9" i="7" s="1"/>
  <c r="AU27" i="2"/>
  <c r="AU24" i="2"/>
  <c r="AU20" i="2"/>
  <c r="AU25" i="2"/>
  <c r="AU14" i="2"/>
  <c r="AU12" i="2"/>
  <c r="AU6" i="2"/>
  <c r="AU36" i="2" s="1"/>
  <c r="I15" i="7"/>
  <c r="J15" i="7"/>
  <c r="U15" i="7" s="1"/>
  <c r="W15" i="7" s="1"/>
  <c r="AD15" i="7" s="1"/>
  <c r="AU16" i="2"/>
  <c r="BM7" i="3"/>
  <c r="L6" i="4" s="1"/>
  <c r="AY7" i="3"/>
  <c r="AZ7" i="3" s="1"/>
  <c r="BD7" i="3"/>
  <c r="BE7" i="3" s="1"/>
  <c r="BG7" i="3" s="1"/>
  <c r="BH7" i="3" s="1"/>
  <c r="M6" i="7"/>
  <c r="N6" i="7"/>
  <c r="V6" i="7" s="1"/>
  <c r="AA6" i="7" s="1"/>
  <c r="AI6" i="7" s="1"/>
  <c r="AI17" i="8"/>
  <c r="Y17" i="8"/>
  <c r="AU26" i="2"/>
  <c r="AI14" i="8"/>
  <c r="AK14" i="8" s="1"/>
  <c r="AT38" i="8" s="1"/>
  <c r="Y14" i="8"/>
  <c r="B15" i="6"/>
  <c r="AP14" i="7" s="1"/>
  <c r="B16" i="6"/>
  <c r="AP15" i="7" s="1"/>
  <c r="AH7" i="8"/>
  <c r="AK7" i="8" s="1"/>
  <c r="AT31" i="8" s="1"/>
  <c r="Y7" i="8"/>
  <c r="AU10" i="2"/>
  <c r="T13" i="4"/>
  <c r="AA13" i="4" s="1"/>
  <c r="T7" i="4"/>
  <c r="AA7" i="4" s="1"/>
  <c r="B9" i="6" s="1"/>
  <c r="AP8" i="7" s="1"/>
  <c r="BE9" i="3"/>
  <c r="BG9" i="3" s="1"/>
  <c r="BH9" i="3" s="1"/>
  <c r="AU30" i="2"/>
  <c r="U12" i="4"/>
  <c r="AB12" i="4" s="1"/>
  <c r="K12" i="7" s="1"/>
  <c r="L12" i="7" s="1"/>
  <c r="Y10" i="8"/>
  <c r="AH10" i="8"/>
  <c r="AK10" i="8" s="1"/>
  <c r="AT34" i="8" s="1"/>
  <c r="AU34" i="2"/>
  <c r="B12" i="6"/>
  <c r="AP11" i="7" s="1"/>
  <c r="BE11" i="3"/>
  <c r="BG11" i="3" s="1"/>
  <c r="BH11" i="3" s="1"/>
  <c r="AI15" i="8"/>
  <c r="AK15" i="8" s="1"/>
  <c r="AT39" i="8" s="1"/>
  <c r="Y15" i="8"/>
  <c r="AU8" i="2"/>
  <c r="E25" i="10"/>
  <c r="J10" i="10" s="1"/>
  <c r="I10" i="10"/>
  <c r="V6" i="4"/>
  <c r="AC6" i="4" s="1"/>
  <c r="B6" i="6" s="1"/>
  <c r="AP5" i="7" s="1"/>
  <c r="V16" i="4"/>
  <c r="AC16" i="4" s="1"/>
  <c r="AU35" i="2"/>
  <c r="T14" i="4"/>
  <c r="AA14" i="4" s="1"/>
  <c r="B17" i="6" s="1"/>
  <c r="AP16" i="7" s="1"/>
  <c r="S14" i="4"/>
  <c r="Z14" i="4" s="1"/>
  <c r="G14" i="7" s="1"/>
  <c r="H14" i="7" s="1"/>
  <c r="V14" i="4"/>
  <c r="AC14" i="4" s="1"/>
  <c r="U14" i="4"/>
  <c r="AB14" i="4" s="1"/>
  <c r="K14" i="7" s="1"/>
  <c r="L14" i="7" s="1"/>
  <c r="BN7" i="3"/>
  <c r="AI21" i="8"/>
  <c r="AK21" i="8" s="1"/>
  <c r="AT45" i="8" s="1"/>
  <c r="Y21" i="8"/>
  <c r="AY16" i="3"/>
  <c r="AZ16" i="3" s="1"/>
  <c r="BD16" i="3"/>
  <c r="BM16" i="3"/>
  <c r="L15" i="4" s="1"/>
  <c r="I11" i="7"/>
  <c r="J11" i="7"/>
  <c r="U11" i="7" s="1"/>
  <c r="W11" i="7" s="1"/>
  <c r="AD11" i="7" s="1"/>
  <c r="AK13" i="8"/>
  <c r="AT37" i="8" s="1"/>
  <c r="G8" i="2"/>
  <c r="Y7" i="2"/>
  <c r="Q7" i="2"/>
  <c r="S7" i="2" s="1"/>
  <c r="T7" i="2" s="1"/>
  <c r="U7" i="2" s="1"/>
  <c r="V7" i="2" s="1"/>
  <c r="AB7" i="2" s="1"/>
  <c r="N7" i="2"/>
  <c r="P7" i="2" s="1"/>
  <c r="U13" i="4"/>
  <c r="AB13" i="4" s="1"/>
  <c r="K13" i="7" s="1"/>
  <c r="L13" i="7" s="1"/>
  <c r="U7" i="4"/>
  <c r="AB7" i="4" s="1"/>
  <c r="K7" i="7" s="1"/>
  <c r="L7" i="7" s="1"/>
  <c r="AI19" i="8"/>
  <c r="AK19" i="8" s="1"/>
  <c r="AT43" i="8" s="1"/>
  <c r="Y19" i="8"/>
  <c r="Y5" i="8"/>
  <c r="AH5" i="8"/>
  <c r="AK5" i="8" s="1"/>
  <c r="AT29" i="8" s="1"/>
  <c r="V12" i="4"/>
  <c r="AC12" i="4" s="1"/>
  <c r="Y9" i="8"/>
  <c r="AH9" i="8"/>
  <c r="AK9" i="8" s="1"/>
  <c r="AT33" i="8" s="1"/>
  <c r="BE12" i="3"/>
  <c r="BG12" i="3" s="1"/>
  <c r="BH12" i="3" s="1"/>
  <c r="N16" i="4"/>
  <c r="O19" i="3"/>
  <c r="AU22" i="2"/>
  <c r="AU33" i="2"/>
  <c r="M15" i="7"/>
  <c r="N15" i="7"/>
  <c r="V15" i="7" s="1"/>
  <c r="AA15" i="7" s="1"/>
  <c r="AI15" i="7" s="1"/>
  <c r="AI18" i="8"/>
  <c r="Y18" i="8"/>
  <c r="AT17" i="7"/>
  <c r="AV17" i="7" s="1"/>
  <c r="AS17" i="7"/>
  <c r="AU17" i="7" s="1"/>
  <c r="AW17" i="7" s="1"/>
  <c r="BB17" i="7" s="1"/>
  <c r="BC17" i="7" s="1"/>
  <c r="BF17" i="7" s="1"/>
  <c r="AB17" i="8" s="1"/>
  <c r="AC17" i="8" s="1"/>
  <c r="AD17" i="8" s="1"/>
  <c r="Y8" i="8"/>
  <c r="AH8" i="8"/>
  <c r="AK8" i="8" s="1"/>
  <c r="AT32" i="8" s="1"/>
  <c r="AI12" i="8"/>
  <c r="AK12" i="8" s="1"/>
  <c r="AT36" i="8" s="1"/>
  <c r="Y12" i="8"/>
  <c r="BE16" i="3"/>
  <c r="BG16" i="3" s="1"/>
  <c r="BH16" i="3" s="1"/>
  <c r="T6" i="2"/>
  <c r="U6" i="2" s="1"/>
  <c r="V6" i="2" s="1"/>
  <c r="AB6" i="2" s="1"/>
  <c r="I9" i="7"/>
  <c r="J9" i="7"/>
  <c r="U9" i="7" s="1"/>
  <c r="W9" i="7" s="1"/>
  <c r="AD9" i="7" s="1"/>
  <c r="AU28" i="2"/>
  <c r="BL18" i="3"/>
  <c r="K17" i="4" s="1"/>
  <c r="BN18" i="3"/>
  <c r="C16" i="9" s="1"/>
  <c r="E16" i="9" s="1"/>
  <c r="BC18" i="3"/>
  <c r="BE18" i="3" s="1"/>
  <c r="BG18" i="3" s="1"/>
  <c r="BH18" i="3" s="1"/>
  <c r="AK18" i="8"/>
  <c r="AT42" i="8" s="1"/>
  <c r="B11" i="6"/>
  <c r="AP10" i="7" s="1"/>
  <c r="AA17" i="3"/>
  <c r="AB17" i="3" s="1"/>
  <c r="AG17" i="3"/>
  <c r="AH17" i="3" s="1"/>
  <c r="Y11" i="8"/>
  <c r="AU29" i="2"/>
  <c r="AU18" i="2"/>
  <c r="AS16" i="7" l="1"/>
  <c r="AU16" i="7" s="1"/>
  <c r="AW16" i="7" s="1"/>
  <c r="BB16" i="7" s="1"/>
  <c r="BC16" i="7" s="1"/>
  <c r="BF16" i="7" s="1"/>
  <c r="AB16" i="8" s="1"/>
  <c r="AC16" i="8" s="1"/>
  <c r="AD16" i="8" s="1"/>
  <c r="AT16" i="7"/>
  <c r="AV16" i="7" s="1"/>
  <c r="AS6" i="7"/>
  <c r="AU6" i="7" s="1"/>
  <c r="AT6" i="7"/>
  <c r="AV6" i="7" s="1"/>
  <c r="AS10" i="7"/>
  <c r="AU10" i="7" s="1"/>
  <c r="AT10" i="7"/>
  <c r="AV10" i="7" s="1"/>
  <c r="AC7" i="2"/>
  <c r="AD7" i="2" s="1"/>
  <c r="AG7" i="2"/>
  <c r="AH7" i="2" s="1"/>
  <c r="AJ7" i="2" s="1"/>
  <c r="AK7" i="2" s="1"/>
  <c r="AM7" i="2" s="1"/>
  <c r="AT7" i="2" s="1"/>
  <c r="M14" i="7"/>
  <c r="N14" i="7"/>
  <c r="V14" i="7" s="1"/>
  <c r="AA14" i="7" s="1"/>
  <c r="AI14" i="7" s="1"/>
  <c r="AS8" i="7"/>
  <c r="AU8" i="7" s="1"/>
  <c r="AT8" i="7"/>
  <c r="AV8" i="7" s="1"/>
  <c r="AE17" i="8"/>
  <c r="AP17" i="8" s="1"/>
  <c r="AU41" i="8" s="1"/>
  <c r="T17" i="4"/>
  <c r="AA17" i="4" s="1"/>
  <c r="S17" i="4"/>
  <c r="Z17" i="4" s="1"/>
  <c r="G17" i="7" s="1"/>
  <c r="H17" i="7" s="1"/>
  <c r="V17" i="4"/>
  <c r="AC17" i="4" s="1"/>
  <c r="B22" i="6" s="1"/>
  <c r="AP21" i="7" s="1"/>
  <c r="U17" i="4"/>
  <c r="AB17" i="4" s="1"/>
  <c r="K17" i="7" s="1"/>
  <c r="L17" i="7" s="1"/>
  <c r="M13" i="7"/>
  <c r="N13" i="7"/>
  <c r="V13" i="7" s="1"/>
  <c r="AA13" i="7" s="1"/>
  <c r="AI13" i="7" s="1"/>
  <c r="AC6" i="2"/>
  <c r="AD6" i="2" s="1"/>
  <c r="AG6" i="2"/>
  <c r="AH6" i="2" s="1"/>
  <c r="AJ6" i="2" s="1"/>
  <c r="AK6" i="2" s="1"/>
  <c r="AM6" i="2" s="1"/>
  <c r="M7" i="7"/>
  <c r="N7" i="7"/>
  <c r="V7" i="7" s="1"/>
  <c r="N12" i="7"/>
  <c r="V12" i="7" s="1"/>
  <c r="AA12" i="7" s="1"/>
  <c r="AI12" i="7" s="1"/>
  <c r="M12" i="7"/>
  <c r="AT15" i="7"/>
  <c r="AV15" i="7" s="1"/>
  <c r="AS15" i="7"/>
  <c r="AU15" i="7" s="1"/>
  <c r="AV41" i="8"/>
  <c r="I10" i="7"/>
  <c r="J10" i="7"/>
  <c r="U10" i="7" s="1"/>
  <c r="W10" i="7" s="1"/>
  <c r="AD10" i="7" s="1"/>
  <c r="B20" i="6"/>
  <c r="AP19" i="7" s="1"/>
  <c r="I7" i="7"/>
  <c r="J7" i="7"/>
  <c r="U7" i="7" s="1"/>
  <c r="W7" i="7" s="1"/>
  <c r="AS12" i="7"/>
  <c r="AU12" i="7" s="1"/>
  <c r="AT12" i="7"/>
  <c r="AV12" i="7" s="1"/>
  <c r="D22" i="9"/>
  <c r="I9" i="9" s="1"/>
  <c r="BA5" i="8"/>
  <c r="E22" i="9" s="1"/>
  <c r="G9" i="2"/>
  <c r="Q8" i="2"/>
  <c r="S8" i="2" s="1"/>
  <c r="Y8" i="2"/>
  <c r="N8" i="2"/>
  <c r="P8" i="2" s="1"/>
  <c r="I14" i="7"/>
  <c r="J14" i="7"/>
  <c r="U14" i="7" s="1"/>
  <c r="W14" i="7" s="1"/>
  <c r="AD14" i="7" s="1"/>
  <c r="AS14" i="7"/>
  <c r="AU14" i="7" s="1"/>
  <c r="AT14" i="7"/>
  <c r="AV14" i="7" s="1"/>
  <c r="I13" i="7"/>
  <c r="J13" i="7"/>
  <c r="U13" i="7" s="1"/>
  <c r="W13" i="7" s="1"/>
  <c r="AD13" i="7" s="1"/>
  <c r="M10" i="7"/>
  <c r="N10" i="7"/>
  <c r="V10" i="7" s="1"/>
  <c r="AA10" i="7" s="1"/>
  <c r="AI10" i="7" s="1"/>
  <c r="C5" i="9"/>
  <c r="E5" i="9" s="1"/>
  <c r="E17" i="9" s="1"/>
  <c r="N5" i="5"/>
  <c r="T5" i="5" s="1"/>
  <c r="U5" i="5" s="1"/>
  <c r="Z7" i="5" s="1"/>
  <c r="AT5" i="7"/>
  <c r="AV5" i="7" s="1"/>
  <c r="AS5" i="7"/>
  <c r="AU5" i="7" s="1"/>
  <c r="AW5" i="7" s="1"/>
  <c r="BB5" i="7" s="1"/>
  <c r="BC5" i="7" s="1"/>
  <c r="BF5" i="7" s="1"/>
  <c r="AB5" i="8" s="1"/>
  <c r="AC5" i="8" s="1"/>
  <c r="AD5" i="8" s="1"/>
  <c r="AE5" i="8" s="1"/>
  <c r="AP5" i="8" s="1"/>
  <c r="AU29" i="8" s="1"/>
  <c r="AV29" i="8" s="1"/>
  <c r="AT11" i="7"/>
  <c r="AV11" i="7" s="1"/>
  <c r="AS11" i="7"/>
  <c r="AU11" i="7" s="1"/>
  <c r="B14" i="6"/>
  <c r="AP13" i="7" s="1"/>
  <c r="AE16" i="8"/>
  <c r="AP16" i="8" s="1"/>
  <c r="AU40" i="8" s="1"/>
  <c r="AV40" i="8" s="1"/>
  <c r="AW20" i="7"/>
  <c r="BB20" i="7" s="1"/>
  <c r="BC20" i="7" s="1"/>
  <c r="BF20" i="7" s="1"/>
  <c r="AB20" i="8" s="1"/>
  <c r="AC20" i="8" s="1"/>
  <c r="AD20" i="8" s="1"/>
  <c r="AE20" i="8" s="1"/>
  <c r="AP20" i="8" s="1"/>
  <c r="AU44" i="8" s="1"/>
  <c r="AV44" i="8" s="1"/>
  <c r="B19" i="6"/>
  <c r="AP18" i="7" s="1"/>
  <c r="AS21" i="7" l="1"/>
  <c r="AU21" i="7" s="1"/>
  <c r="AW21" i="7" s="1"/>
  <c r="BB21" i="7" s="1"/>
  <c r="BC21" i="7" s="1"/>
  <c r="BF21" i="7" s="1"/>
  <c r="AB21" i="8" s="1"/>
  <c r="AC21" i="8" s="1"/>
  <c r="AD21" i="8" s="1"/>
  <c r="AE21" i="8" s="1"/>
  <c r="AP21" i="8" s="1"/>
  <c r="AU45" i="8" s="1"/>
  <c r="AV45" i="8" s="1"/>
  <c r="AT21" i="7"/>
  <c r="AV21" i="7" s="1"/>
  <c r="AT19" i="7"/>
  <c r="AV19" i="7" s="1"/>
  <c r="AS19" i="7"/>
  <c r="AU19" i="7" s="1"/>
  <c r="I17" i="7"/>
  <c r="J17" i="7"/>
  <c r="U17" i="7" s="1"/>
  <c r="W17" i="7" s="1"/>
  <c r="AD17" i="7" s="1"/>
  <c r="AW8" i="7"/>
  <c r="BB8" i="7" s="1"/>
  <c r="BC8" i="7" s="1"/>
  <c r="BF8" i="7" s="1"/>
  <c r="AB8" i="8" s="1"/>
  <c r="AC8" i="8" s="1"/>
  <c r="AD8" i="8" s="1"/>
  <c r="AE8" i="8" s="1"/>
  <c r="AP8" i="8" s="1"/>
  <c r="AU32" i="8" s="1"/>
  <c r="AV32" i="8" s="1"/>
  <c r="AW10" i="7"/>
  <c r="BB10" i="7" s="1"/>
  <c r="BC10" i="7" s="1"/>
  <c r="BF10" i="7" s="1"/>
  <c r="AB10" i="8" s="1"/>
  <c r="AC10" i="8" s="1"/>
  <c r="AD10" i="8" s="1"/>
  <c r="AE10" i="8" s="1"/>
  <c r="AP10" i="8" s="1"/>
  <c r="AU34" i="8" s="1"/>
  <c r="AV34" i="8" s="1"/>
  <c r="AW6" i="7"/>
  <c r="BB6" i="7" s="1"/>
  <c r="BC6" i="7" s="1"/>
  <c r="BF6" i="7" s="1"/>
  <c r="AB6" i="8" s="1"/>
  <c r="AC6" i="8" s="1"/>
  <c r="AD6" i="8" s="1"/>
  <c r="AE6" i="8" s="1"/>
  <c r="AP6" i="8" s="1"/>
  <c r="AU30" i="8" s="1"/>
  <c r="AV30" i="8" s="1"/>
  <c r="E6" i="11"/>
  <c r="J4" i="9"/>
  <c r="AT13" i="7"/>
  <c r="AV13" i="7" s="1"/>
  <c r="AS13" i="7"/>
  <c r="AU13" i="7" s="1"/>
  <c r="AT18" i="7"/>
  <c r="AV18" i="7" s="1"/>
  <c r="AS18" i="7"/>
  <c r="AU18" i="7" s="1"/>
  <c r="AW18" i="7" s="1"/>
  <c r="BB18" i="7" s="1"/>
  <c r="BC18" i="7" s="1"/>
  <c r="BF18" i="7" s="1"/>
  <c r="AB18" i="8" s="1"/>
  <c r="AC18" i="8" s="1"/>
  <c r="AD18" i="8" s="1"/>
  <c r="AE18" i="8" s="1"/>
  <c r="AP18" i="8" s="1"/>
  <c r="AU42" i="8" s="1"/>
  <c r="AV42" i="8" s="1"/>
  <c r="AW14" i="7"/>
  <c r="BB14" i="7" s="1"/>
  <c r="BC14" i="7" s="1"/>
  <c r="BF14" i="7" s="1"/>
  <c r="AB14" i="8" s="1"/>
  <c r="AC14" i="8" s="1"/>
  <c r="AD14" i="8" s="1"/>
  <c r="AE14" i="8" s="1"/>
  <c r="AP14" i="8" s="1"/>
  <c r="AU38" i="8" s="1"/>
  <c r="AV38" i="8" s="1"/>
  <c r="T8" i="2"/>
  <c r="U8" i="2" s="1"/>
  <c r="V8" i="2" s="1"/>
  <c r="AB8" i="2" s="1"/>
  <c r="J9" i="9"/>
  <c r="AW12" i="7"/>
  <c r="BB12" i="7" s="1"/>
  <c r="BC12" i="7" s="1"/>
  <c r="BF12" i="7" s="1"/>
  <c r="AB12" i="8" s="1"/>
  <c r="AC12" i="8" s="1"/>
  <c r="AD12" i="8" s="1"/>
  <c r="AE12" i="8" s="1"/>
  <c r="AP12" i="8" s="1"/>
  <c r="AU36" i="8" s="1"/>
  <c r="AV36" i="8" s="1"/>
  <c r="AT6" i="2"/>
  <c r="AW11" i="7"/>
  <c r="BB11" i="7" s="1"/>
  <c r="BC11" i="7" s="1"/>
  <c r="BF11" i="7" s="1"/>
  <c r="AB11" i="8" s="1"/>
  <c r="AC11" i="8" s="1"/>
  <c r="AD11" i="8" s="1"/>
  <c r="AE11" i="8" s="1"/>
  <c r="AP11" i="8" s="1"/>
  <c r="AU35" i="8" s="1"/>
  <c r="AV35" i="8" s="1"/>
  <c r="AA7" i="5"/>
  <c r="E8" i="4" s="1"/>
  <c r="D8" i="4"/>
  <c r="M8" i="4" s="1"/>
  <c r="Q9" i="2"/>
  <c r="S9" i="2" s="1"/>
  <c r="G10" i="2"/>
  <c r="Y9" i="2"/>
  <c r="N9" i="2"/>
  <c r="P9" i="2" s="1"/>
  <c r="X7" i="7"/>
  <c r="AA7" i="7" s="1"/>
  <c r="AI7" i="7" s="1"/>
  <c r="AD7" i="7"/>
  <c r="AW15" i="7"/>
  <c r="BB15" i="7" s="1"/>
  <c r="BC15" i="7" s="1"/>
  <c r="BF15" i="7" s="1"/>
  <c r="AB15" i="8" s="1"/>
  <c r="AC15" i="8" s="1"/>
  <c r="AD15" i="8" s="1"/>
  <c r="AE15" i="8" s="1"/>
  <c r="AP15" i="8" s="1"/>
  <c r="AU39" i="8" s="1"/>
  <c r="AV39" i="8" s="1"/>
  <c r="M17" i="7"/>
  <c r="N17" i="7"/>
  <c r="V17" i="7" s="1"/>
  <c r="AA17" i="7" s="1"/>
  <c r="AI17" i="7" s="1"/>
  <c r="T9" i="2" l="1"/>
  <c r="U9" i="2" s="1"/>
  <c r="V9" i="2" s="1"/>
  <c r="AB9" i="2" s="1"/>
  <c r="J6" i="11"/>
  <c r="J9" i="11" s="1"/>
  <c r="E9" i="11"/>
  <c r="Y10" i="2"/>
  <c r="Q10" i="2"/>
  <c r="S10" i="2" s="1"/>
  <c r="T10" i="2" s="1"/>
  <c r="U10" i="2" s="1"/>
  <c r="V10" i="2" s="1"/>
  <c r="AB10" i="2" s="1"/>
  <c r="G11" i="2"/>
  <c r="N10" i="2"/>
  <c r="P10" i="2" s="1"/>
  <c r="T8" i="4"/>
  <c r="AA8" i="4" s="1"/>
  <c r="B8" i="6" s="1"/>
  <c r="AP7" i="7" s="1"/>
  <c r="S8" i="4"/>
  <c r="Z8" i="4" s="1"/>
  <c r="G8" i="7" s="1"/>
  <c r="H8" i="7" s="1"/>
  <c r="V8" i="4"/>
  <c r="AC8" i="4" s="1"/>
  <c r="B10" i="6" s="1"/>
  <c r="AP9" i="7" s="1"/>
  <c r="U8" i="4"/>
  <c r="AB8" i="4" s="1"/>
  <c r="K8" i="7" s="1"/>
  <c r="L8" i="7" s="1"/>
  <c r="AC8" i="2"/>
  <c r="AD8" i="2" s="1"/>
  <c r="AG8" i="2"/>
  <c r="AH8" i="2" s="1"/>
  <c r="AJ8" i="2" s="1"/>
  <c r="AK8" i="2" s="1"/>
  <c r="AM8" i="2" s="1"/>
  <c r="AW13" i="7"/>
  <c r="BB13" i="7" s="1"/>
  <c r="BC13" i="7" s="1"/>
  <c r="BF13" i="7" s="1"/>
  <c r="AB13" i="8" s="1"/>
  <c r="AC13" i="8" s="1"/>
  <c r="AD13" i="8" s="1"/>
  <c r="AE13" i="8" s="1"/>
  <c r="AP13" i="8" s="1"/>
  <c r="AU37" i="8" s="1"/>
  <c r="AV37" i="8" s="1"/>
  <c r="AW19" i="7"/>
  <c r="BB19" i="7" s="1"/>
  <c r="BC19" i="7" s="1"/>
  <c r="BF19" i="7" s="1"/>
  <c r="AB19" i="8" s="1"/>
  <c r="AC19" i="8" s="1"/>
  <c r="AD19" i="8" s="1"/>
  <c r="AE19" i="8" s="1"/>
  <c r="AP19" i="8" s="1"/>
  <c r="AU43" i="8" s="1"/>
  <c r="AV43" i="8" s="1"/>
  <c r="AT9" i="7" l="1"/>
  <c r="AV9" i="7" s="1"/>
  <c r="AS9" i="7"/>
  <c r="AU9" i="7" s="1"/>
  <c r="AW9" i="7" s="1"/>
  <c r="BB9" i="7" s="1"/>
  <c r="BC9" i="7" s="1"/>
  <c r="BF9" i="7" s="1"/>
  <c r="AB9" i="8" s="1"/>
  <c r="AC9" i="8" s="1"/>
  <c r="AD9" i="8" s="1"/>
  <c r="AE9" i="8" s="1"/>
  <c r="AP9" i="8" s="1"/>
  <c r="AU33" i="8" s="1"/>
  <c r="AV33" i="8" s="1"/>
  <c r="G12" i="2"/>
  <c r="Y11" i="2"/>
  <c r="Q11" i="2"/>
  <c r="S11" i="2" s="1"/>
  <c r="N11" i="2"/>
  <c r="P11" i="2" s="1"/>
  <c r="AT8" i="2"/>
  <c r="J8" i="7"/>
  <c r="U8" i="7" s="1"/>
  <c r="W8" i="7" s="1"/>
  <c r="I8" i="7"/>
  <c r="AC10" i="2"/>
  <c r="AD10" i="2" s="1"/>
  <c r="AG10" i="2"/>
  <c r="AH10" i="2" s="1"/>
  <c r="AJ10" i="2" s="1"/>
  <c r="AK10" i="2" s="1"/>
  <c r="AM10" i="2" s="1"/>
  <c r="AT10" i="2" s="1"/>
  <c r="AS7" i="7"/>
  <c r="AU7" i="7" s="1"/>
  <c r="AT7" i="7"/>
  <c r="AV7" i="7" s="1"/>
  <c r="N8" i="7"/>
  <c r="V8" i="7" s="1"/>
  <c r="M8" i="7"/>
  <c r="AC9" i="2"/>
  <c r="AD9" i="2" s="1"/>
  <c r="AG9" i="2"/>
  <c r="AH9" i="2" s="1"/>
  <c r="AJ9" i="2" s="1"/>
  <c r="AK9" i="2" s="1"/>
  <c r="AM9" i="2" s="1"/>
  <c r="AT9" i="2" s="1"/>
  <c r="G13" i="2" l="1"/>
  <c r="Q12" i="2"/>
  <c r="S12" i="2" s="1"/>
  <c r="T12" i="2" s="1"/>
  <c r="U12" i="2" s="1"/>
  <c r="V12" i="2" s="1"/>
  <c r="AB12" i="2" s="1"/>
  <c r="Y12" i="2"/>
  <c r="N12" i="2"/>
  <c r="P12" i="2" s="1"/>
  <c r="AW7" i="7"/>
  <c r="BB7" i="7" s="1"/>
  <c r="BC7" i="7" s="1"/>
  <c r="BF7" i="7" s="1"/>
  <c r="AB7" i="8" s="1"/>
  <c r="AC7" i="8" s="1"/>
  <c r="AD7" i="8" s="1"/>
  <c r="AE7" i="8" s="1"/>
  <c r="AP7" i="8" s="1"/>
  <c r="AU31" i="8" s="1"/>
  <c r="AV31" i="8" s="1"/>
  <c r="AZ6" i="8" s="1"/>
  <c r="AD8" i="7"/>
  <c r="X8" i="7"/>
  <c r="AA8" i="7" s="1"/>
  <c r="AI8" i="7" s="1"/>
  <c r="T11" i="2"/>
  <c r="U11" i="2" s="1"/>
  <c r="V11" i="2" s="1"/>
  <c r="AB11" i="2" s="1"/>
  <c r="D23" i="9" l="1"/>
  <c r="I10" i="9" s="1"/>
  <c r="BA6" i="8"/>
  <c r="E23" i="9" s="1"/>
  <c r="Q13" i="2"/>
  <c r="S13" i="2" s="1"/>
  <c r="T13" i="2" s="1"/>
  <c r="U13" i="2" s="1"/>
  <c r="V13" i="2" s="1"/>
  <c r="AB13" i="2" s="1"/>
  <c r="G14" i="2"/>
  <c r="Y13" i="2"/>
  <c r="N13" i="2"/>
  <c r="P13" i="2" s="1"/>
  <c r="AC12" i="2"/>
  <c r="AD12" i="2" s="1"/>
  <c r="AG12" i="2"/>
  <c r="AH12" i="2" s="1"/>
  <c r="AJ12" i="2" s="1"/>
  <c r="AK12" i="2" s="1"/>
  <c r="AM12" i="2" s="1"/>
  <c r="AT12" i="2" s="1"/>
  <c r="AC11" i="2"/>
  <c r="AD11" i="2" s="1"/>
  <c r="AG11" i="2"/>
  <c r="AH11" i="2" s="1"/>
  <c r="AJ11" i="2" s="1"/>
  <c r="AK11" i="2" s="1"/>
  <c r="AM11" i="2" s="1"/>
  <c r="AC13" i="2" l="1"/>
  <c r="AD13" i="2" s="1"/>
  <c r="AG13" i="2"/>
  <c r="AH13" i="2" s="1"/>
  <c r="AJ13" i="2" s="1"/>
  <c r="AK13" i="2" s="1"/>
  <c r="AM13" i="2" s="1"/>
  <c r="AT13" i="2" s="1"/>
  <c r="AT11" i="2"/>
  <c r="J10" i="9"/>
  <c r="J11" i="9" s="1"/>
  <c r="E24" i="9"/>
  <c r="E14" i="11" s="1"/>
  <c r="J14" i="11" s="1"/>
  <c r="G15" i="2"/>
  <c r="Y14" i="2"/>
  <c r="Q14" i="2"/>
  <c r="S14" i="2" s="1"/>
  <c r="N14" i="2"/>
  <c r="P14" i="2" s="1"/>
  <c r="G16" i="2" l="1"/>
  <c r="Y15" i="2"/>
  <c r="Q15" i="2"/>
  <c r="S15" i="2" s="1"/>
  <c r="N15" i="2"/>
  <c r="P15" i="2" s="1"/>
  <c r="T14" i="2"/>
  <c r="U14" i="2" s="1"/>
  <c r="V14" i="2" s="1"/>
  <c r="AB14" i="2" s="1"/>
  <c r="AC14" i="2" l="1"/>
  <c r="AD14" i="2" s="1"/>
  <c r="AG14" i="2"/>
  <c r="AH14" i="2" s="1"/>
  <c r="AJ14" i="2" s="1"/>
  <c r="AK14" i="2" s="1"/>
  <c r="AM14" i="2" s="1"/>
  <c r="AT14" i="2" s="1"/>
  <c r="T15" i="2"/>
  <c r="U15" i="2" s="1"/>
  <c r="V15" i="2" s="1"/>
  <c r="AB15" i="2" s="1"/>
  <c r="Q16" i="2"/>
  <c r="S16" i="2" s="1"/>
  <c r="T16" i="2" s="1"/>
  <c r="U16" i="2" s="1"/>
  <c r="V16" i="2" s="1"/>
  <c r="AB16" i="2" s="1"/>
  <c r="Y16" i="2"/>
  <c r="G17" i="2"/>
  <c r="N16" i="2"/>
  <c r="P16" i="2" s="1"/>
  <c r="AC16" i="2" l="1"/>
  <c r="AD16" i="2" s="1"/>
  <c r="AG16" i="2"/>
  <c r="AH16" i="2" s="1"/>
  <c r="AJ16" i="2" s="1"/>
  <c r="AK16" i="2" s="1"/>
  <c r="AM16" i="2" s="1"/>
  <c r="AT16" i="2" s="1"/>
  <c r="AC15" i="2"/>
  <c r="AD15" i="2" s="1"/>
  <c r="AG15" i="2"/>
  <c r="AH15" i="2" s="1"/>
  <c r="AJ15" i="2" s="1"/>
  <c r="AK15" i="2" s="1"/>
  <c r="AM15" i="2" s="1"/>
  <c r="AT15" i="2" s="1"/>
  <c r="Q17" i="2"/>
  <c r="S17" i="2" s="1"/>
  <c r="G18" i="2"/>
  <c r="Y17" i="2"/>
  <c r="N17" i="2"/>
  <c r="P17" i="2" s="1"/>
  <c r="Y18" i="2" l="1"/>
  <c r="G19" i="2"/>
  <c r="Q18" i="2"/>
  <c r="S18" i="2" s="1"/>
  <c r="N18" i="2"/>
  <c r="P18" i="2" s="1"/>
  <c r="T17" i="2"/>
  <c r="U17" i="2" s="1"/>
  <c r="V17" i="2" s="1"/>
  <c r="AB17" i="2" s="1"/>
  <c r="T18" i="2" l="1"/>
  <c r="U18" i="2" s="1"/>
  <c r="V18" i="2" s="1"/>
  <c r="AB18" i="2" s="1"/>
  <c r="G20" i="2"/>
  <c r="Y19" i="2"/>
  <c r="Q19" i="2"/>
  <c r="S19" i="2" s="1"/>
  <c r="N19" i="2"/>
  <c r="P19" i="2" s="1"/>
  <c r="AC17" i="2"/>
  <c r="AD17" i="2" s="1"/>
  <c r="AG17" i="2"/>
  <c r="AH17" i="2" s="1"/>
  <c r="AJ17" i="2" s="1"/>
  <c r="AK17" i="2" s="1"/>
  <c r="AM17" i="2" s="1"/>
  <c r="AT17" i="2" s="1"/>
  <c r="T19" i="2" l="1"/>
  <c r="U19" i="2" s="1"/>
  <c r="V19" i="2" s="1"/>
  <c r="AB19" i="2" s="1"/>
  <c r="Q20" i="2"/>
  <c r="S20" i="2" s="1"/>
  <c r="G21" i="2"/>
  <c r="Y20" i="2"/>
  <c r="N20" i="2"/>
  <c r="P20" i="2" s="1"/>
  <c r="AC18" i="2"/>
  <c r="AD18" i="2" s="1"/>
  <c r="AG18" i="2"/>
  <c r="AH18" i="2" s="1"/>
  <c r="AJ18" i="2" s="1"/>
  <c r="AK18" i="2" s="1"/>
  <c r="AM18" i="2" s="1"/>
  <c r="AT18" i="2" s="1"/>
  <c r="Q21" i="2" l="1"/>
  <c r="S21" i="2" s="1"/>
  <c r="G22" i="2"/>
  <c r="Y21" i="2"/>
  <c r="N21" i="2"/>
  <c r="P21" i="2" s="1"/>
  <c r="T20" i="2"/>
  <c r="U20" i="2" s="1"/>
  <c r="V20" i="2" s="1"/>
  <c r="AB20" i="2" s="1"/>
  <c r="AC19" i="2"/>
  <c r="AD19" i="2" s="1"/>
  <c r="AG19" i="2"/>
  <c r="AH19" i="2" s="1"/>
  <c r="AJ19" i="2" s="1"/>
  <c r="AK19" i="2" s="1"/>
  <c r="AM19" i="2" s="1"/>
  <c r="AT19" i="2" s="1"/>
  <c r="G23" i="2" l="1"/>
  <c r="Y22" i="2"/>
  <c r="Q22" i="2"/>
  <c r="S22" i="2" s="1"/>
  <c r="N22" i="2"/>
  <c r="P22" i="2" s="1"/>
  <c r="AC20" i="2"/>
  <c r="AD20" i="2" s="1"/>
  <c r="AG20" i="2"/>
  <c r="AH20" i="2" s="1"/>
  <c r="AJ20" i="2" s="1"/>
  <c r="AK20" i="2" s="1"/>
  <c r="AM20" i="2" s="1"/>
  <c r="AT20" i="2" s="1"/>
  <c r="T21" i="2"/>
  <c r="U21" i="2" s="1"/>
  <c r="V21" i="2" s="1"/>
  <c r="AB21" i="2" s="1"/>
  <c r="AC21" i="2" l="1"/>
  <c r="AD21" i="2" s="1"/>
  <c r="AG21" i="2"/>
  <c r="AH21" i="2" s="1"/>
  <c r="AJ21" i="2" s="1"/>
  <c r="AK21" i="2" s="1"/>
  <c r="AM21" i="2" s="1"/>
  <c r="AT21" i="2" s="1"/>
  <c r="T22" i="2"/>
  <c r="U22" i="2" s="1"/>
  <c r="V22" i="2" s="1"/>
  <c r="AB22" i="2" s="1"/>
  <c r="G24" i="2"/>
  <c r="Y23" i="2"/>
  <c r="Q23" i="2"/>
  <c r="S23" i="2" s="1"/>
  <c r="N23" i="2"/>
  <c r="P23" i="2" s="1"/>
  <c r="AC22" i="2" l="1"/>
  <c r="AD22" i="2" s="1"/>
  <c r="AG22" i="2"/>
  <c r="AH22" i="2" s="1"/>
  <c r="AJ22" i="2" s="1"/>
  <c r="AK22" i="2" s="1"/>
  <c r="AM22" i="2" s="1"/>
  <c r="AT22" i="2" s="1"/>
  <c r="G25" i="2"/>
  <c r="Y24" i="2"/>
  <c r="Q24" i="2"/>
  <c r="S24" i="2" s="1"/>
  <c r="N24" i="2"/>
  <c r="P24" i="2" s="1"/>
  <c r="T23" i="2"/>
  <c r="U23" i="2" s="1"/>
  <c r="V23" i="2" s="1"/>
  <c r="AB23" i="2" s="1"/>
  <c r="AC23" i="2" l="1"/>
  <c r="AD23" i="2" s="1"/>
  <c r="AG23" i="2"/>
  <c r="AH23" i="2" s="1"/>
  <c r="AJ23" i="2" s="1"/>
  <c r="AK23" i="2" s="1"/>
  <c r="AM23" i="2" s="1"/>
  <c r="AT23" i="2" s="1"/>
  <c r="Q25" i="2"/>
  <c r="S25" i="2" s="1"/>
  <c r="G26" i="2"/>
  <c r="Y25" i="2"/>
  <c r="N25" i="2"/>
  <c r="P25" i="2" s="1"/>
  <c r="T24" i="2"/>
  <c r="U24" i="2" s="1"/>
  <c r="V24" i="2" s="1"/>
  <c r="AB24" i="2" s="1"/>
  <c r="AC24" i="2" l="1"/>
  <c r="AD24" i="2" s="1"/>
  <c r="AG24" i="2"/>
  <c r="AH24" i="2" s="1"/>
  <c r="AJ24" i="2" s="1"/>
  <c r="AK24" i="2" s="1"/>
  <c r="AM24" i="2" s="1"/>
  <c r="AT24" i="2" s="1"/>
  <c r="T25" i="2"/>
  <c r="U25" i="2" s="1"/>
  <c r="V25" i="2" s="1"/>
  <c r="AB25" i="2" s="1"/>
  <c r="Q26" i="2"/>
  <c r="S26" i="2" s="1"/>
  <c r="T26" i="2" s="1"/>
  <c r="U26" i="2" s="1"/>
  <c r="V26" i="2" s="1"/>
  <c r="AB26" i="2" s="1"/>
  <c r="G27" i="2"/>
  <c r="Y26" i="2"/>
  <c r="N26" i="2"/>
  <c r="P26" i="2" s="1"/>
  <c r="AC26" i="2" l="1"/>
  <c r="AD26" i="2" s="1"/>
  <c r="AG26" i="2"/>
  <c r="AH26" i="2" s="1"/>
  <c r="AJ26" i="2" s="1"/>
  <c r="AK26" i="2" s="1"/>
  <c r="AM26" i="2" s="1"/>
  <c r="AT26" i="2" s="1"/>
  <c r="AC25" i="2"/>
  <c r="AD25" i="2" s="1"/>
  <c r="AG25" i="2"/>
  <c r="AH25" i="2" s="1"/>
  <c r="AJ25" i="2" s="1"/>
  <c r="AK25" i="2" s="1"/>
  <c r="AM25" i="2" s="1"/>
  <c r="AT25" i="2" s="1"/>
  <c r="G28" i="2"/>
  <c r="Y27" i="2"/>
  <c r="Q27" i="2"/>
  <c r="S27" i="2" s="1"/>
  <c r="N27" i="2"/>
  <c r="P27" i="2" s="1"/>
  <c r="T27" i="2" l="1"/>
  <c r="U27" i="2" s="1"/>
  <c r="V27" i="2" s="1"/>
  <c r="AB27" i="2" s="1"/>
  <c r="G29" i="2"/>
  <c r="Y28" i="2"/>
  <c r="Q28" i="2"/>
  <c r="S28" i="2" s="1"/>
  <c r="N28" i="2"/>
  <c r="P28" i="2" s="1"/>
  <c r="T28" i="2" l="1"/>
  <c r="U28" i="2" s="1"/>
  <c r="V28" i="2" s="1"/>
  <c r="AB28" i="2" s="1"/>
  <c r="Q29" i="2"/>
  <c r="S29" i="2" s="1"/>
  <c r="Y29" i="2"/>
  <c r="G30" i="2"/>
  <c r="N29" i="2"/>
  <c r="P29" i="2" s="1"/>
  <c r="AG27" i="2"/>
  <c r="AH27" i="2" s="1"/>
  <c r="AJ27" i="2" s="1"/>
  <c r="AK27" i="2" s="1"/>
  <c r="AM27" i="2" s="1"/>
  <c r="AT27" i="2" s="1"/>
  <c r="AC27" i="2"/>
  <c r="AD27" i="2" s="1"/>
  <c r="Q30" i="2" l="1"/>
  <c r="S30" i="2" s="1"/>
  <c r="G31" i="2"/>
  <c r="Y30" i="2"/>
  <c r="N30" i="2"/>
  <c r="P30" i="2" s="1"/>
  <c r="T29" i="2"/>
  <c r="U29" i="2" s="1"/>
  <c r="V29" i="2" s="1"/>
  <c r="AB29" i="2" s="1"/>
  <c r="AC28" i="2"/>
  <c r="AD28" i="2" s="1"/>
  <c r="AG28" i="2"/>
  <c r="AH28" i="2" s="1"/>
  <c r="AJ28" i="2" s="1"/>
  <c r="AK28" i="2" s="1"/>
  <c r="AM28" i="2" s="1"/>
  <c r="AT28" i="2" s="1"/>
  <c r="G32" i="2" l="1"/>
  <c r="Y31" i="2"/>
  <c r="Q31" i="2"/>
  <c r="S31" i="2" s="1"/>
  <c r="N31" i="2"/>
  <c r="P31" i="2" s="1"/>
  <c r="AC29" i="2"/>
  <c r="AD29" i="2" s="1"/>
  <c r="AG29" i="2"/>
  <c r="AH29" i="2" s="1"/>
  <c r="AJ29" i="2" s="1"/>
  <c r="AK29" i="2" s="1"/>
  <c r="AM29" i="2" s="1"/>
  <c r="AT29" i="2" s="1"/>
  <c r="T30" i="2"/>
  <c r="U30" i="2" s="1"/>
  <c r="V30" i="2" s="1"/>
  <c r="AB30" i="2" s="1"/>
  <c r="AG30" i="2" l="1"/>
  <c r="AH30" i="2" s="1"/>
  <c r="AJ30" i="2" s="1"/>
  <c r="AK30" i="2" s="1"/>
  <c r="AM30" i="2" s="1"/>
  <c r="AT30" i="2" s="1"/>
  <c r="AC30" i="2"/>
  <c r="AD30" i="2" s="1"/>
  <c r="T31" i="2"/>
  <c r="U31" i="2" s="1"/>
  <c r="V31" i="2" s="1"/>
  <c r="AB31" i="2" s="1"/>
  <c r="G33" i="2"/>
  <c r="Y32" i="2"/>
  <c r="Q32" i="2"/>
  <c r="S32" i="2" s="1"/>
  <c r="N32" i="2"/>
  <c r="P32" i="2" s="1"/>
  <c r="AC31" i="2" l="1"/>
  <c r="AD31" i="2" s="1"/>
  <c r="AG31" i="2"/>
  <c r="AH31" i="2" s="1"/>
  <c r="AJ31" i="2" s="1"/>
  <c r="AK31" i="2" s="1"/>
  <c r="AM31" i="2" s="1"/>
  <c r="AT31" i="2" s="1"/>
  <c r="Q33" i="2"/>
  <c r="S33" i="2" s="1"/>
  <c r="G34" i="2"/>
  <c r="Y33" i="2"/>
  <c r="N33" i="2"/>
  <c r="P33" i="2" s="1"/>
  <c r="T32" i="2"/>
  <c r="U32" i="2" s="1"/>
  <c r="V32" i="2" s="1"/>
  <c r="AB32" i="2" s="1"/>
  <c r="T33" i="2" l="1"/>
  <c r="U33" i="2" s="1"/>
  <c r="V33" i="2" s="1"/>
  <c r="AB33" i="2" s="1"/>
  <c r="Q34" i="2"/>
  <c r="S34" i="2" s="1"/>
  <c r="G35" i="2"/>
  <c r="Y34" i="2"/>
  <c r="N34" i="2"/>
  <c r="P34" i="2" s="1"/>
  <c r="AC32" i="2"/>
  <c r="AD32" i="2" s="1"/>
  <c r="AG32" i="2"/>
  <c r="AH32" i="2" s="1"/>
  <c r="AJ32" i="2" s="1"/>
  <c r="AK32" i="2" s="1"/>
  <c r="AM32" i="2" s="1"/>
  <c r="AT32" i="2" s="1"/>
  <c r="Y35" i="2" l="1"/>
  <c r="Q35" i="2"/>
  <c r="S35" i="2" s="1"/>
  <c r="N35" i="2"/>
  <c r="P35" i="2" s="1"/>
  <c r="T34" i="2"/>
  <c r="U34" i="2" s="1"/>
  <c r="V34" i="2" s="1"/>
  <c r="AB34" i="2" s="1"/>
  <c r="AC33" i="2"/>
  <c r="AD33" i="2" s="1"/>
  <c r="AG33" i="2"/>
  <c r="AH33" i="2" s="1"/>
  <c r="AJ33" i="2" s="1"/>
  <c r="AK33" i="2" s="1"/>
  <c r="AM33" i="2" s="1"/>
  <c r="AT33" i="2" s="1"/>
  <c r="AC34" i="2" l="1"/>
  <c r="AD34" i="2" s="1"/>
  <c r="AG34" i="2"/>
  <c r="AH34" i="2" s="1"/>
  <c r="AJ34" i="2" s="1"/>
  <c r="AK34" i="2" s="1"/>
  <c r="AM34" i="2" s="1"/>
  <c r="AT34" i="2" s="1"/>
  <c r="T35" i="2"/>
  <c r="U35" i="2" s="1"/>
  <c r="V35" i="2" s="1"/>
  <c r="AB35" i="2" s="1"/>
  <c r="AC35" i="2" l="1"/>
  <c r="AD35" i="2" s="1"/>
  <c r="AG35" i="2"/>
  <c r="AH35" i="2" s="1"/>
  <c r="AJ35" i="2" s="1"/>
  <c r="AK35" i="2" s="1"/>
  <c r="AM35" i="2" s="1"/>
  <c r="AT35" i="2" l="1"/>
  <c r="AT36" i="2" s="1"/>
  <c r="D24" i="10"/>
  <c r="E24" i="10" l="1"/>
  <c r="I9" i="10"/>
  <c r="E26" i="10" l="1"/>
  <c r="E12" i="11" s="1"/>
  <c r="J9" i="10"/>
  <c r="J11" i="10" s="1"/>
  <c r="J12" i="11" l="1"/>
  <c r="J17" i="11" s="1"/>
  <c r="E17" i="11"/>
</calcChain>
</file>

<file path=xl/sharedStrings.xml><?xml version="1.0" encoding="utf-8"?>
<sst xmlns="http://schemas.openxmlformats.org/spreadsheetml/2006/main" count="1114" uniqueCount="454">
  <si>
    <t>Pré-dimencionamento das Vigas</t>
  </si>
  <si>
    <t xml:space="preserve">A espessura da viga é escolhida de acordo com a espessura da parede, segundo a NBR 6118, da seguinte forma: </t>
  </si>
  <si>
    <t>e(p) (cm)</t>
  </si>
  <si>
    <t>e(w) (cm)</t>
  </si>
  <si>
    <t>VIGAS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</si>
  <si>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</si>
  <si>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</si>
  <si>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</si>
  <si>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</si>
  <si>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</si>
  <si>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</si>
  <si>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</si>
  <si>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</si>
  <si>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</si>
  <si>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</si>
  <si>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</si>
  <si>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</si>
  <si>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</si>
  <si>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</si>
  <si>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BASE(CM)</t>
  </si>
  <si>
    <t>Segundo a norma, a estimativa para h das vigas da-se por:</t>
  </si>
  <si>
    <t>BIAPOIADAS</t>
  </si>
  <si>
    <t xml:space="preserve"> H=L/10</t>
  </si>
  <si>
    <t xml:space="preserve">CONTINUAS </t>
  </si>
  <si>
    <t>TRAMOS INTERNOS</t>
  </si>
  <si>
    <t xml:space="preserve"> H=L/12</t>
  </si>
  <si>
    <t>TRAMOS EXTERNOS</t>
  </si>
  <si>
    <t>BALANÇO</t>
  </si>
  <si>
    <t xml:space="preserve"> H=L/5</t>
  </si>
  <si>
    <t xml:space="preserve"> As relações de apoio nas vigas são: </t>
  </si>
  <si>
    <t>Alturas modeladas:</t>
  </si>
  <si>
    <t>Alturas uniformizadas:</t>
  </si>
  <si>
    <t>V1 (viga contínua)</t>
  </si>
  <si>
    <t>Apoio</t>
  </si>
  <si>
    <t>Apoiadas em</t>
  </si>
  <si>
    <t>L (m)</t>
  </si>
  <si>
    <t>H (m)</t>
  </si>
  <si>
    <t>VIGA</t>
  </si>
  <si>
    <t>ALTURAS MODELADAS(m)</t>
  </si>
  <si>
    <t>ALTURA (m)</t>
  </si>
  <si>
    <t>Tramo externo 1</t>
  </si>
  <si>
    <t>BI-APOIADA</t>
  </si>
  <si>
    <t>P1 e P2</t>
  </si>
  <si>
    <t>Tramo interno 1</t>
  </si>
  <si>
    <t>P2 e P3</t>
  </si>
  <si>
    <t xml:space="preserve">Tramo externo 2 </t>
  </si>
  <si>
    <t>P3 e P4</t>
  </si>
  <si>
    <t>V2 (viga contínua)</t>
  </si>
  <si>
    <t>V13 e P5</t>
  </si>
  <si>
    <t>Tramo externo 2</t>
  </si>
  <si>
    <t>P5 e V14</t>
  </si>
  <si>
    <t>V3 (viga contínua)</t>
  </si>
  <si>
    <t>P6 e P7</t>
  </si>
  <si>
    <t>P7 e V13</t>
  </si>
  <si>
    <t>V4 (viga contínua)</t>
  </si>
  <si>
    <t>P9 e P10</t>
  </si>
  <si>
    <t>V5 (viga contínua)</t>
  </si>
  <si>
    <t xml:space="preserve">Apoiadas em </t>
  </si>
  <si>
    <t>P12 e P13</t>
  </si>
  <si>
    <t>V6 (viga contínua)</t>
  </si>
  <si>
    <t>V11 e V12</t>
  </si>
  <si>
    <t>V7 (viga contínua)</t>
  </si>
  <si>
    <t>P14 e P15</t>
  </si>
  <si>
    <t>P15 e P16</t>
  </si>
  <si>
    <t>V8 (viga contínua)</t>
  </si>
  <si>
    <t>V13 e P17</t>
  </si>
  <si>
    <t>P17 e V14</t>
  </si>
  <si>
    <t>V9 (viga contínua)</t>
  </si>
  <si>
    <t>P18 e P19</t>
  </si>
  <si>
    <t>V10 (viga contínua)</t>
  </si>
  <si>
    <t>P20 e P18</t>
  </si>
  <si>
    <t>V11 (viga contínua)</t>
  </si>
  <si>
    <t>P1 e P6</t>
  </si>
  <si>
    <t>P6 e P8</t>
  </si>
  <si>
    <t>Tramo interno 2</t>
  </si>
  <si>
    <t>P8 e P11</t>
  </si>
  <si>
    <t>Tramo interno 3</t>
  </si>
  <si>
    <t>P11 e P14</t>
  </si>
  <si>
    <t>P14 e P20</t>
  </si>
  <si>
    <t>V12 (viga contínua)</t>
  </si>
  <si>
    <t>V1 e P4</t>
  </si>
  <si>
    <t>P4 e P7</t>
  </si>
  <si>
    <t>P7 e P8</t>
  </si>
  <si>
    <t>P8 e V7</t>
  </si>
  <si>
    <t>V13 (viga contínua)</t>
  </si>
  <si>
    <t>P2 e P9</t>
  </si>
  <si>
    <t>P9 e P12</t>
  </si>
  <si>
    <t>P12 e P15</t>
  </si>
  <si>
    <t>P15 e P18</t>
  </si>
  <si>
    <t>V14 (viga contínua)</t>
  </si>
  <si>
    <t>P4 e P10</t>
  </si>
  <si>
    <t>P10 e P13</t>
  </si>
  <si>
    <t>P13 e P16</t>
  </si>
  <si>
    <t>P16 e P19</t>
  </si>
  <si>
    <t>Armadura Longitudinal das Vigas</t>
  </si>
  <si>
    <t>Peso das Paredes</t>
  </si>
  <si>
    <t>Carregamento Total</t>
  </si>
  <si>
    <t>Armadura positiva</t>
  </si>
  <si>
    <t>Armadura negtiva</t>
  </si>
  <si>
    <t>Quantitativo de aço</t>
  </si>
  <si>
    <t>Viga</t>
  </si>
  <si>
    <t>Trecho da viga contínua</t>
  </si>
  <si>
    <r>
      <rPr>
        <b/>
        <sz val="11"/>
        <color theme="1"/>
        <rFont val="Calibri"/>
      </rPr>
      <t>L</t>
    </r>
    <r>
      <rPr>
        <b/>
        <sz val="7"/>
        <color theme="1"/>
        <rFont val="Calibri"/>
      </rPr>
      <t>0</t>
    </r>
    <r>
      <rPr>
        <b/>
        <sz val="11"/>
        <color theme="1"/>
        <rFont val="Calibri"/>
      </rPr>
      <t xml:space="preserve"> (m)</t>
    </r>
  </si>
  <si>
    <t>b (m)</t>
  </si>
  <si>
    <t>h (m)</t>
  </si>
  <si>
    <r>
      <rPr>
        <b/>
        <sz val="11"/>
        <color theme="1"/>
        <rFont val="Calibri"/>
      </rPr>
      <t>t</t>
    </r>
    <r>
      <rPr>
        <b/>
        <sz val="8"/>
        <color theme="1"/>
        <rFont val="Calibri"/>
      </rPr>
      <t>1</t>
    </r>
    <r>
      <rPr>
        <b/>
        <sz val="11"/>
        <color theme="1"/>
        <rFont val="Calibri"/>
      </rPr>
      <t xml:space="preserve"> (m)</t>
    </r>
  </si>
  <si>
    <r>
      <rPr>
        <b/>
        <sz val="11"/>
        <color theme="1"/>
        <rFont val="Calibri"/>
      </rPr>
      <t>t</t>
    </r>
    <r>
      <rPr>
        <b/>
        <sz val="8"/>
        <color theme="1"/>
        <rFont val="Calibri"/>
      </rPr>
      <t>2</t>
    </r>
    <r>
      <rPr>
        <b/>
        <sz val="11"/>
        <color theme="1"/>
        <rFont val="Calibri"/>
      </rPr>
      <t>(m)</t>
    </r>
  </si>
  <si>
    <r>
      <rPr>
        <b/>
        <sz val="11"/>
        <color theme="1"/>
        <rFont val="Calibri"/>
      </rPr>
      <t>a</t>
    </r>
    <r>
      <rPr>
        <b/>
        <sz val="8"/>
        <color theme="1"/>
        <rFont val="Calibri"/>
      </rPr>
      <t>1</t>
    </r>
    <r>
      <rPr>
        <b/>
        <sz val="11"/>
        <color theme="1"/>
        <rFont val="Calibri"/>
      </rPr>
      <t xml:space="preserve"> (m)</t>
    </r>
  </si>
  <si>
    <r>
      <rPr>
        <b/>
        <sz val="11"/>
        <color theme="1"/>
        <rFont val="Calibri"/>
      </rPr>
      <t>a</t>
    </r>
    <r>
      <rPr>
        <b/>
        <sz val="8"/>
        <color theme="1"/>
        <rFont val="Calibri"/>
      </rPr>
      <t>2</t>
    </r>
    <r>
      <rPr>
        <b/>
        <sz val="11"/>
        <color theme="1"/>
        <rFont val="Calibri"/>
      </rPr>
      <t>(m)</t>
    </r>
  </si>
  <si>
    <t>Área da seção - parede (m²)</t>
  </si>
  <si>
    <r>
      <rPr>
        <b/>
        <sz val="11"/>
        <color theme="1"/>
        <rFont val="Calibri"/>
      </rPr>
      <t xml:space="preserve">γ </t>
    </r>
    <r>
      <rPr>
        <b/>
        <sz val="8"/>
        <color theme="1"/>
        <rFont val="Calibri"/>
      </rPr>
      <t>alvenaria</t>
    </r>
    <r>
      <rPr>
        <b/>
        <sz val="11"/>
        <color theme="1"/>
        <rFont val="Calibri"/>
      </rPr>
      <t xml:space="preserve"> (KN/m³)</t>
    </r>
  </si>
  <si>
    <r>
      <rPr>
        <b/>
        <sz val="11"/>
        <color theme="1"/>
        <rFont val="Calibri"/>
      </rPr>
      <t xml:space="preserve">Peso </t>
    </r>
    <r>
      <rPr>
        <b/>
        <sz val="8"/>
        <color theme="1"/>
        <rFont val="Calibri"/>
      </rPr>
      <t>alvenaria</t>
    </r>
    <r>
      <rPr>
        <b/>
        <sz val="11"/>
        <color theme="1"/>
        <rFont val="Calibri"/>
      </rPr>
      <t xml:space="preserve">
(kN/m)</t>
    </r>
  </si>
  <si>
    <t>Área da seção - viga (m²)</t>
  </si>
  <si>
    <t>γ concreto (kN/m³)</t>
  </si>
  <si>
    <t>Peso próprio (kN/m)</t>
  </si>
  <si>
    <t>Peso Total (kN/m)</t>
  </si>
  <si>
    <t>Mk (kN.cm)</t>
  </si>
  <si>
    <t>Md (kN.cm)</t>
  </si>
  <si>
    <t>cob (cm)</t>
  </si>
  <si>
    <t>d (cm)</t>
  </si>
  <si>
    <t>b (cm)</t>
  </si>
  <si>
    <r>
      <rPr>
        <b/>
        <sz val="11"/>
        <color theme="1"/>
        <rFont val="Calibri"/>
      </rPr>
      <t>f</t>
    </r>
    <r>
      <rPr>
        <b/>
        <sz val="8"/>
        <color theme="1"/>
        <rFont val="Calibri"/>
      </rPr>
      <t>ck</t>
    </r>
    <r>
      <rPr>
        <b/>
        <sz val="11"/>
        <color theme="1"/>
        <rFont val="Calibri"/>
      </rPr>
      <t xml:space="preserve"> C-25 
(kN/cm²)</t>
    </r>
  </si>
  <si>
    <r>
      <rPr>
        <b/>
        <sz val="11"/>
        <color theme="1"/>
        <rFont val="Calibri"/>
      </rPr>
      <t>f</t>
    </r>
    <r>
      <rPr>
        <b/>
        <sz val="8"/>
        <color theme="1"/>
        <rFont val="Calibri"/>
      </rPr>
      <t>cd</t>
    </r>
    <r>
      <rPr>
        <b/>
        <sz val="11"/>
        <color theme="1"/>
        <rFont val="Calibri"/>
      </rPr>
      <t xml:space="preserve"> C-25 
(kN/cm²)</t>
    </r>
  </si>
  <si>
    <t>x (cm)</t>
  </si>
  <si>
    <t xml:space="preserve"> x/d</t>
  </si>
  <si>
    <t>Verificação 
x/d ≤ 0,45</t>
  </si>
  <si>
    <r>
      <rPr>
        <b/>
        <sz val="11"/>
        <color theme="1"/>
        <rFont val="Calibri"/>
      </rPr>
      <t>f</t>
    </r>
    <r>
      <rPr>
        <b/>
        <sz val="8"/>
        <color theme="1"/>
        <rFont val="Calibri"/>
      </rPr>
      <t>yk</t>
    </r>
    <r>
      <rPr>
        <b/>
        <sz val="11"/>
        <color theme="1"/>
        <rFont val="Calibri"/>
      </rPr>
      <t xml:space="preserve"> CA-50 
(kN/cm²)</t>
    </r>
  </si>
  <si>
    <r>
      <rPr>
        <b/>
        <sz val="11"/>
        <color theme="1"/>
        <rFont val="Calibri"/>
      </rPr>
      <t>f</t>
    </r>
    <r>
      <rPr>
        <b/>
        <sz val="8"/>
        <color theme="1"/>
        <rFont val="Calibri"/>
      </rPr>
      <t>yd</t>
    </r>
    <r>
      <rPr>
        <b/>
        <sz val="11"/>
        <color theme="1"/>
        <rFont val="Calibri"/>
      </rPr>
      <t xml:space="preserve"> CA-50 
(kN/cm²)</t>
    </r>
  </si>
  <si>
    <t>As calc (cm²)</t>
  </si>
  <si>
    <t>ρ (%)</t>
  </si>
  <si>
    <r>
      <rPr>
        <b/>
        <sz val="10"/>
        <color theme="1"/>
        <rFont val="Calibri"/>
      </rPr>
      <t>ρ</t>
    </r>
    <r>
      <rPr>
        <b/>
        <sz val="8"/>
        <color theme="1"/>
        <rFont val="Calibri"/>
      </rPr>
      <t>mín</t>
    </r>
    <r>
      <rPr>
        <b/>
        <sz val="10"/>
        <color theme="1"/>
        <rFont val="Calibri"/>
      </rPr>
      <t xml:space="preserve"> (%)</t>
    </r>
  </si>
  <si>
    <r>
      <rPr>
        <b/>
        <sz val="10"/>
        <color theme="1"/>
        <rFont val="Calibri"/>
      </rPr>
      <t xml:space="preserve">ρ </t>
    </r>
    <r>
      <rPr>
        <b/>
        <sz val="8"/>
        <color theme="1"/>
        <rFont val="Calibri"/>
      </rPr>
      <t>adotado</t>
    </r>
    <r>
      <rPr>
        <b/>
        <sz val="10"/>
        <color theme="1"/>
        <rFont val="Calibri"/>
      </rPr>
      <t xml:space="preserve"> (%)</t>
    </r>
  </si>
  <si>
    <t>As (cm²)</t>
  </si>
  <si>
    <t>Aɸ 8.0 mm
 (cm²)</t>
  </si>
  <si>
    <t>N ɸ8.0 mm</t>
  </si>
  <si>
    <t>Aɸ 10.0 mm
 (cm²)</t>
  </si>
  <si>
    <t>N ɸ10.0 mm</t>
  </si>
  <si>
    <t>Comprimento
(cm)</t>
  </si>
  <si>
    <t>Massa Linear 
ɸ8.0 (kg/m)</t>
  </si>
  <si>
    <t>Massa Linear 
ɸ10.0 (kg/m)</t>
  </si>
  <si>
    <t>Massa ɸ8.0 
(kg)</t>
  </si>
  <si>
    <t>Massa ɸ10.0 (kg)</t>
  </si>
  <si>
    <t>Adotou-se um diâmetro de 8.0mm para as barras positivas, com no mínimo duas unidades, para que seja possível a locação dos estribos</t>
  </si>
  <si>
    <t>Já para as barras negativas adotou-se um mínimo de duas barras de 8.0mm, também para locar os estribos, ou duas barras de 10.0 mm para suprir momentos negativos nas vigas com pelo menos dois trechos.</t>
  </si>
  <si>
    <t>Total (kg)</t>
  </si>
  <si>
    <t xml:space="preserve">"massa*comprimento* 1,1 
10% adic. devido as perdas"  </t>
  </si>
  <si>
    <t>Pré-dimencionamento das Lajes</t>
  </si>
  <si>
    <t>Verificação dos vãos</t>
  </si>
  <si>
    <t>Vãos e vinculações das bordas</t>
  </si>
  <si>
    <t>Verificação dos números de Apoio</t>
  </si>
  <si>
    <t>Determinação da altura das lajes</t>
  </si>
  <si>
    <t>LAJES</t>
  </si>
  <si>
    <t>0,3*h (m)</t>
  </si>
  <si>
    <t>Lx</t>
  </si>
  <si>
    <t>Ly</t>
  </si>
  <si>
    <t>λ</t>
  </si>
  <si>
    <t>Armação</t>
  </si>
  <si>
    <t>NOVA Determinação da altura das lajes</t>
  </si>
  <si>
    <t>Ly(cm)</t>
  </si>
  <si>
    <t>Ly1(cm)</t>
  </si>
  <si>
    <t>N*</t>
  </si>
  <si>
    <t>lx (cm)</t>
  </si>
  <si>
    <t>0,7ly (cm)</t>
  </si>
  <si>
    <t>l* (m)</t>
  </si>
  <si>
    <t>N</t>
  </si>
  <si>
    <t>h = d+2,5 (cm)</t>
  </si>
  <si>
    <t>h adotado (cm)</t>
  </si>
  <si>
    <t>Novo N</t>
  </si>
  <si>
    <t>Novo d</t>
  </si>
  <si>
    <t>novo h</t>
  </si>
  <si>
    <t>novo h adotado</t>
  </si>
  <si>
    <t>lox (cm)</t>
  </si>
  <si>
    <t>t1x (m)</t>
  </si>
  <si>
    <t>t2x (m)</t>
  </si>
  <si>
    <t>a1x (m)</t>
  </si>
  <si>
    <t>a2x (m)</t>
  </si>
  <si>
    <t>lx(m)</t>
  </si>
  <si>
    <t>loy(cm)</t>
  </si>
  <si>
    <t>t1y (m)</t>
  </si>
  <si>
    <t>t2y (m)</t>
  </si>
  <si>
    <t>a1y (m)</t>
  </si>
  <si>
    <t>a2y (m)</t>
  </si>
  <si>
    <t>ly(m)</t>
  </si>
  <si>
    <t xml:space="preserve">Área (m²) </t>
  </si>
  <si>
    <t>L6</t>
  </si>
  <si>
    <t>L1</t>
  </si>
  <si>
    <t>t1x (cm)</t>
  </si>
  <si>
    <t>t2x (cm)</t>
  </si>
  <si>
    <t>a1x (cm)</t>
  </si>
  <si>
    <t>a2x (cm)</t>
  </si>
  <si>
    <t>loy (cm)</t>
  </si>
  <si>
    <t>t1y (cm)</t>
  </si>
  <si>
    <t>t2y (cm)</t>
  </si>
  <si>
    <t>a1y (cm)</t>
  </si>
  <si>
    <t>a2y (cm)</t>
  </si>
  <si>
    <t>ly (cm)</t>
  </si>
  <si>
    <t>L10</t>
  </si>
  <si>
    <t>L2</t>
  </si>
  <si>
    <t>Se 2/3*Ly for menor que o Ly1, consideramos o lado como todo apoiada em razão de favorecer a segurança.</t>
  </si>
  <si>
    <t>L3</t>
  </si>
  <si>
    <t>L4</t>
  </si>
  <si>
    <t>L5</t>
  </si>
  <si>
    <t>L7</t>
  </si>
  <si>
    <t>L8</t>
  </si>
  <si>
    <t>L9</t>
  </si>
  <si>
    <t>L11</t>
  </si>
  <si>
    <t>L12</t>
  </si>
  <si>
    <t>Cobrimento considerado igual à 2cm.</t>
  </si>
  <si>
    <t xml:space="preserve"> *Todos os valores de a1 e a2 vão mudar, devido ser escolhido o menor entre 0,3*h e t/2. Logo, os vãos efetivos também mudaram.</t>
  </si>
  <si>
    <t>Diametro = 10mm</t>
  </si>
  <si>
    <t>N de L10 mudou devido à diferença de espessura ser maior que 2cm</t>
  </si>
  <si>
    <t xml:space="preserve">           Determinação dos Momentos Fletores</t>
  </si>
  <si>
    <t xml:space="preserve">Momentos Fletores de Calculo </t>
  </si>
  <si>
    <t>Cargas para determinação da carga característica pk</t>
  </si>
  <si>
    <t>Calculo dos Momentos Fletores</t>
  </si>
  <si>
    <t>Mdx (kN.m/m)</t>
  </si>
  <si>
    <t>Mdx' (kN.m/m)</t>
  </si>
  <si>
    <t>Mdy (kN.m/m)</t>
  </si>
  <si>
    <t>Mdy' (kN.m/m)</t>
  </si>
  <si>
    <t>Cargas Variável (KN/m²)</t>
  </si>
  <si>
    <t>Carga Permanente (KN/m²)</t>
  </si>
  <si>
    <t>Combinação de serviço p (KN/m²)</t>
  </si>
  <si>
    <t>Tipo</t>
  </si>
  <si>
    <t>yt (cm)</t>
  </si>
  <si>
    <t>lx (m)</t>
  </si>
  <si>
    <t>ly (m)</t>
  </si>
  <si>
    <t>pk (kN/m³)</t>
  </si>
  <si>
    <t>µx</t>
  </si>
  <si>
    <t>µx'</t>
  </si>
  <si>
    <t>µy</t>
  </si>
  <si>
    <t>µy'</t>
  </si>
  <si>
    <t>Mx</t>
  </si>
  <si>
    <t>Mx'</t>
  </si>
  <si>
    <t>My</t>
  </si>
  <si>
    <t>My'</t>
  </si>
  <si>
    <t>5B</t>
  </si>
  <si>
    <t>Combinação rara, não multiplica por nenhum coefiiente, só soma</t>
  </si>
  <si>
    <t>h/2</t>
  </si>
  <si>
    <t>ly/lx</t>
  </si>
  <si>
    <t>Carga de serviço.
pk=carga permanente + carga váriavel</t>
  </si>
  <si>
    <t>Cargas atuantes</t>
  </si>
  <si>
    <t xml:space="preserve"> Cargas Permanentes (g)</t>
  </si>
  <si>
    <t>Carga Permante da Parede</t>
  </si>
  <si>
    <t>γconcreto (kN/m³)</t>
  </si>
  <si>
    <t>Peso próprio (kN/m²)</t>
  </si>
  <si>
    <t>Peso piso (kN/m²)</t>
  </si>
  <si>
    <t>γ contrapiso (kN/m³)</t>
  </si>
  <si>
    <t>Peso contrapiso (KN/m²)</t>
  </si>
  <si>
    <t>γ revestimento teto (KN/m³)</t>
  </si>
  <si>
    <t>Peso do revestimento do teto (KN/m²)</t>
  </si>
  <si>
    <t>Area (m²)</t>
  </si>
  <si>
    <t>γ alvenaria (KN/m³)</t>
  </si>
  <si>
    <t>Paredes</t>
  </si>
  <si>
    <t>e (m)</t>
  </si>
  <si>
    <t>Peso (KN/m³)</t>
  </si>
  <si>
    <t>Peso total (KN/m²)</t>
  </si>
  <si>
    <t>p1</t>
  </si>
  <si>
    <t>Parede divisória do banheiro</t>
  </si>
  <si>
    <t>γ concreto armado</t>
  </si>
  <si>
    <t>γ contrapiso (argamassa de cimento e areia) com espessura de 3 cm</t>
  </si>
  <si>
    <t>γ revestimento (argamassa de cal e areia) com espessura de 2 cm</t>
  </si>
  <si>
    <t>γ alvenaria (blocos ceramicos furados)</t>
  </si>
  <si>
    <t>Compatibilização de Momentos</t>
  </si>
  <si>
    <t xml:space="preserve">Momentos Negativos Compatibilizados de Calculo </t>
  </si>
  <si>
    <t>Vinculações de Lajes</t>
  </si>
  <si>
    <t>Momento negativo compatibilizado (kN.m/m)</t>
  </si>
  <si>
    <t>A compatibilização deu-se através de verificação do maior momento negativo na própria planta.</t>
  </si>
  <si>
    <t>L1-L2</t>
  </si>
  <si>
    <t>L1-L5</t>
  </si>
  <si>
    <t>L2-L3</t>
  </si>
  <si>
    <t>L2-L6</t>
  </si>
  <si>
    <t>L3-L4</t>
  </si>
  <si>
    <t>L4-L6</t>
  </si>
  <si>
    <t>L4-L8</t>
  </si>
  <si>
    <t>L5-L6</t>
  </si>
  <si>
    <t>L5-L7</t>
  </si>
  <si>
    <t>L6-L7</t>
  </si>
  <si>
    <t>L6-L8</t>
  </si>
  <si>
    <t>L6-L9</t>
  </si>
  <si>
    <t>L6-L10</t>
  </si>
  <si>
    <t>L8-L9</t>
  </si>
  <si>
    <t>L9-L11</t>
  </si>
  <si>
    <t>L11-L10</t>
  </si>
  <si>
    <t>L11-L12</t>
  </si>
  <si>
    <t>Dimensionamento das Armaduras</t>
  </si>
  <si>
    <t>ARMADURA POSITIVA</t>
  </si>
  <si>
    <t>DIÂMETRO E ESPAÇAMENTO DAS ARMADURAS POSITIVAS</t>
  </si>
  <si>
    <t>ARMADURA NEGATIVA</t>
  </si>
  <si>
    <t>DIÂMETRO E ESPAÇAMENTO DAS ARMADURAS NEGATIVAS</t>
  </si>
  <si>
    <t xml:space="preserve">Direção x </t>
  </si>
  <si>
    <t>Direção y</t>
  </si>
  <si>
    <t>Mdmín (KN/cm)</t>
  </si>
  <si>
    <t>xmín (cm)</t>
  </si>
  <si>
    <t>Asmín (cm²/m)</t>
  </si>
  <si>
    <t>pmín (%)</t>
  </si>
  <si>
    <t>pmín adotado (%)</t>
  </si>
  <si>
    <t>Direção x</t>
  </si>
  <si>
    <t xml:space="preserve">Direção y </t>
  </si>
  <si>
    <t>psx adotado (%)</t>
  </si>
  <si>
    <t>Armaduras Secundárias</t>
  </si>
  <si>
    <t>psy adotado (%)</t>
  </si>
  <si>
    <t>Asp (cm²/m)</t>
  </si>
  <si>
    <t>Asp Adotado(cm²/m)</t>
  </si>
  <si>
    <t>pmín Adotado (%)</t>
  </si>
  <si>
    <t>h (cm)</t>
  </si>
  <si>
    <t>ps (%)</t>
  </si>
  <si>
    <t>p adotado (%)</t>
  </si>
  <si>
    <t>Asx (cm²/m)</t>
  </si>
  <si>
    <t>ϕmax (mm)</t>
  </si>
  <si>
    <t>emáx (cm)</t>
  </si>
  <si>
    <t>ϕ (mm)</t>
  </si>
  <si>
    <t>e (cm)</t>
  </si>
  <si>
    <t>fck (KN/cm²)</t>
  </si>
  <si>
    <t>fcd (kN/cm²)</t>
  </si>
  <si>
    <t>fyd (kN/cm²)</t>
  </si>
  <si>
    <t>Mdx (kN.cm)</t>
  </si>
  <si>
    <t>Verificação x/d</t>
  </si>
  <si>
    <t>Aspx (cm²/m)</t>
  </si>
  <si>
    <t>Mdy (kN.cm)</t>
  </si>
  <si>
    <t>Aspy (cm²/m)</t>
  </si>
  <si>
    <t>psx (%)</t>
  </si>
  <si>
    <t>psy (%)</t>
  </si>
  <si>
    <t>20% da armadura principal</t>
  </si>
  <si>
    <t>0,5 pmín</t>
  </si>
  <si>
    <t>0,9 cm²/m</t>
  </si>
  <si>
    <t>ϕmáx (mm)</t>
  </si>
  <si>
    <t>ϕ adotado (mm)</t>
  </si>
  <si>
    <t>e adotado (cm)</t>
  </si>
  <si>
    <t>Asy (cm²/m)</t>
  </si>
  <si>
    <t>ϕ máx (mm)</t>
  </si>
  <si>
    <t>CA-50</t>
  </si>
  <si>
    <t>λ=0.8</t>
  </si>
  <si>
    <t>x/d &lt;=0.45 ok!</t>
  </si>
  <si>
    <t>Dimensionado das armaduras submetidas à flexão simples</t>
  </si>
  <si>
    <t>Mdmin = 0,8*W0*fctk,sup.</t>
  </si>
  <si>
    <t>Por norma pmín&gt;=0.15%</t>
  </si>
  <si>
    <t>psx = Asx/(b*h)</t>
  </si>
  <si>
    <t>Armaduras positivas de lajes armadas em 2 direções: ps&gt;=0,67pmín
Armaduras posistivas (principal) de lajes armadas em 1 direção: ps&gt;=pmín</t>
  </si>
  <si>
    <t>Há armadura secundária quando as lajes são armadas em uma única direção, a armadura principal é paralela a lx, e a armadura segundária é paralela a ly</t>
  </si>
  <si>
    <t>Armaduras positivas armadas em 2 direções: ps&gt;=0,67pmín
Armadura positiva (secundária) deve atender o maior valor entre:
20% da armadura principal;
0,5pmín
0,9 cm²/m</t>
  </si>
  <si>
    <t>Asx = psx*b*h
b=100cm</t>
  </si>
  <si>
    <t>diâmetro máximo do aço: h/8</t>
  </si>
  <si>
    <t>espaçamento deve atender:
e &lt;= 20cm
e&lt;= 2h</t>
  </si>
  <si>
    <t>Asy = psy*b*h
b=100cm</t>
  </si>
  <si>
    <t>6,3 mm é o mínimo para CA-50</t>
  </si>
  <si>
    <t>αc=0.85 para fck&lt;50MPA</t>
  </si>
  <si>
    <t>W0=b*h²/6</t>
  </si>
  <si>
    <t>pmín = Asmín/(b*h)</t>
  </si>
  <si>
    <t>psy = Asy/(b*h)</t>
  </si>
  <si>
    <t>*Se a laje for armada em 1Direção : e&lt;=33 cm
*Se a laje for armada em 2Direções: e&lt;=20 cm; e&lt;=2h</t>
  </si>
  <si>
    <t>b=100cm</t>
  </si>
  <si>
    <t>fctk,sup = 1,3*fct,m = 1,3*0,3*fck^(2/3)</t>
  </si>
  <si>
    <t>b = 100 cm</t>
  </si>
  <si>
    <t>h adotado é o menor valor entre as alturas das lajes</t>
  </si>
  <si>
    <t xml:space="preserve">                          Detalhamento das Armaduras</t>
  </si>
  <si>
    <t>Detalhamento - Armaduras Positivas</t>
  </si>
  <si>
    <t>Detalhamento - Armaduras Negativas</t>
  </si>
  <si>
    <t>Resumo das Armaduras - LAJES</t>
  </si>
  <si>
    <t>Resumo do Aço: CA-50</t>
  </si>
  <si>
    <t>lx(cm)</t>
  </si>
  <si>
    <t>lx'(cm)</t>
  </si>
  <si>
    <t>ly(cm)</t>
  </si>
  <si>
    <t>ly'(cm)</t>
  </si>
  <si>
    <t>lm (cm)</t>
  </si>
  <si>
    <t>lb(cm)</t>
  </si>
  <si>
    <t>As, ef (cm²/m)</t>
  </si>
  <si>
    <t>lb, nec(cm)</t>
  </si>
  <si>
    <t>Lb, nec &gt;= lb,min</t>
  </si>
  <si>
    <t>Lb,nec adotado (cm)</t>
  </si>
  <si>
    <t>a(cm)</t>
  </si>
  <si>
    <t>Lado da Vinculação</t>
  </si>
  <si>
    <t>Nº de barras</t>
  </si>
  <si>
    <t>Ganchos (cm)</t>
  </si>
  <si>
    <t>Comprimento (cm)</t>
  </si>
  <si>
    <t>Nº</t>
  </si>
  <si>
    <t>Qtd.</t>
  </si>
  <si>
    <t>Compr. Unitário (m)</t>
  </si>
  <si>
    <t>Compr. Total (m)</t>
  </si>
  <si>
    <t>massa (kg/m)</t>
  </si>
  <si>
    <t>massa total (kg)</t>
  </si>
  <si>
    <t>comprimento(cm)</t>
  </si>
  <si>
    <t>E</t>
  </si>
  <si>
    <t>N25</t>
  </si>
  <si>
    <t>N1</t>
  </si>
  <si>
    <t>N2</t>
  </si>
  <si>
    <t>N26</t>
  </si>
  <si>
    <t>N3</t>
  </si>
  <si>
    <t>N4</t>
  </si>
  <si>
    <t>N27</t>
  </si>
  <si>
    <t>Valores obtidos na Tabela de Aços</t>
  </si>
  <si>
    <t>N5</t>
  </si>
  <si>
    <t>N6</t>
  </si>
  <si>
    <t>N28</t>
  </si>
  <si>
    <t>N7</t>
  </si>
  <si>
    <t>N8</t>
  </si>
  <si>
    <t>N29</t>
  </si>
  <si>
    <t>massa*comprimento total * 1,1
10% adic. devido as perdas</t>
  </si>
  <si>
    <t>N9</t>
  </si>
  <si>
    <t>N10</t>
  </si>
  <si>
    <t>N30</t>
  </si>
  <si>
    <t>N11</t>
  </si>
  <si>
    <t>N12</t>
  </si>
  <si>
    <t>N31</t>
  </si>
  <si>
    <t>N13</t>
  </si>
  <si>
    <t>N14</t>
  </si>
  <si>
    <t>N32</t>
  </si>
  <si>
    <t>N15</t>
  </si>
  <si>
    <t>N16</t>
  </si>
  <si>
    <t>N33</t>
  </si>
  <si>
    <t>N17</t>
  </si>
  <si>
    <t>N18</t>
  </si>
  <si>
    <t>N34</t>
  </si>
  <si>
    <t>N19</t>
  </si>
  <si>
    <t>N20</t>
  </si>
  <si>
    <t>N35</t>
  </si>
  <si>
    <t>N21</t>
  </si>
  <si>
    <t>N22</t>
  </si>
  <si>
    <t>N36</t>
  </si>
  <si>
    <t>N23</t>
  </si>
  <si>
    <t>N24</t>
  </si>
  <si>
    <t>A</t>
  </si>
  <si>
    <t>N37</t>
  </si>
  <si>
    <t>N38</t>
  </si>
  <si>
    <t>N39</t>
  </si>
  <si>
    <t>N40</t>
  </si>
  <si>
    <t>N41</t>
  </si>
  <si>
    <t>E = Engaste</t>
  </si>
  <si>
    <t>A = Apoio</t>
  </si>
  <si>
    <t>VALORES POR PAVIMENTO TIPO (LAJES)</t>
  </si>
  <si>
    <t>VALORES PARA OS PAVIMENTOS 2-5 (LAJES)</t>
  </si>
  <si>
    <t>Quantitativo Concreto</t>
  </si>
  <si>
    <t>Volume (m³)</t>
  </si>
  <si>
    <t>Volume</t>
  </si>
  <si>
    <t>Total por pavimento vezes 4</t>
  </si>
  <si>
    <t>Quantitativo Aço CA-50</t>
  </si>
  <si>
    <t>Total</t>
  </si>
  <si>
    <t xml:space="preserve">Valores obtidos na Tabela de Aços
</t>
  </si>
  <si>
    <t xml:space="preserve">Total </t>
  </si>
  <si>
    <t>VALORES POR PAVIMENTO TIPO (VIGAS)</t>
  </si>
  <si>
    <t>VALORES PARA OS PAVIMENTOS 2-5 (VIGAS)</t>
  </si>
  <si>
    <t>Seção (cm²)</t>
  </si>
  <si>
    <t>Comprimento (m)</t>
  </si>
  <si>
    <t>Concreto - VIGAS</t>
  </si>
  <si>
    <t>Concreto - LAJES</t>
  </si>
  <si>
    <t>Concreto - VIGAS e LAJES</t>
  </si>
  <si>
    <t>Total (m³)</t>
  </si>
  <si>
    <t>Aço CA-50 - VIGAS</t>
  </si>
  <si>
    <t>Massa (kg)</t>
  </si>
  <si>
    <t>Aço CA-50 - LAJES</t>
  </si>
  <si>
    <t>Aço CA-50 - VIGAS e LAJES</t>
  </si>
  <si>
    <t>Tipo de Vinculação</t>
  </si>
  <si>
    <t>VALORES POR PAVIMENTO TIPO (TOTAL)</t>
  </si>
  <si>
    <t>VALORES PARA OS PAVIMENTOS 2-5 (TOTAL)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</si>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</sst>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00%"/>
    <numFmt numFmtId="167" formatCode="0.0"/>
    <numFmt numFmtId="168" formatCode="0.00000"/>
    <numFmt numFmtId="169" formatCode="0.0000000"/>
    <numFmt numFmtId="170" formatCode="0.0000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0"/>
      <color theme="1"/>
      <name val="Calibri"/>
    </font>
    <font>
      <b/>
      <sz val="14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b/>
      <sz val="7"/>
      <color theme="1"/>
      <name val="Calibri"/>
    </font>
    <font>
      <b/>
      <sz val="8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FFAB"/>
        <bgColor rgb="FFFFFFAB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E6B8AF"/>
        <bgColor rgb="FFE6B8AF"/>
      </patternFill>
    </fill>
    <fill>
      <patternFill patternType="solid">
        <fgColor rgb="FF8DFF8D"/>
        <bgColor rgb="FF8DFF8D"/>
      </patternFill>
    </fill>
    <fill>
      <patternFill patternType="solid">
        <fgColor rgb="FFCCE7FF"/>
        <bgColor rgb="FFCCE7FF"/>
      </patternFill>
    </fill>
    <fill>
      <patternFill patternType="solid">
        <fgColor rgb="FFCCCCCC"/>
        <bgColor rgb="FFCCCCCC"/>
      </patternFill>
    </fill>
    <fill>
      <patternFill patternType="solid">
        <fgColor rgb="FFFFE598"/>
        <bgColor rgb="FFFFE59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6" fillId="2" borderId="7" xfId="0" applyFont="1" applyFill="1" applyBorder="1"/>
    <xf numFmtId="0" fontId="5" fillId="0" borderId="7" xfId="0" applyFont="1" applyBorder="1"/>
    <xf numFmtId="4" fontId="5" fillId="0" borderId="7" xfId="0" applyNumberFormat="1" applyFont="1" applyBorder="1"/>
    <xf numFmtId="0" fontId="6" fillId="4" borderId="7" xfId="0" applyFont="1" applyFill="1" applyBorder="1"/>
    <xf numFmtId="0" fontId="5" fillId="0" borderId="7" xfId="0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4" fillId="0" borderId="0" xfId="0" applyFont="1"/>
    <xf numFmtId="0" fontId="6" fillId="2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/>
    </xf>
    <xf numFmtId="4" fontId="5" fillId="0" borderId="0" xfId="0" applyNumberFormat="1" applyFont="1"/>
    <xf numFmtId="2" fontId="5" fillId="6" borderId="7" xfId="0" applyNumberFormat="1" applyFont="1" applyFill="1" applyBorder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7" fillId="8" borderId="7" xfId="0" applyNumberFormat="1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wrapText="1"/>
    </xf>
    <xf numFmtId="2" fontId="7" fillId="5" borderId="7" xfId="0" applyNumberFormat="1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/>
    </xf>
    <xf numFmtId="4" fontId="4" fillId="11" borderId="7" xfId="0" applyNumberFormat="1" applyFont="1" applyFill="1" applyBorder="1" applyAlignment="1">
      <alignment horizontal="center" vertical="center"/>
    </xf>
    <xf numFmtId="2" fontId="4" fillId="11" borderId="7" xfId="0" applyNumberFormat="1" applyFont="1" applyFill="1" applyBorder="1" applyAlignment="1">
      <alignment horizontal="center" vertical="center"/>
    </xf>
    <xf numFmtId="2" fontId="4" fillId="11" borderId="7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64" fontId="4" fillId="11" borderId="7" xfId="0" applyNumberFormat="1" applyFont="1" applyFill="1" applyBorder="1" applyAlignment="1">
      <alignment horizontal="center" vertical="center"/>
    </xf>
    <xf numFmtId="166" fontId="4" fillId="11" borderId="7" xfId="0" applyNumberFormat="1" applyFont="1" applyFill="1" applyBorder="1" applyAlignment="1">
      <alignment horizontal="center" vertical="center"/>
    </xf>
    <xf numFmtId="166" fontId="4" fillId="11" borderId="7" xfId="0" applyNumberFormat="1" applyFont="1" applyFill="1" applyBorder="1" applyAlignment="1">
      <alignment horizontal="center" vertical="center"/>
    </xf>
    <xf numFmtId="165" fontId="4" fillId="11" borderId="7" xfId="0" applyNumberFormat="1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4" fontId="4" fillId="12" borderId="7" xfId="0" applyNumberFormat="1" applyFont="1" applyFill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165" fontId="4" fillId="12" borderId="7" xfId="0" applyNumberFormat="1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165" fontId="4" fillId="12" borderId="7" xfId="0" applyNumberFormat="1" applyFont="1" applyFill="1" applyBorder="1" applyAlignment="1">
      <alignment horizontal="center" vertical="center"/>
    </xf>
    <xf numFmtId="166" fontId="4" fillId="12" borderId="7" xfId="0" applyNumberFormat="1" applyFont="1" applyFill="1" applyBorder="1" applyAlignment="1">
      <alignment horizontal="center" vertical="center"/>
    </xf>
    <xf numFmtId="166" fontId="4" fillId="12" borderId="7" xfId="0" applyNumberFormat="1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2" fontId="7" fillId="5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68" fontId="5" fillId="0" borderId="7" xfId="0" applyNumberFormat="1" applyFont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5" fillId="13" borderId="7" xfId="0" applyNumberFormat="1" applyFont="1" applyFill="1" applyBorder="1" applyAlignment="1">
      <alignment horizontal="center"/>
    </xf>
    <xf numFmtId="169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10" fillId="0" borderId="0" xfId="0" applyFont="1"/>
    <xf numFmtId="0" fontId="5" fillId="14" borderId="7" xfId="0" applyFont="1" applyFill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12" fillId="0" borderId="0" xfId="0" applyFont="1"/>
    <xf numFmtId="0" fontId="5" fillId="0" borderId="0" xfId="0" applyFont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ont="1"/>
    <xf numFmtId="0" fontId="6" fillId="2" borderId="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/>
    </xf>
    <xf numFmtId="1" fontId="5" fillId="0" borderId="7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10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vertical="center"/>
    </xf>
    <xf numFmtId="0" fontId="14" fillId="0" borderId="0" xfId="0" applyFont="1"/>
    <xf numFmtId="0" fontId="5" fillId="3" borderId="14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5" fontId="4" fillId="0" borderId="0" xfId="0" applyNumberFormat="1" applyFont="1"/>
    <xf numFmtId="0" fontId="0" fillId="0" borderId="0" xfId="0" applyFont="1" applyAlignment="1">
      <alignment wrapText="1"/>
    </xf>
    <xf numFmtId="164" fontId="4" fillId="0" borderId="0" xfId="0" applyNumberFormat="1" applyFont="1"/>
    <xf numFmtId="168" fontId="4" fillId="0" borderId="0" xfId="0" applyNumberFormat="1" applyFont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4" fontId="5" fillId="0" borderId="7" xfId="0" applyNumberFormat="1" applyFont="1" applyBorder="1"/>
    <xf numFmtId="0" fontId="6" fillId="0" borderId="7" xfId="0" applyFont="1" applyBorder="1" applyAlignment="1">
      <alignment horizontal="center"/>
    </xf>
    <xf numFmtId="167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0" xfId="0" applyNumberFormat="1" applyFont="1"/>
    <xf numFmtId="0" fontId="16" fillId="0" borderId="0" xfId="0" applyFont="1"/>
    <xf numFmtId="0" fontId="17" fillId="0" borderId="26" xfId="0" applyFont="1" applyBorder="1"/>
    <xf numFmtId="0" fontId="18" fillId="0" borderId="27" xfId="0" applyFont="1" applyBorder="1"/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4" fontId="6" fillId="5" borderId="31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0" fontId="5" fillId="0" borderId="26" xfId="0" applyFont="1" applyBorder="1" applyAlignment="1"/>
    <xf numFmtId="0" fontId="5" fillId="0" borderId="26" xfId="0" applyFont="1" applyBorder="1"/>
    <xf numFmtId="0" fontId="5" fillId="0" borderId="27" xfId="0" applyFont="1" applyBorder="1"/>
    <xf numFmtId="0" fontId="19" fillId="2" borderId="30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0" fontId="0" fillId="0" borderId="26" xfId="0" applyFont="1" applyBorder="1"/>
    <xf numFmtId="0" fontId="19" fillId="5" borderId="7" xfId="0" applyFont="1" applyFill="1" applyBorder="1" applyAlignment="1">
      <alignment horizontal="center" vertical="center"/>
    </xf>
    <xf numFmtId="4" fontId="19" fillId="5" borderId="31" xfId="0" applyNumberFormat="1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167" fontId="0" fillId="0" borderId="30" xfId="0" applyNumberFormat="1" applyFont="1" applyBorder="1" applyAlignment="1">
      <alignment horizontal="center" vertical="center"/>
    </xf>
    <xf numFmtId="2" fontId="19" fillId="5" borderId="31" xfId="0" applyNumberFormat="1" applyFont="1" applyFill="1" applyBorder="1" applyAlignment="1">
      <alignment horizontal="center" vertical="center"/>
    </xf>
    <xf numFmtId="1" fontId="20" fillId="0" borderId="0" xfId="0" applyNumberFormat="1" applyFont="1"/>
    <xf numFmtId="2" fontId="21" fillId="0" borderId="0" xfId="0" applyNumberFormat="1" applyFont="1"/>
    <xf numFmtId="0" fontId="6" fillId="2" borderId="30" xfId="0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/>
    </xf>
    <xf numFmtId="2" fontId="5" fillId="3" borderId="7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0" borderId="0" xfId="0" applyNumberFormat="1" applyFont="1"/>
    <xf numFmtId="2" fontId="6" fillId="5" borderId="7" xfId="0" applyNumberFormat="1" applyFont="1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1" fontId="0" fillId="0" borderId="0" xfId="0" applyNumberFormat="1" applyFont="1"/>
    <xf numFmtId="2" fontId="19" fillId="5" borderId="7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/>
    <xf numFmtId="1" fontId="4" fillId="0" borderId="0" xfId="0" applyNumberFormat="1" applyFont="1"/>
    <xf numFmtId="165" fontId="5" fillId="0" borderId="26" xfId="0" applyNumberFormat="1" applyFont="1" applyBorder="1"/>
    <xf numFmtId="165" fontId="5" fillId="0" borderId="0" xfId="0" applyNumberFormat="1" applyFont="1"/>
    <xf numFmtId="165" fontId="6" fillId="0" borderId="7" xfId="0" applyNumberFormat="1" applyFont="1" applyBorder="1" applyAlignment="1">
      <alignment horizontal="center" vertical="center"/>
    </xf>
    <xf numFmtId="165" fontId="6" fillId="0" borderId="31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29" xfId="0" applyNumberFormat="1" applyFont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 vertical="center"/>
    </xf>
    <xf numFmtId="165" fontId="6" fillId="5" borderId="3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27" xfId="0" applyFont="1" applyBorder="1" applyAlignment="1"/>
    <xf numFmtId="2" fontId="19" fillId="0" borderId="7" xfId="0" applyNumberFormat="1" applyFont="1" applyBorder="1" applyAlignment="1">
      <alignment horizontal="center" vertical="center"/>
    </xf>
    <xf numFmtId="2" fontId="19" fillId="0" borderId="31" xfId="0" applyNumberFormat="1" applyFont="1" applyBorder="1" applyAlignment="1">
      <alignment horizontal="center" vertical="center"/>
    </xf>
    <xf numFmtId="2" fontId="0" fillId="0" borderId="26" xfId="0" applyNumberFormat="1" applyFont="1" applyBorder="1"/>
    <xf numFmtId="2" fontId="0" fillId="0" borderId="0" xfId="0" applyNumberFormat="1" applyFont="1"/>
    <xf numFmtId="4" fontId="19" fillId="0" borderId="31" xfId="0" applyNumberFormat="1" applyFont="1" applyBorder="1" applyAlignment="1">
      <alignment horizontal="center" vertical="center"/>
    </xf>
    <xf numFmtId="2" fontId="19" fillId="5" borderId="7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2" fontId="7" fillId="7" borderId="7" xfId="0" applyNumberFormat="1" applyFont="1" applyFill="1" applyBorder="1" applyAlignment="1">
      <alignment horizontal="center" vertical="center" wrapText="1"/>
    </xf>
    <xf numFmtId="165" fontId="7" fillId="7" borderId="7" xfId="0" applyNumberFormat="1" applyFont="1" applyFill="1" applyBorder="1" applyAlignment="1">
      <alignment horizontal="center" vertical="center" wrapText="1"/>
    </xf>
    <xf numFmtId="166" fontId="8" fillId="7" borderId="7" xfId="0" applyNumberFormat="1" applyFont="1" applyFill="1" applyBorder="1" applyAlignment="1">
      <alignment horizontal="center" vertical="center" wrapText="1"/>
    </xf>
    <xf numFmtId="165" fontId="8" fillId="7" borderId="7" xfId="0" applyNumberFormat="1" applyFont="1" applyFill="1" applyBorder="1" applyAlignment="1">
      <alignment horizontal="center" vertical="center" wrapText="1"/>
    </xf>
    <xf numFmtId="165" fontId="7" fillId="10" borderId="7" xfId="0" applyNumberFormat="1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2" fontId="7" fillId="9" borderId="7" xfId="0" applyNumberFormat="1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1" fillId="2" borderId="16" xfId="0" applyFont="1" applyFill="1" applyBorder="1"/>
    <xf numFmtId="0" fontId="24" fillId="2" borderId="2" xfId="0" applyFont="1" applyFill="1" applyBorder="1" applyAlignment="1">
      <alignment horizontal="center" vertical="center"/>
    </xf>
    <xf numFmtId="0" fontId="1" fillId="0" borderId="0" xfId="0" applyFont="1" applyAlignment="1"/>
    <xf numFmtId="0" fontId="25" fillId="0" borderId="0" xfId="0" applyFont="1"/>
    <xf numFmtId="0" fontId="27" fillId="0" borderId="0" xfId="0" applyFont="1" applyAlignment="1">
      <alignment horizontal="center" vertical="center"/>
    </xf>
    <xf numFmtId="0" fontId="27" fillId="2" borderId="7" xfId="0" applyFont="1" applyFill="1" applyBorder="1" applyAlignment="1">
      <alignment vertical="center"/>
    </xf>
    <xf numFmtId="0" fontId="27" fillId="2" borderId="7" xfId="0" applyFont="1" applyFill="1" applyBorder="1" applyAlignment="1">
      <alignment horizontal="center" vertical="center"/>
    </xf>
    <xf numFmtId="165" fontId="27" fillId="2" borderId="7" xfId="0" applyNumberFormat="1" applyFont="1" applyFill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8" fontId="27" fillId="2" borderId="7" xfId="0" applyNumberFormat="1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168" fontId="25" fillId="0" borderId="7" xfId="0" applyNumberFormat="1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3" borderId="7" xfId="0" applyFont="1" applyFill="1" applyBorder="1" applyAlignment="1">
      <alignment horizontal="center"/>
    </xf>
    <xf numFmtId="165" fontId="25" fillId="3" borderId="7" xfId="0" applyNumberFormat="1" applyFont="1" applyFill="1" applyBorder="1" applyAlignment="1">
      <alignment horizontal="center"/>
    </xf>
    <xf numFmtId="170" fontId="25" fillId="3" borderId="7" xfId="0" applyNumberFormat="1" applyFont="1" applyFill="1" applyBorder="1" applyAlignment="1">
      <alignment horizontal="center"/>
    </xf>
    <xf numFmtId="2" fontId="25" fillId="3" borderId="7" xfId="0" applyNumberFormat="1" applyFont="1" applyFill="1" applyBorder="1" applyAlignment="1">
      <alignment horizontal="center"/>
    </xf>
    <xf numFmtId="168" fontId="25" fillId="3" borderId="7" xfId="0" applyNumberFormat="1" applyFont="1" applyFill="1" applyBorder="1" applyAlignment="1">
      <alignment horizontal="center"/>
    </xf>
    <xf numFmtId="165" fontId="25" fillId="0" borderId="7" xfId="0" applyNumberFormat="1" applyFont="1" applyBorder="1" applyAlignment="1">
      <alignment horizontal="center"/>
    </xf>
    <xf numFmtId="168" fontId="25" fillId="0" borderId="7" xfId="0" applyNumberFormat="1" applyFont="1" applyBorder="1"/>
    <xf numFmtId="164" fontId="25" fillId="0" borderId="7" xfId="0" applyNumberFormat="1" applyFont="1" applyBorder="1" applyAlignment="1">
      <alignment horizontal="center"/>
    </xf>
    <xf numFmtId="0" fontId="25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/>
    </xf>
    <xf numFmtId="0" fontId="28" fillId="0" borderId="0" xfId="0" applyFont="1"/>
    <xf numFmtId="165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165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/>
    </xf>
    <xf numFmtId="0" fontId="1" fillId="0" borderId="0" xfId="0" applyFont="1"/>
    <xf numFmtId="2" fontId="27" fillId="2" borderId="7" xfId="0" applyNumberFormat="1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horizontal="center" vertical="center"/>
    </xf>
    <xf numFmtId="167" fontId="25" fillId="0" borderId="7" xfId="0" applyNumberFormat="1" applyFont="1" applyBorder="1" applyAlignment="1">
      <alignment horizontal="center" vertical="center"/>
    </xf>
    <xf numFmtId="164" fontId="25" fillId="0" borderId="7" xfId="0" applyNumberFormat="1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2" fontId="25" fillId="5" borderId="7" xfId="0" applyNumberFormat="1" applyFont="1" applyFill="1" applyBorder="1" applyAlignment="1">
      <alignment horizontal="center" vertical="center"/>
    </xf>
    <xf numFmtId="167" fontId="25" fillId="0" borderId="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167" fontId="25" fillId="0" borderId="7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5" fillId="3" borderId="4" xfId="0" applyFont="1" applyFill="1" applyBorder="1" applyAlignment="1">
      <alignment horizontal="left" vertical="top"/>
    </xf>
    <xf numFmtId="0" fontId="3" fillId="0" borderId="5" xfId="0" applyFont="1" applyBorder="1"/>
    <xf numFmtId="0" fontId="3" fillId="0" borderId="6" xfId="0" applyFont="1" applyBorder="1"/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5" fontId="4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65" fontId="7" fillId="10" borderId="1" xfId="0" applyNumberFormat="1" applyFont="1" applyFill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3" fillId="0" borderId="10" xfId="0" applyFont="1" applyBorder="1"/>
    <xf numFmtId="0" fontId="7" fillId="7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7" fillId="7" borderId="0" xfId="0" applyFont="1" applyFill="1" applyAlignment="1">
      <alignment horizontal="center"/>
    </xf>
    <xf numFmtId="165" fontId="7" fillId="8" borderId="1" xfId="0" applyNumberFormat="1" applyFont="1" applyFill="1" applyBorder="1" applyAlignment="1">
      <alignment horizontal="center"/>
    </xf>
    <xf numFmtId="165" fontId="7" fillId="9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4" fillId="0" borderId="0" xfId="0" applyFont="1" applyAlignment="1"/>
    <xf numFmtId="0" fontId="5" fillId="0" borderId="11" xfId="0" applyFont="1" applyBorder="1" applyAlignment="1">
      <alignment horizontal="center" vertical="center" wrapText="1"/>
    </xf>
    <xf numFmtId="0" fontId="3" fillId="0" borderId="21" xfId="0" applyFont="1" applyBorder="1"/>
    <xf numFmtId="0" fontId="0" fillId="0" borderId="20" xfId="0" applyFont="1" applyBorder="1" applyAlignment="1"/>
    <xf numFmtId="0" fontId="3" fillId="0" borderId="22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165" fontId="1" fillId="0" borderId="0" xfId="0" applyNumberFormat="1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5" fillId="2" borderId="11" xfId="0" applyFont="1" applyFill="1" applyBorder="1"/>
    <xf numFmtId="0" fontId="26" fillId="0" borderId="12" xfId="0" applyFont="1" applyBorder="1"/>
    <xf numFmtId="0" fontId="26" fillId="0" borderId="13" xfId="0" applyFont="1" applyBorder="1"/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27" fillId="2" borderId="1" xfId="0" applyFont="1" applyFill="1" applyBorder="1" applyAlignment="1">
      <alignment horizontal="center" vertical="center"/>
    </xf>
    <xf numFmtId="0" fontId="26" fillId="0" borderId="2" xfId="0" applyFont="1" applyBorder="1"/>
    <xf numFmtId="0" fontId="26" fillId="0" borderId="3" xfId="0" applyFont="1" applyBorder="1"/>
    <xf numFmtId="0" fontId="27" fillId="2" borderId="8" xfId="0" applyFont="1" applyFill="1" applyBorder="1" applyAlignment="1">
      <alignment horizontal="center" vertical="center"/>
    </xf>
    <xf numFmtId="0" fontId="26" fillId="0" borderId="9" xfId="0" applyFont="1" applyBorder="1"/>
    <xf numFmtId="0" fontId="24" fillId="2" borderId="1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27" fillId="2" borderId="1" xfId="0" applyFont="1" applyFill="1" applyBorder="1" applyAlignment="1">
      <alignment horizontal="center"/>
    </xf>
    <xf numFmtId="0" fontId="27" fillId="2" borderId="18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top"/>
    </xf>
    <xf numFmtId="0" fontId="0" fillId="0" borderId="26" xfId="0" applyFont="1" applyBorder="1" applyAlignment="1">
      <alignment vertical="top"/>
    </xf>
    <xf numFmtId="0" fontId="3" fillId="0" borderId="27" xfId="0" applyFont="1" applyBorder="1"/>
    <xf numFmtId="0" fontId="3" fillId="0" borderId="26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9" fillId="2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6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6" fillId="15" borderId="23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19" fillId="15" borderId="28" xfId="0" applyFont="1" applyFill="1" applyBorder="1" applyAlignment="1">
      <alignment horizontal="center" vertical="center"/>
    </xf>
    <xf numFmtId="0" fontId="5" fillId="0" borderId="26" xfId="0" applyFont="1" applyBorder="1" applyAlignment="1"/>
    <xf numFmtId="0" fontId="6" fillId="15" borderId="28" xfId="0" applyFont="1" applyFill="1" applyBorder="1" applyAlignment="1">
      <alignment horizontal="center" vertical="center"/>
    </xf>
    <xf numFmtId="165" fontId="6" fillId="15" borderId="28" xfId="0" applyNumberFormat="1" applyFont="1" applyFill="1" applyBorder="1" applyAlignment="1">
      <alignment horizontal="center" vertical="center"/>
    </xf>
    <xf numFmtId="0" fontId="0" fillId="0" borderId="32" xfId="0" applyFont="1" applyBorder="1" applyAlignment="1">
      <alignment vertical="top"/>
    </xf>
    <xf numFmtId="0" fontId="0" fillId="0" borderId="32" xfId="0" applyFont="1" applyBorder="1" applyAlignment="1">
      <alignment vertical="center"/>
    </xf>
    <xf numFmtId="165" fontId="6" fillId="2" borderId="28" xfId="0" applyNumberFormat="1" applyFont="1" applyFill="1" applyBorder="1" applyAlignment="1">
      <alignment horizontal="center" vertical="center"/>
    </xf>
    <xf numFmtId="2" fontId="19" fillId="2" borderId="28" xfId="0" applyNumberFormat="1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1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"/>
  <sheetViews>
    <sheetView showGridLines="0" tabSelected="1" workbookViewId="0">
      <selection activeCell="A2" sqref="A2"/>
    </sheetView>
  </sheetViews>
  <sheetFormatPr defaultColWidth="14.42578125" defaultRowHeight="15" customHeight="1"/>
  <cols>
    <col min="1" max="1" width="33" customWidth="1"/>
    <col min="2" max="2" width="18.5703125" customWidth="1"/>
    <col min="3" max="3" width="16.85546875" customWidth="1"/>
    <col min="4" max="4" width="11.85546875" customWidth="1"/>
    <col min="5" max="6" width="11.7109375" customWidth="1"/>
    <col min="7" max="7" width="18" customWidth="1"/>
    <col min="8" max="8" width="23.7109375" customWidth="1"/>
    <col min="9" max="9" width="13.7109375" customWidth="1"/>
    <col min="10" max="10" width="14.85546875" customWidth="1"/>
    <col min="11" max="11" width="18" customWidth="1"/>
    <col min="12" max="12" width="11.85546875" customWidth="1"/>
    <col min="13" max="13" width="23" customWidth="1"/>
    <col min="14" max="14" width="18.42578125" customWidth="1"/>
    <col min="15" max="15" width="17.42578125" customWidth="1"/>
    <col min="16" max="17" width="8.7109375" customWidth="1"/>
  </cols>
  <sheetData>
    <row r="1" spans="1:15" ht="15.75">
      <c r="A1" s="250" t="s">
        <v>0</v>
      </c>
      <c r="B1" s="251"/>
      <c r="C1" s="251"/>
      <c r="D1" s="251"/>
      <c r="E1" s="251"/>
      <c r="F1" s="249"/>
    </row>
    <row r="2" spans="1:15">
      <c r="D2" s="1"/>
      <c r="E2" s="2"/>
    </row>
    <row r="3" spans="1:15">
      <c r="A3" s="252" t="s">
        <v>1</v>
      </c>
      <c r="B3" s="253"/>
      <c r="C3" s="253"/>
      <c r="D3" s="253"/>
      <c r="E3" s="253"/>
      <c r="F3" s="253"/>
      <c r="G3" s="253"/>
      <c r="H3" s="253"/>
      <c r="I3" s="253"/>
      <c r="J3" s="253"/>
      <c r="K3" s="254"/>
    </row>
    <row r="4" spans="1:15">
      <c r="D4" s="1"/>
      <c r="E4" s="2"/>
    </row>
    <row r="5" spans="1:15">
      <c r="A5" s="3" t="s">
        <v>2</v>
      </c>
      <c r="B5" s="4">
        <v>15</v>
      </c>
      <c r="C5" s="3" t="s">
        <v>3</v>
      </c>
      <c r="D5" s="5">
        <v>12</v>
      </c>
      <c r="E5" s="2"/>
    </row>
    <row r="6" spans="1:15">
      <c r="A6" s="3" t="s">
        <v>2</v>
      </c>
      <c r="B6" s="4">
        <v>20</v>
      </c>
      <c r="C6" s="3" t="s">
        <v>3</v>
      </c>
      <c r="D6" s="5">
        <v>17</v>
      </c>
      <c r="E6" s="2"/>
    </row>
    <row r="7" spans="1:15">
      <c r="A7" s="3" t="s">
        <v>2</v>
      </c>
      <c r="B7" s="4">
        <v>25</v>
      </c>
      <c r="C7" s="6" t="s">
        <v>3</v>
      </c>
      <c r="D7" s="5">
        <v>22</v>
      </c>
      <c r="E7" s="2"/>
    </row>
    <row r="8" spans="1:15">
      <c r="D8" s="1"/>
      <c r="E8" s="2"/>
    </row>
    <row r="9" spans="1:15">
      <c r="D9" s="1"/>
      <c r="E9" s="2"/>
    </row>
    <row r="10" spans="1:15">
      <c r="A10" s="3" t="s">
        <v>4</v>
      </c>
      <c r="B10" s="7" t="s">
        <v>5</v>
      </c>
      <c r="C10" s="7" t="s">
        <v>6</v>
      </c>
      <c r="D10" s="8" t="s">
        <v>7</v>
      </c>
      <c r="E10" s="9" t="s">
        <v>8</v>
      </c>
      <c r="F10" s="7" t="s">
        <v>9</v>
      </c>
      <c r="G10" s="7" t="s">
        <v>10</v>
      </c>
      <c r="H10" s="7" t="s">
        <v>11</v>
      </c>
      <c r="I10" s="7" t="s">
        <v>12</v>
      </c>
      <c r="J10" s="7" t="s">
        <v>13</v>
      </c>
      <c r="K10" s="7" t="s">
        <v>14</v>
      </c>
      <c r="L10" s="7" t="s">
        <v>15</v>
      </c>
      <c r="M10" s="7" t="s">
        <v>16</v>
      </c>
      <c r="N10" s="10" t="s">
        <v>17</v>
      </c>
      <c r="O10" s="10" t="s">
        <v>18</v>
      </c>
    </row>
    <row r="11" spans="1:15">
      <c r="A11" s="3" t="s">
        <v>19</v>
      </c>
      <c r="B11" s="10">
        <v>14</v>
      </c>
      <c r="C11" s="10">
        <v>14</v>
      </c>
      <c r="D11" s="11">
        <v>14</v>
      </c>
      <c r="E11" s="11">
        <v>14</v>
      </c>
      <c r="F11" s="10">
        <v>14</v>
      </c>
      <c r="G11" s="10">
        <v>14</v>
      </c>
      <c r="H11" s="10">
        <v>14</v>
      </c>
      <c r="I11" s="10">
        <v>14</v>
      </c>
      <c r="J11" s="10">
        <v>14</v>
      </c>
      <c r="K11" s="10">
        <v>14</v>
      </c>
      <c r="L11" s="10">
        <v>14</v>
      </c>
      <c r="M11" s="10">
        <v>14</v>
      </c>
      <c r="N11" s="10">
        <v>14</v>
      </c>
      <c r="O11" s="10">
        <v>14</v>
      </c>
    </row>
    <row r="12" spans="1:15">
      <c r="D12" s="1"/>
      <c r="E12" s="2"/>
    </row>
    <row r="13" spans="1:15">
      <c r="D13" s="1"/>
      <c r="E13" s="2"/>
    </row>
    <row r="14" spans="1:15">
      <c r="A14" s="252" t="s">
        <v>20</v>
      </c>
      <c r="B14" s="253"/>
      <c r="C14" s="254"/>
      <c r="D14" s="1"/>
      <c r="E14" s="2"/>
    </row>
    <row r="15" spans="1:15">
      <c r="D15" s="1"/>
      <c r="E15" s="2"/>
    </row>
    <row r="16" spans="1:15">
      <c r="A16" s="255" t="s">
        <v>21</v>
      </c>
      <c r="B16" s="249"/>
      <c r="C16" s="4" t="s">
        <v>22</v>
      </c>
      <c r="D16" s="1"/>
      <c r="E16" s="2"/>
    </row>
    <row r="17" spans="1:11" ht="15.75" customHeight="1">
      <c r="A17" s="256" t="s">
        <v>23</v>
      </c>
      <c r="B17" s="3" t="s">
        <v>24</v>
      </c>
      <c r="C17" s="4" t="s">
        <v>25</v>
      </c>
      <c r="D17" s="1"/>
      <c r="E17" s="2"/>
    </row>
    <row r="18" spans="1:11" ht="15.75" customHeight="1">
      <c r="A18" s="257"/>
      <c r="B18" s="3" t="s">
        <v>26</v>
      </c>
      <c r="C18" s="4" t="s">
        <v>22</v>
      </c>
      <c r="D18" s="1"/>
      <c r="E18" s="2"/>
    </row>
    <row r="19" spans="1:11" ht="15.75" customHeight="1">
      <c r="A19" s="248" t="s">
        <v>27</v>
      </c>
      <c r="B19" s="249"/>
      <c r="C19" s="4" t="s">
        <v>28</v>
      </c>
      <c r="D19" s="1"/>
      <c r="E19" s="2"/>
    </row>
    <row r="20" spans="1:11" ht="15.75" customHeight="1">
      <c r="D20" s="1"/>
      <c r="E20" s="2"/>
    </row>
    <row r="21" spans="1:11" ht="15.75" customHeight="1">
      <c r="D21" s="1"/>
      <c r="E21" s="2"/>
    </row>
    <row r="22" spans="1:11" ht="15.75" customHeight="1">
      <c r="A22" s="12" t="s">
        <v>29</v>
      </c>
      <c r="D22" s="1"/>
      <c r="E22" s="2"/>
      <c r="G22" s="13" t="s">
        <v>30</v>
      </c>
      <c r="J22" s="13" t="s">
        <v>31</v>
      </c>
    </row>
    <row r="23" spans="1:11" ht="15.75" customHeight="1">
      <c r="D23" s="1"/>
      <c r="E23" s="2"/>
    </row>
    <row r="24" spans="1:11" ht="15.75" customHeight="1">
      <c r="A24" s="14" t="s">
        <v>32</v>
      </c>
      <c r="B24" s="7" t="s">
        <v>33</v>
      </c>
      <c r="C24" s="7" t="s">
        <v>34</v>
      </c>
      <c r="D24" s="8" t="s">
        <v>35</v>
      </c>
      <c r="E24" s="9" t="s">
        <v>36</v>
      </c>
      <c r="G24" s="14" t="s">
        <v>37</v>
      </c>
      <c r="H24" s="3" t="s">
        <v>38</v>
      </c>
      <c r="J24" s="15" t="s">
        <v>37</v>
      </c>
      <c r="K24" s="15" t="s">
        <v>39</v>
      </c>
    </row>
    <row r="25" spans="1:11" ht="15.75" customHeight="1">
      <c r="A25" s="14" t="s">
        <v>40</v>
      </c>
      <c r="B25" s="7" t="s">
        <v>41</v>
      </c>
      <c r="C25" s="10" t="s">
        <v>42</v>
      </c>
      <c r="D25" s="8">
        <v>3.5449999999999999</v>
      </c>
      <c r="E25" s="9">
        <f>(D25/10)</f>
        <v>0.35449999999999998</v>
      </c>
      <c r="G25" s="16" t="s">
        <v>5</v>
      </c>
      <c r="H25" s="17">
        <v>0.39</v>
      </c>
      <c r="J25" s="18" t="s">
        <v>5</v>
      </c>
      <c r="K25" s="19">
        <v>0.4</v>
      </c>
    </row>
    <row r="26" spans="1:11" ht="15.75" customHeight="1">
      <c r="A26" s="14" t="s">
        <v>43</v>
      </c>
      <c r="B26" s="7" t="s">
        <v>41</v>
      </c>
      <c r="C26" s="10" t="s">
        <v>44</v>
      </c>
      <c r="D26" s="20">
        <v>1.43</v>
      </c>
      <c r="E26" s="9">
        <f>(D26/12)</f>
        <v>0.11916666666666666</v>
      </c>
      <c r="G26" s="16" t="s">
        <v>6</v>
      </c>
      <c r="H26" s="17">
        <v>0.27</v>
      </c>
      <c r="J26" s="18" t="s">
        <v>6</v>
      </c>
      <c r="K26" s="19">
        <v>0.35</v>
      </c>
    </row>
    <row r="27" spans="1:11" ht="15.75" customHeight="1">
      <c r="A27" s="14" t="s">
        <v>45</v>
      </c>
      <c r="B27" s="7" t="s">
        <v>41</v>
      </c>
      <c r="C27" s="10" t="s">
        <v>46</v>
      </c>
      <c r="D27" s="20">
        <v>3.84</v>
      </c>
      <c r="E27" s="9">
        <f>(D27/10)</f>
        <v>0.38400000000000001</v>
      </c>
      <c r="G27" s="16" t="s">
        <v>7</v>
      </c>
      <c r="H27" s="17">
        <v>0.23</v>
      </c>
      <c r="J27" s="18" t="s">
        <v>7</v>
      </c>
      <c r="K27" s="19">
        <v>0.35</v>
      </c>
    </row>
    <row r="28" spans="1:11" ht="15.75" customHeight="1">
      <c r="D28" s="21"/>
      <c r="E28" s="2"/>
      <c r="G28" s="16" t="s">
        <v>8</v>
      </c>
      <c r="H28" s="17">
        <v>0.37</v>
      </c>
      <c r="J28" s="18" t="s">
        <v>8</v>
      </c>
      <c r="K28" s="19">
        <v>0.4</v>
      </c>
    </row>
    <row r="29" spans="1:11" ht="15.75" customHeight="1">
      <c r="A29" s="14" t="s">
        <v>47</v>
      </c>
      <c r="B29" s="7" t="s">
        <v>33</v>
      </c>
      <c r="C29" s="7" t="s">
        <v>34</v>
      </c>
      <c r="D29" s="8" t="s">
        <v>35</v>
      </c>
      <c r="E29" s="9" t="s">
        <v>36</v>
      </c>
      <c r="G29" s="16" t="s">
        <v>9</v>
      </c>
      <c r="H29" s="17">
        <v>0.38</v>
      </c>
      <c r="J29" s="18" t="s">
        <v>9</v>
      </c>
      <c r="K29" s="19">
        <v>0.4</v>
      </c>
    </row>
    <row r="30" spans="1:11" ht="15.75" customHeight="1">
      <c r="A30" s="14" t="s">
        <v>40</v>
      </c>
      <c r="B30" s="7" t="s">
        <v>41</v>
      </c>
      <c r="C30" s="10" t="s">
        <v>48</v>
      </c>
      <c r="D30" s="20">
        <v>2.69</v>
      </c>
      <c r="E30" s="9">
        <f t="shared" ref="E30:E31" si="0">(D30/10)</f>
        <v>0.26900000000000002</v>
      </c>
      <c r="G30" s="16" t="s">
        <v>10</v>
      </c>
      <c r="H30" s="17">
        <v>0.28000000000000003</v>
      </c>
      <c r="J30" s="18" t="s">
        <v>10</v>
      </c>
      <c r="K30" s="19">
        <v>0.35</v>
      </c>
    </row>
    <row r="31" spans="1:11" ht="15.75" customHeight="1">
      <c r="A31" s="14" t="s">
        <v>49</v>
      </c>
      <c r="B31" s="7" t="s">
        <v>41</v>
      </c>
      <c r="C31" s="10" t="s">
        <v>50</v>
      </c>
      <c r="D31" s="20">
        <v>0.83</v>
      </c>
      <c r="E31" s="9">
        <f t="shared" si="0"/>
        <v>8.299999999999999E-2</v>
      </c>
      <c r="G31" s="16" t="s">
        <v>11</v>
      </c>
      <c r="H31" s="17">
        <v>0.4</v>
      </c>
      <c r="J31" s="18" t="s">
        <v>11</v>
      </c>
      <c r="K31" s="22">
        <v>0.4</v>
      </c>
    </row>
    <row r="32" spans="1:11" ht="15.75" customHeight="1">
      <c r="D32" s="21"/>
      <c r="E32" s="2"/>
      <c r="G32" s="16" t="s">
        <v>12</v>
      </c>
      <c r="H32" s="17">
        <v>0.24</v>
      </c>
      <c r="J32" s="18" t="s">
        <v>12</v>
      </c>
      <c r="K32" s="19">
        <v>0.35</v>
      </c>
    </row>
    <row r="33" spans="1:11" ht="15.75" customHeight="1">
      <c r="A33" s="14" t="s">
        <v>51</v>
      </c>
      <c r="B33" s="7" t="s">
        <v>33</v>
      </c>
      <c r="C33" s="7" t="s">
        <v>34</v>
      </c>
      <c r="D33" s="8" t="s">
        <v>35</v>
      </c>
      <c r="E33" s="9" t="s">
        <v>36</v>
      </c>
      <c r="G33" s="16" t="s">
        <v>13</v>
      </c>
      <c r="H33" s="17">
        <v>0.38</v>
      </c>
      <c r="J33" s="18" t="s">
        <v>13</v>
      </c>
      <c r="K33" s="19">
        <v>0.4</v>
      </c>
    </row>
    <row r="34" spans="1:11" ht="15.75" customHeight="1">
      <c r="A34" s="14" t="s">
        <v>40</v>
      </c>
      <c r="B34" s="7" t="s">
        <v>41</v>
      </c>
      <c r="C34" s="10" t="s">
        <v>52</v>
      </c>
      <c r="D34" s="20">
        <v>2.25</v>
      </c>
      <c r="E34" s="9">
        <f t="shared" ref="E34:E35" si="1">(D34/10)</f>
        <v>0.22500000000000001</v>
      </c>
      <c r="G34" s="16" t="s">
        <v>14</v>
      </c>
      <c r="H34" s="17">
        <v>0.38</v>
      </c>
      <c r="J34" s="18" t="s">
        <v>14</v>
      </c>
      <c r="K34" s="19">
        <v>0.4</v>
      </c>
    </row>
    <row r="35" spans="1:11" ht="15.75" customHeight="1">
      <c r="A35" s="14" t="s">
        <v>49</v>
      </c>
      <c r="B35" s="7" t="s">
        <v>41</v>
      </c>
      <c r="C35" s="10" t="s">
        <v>53</v>
      </c>
      <c r="D35" s="20">
        <v>1.23</v>
      </c>
      <c r="E35" s="9">
        <f t="shared" si="1"/>
        <v>0.123</v>
      </c>
      <c r="G35" s="16" t="s">
        <v>15</v>
      </c>
      <c r="H35" s="17">
        <v>0.52</v>
      </c>
      <c r="J35" s="18" t="s">
        <v>15</v>
      </c>
      <c r="K35" s="19">
        <v>0.55000000000000004</v>
      </c>
    </row>
    <row r="36" spans="1:11" ht="15.75" customHeight="1">
      <c r="A36" s="23"/>
      <c r="B36" s="23"/>
      <c r="C36" s="23"/>
      <c r="D36" s="21"/>
      <c r="E36" s="24"/>
      <c r="G36" s="16" t="s">
        <v>16</v>
      </c>
      <c r="H36" s="17">
        <v>0.48</v>
      </c>
      <c r="J36" s="18" t="s">
        <v>16</v>
      </c>
      <c r="K36" s="19">
        <v>0.55000000000000004</v>
      </c>
    </row>
    <row r="37" spans="1:11" ht="15.75" customHeight="1">
      <c r="A37" s="14" t="s">
        <v>54</v>
      </c>
      <c r="B37" s="7" t="s">
        <v>33</v>
      </c>
      <c r="C37" s="7" t="s">
        <v>34</v>
      </c>
      <c r="D37" s="8" t="s">
        <v>35</v>
      </c>
      <c r="E37" s="9" t="s">
        <v>36</v>
      </c>
      <c r="G37" s="25" t="s">
        <v>17</v>
      </c>
      <c r="H37" s="17">
        <v>0.46</v>
      </c>
      <c r="J37" s="26" t="s">
        <v>17</v>
      </c>
      <c r="K37" s="19">
        <v>0.5</v>
      </c>
    </row>
    <row r="38" spans="1:11" ht="15.75" customHeight="1">
      <c r="A38" s="14" t="s">
        <v>41</v>
      </c>
      <c r="B38" s="7" t="s">
        <v>41</v>
      </c>
      <c r="C38" s="10" t="s">
        <v>55</v>
      </c>
      <c r="D38" s="20">
        <v>3.67</v>
      </c>
      <c r="E38" s="9">
        <f>(D38/10)</f>
        <v>0.36699999999999999</v>
      </c>
      <c r="G38" s="25" t="s">
        <v>18</v>
      </c>
      <c r="H38" s="17">
        <v>0.43</v>
      </c>
      <c r="J38" s="26" t="s">
        <v>18</v>
      </c>
      <c r="K38" s="19">
        <v>0.5</v>
      </c>
    </row>
    <row r="39" spans="1:11" ht="15.75" customHeight="1">
      <c r="D39" s="21"/>
      <c r="E39" s="2"/>
    </row>
    <row r="40" spans="1:11" ht="15.75" customHeight="1">
      <c r="A40" s="14" t="s">
        <v>56</v>
      </c>
      <c r="B40" s="7" t="s">
        <v>33</v>
      </c>
      <c r="C40" s="7" t="s">
        <v>57</v>
      </c>
      <c r="D40" s="8" t="s">
        <v>35</v>
      </c>
      <c r="E40" s="9" t="s">
        <v>36</v>
      </c>
    </row>
    <row r="41" spans="1:11" ht="15.75" customHeight="1">
      <c r="A41" s="14" t="s">
        <v>41</v>
      </c>
      <c r="B41" s="7" t="s">
        <v>41</v>
      </c>
      <c r="C41" s="10" t="s">
        <v>58</v>
      </c>
      <c r="D41" s="20">
        <v>3.72</v>
      </c>
      <c r="E41" s="9">
        <f>(D41/10)</f>
        <v>0.372</v>
      </c>
    </row>
    <row r="42" spans="1:11" ht="15.75" customHeight="1">
      <c r="D42" s="21"/>
      <c r="E42" s="2"/>
    </row>
    <row r="43" spans="1:11" ht="15.75" customHeight="1">
      <c r="A43" s="14" t="s">
        <v>59</v>
      </c>
      <c r="B43" s="7" t="s">
        <v>33</v>
      </c>
      <c r="C43" s="7" t="s">
        <v>34</v>
      </c>
      <c r="D43" s="8" t="s">
        <v>35</v>
      </c>
      <c r="E43" s="9" t="s">
        <v>36</v>
      </c>
    </row>
    <row r="44" spans="1:11" ht="15.75" customHeight="1">
      <c r="A44" s="14" t="s">
        <v>41</v>
      </c>
      <c r="B44" s="7" t="s">
        <v>41</v>
      </c>
      <c r="C44" s="10" t="s">
        <v>60</v>
      </c>
      <c r="D44" s="20">
        <v>2.75</v>
      </c>
      <c r="E44" s="9">
        <f>(D44/10)</f>
        <v>0.27500000000000002</v>
      </c>
    </row>
    <row r="45" spans="1:11" ht="15.75" customHeight="1">
      <c r="D45" s="21"/>
      <c r="E45" s="2"/>
    </row>
    <row r="46" spans="1:11" ht="15.75" customHeight="1">
      <c r="A46" s="14" t="s">
        <v>61</v>
      </c>
      <c r="B46" s="7" t="s">
        <v>33</v>
      </c>
      <c r="C46" s="7" t="s">
        <v>57</v>
      </c>
      <c r="D46" s="8" t="s">
        <v>35</v>
      </c>
      <c r="E46" s="9" t="s">
        <v>36</v>
      </c>
    </row>
    <row r="47" spans="1:11" ht="15.75" customHeight="1">
      <c r="A47" s="14" t="s">
        <v>40</v>
      </c>
      <c r="B47" s="7" t="s">
        <v>41</v>
      </c>
      <c r="C47" s="10" t="s">
        <v>62</v>
      </c>
      <c r="D47" s="20">
        <v>3.97</v>
      </c>
      <c r="E47" s="9">
        <f t="shared" ref="E47:E48" si="2">(D47/10)</f>
        <v>0.39700000000000002</v>
      </c>
    </row>
    <row r="48" spans="1:11" ht="15.75" customHeight="1">
      <c r="A48" s="14" t="s">
        <v>45</v>
      </c>
      <c r="B48" s="7" t="s">
        <v>41</v>
      </c>
      <c r="C48" s="10" t="s">
        <v>63</v>
      </c>
      <c r="D48" s="20">
        <v>3.07</v>
      </c>
      <c r="E48" s="9">
        <f t="shared" si="2"/>
        <v>0.307</v>
      </c>
    </row>
    <row r="49" spans="1:5" ht="15.75" customHeight="1">
      <c r="A49" s="23"/>
      <c r="B49" s="23"/>
      <c r="C49" s="23"/>
      <c r="D49" s="21"/>
      <c r="E49" s="24"/>
    </row>
    <row r="50" spans="1:5" ht="15.75" customHeight="1">
      <c r="A50" s="14" t="s">
        <v>64</v>
      </c>
      <c r="B50" s="7" t="s">
        <v>33</v>
      </c>
      <c r="C50" s="7" t="s">
        <v>57</v>
      </c>
      <c r="D50" s="8" t="s">
        <v>35</v>
      </c>
      <c r="E50" s="9" t="s">
        <v>36</v>
      </c>
    </row>
    <row r="51" spans="1:5" ht="15.75" customHeight="1">
      <c r="A51" s="14" t="s">
        <v>40</v>
      </c>
      <c r="B51" s="7" t="s">
        <v>41</v>
      </c>
      <c r="C51" s="10" t="s">
        <v>65</v>
      </c>
      <c r="D51" s="20">
        <v>2.3199999999999998</v>
      </c>
      <c r="E51" s="9">
        <f t="shared" ref="E51:E52" si="3">(D51/10)</f>
        <v>0.23199999999999998</v>
      </c>
    </row>
    <row r="52" spans="1:5" ht="15.75" customHeight="1">
      <c r="A52" s="14" t="s">
        <v>45</v>
      </c>
      <c r="B52" s="7" t="s">
        <v>41</v>
      </c>
      <c r="C52" s="10" t="s">
        <v>66</v>
      </c>
      <c r="D52" s="20">
        <v>1.21</v>
      </c>
      <c r="E52" s="9">
        <f t="shared" si="3"/>
        <v>0.121</v>
      </c>
    </row>
    <row r="53" spans="1:5" ht="15.75" customHeight="1">
      <c r="D53" s="21"/>
      <c r="E53" s="2"/>
    </row>
    <row r="54" spans="1:5" ht="15.75" customHeight="1">
      <c r="A54" s="14" t="s">
        <v>67</v>
      </c>
      <c r="B54" s="7" t="s">
        <v>33</v>
      </c>
      <c r="C54" s="7" t="s">
        <v>57</v>
      </c>
      <c r="D54" s="8" t="s">
        <v>35</v>
      </c>
      <c r="E54" s="9" t="s">
        <v>36</v>
      </c>
    </row>
    <row r="55" spans="1:5" ht="15.75" customHeight="1">
      <c r="A55" s="14" t="s">
        <v>41</v>
      </c>
      <c r="B55" s="7" t="s">
        <v>41</v>
      </c>
      <c r="C55" s="10" t="s">
        <v>68</v>
      </c>
      <c r="D55" s="20">
        <v>3.72</v>
      </c>
      <c r="E55" s="9">
        <f>(D55/10)</f>
        <v>0.372</v>
      </c>
    </row>
    <row r="56" spans="1:5" ht="15.75" customHeight="1">
      <c r="D56" s="21"/>
      <c r="E56" s="2"/>
    </row>
    <row r="57" spans="1:5" ht="15.75" customHeight="1">
      <c r="A57" s="14" t="s">
        <v>69</v>
      </c>
      <c r="B57" s="7" t="s">
        <v>33</v>
      </c>
      <c r="C57" s="7" t="s">
        <v>34</v>
      </c>
      <c r="D57" s="8" t="s">
        <v>35</v>
      </c>
      <c r="E57" s="9" t="s">
        <v>36</v>
      </c>
    </row>
    <row r="58" spans="1:5" ht="15.75" customHeight="1">
      <c r="A58" s="14" t="s">
        <v>41</v>
      </c>
      <c r="B58" s="7" t="s">
        <v>41</v>
      </c>
      <c r="C58" s="10" t="s">
        <v>70</v>
      </c>
      <c r="D58" s="20">
        <v>3.77</v>
      </c>
      <c r="E58" s="9">
        <f>(D58/10)</f>
        <v>0.377</v>
      </c>
    </row>
    <row r="59" spans="1:5" ht="15.75" customHeight="1">
      <c r="D59" s="21"/>
      <c r="E59" s="2"/>
    </row>
    <row r="60" spans="1:5" ht="15.75" customHeight="1">
      <c r="A60" s="27" t="s">
        <v>71</v>
      </c>
      <c r="B60" s="7" t="s">
        <v>33</v>
      </c>
      <c r="C60" s="7" t="s">
        <v>34</v>
      </c>
      <c r="D60" s="8" t="s">
        <v>35</v>
      </c>
      <c r="E60" s="9" t="s">
        <v>36</v>
      </c>
    </row>
    <row r="61" spans="1:5" ht="15.75" customHeight="1">
      <c r="A61" s="14" t="s">
        <v>40</v>
      </c>
      <c r="B61" s="7" t="s">
        <v>41</v>
      </c>
      <c r="C61" s="10" t="s">
        <v>72</v>
      </c>
      <c r="D61" s="20">
        <v>2.19</v>
      </c>
      <c r="E61" s="9">
        <f>(D61/10)</f>
        <v>0.219</v>
      </c>
    </row>
    <row r="62" spans="1:5" ht="15.75" customHeight="1">
      <c r="A62" s="27" t="s">
        <v>43</v>
      </c>
      <c r="B62" s="7" t="s">
        <v>41</v>
      </c>
      <c r="C62" s="10" t="s">
        <v>73</v>
      </c>
      <c r="D62" s="20">
        <v>0.85</v>
      </c>
      <c r="E62" s="9">
        <f t="shared" ref="E62:E64" si="4">(D62/12)</f>
        <v>7.0833333333333331E-2</v>
      </c>
    </row>
    <row r="63" spans="1:5" ht="15.75" customHeight="1">
      <c r="A63" s="27" t="s">
        <v>74</v>
      </c>
      <c r="B63" s="7" t="s">
        <v>41</v>
      </c>
      <c r="C63" s="7" t="s">
        <v>75</v>
      </c>
      <c r="D63" s="20">
        <v>2.4</v>
      </c>
      <c r="E63" s="9">
        <f t="shared" si="4"/>
        <v>0.19999999999999998</v>
      </c>
    </row>
    <row r="64" spans="1:5" ht="15.75" customHeight="1">
      <c r="A64" s="27" t="s">
        <v>76</v>
      </c>
      <c r="B64" s="7" t="s">
        <v>41</v>
      </c>
      <c r="C64" s="10" t="s">
        <v>77</v>
      </c>
      <c r="D64" s="20">
        <v>1.1000000000000001</v>
      </c>
      <c r="E64" s="9">
        <f t="shared" si="4"/>
        <v>9.1666666666666674E-2</v>
      </c>
    </row>
    <row r="65" spans="1:5" ht="15.75" customHeight="1">
      <c r="A65" s="14" t="s">
        <v>49</v>
      </c>
      <c r="B65" s="7" t="s">
        <v>41</v>
      </c>
      <c r="C65" s="10" t="s">
        <v>78</v>
      </c>
      <c r="D65" s="20">
        <v>5.2</v>
      </c>
      <c r="E65" s="9">
        <f>(D65/10)</f>
        <v>0.52</v>
      </c>
    </row>
    <row r="66" spans="1:5" ht="15.75" customHeight="1">
      <c r="D66" s="21"/>
      <c r="E66" s="2"/>
    </row>
    <row r="67" spans="1:5" ht="15.75" customHeight="1">
      <c r="A67" s="14" t="s">
        <v>79</v>
      </c>
      <c r="B67" s="7" t="s">
        <v>33</v>
      </c>
      <c r="C67" s="7" t="s">
        <v>34</v>
      </c>
      <c r="D67" s="8" t="s">
        <v>35</v>
      </c>
      <c r="E67" s="9" t="s">
        <v>36</v>
      </c>
    </row>
    <row r="68" spans="1:5" ht="15.75" customHeight="1">
      <c r="A68" s="14" t="s">
        <v>40</v>
      </c>
      <c r="B68" s="7" t="s">
        <v>41</v>
      </c>
      <c r="C68" s="10" t="s">
        <v>80</v>
      </c>
      <c r="D68" s="20">
        <v>1.53</v>
      </c>
      <c r="E68" s="9">
        <f>(D68/10)</f>
        <v>0.153</v>
      </c>
    </row>
    <row r="69" spans="1:5" ht="15.75" customHeight="1">
      <c r="A69" s="27" t="s">
        <v>43</v>
      </c>
      <c r="B69" s="7" t="s">
        <v>41</v>
      </c>
      <c r="C69" s="10" t="s">
        <v>81</v>
      </c>
      <c r="D69" s="20">
        <v>0.83</v>
      </c>
      <c r="E69" s="9">
        <f t="shared" ref="E69:E70" si="5">(D69/12)</f>
        <v>6.9166666666666668E-2</v>
      </c>
    </row>
    <row r="70" spans="1:5" ht="15.75" customHeight="1">
      <c r="A70" s="27" t="s">
        <v>74</v>
      </c>
      <c r="B70" s="7" t="s">
        <v>41</v>
      </c>
      <c r="C70" s="10" t="s">
        <v>82</v>
      </c>
      <c r="D70" s="20">
        <v>1.1499999999999999</v>
      </c>
      <c r="E70" s="9">
        <f t="shared" si="5"/>
        <v>9.5833333333333326E-2</v>
      </c>
    </row>
    <row r="71" spans="1:5" ht="15.75" customHeight="1">
      <c r="A71" s="14" t="s">
        <v>49</v>
      </c>
      <c r="B71" s="7" t="s">
        <v>41</v>
      </c>
      <c r="C71" s="10" t="s">
        <v>83</v>
      </c>
      <c r="D71" s="20">
        <v>4.7300000000000004</v>
      </c>
      <c r="E71" s="9">
        <f>(D71/10)</f>
        <v>0.47300000000000003</v>
      </c>
    </row>
    <row r="72" spans="1:5" ht="15.75" customHeight="1">
      <c r="D72" s="1"/>
      <c r="E72" s="2"/>
    </row>
    <row r="73" spans="1:5" ht="15.75" customHeight="1">
      <c r="A73" s="27" t="s">
        <v>84</v>
      </c>
      <c r="B73" s="7" t="s">
        <v>33</v>
      </c>
      <c r="C73" s="7" t="s">
        <v>34</v>
      </c>
      <c r="D73" s="8" t="s">
        <v>35</v>
      </c>
      <c r="E73" s="9" t="s">
        <v>36</v>
      </c>
    </row>
    <row r="74" spans="1:5" ht="15.75" customHeight="1">
      <c r="A74" s="14" t="s">
        <v>40</v>
      </c>
      <c r="B74" s="7" t="s">
        <v>41</v>
      </c>
      <c r="C74" s="10" t="s">
        <v>85</v>
      </c>
      <c r="D74" s="20">
        <v>3.68</v>
      </c>
      <c r="E74" s="9">
        <f>(D74/10)</f>
        <v>0.36799999999999999</v>
      </c>
    </row>
    <row r="75" spans="1:5" ht="15.75" customHeight="1">
      <c r="A75" s="14" t="s">
        <v>43</v>
      </c>
      <c r="B75" s="7" t="s">
        <v>41</v>
      </c>
      <c r="C75" s="10" t="s">
        <v>86</v>
      </c>
      <c r="D75" s="20">
        <v>2.4</v>
      </c>
      <c r="E75" s="9">
        <f t="shared" ref="E75:E76" si="6">(D75/12)</f>
        <v>0.19999999999999998</v>
      </c>
    </row>
    <row r="76" spans="1:5" ht="15.75" customHeight="1">
      <c r="A76" s="27" t="s">
        <v>74</v>
      </c>
      <c r="B76" s="7" t="s">
        <v>41</v>
      </c>
      <c r="C76" s="10" t="s">
        <v>87</v>
      </c>
      <c r="D76" s="20">
        <v>1.65</v>
      </c>
      <c r="E76" s="9">
        <f t="shared" si="6"/>
        <v>0.13749999999999998</v>
      </c>
    </row>
    <row r="77" spans="1:5" ht="15.75" customHeight="1">
      <c r="A77" s="14" t="s">
        <v>45</v>
      </c>
      <c r="B77" s="7" t="s">
        <v>41</v>
      </c>
      <c r="C77" s="10" t="s">
        <v>88</v>
      </c>
      <c r="D77" s="20">
        <v>4.53</v>
      </c>
      <c r="E77" s="9">
        <f>(D77/10)</f>
        <v>0.45300000000000001</v>
      </c>
    </row>
    <row r="78" spans="1:5" ht="15.75" customHeight="1">
      <c r="D78" s="1"/>
      <c r="E78" s="2"/>
    </row>
    <row r="79" spans="1:5" ht="15.75" customHeight="1">
      <c r="A79" s="27" t="s">
        <v>89</v>
      </c>
      <c r="B79" s="7" t="s">
        <v>33</v>
      </c>
      <c r="C79" s="7" t="s">
        <v>34</v>
      </c>
      <c r="D79" s="8" t="s">
        <v>35</v>
      </c>
      <c r="E79" s="9" t="s">
        <v>36</v>
      </c>
    </row>
    <row r="80" spans="1:5" ht="15.75" customHeight="1">
      <c r="A80" s="14" t="s">
        <v>40</v>
      </c>
      <c r="B80" s="7" t="s">
        <v>41</v>
      </c>
      <c r="C80" s="10" t="s">
        <v>90</v>
      </c>
      <c r="D80" s="20">
        <v>3.24</v>
      </c>
      <c r="E80" s="9">
        <f>(D80/10)</f>
        <v>0.32400000000000001</v>
      </c>
    </row>
    <row r="81" spans="1:5" ht="15.75" customHeight="1">
      <c r="A81" s="14" t="s">
        <v>43</v>
      </c>
      <c r="B81" s="7" t="s">
        <v>41</v>
      </c>
      <c r="C81" s="10" t="s">
        <v>91</v>
      </c>
      <c r="D81" s="20">
        <v>2.4</v>
      </c>
      <c r="E81" s="9">
        <f t="shared" ref="E81:E82" si="7">(D81/12)</f>
        <v>0.19999999999999998</v>
      </c>
    </row>
    <row r="82" spans="1:5" ht="15.75" customHeight="1">
      <c r="A82" s="27" t="s">
        <v>74</v>
      </c>
      <c r="B82" s="7" t="s">
        <v>41</v>
      </c>
      <c r="C82" s="10" t="s">
        <v>92</v>
      </c>
      <c r="D82" s="20">
        <v>1.7</v>
      </c>
      <c r="E82" s="9">
        <f t="shared" si="7"/>
        <v>0.14166666666666666</v>
      </c>
    </row>
    <row r="83" spans="1:5" ht="15.75" customHeight="1">
      <c r="A83" s="14" t="s">
        <v>45</v>
      </c>
      <c r="B83" s="7" t="s">
        <v>41</v>
      </c>
      <c r="C83" s="10" t="s">
        <v>93</v>
      </c>
      <c r="D83" s="20">
        <v>4.25</v>
      </c>
      <c r="E83" s="9">
        <f>(D83/10)</f>
        <v>0.42499999999999999</v>
      </c>
    </row>
    <row r="84" spans="1:5" ht="15.75" customHeight="1">
      <c r="D84" s="1"/>
      <c r="E84" s="2"/>
    </row>
    <row r="85" spans="1:5" ht="15.75" customHeight="1">
      <c r="D85" s="1"/>
      <c r="E85" s="2"/>
    </row>
    <row r="86" spans="1:5" ht="15.75" customHeight="1">
      <c r="D86" s="1"/>
      <c r="E86" s="2"/>
    </row>
  </sheetData>
  <mergeCells count="6">
    <mergeCell ref="A19:B19"/>
    <mergeCell ref="A1:F1"/>
    <mergeCell ref="A3:K3"/>
    <mergeCell ref="A14:C14"/>
    <mergeCell ref="A16:B16"/>
    <mergeCell ref="A17:A18"/>
  </mergeCells>
  <pageMargins left="0.511811024" right="0.511811024" top="0.78740157499999996" bottom="0.78740157499999996" header="0" footer="0"/>
  <pageSetup orientation="portrait"/>
  <ignoredErrors>
    <ignoredError sqref="E2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8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3.85546875" customWidth="1"/>
    <col min="4" max="4" width="16.42578125" customWidth="1"/>
    <col min="5" max="5" width="15.5703125" customWidth="1"/>
    <col min="6" max="6" width="10.5703125" customWidth="1"/>
    <col min="7" max="7" width="8.7109375" customWidth="1"/>
    <col min="8" max="8" width="13.85546875" customWidth="1"/>
    <col min="9" max="9" width="16.42578125" customWidth="1"/>
    <col min="10" max="10" width="15.5703125" customWidth="1"/>
    <col min="11" max="11" width="8.7109375" customWidth="1"/>
  </cols>
  <sheetData>
    <row r="1" spans="2:10" ht="24" customHeight="1">
      <c r="B1" s="334" t="s">
        <v>438</v>
      </c>
      <c r="C1" s="335"/>
      <c r="D1" s="335"/>
      <c r="E1" s="336"/>
      <c r="G1" s="337" t="s">
        <v>439</v>
      </c>
      <c r="H1" s="335"/>
      <c r="I1" s="335"/>
      <c r="J1" s="336"/>
    </row>
    <row r="2" spans="2:10" ht="24" customHeight="1">
      <c r="B2" s="127"/>
      <c r="C2" s="150"/>
      <c r="D2" s="151"/>
      <c r="E2" s="128"/>
      <c r="G2" s="127"/>
      <c r="H2" s="126"/>
      <c r="I2" s="126"/>
      <c r="J2" s="128"/>
    </row>
    <row r="3" spans="2:10">
      <c r="B3" s="338" t="s">
        <v>430</v>
      </c>
      <c r="C3" s="251"/>
      <c r="D3" s="251"/>
      <c r="E3" s="333"/>
      <c r="G3" s="341" t="s">
        <v>430</v>
      </c>
      <c r="H3" s="251"/>
      <c r="I3" s="251"/>
      <c r="J3" s="333"/>
    </row>
    <row r="4" spans="2:10">
      <c r="B4" s="152" t="s">
        <v>37</v>
      </c>
      <c r="C4" s="153" t="s">
        <v>440</v>
      </c>
      <c r="D4" s="154" t="s">
        <v>441</v>
      </c>
      <c r="E4" s="130" t="s">
        <v>431</v>
      </c>
      <c r="G4" s="338" t="s">
        <v>432</v>
      </c>
      <c r="H4" s="251"/>
      <c r="I4" s="249"/>
      <c r="J4" s="131">
        <f>4*E19</f>
        <v>24.605672000000006</v>
      </c>
    </row>
    <row r="5" spans="2:10">
      <c r="B5" s="155" t="s">
        <v>5</v>
      </c>
      <c r="C5" s="156">
        <f>'Pré-dimencionamento das Vigas'!K25*100*'Pré-dimencionamento das Vigas'!$B$11</f>
        <v>560</v>
      </c>
      <c r="D5" s="17">
        <v>8.59</v>
      </c>
      <c r="E5" s="133">
        <f t="shared" ref="E5:E18" si="0">C5/(100^2)*D5</f>
        <v>0.48104000000000002</v>
      </c>
      <c r="G5" s="340" t="s">
        <v>433</v>
      </c>
      <c r="H5" s="259"/>
      <c r="I5" s="259"/>
      <c r="J5" s="327"/>
    </row>
    <row r="6" spans="2:10">
      <c r="B6" s="155" t="s">
        <v>6</v>
      </c>
      <c r="C6" s="156">
        <f>'Pré-dimencionamento das Vigas'!K26*100*'Pré-dimencionamento das Vigas'!$B$11</f>
        <v>490</v>
      </c>
      <c r="D6" s="97">
        <f>4.02+0.14*2</f>
        <v>4.3</v>
      </c>
      <c r="E6" s="133">
        <f t="shared" si="0"/>
        <v>0.2107</v>
      </c>
      <c r="G6" s="135"/>
      <c r="H6" s="23"/>
      <c r="I6" s="23"/>
      <c r="J6" s="136"/>
    </row>
    <row r="7" spans="2:10">
      <c r="B7" s="155" t="s">
        <v>7</v>
      </c>
      <c r="C7" s="156">
        <f>'Pré-dimencionamento das Vigas'!K27*100*'Pré-dimencionamento das Vigas'!$B$11</f>
        <v>490</v>
      </c>
      <c r="D7" s="17">
        <f>3.84+2*0.3*0.14</f>
        <v>3.9239999999999999</v>
      </c>
      <c r="E7" s="133">
        <f t="shared" si="0"/>
        <v>0.192276</v>
      </c>
      <c r="G7" s="339" t="s">
        <v>434</v>
      </c>
      <c r="H7" s="251"/>
      <c r="I7" s="251"/>
      <c r="J7" s="333"/>
    </row>
    <row r="8" spans="2:10">
      <c r="B8" s="155" t="s">
        <v>8</v>
      </c>
      <c r="C8" s="156">
        <f>'Pré-dimencionamento das Vigas'!K28*100*'Pré-dimencionamento das Vigas'!$B$11</f>
        <v>560</v>
      </c>
      <c r="D8" s="157">
        <f>3.67+2*0.14*0.3</f>
        <v>3.754</v>
      </c>
      <c r="E8" s="133">
        <f t="shared" si="0"/>
        <v>0.21022399999999999</v>
      </c>
      <c r="G8" s="137" t="s">
        <v>310</v>
      </c>
      <c r="H8" s="138" t="s">
        <v>378</v>
      </c>
      <c r="I8" s="138" t="s">
        <v>377</v>
      </c>
      <c r="J8" s="139" t="s">
        <v>379</v>
      </c>
    </row>
    <row r="9" spans="2:10">
      <c r="B9" s="155" t="s">
        <v>9</v>
      </c>
      <c r="C9" s="156">
        <f>'Pré-dimencionamento das Vigas'!K29*100*'Pré-dimencionamento das Vigas'!$B$11</f>
        <v>560</v>
      </c>
      <c r="D9" s="157">
        <v>3.754</v>
      </c>
      <c r="E9" s="133">
        <f t="shared" si="0"/>
        <v>0.21022399999999999</v>
      </c>
      <c r="G9" s="158">
        <v>8</v>
      </c>
      <c r="H9" s="159">
        <v>0.39500000000000002</v>
      </c>
      <c r="I9" s="141">
        <f t="shared" ref="I9:J9" si="1">4*D24</f>
        <v>1466.1599999999999</v>
      </c>
      <c r="J9" s="142">
        <f t="shared" si="1"/>
        <v>637.04651999999999</v>
      </c>
    </row>
    <row r="10" spans="2:10">
      <c r="B10" s="155" t="s">
        <v>10</v>
      </c>
      <c r="C10" s="156">
        <f>'Pré-dimencionamento das Vigas'!K30*100*'Pré-dimencionamento das Vigas'!$B$11</f>
        <v>490</v>
      </c>
      <c r="D10" s="17">
        <f>2.75+2*0.14*0.3</f>
        <v>2.8340000000000001</v>
      </c>
      <c r="E10" s="133">
        <f t="shared" si="0"/>
        <v>0.13886600000000002</v>
      </c>
      <c r="G10" s="158">
        <v>10</v>
      </c>
      <c r="H10" s="160">
        <v>0.61699999999999999</v>
      </c>
      <c r="I10" s="141">
        <f t="shared" ref="I10:J10" si="2">4*D25</f>
        <v>617.48</v>
      </c>
      <c r="J10" s="142">
        <f t="shared" si="2"/>
        <v>419.08367600000003</v>
      </c>
    </row>
    <row r="11" spans="2:10">
      <c r="B11" s="155" t="s">
        <v>11</v>
      </c>
      <c r="C11" s="156">
        <f>'Pré-dimencionamento das Vigas'!K31*100*'Pré-dimencionamento das Vigas'!$B$11</f>
        <v>560</v>
      </c>
      <c r="D11" s="17">
        <f>3.97+2*0.14*0.3</f>
        <v>4.0540000000000003</v>
      </c>
      <c r="E11" s="133">
        <f t="shared" si="0"/>
        <v>0.22702400000000003</v>
      </c>
      <c r="G11" s="143"/>
      <c r="H11" s="92"/>
      <c r="I11" s="144" t="s">
        <v>435</v>
      </c>
      <c r="J11" s="145">
        <f>SUM(J9:J10)</f>
        <v>1056.1301960000001</v>
      </c>
    </row>
    <row r="12" spans="2:10">
      <c r="B12" s="155" t="s">
        <v>12</v>
      </c>
      <c r="C12" s="156">
        <f>'Pré-dimencionamento das Vigas'!K32*100*'Pré-dimencionamento das Vigas'!$B$11</f>
        <v>490</v>
      </c>
      <c r="D12" s="17">
        <f>4.02+2*0.14*0.3</f>
        <v>4.1039999999999992</v>
      </c>
      <c r="E12" s="133">
        <f t="shared" si="0"/>
        <v>0.20109599999999997</v>
      </c>
      <c r="G12" s="146"/>
      <c r="H12" s="101" t="s">
        <v>436</v>
      </c>
      <c r="J12" s="147"/>
    </row>
    <row r="13" spans="2:10">
      <c r="B13" s="155" t="s">
        <v>13</v>
      </c>
      <c r="C13" s="156">
        <f>'Pré-dimencionamento das Vigas'!K33*100*'Pré-dimencionamento das Vigas'!$B$11</f>
        <v>560</v>
      </c>
      <c r="D13" s="157">
        <v>3.754</v>
      </c>
      <c r="E13" s="133">
        <f t="shared" si="0"/>
        <v>0.21022399999999999</v>
      </c>
      <c r="G13" s="146"/>
      <c r="J13" s="147"/>
    </row>
    <row r="14" spans="2:10">
      <c r="B14" s="155" t="s">
        <v>14</v>
      </c>
      <c r="C14" s="156">
        <f>'Pré-dimencionamento das Vigas'!K34*100*'Pré-dimencionamento das Vigas'!$B$11</f>
        <v>560</v>
      </c>
      <c r="D14" s="17">
        <f>3.77+2*0.14*0.3</f>
        <v>3.8540000000000001</v>
      </c>
      <c r="E14" s="133">
        <f t="shared" si="0"/>
        <v>0.21582400000000002</v>
      </c>
      <c r="G14" s="326" t="s">
        <v>396</v>
      </c>
      <c r="H14" s="259"/>
      <c r="I14" s="259"/>
      <c r="J14" s="327"/>
    </row>
    <row r="15" spans="2:10">
      <c r="B15" s="155" t="s">
        <v>15</v>
      </c>
      <c r="C15" s="156">
        <f>'Pré-dimencionamento das Vigas'!K35*100*'Pré-dimencionamento das Vigas'!$B$11</f>
        <v>770.00000000000011</v>
      </c>
      <c r="D15" s="17">
        <v>15.22</v>
      </c>
      <c r="E15" s="133">
        <f t="shared" si="0"/>
        <v>1.1719400000000002</v>
      </c>
      <c r="G15" s="328"/>
      <c r="H15" s="259"/>
      <c r="I15" s="259"/>
      <c r="J15" s="327"/>
    </row>
    <row r="16" spans="2:10">
      <c r="B16" s="155" t="s">
        <v>16</v>
      </c>
      <c r="C16" s="156">
        <f>'Pré-dimencionamento das Vigas'!K36*100*'Pré-dimencionamento das Vigas'!$B$11</f>
        <v>770.00000000000011</v>
      </c>
      <c r="D16" s="97">
        <f>D15-5.64-0.14</f>
        <v>9.4400000000000013</v>
      </c>
      <c r="E16" s="133">
        <f t="shared" si="0"/>
        <v>0.72688000000000019</v>
      </c>
      <c r="G16" s="328"/>
      <c r="H16" s="259"/>
      <c r="I16" s="259"/>
      <c r="J16" s="327"/>
    </row>
    <row r="17" spans="1:10">
      <c r="B17" s="155" t="s">
        <v>17</v>
      </c>
      <c r="C17" s="156">
        <f>'Pré-dimencionamento das Vigas'!K37*100*'Pré-dimencionamento das Vigas'!$B$11</f>
        <v>700</v>
      </c>
      <c r="D17" s="97">
        <f>D15-1.1-0.14</f>
        <v>13.98</v>
      </c>
      <c r="E17" s="133">
        <f t="shared" si="0"/>
        <v>0.97860000000000014</v>
      </c>
      <c r="G17" s="328"/>
      <c r="H17" s="259"/>
      <c r="I17" s="259"/>
      <c r="J17" s="327"/>
    </row>
    <row r="18" spans="1:10">
      <c r="B18" s="155" t="s">
        <v>18</v>
      </c>
      <c r="C18" s="156">
        <f>'Pré-dimencionamento das Vigas'!K38*100*'Pré-dimencionamento das Vigas'!$B$11</f>
        <v>700</v>
      </c>
      <c r="D18" s="97">
        <f>15.05-1.1</f>
        <v>13.950000000000001</v>
      </c>
      <c r="E18" s="133">
        <f t="shared" si="0"/>
        <v>0.97650000000000015</v>
      </c>
      <c r="G18" s="329"/>
      <c r="H18" s="330"/>
      <c r="I18" s="330"/>
      <c r="J18" s="331"/>
    </row>
    <row r="19" spans="1:10">
      <c r="B19" s="135"/>
      <c r="C19" s="161"/>
      <c r="D19" s="162" t="s">
        <v>437</v>
      </c>
      <c r="E19" s="131">
        <f>SUM(E5:E18)</f>
        <v>6.1514180000000014</v>
      </c>
    </row>
    <row r="20" spans="1:10">
      <c r="B20" s="340"/>
      <c r="C20" s="259"/>
      <c r="D20" s="259"/>
      <c r="E20" s="327"/>
    </row>
    <row r="21" spans="1:10">
      <c r="B21" s="328"/>
      <c r="C21" s="259"/>
      <c r="D21" s="259"/>
      <c r="E21" s="327"/>
    </row>
    <row r="22" spans="1:10">
      <c r="B22" s="332" t="s">
        <v>434</v>
      </c>
      <c r="C22" s="251"/>
      <c r="D22" s="251"/>
      <c r="E22" s="333"/>
    </row>
    <row r="23" spans="1:10">
      <c r="B23" s="137" t="s">
        <v>310</v>
      </c>
      <c r="C23" s="138" t="s">
        <v>378</v>
      </c>
      <c r="D23" s="138" t="s">
        <v>377</v>
      </c>
      <c r="E23" s="139" t="s">
        <v>379</v>
      </c>
    </row>
    <row r="24" spans="1:10">
      <c r="B24" s="158">
        <v>8</v>
      </c>
      <c r="C24" s="159">
        <v>0.39500000000000002</v>
      </c>
      <c r="D24" s="163">
        <f>SUM(SUMPRODUCT('Cálculo das Armaduras das Vigas'!$AQ$3:$AQ$35,'Cálculo das Armaduras das Vigas'!AM3:AM35)/100,SUMPRODUCT('Cálculo das Armaduras das Vigas'!$AQ$3:$AQ$35,'Cálculo das Armaduras das Vigas'!AO3:AO35)/100)</f>
        <v>366.53999999999996</v>
      </c>
      <c r="E24" s="142">
        <f t="shared" ref="E24:E25" si="3">D24*C24*1.1</f>
        <v>159.26163</v>
      </c>
    </row>
    <row r="25" spans="1:10">
      <c r="B25" s="158">
        <v>10</v>
      </c>
      <c r="C25" s="160">
        <v>0.61699999999999999</v>
      </c>
      <c r="D25" s="163">
        <f>SUMPRODUCT('Cálculo das Armaduras das Vigas'!AQ3:AQ35,'Cálculo das Armaduras das Vigas'!AP3:AP35)/100</f>
        <v>154.37</v>
      </c>
      <c r="E25" s="142">
        <f t="shared" si="3"/>
        <v>104.77091900000001</v>
      </c>
    </row>
    <row r="26" spans="1:10">
      <c r="B26" s="143"/>
      <c r="C26" s="164"/>
      <c r="D26" s="165" t="s">
        <v>435</v>
      </c>
      <c r="E26" s="149">
        <f>SUM(E24:E25)</f>
        <v>264.03254900000002</v>
      </c>
    </row>
    <row r="27" spans="1:10">
      <c r="B27" s="146"/>
      <c r="C27" s="166" t="s">
        <v>436</v>
      </c>
      <c r="D27" s="125"/>
      <c r="E27" s="147"/>
    </row>
    <row r="28" spans="1:10">
      <c r="B28" s="146"/>
      <c r="C28" s="167"/>
      <c r="D28" s="125"/>
      <c r="E28" s="147"/>
    </row>
    <row r="29" spans="1:10" ht="15.75" customHeight="1">
      <c r="B29" s="326" t="s">
        <v>396</v>
      </c>
      <c r="C29" s="259"/>
      <c r="D29" s="259"/>
      <c r="E29" s="327"/>
    </row>
    <row r="30" spans="1:10" ht="15.75" customHeight="1">
      <c r="B30" s="328"/>
      <c r="C30" s="259"/>
      <c r="D30" s="259"/>
      <c r="E30" s="327"/>
    </row>
    <row r="31" spans="1:10" ht="15.75" customHeight="1">
      <c r="B31" s="329"/>
      <c r="C31" s="330"/>
      <c r="D31" s="330"/>
      <c r="E31" s="331"/>
    </row>
    <row r="32" spans="1:10" ht="15.75" customHeight="1">
      <c r="A32" s="126"/>
      <c r="C32" s="167"/>
      <c r="D32" s="125"/>
    </row>
    <row r="33" spans="3:4" ht="15.75" customHeight="1">
      <c r="C33" s="167"/>
      <c r="D33" s="125"/>
    </row>
    <row r="34" spans="3:4" ht="15.75" customHeight="1">
      <c r="C34" s="167"/>
      <c r="D34" s="125"/>
    </row>
    <row r="35" spans="3:4" ht="15.75" customHeight="1">
      <c r="C35" s="167"/>
      <c r="D35" s="125"/>
    </row>
    <row r="36" spans="3:4" ht="15.75" customHeight="1">
      <c r="C36" s="167"/>
      <c r="D36" s="125"/>
    </row>
    <row r="37" spans="3:4" ht="15.75" customHeight="1">
      <c r="C37" s="167"/>
      <c r="D37" s="125"/>
    </row>
    <row r="38" spans="3:4" ht="15.75" customHeight="1">
      <c r="C38" s="167"/>
      <c r="D38" s="125"/>
    </row>
    <row r="39" spans="3:4" ht="15.75" customHeight="1">
      <c r="C39" s="167"/>
      <c r="D39" s="125"/>
    </row>
    <row r="40" spans="3:4" ht="15.75" customHeight="1">
      <c r="C40" s="167"/>
      <c r="D40" s="125"/>
    </row>
    <row r="41" spans="3:4" ht="15.75" customHeight="1">
      <c r="C41" s="167"/>
      <c r="D41" s="125"/>
    </row>
    <row r="42" spans="3:4" ht="15.75" customHeight="1">
      <c r="C42" s="167"/>
      <c r="D42" s="125"/>
    </row>
    <row r="43" spans="3:4" ht="15.75" customHeight="1">
      <c r="C43" s="167"/>
      <c r="D43" s="125"/>
    </row>
    <row r="44" spans="3:4" ht="15.75" customHeight="1">
      <c r="C44" s="167"/>
      <c r="D44" s="125"/>
    </row>
    <row r="45" spans="3:4" ht="15.75" customHeight="1">
      <c r="C45" s="167"/>
      <c r="D45" s="125"/>
    </row>
    <row r="46" spans="3:4" ht="15.75" customHeight="1">
      <c r="C46" s="167"/>
      <c r="D46" s="125"/>
    </row>
    <row r="47" spans="3:4" ht="15.75" customHeight="1">
      <c r="C47" s="167"/>
      <c r="D47" s="125"/>
    </row>
    <row r="48" spans="3:4" ht="15.75" customHeight="1">
      <c r="C48" s="167"/>
      <c r="D48" s="125"/>
    </row>
    <row r="49" spans="3:4" ht="15.75" customHeight="1">
      <c r="C49" s="167"/>
      <c r="D49" s="125"/>
    </row>
    <row r="50" spans="3:4" ht="15.75" customHeight="1">
      <c r="C50" s="167"/>
      <c r="D50" s="125"/>
    </row>
    <row r="51" spans="3:4" ht="15.75" customHeight="1">
      <c r="C51" s="167"/>
      <c r="D51" s="125"/>
    </row>
    <row r="52" spans="3:4" ht="15.75" customHeight="1">
      <c r="C52" s="167"/>
      <c r="D52" s="125"/>
    </row>
    <row r="53" spans="3:4" ht="15.75" customHeight="1">
      <c r="C53" s="167"/>
      <c r="D53" s="125"/>
    </row>
    <row r="54" spans="3:4" ht="15.75" customHeight="1">
      <c r="C54" s="167"/>
      <c r="D54" s="125"/>
    </row>
    <row r="55" spans="3:4" ht="15.75" customHeight="1">
      <c r="C55" s="167"/>
      <c r="D55" s="125"/>
    </row>
    <row r="56" spans="3:4" ht="15.75" customHeight="1">
      <c r="C56" s="167"/>
      <c r="D56" s="125"/>
    </row>
    <row r="57" spans="3:4" ht="15.75" customHeight="1">
      <c r="C57" s="167"/>
      <c r="D57" s="125"/>
    </row>
    <row r="58" spans="3:4" ht="15.75" customHeight="1">
      <c r="C58" s="167"/>
      <c r="D58" s="125"/>
    </row>
    <row r="59" spans="3:4" ht="15.75" customHeight="1">
      <c r="C59" s="167"/>
      <c r="D59" s="125"/>
    </row>
    <row r="60" spans="3:4" ht="15.75" customHeight="1">
      <c r="C60" s="167"/>
      <c r="D60" s="125"/>
    </row>
    <row r="61" spans="3:4" ht="15.75" customHeight="1">
      <c r="C61" s="167"/>
      <c r="D61" s="125"/>
    </row>
    <row r="62" spans="3:4" ht="15.75" customHeight="1">
      <c r="C62" s="167"/>
      <c r="D62" s="125"/>
    </row>
    <row r="63" spans="3:4" ht="15.75" customHeight="1">
      <c r="C63" s="167"/>
      <c r="D63" s="125"/>
    </row>
    <row r="64" spans="3:4" ht="15.75" customHeight="1">
      <c r="C64" s="167"/>
      <c r="D64" s="125"/>
    </row>
    <row r="65" spans="3:4" ht="15.75" customHeight="1">
      <c r="C65" s="167"/>
      <c r="D65" s="125"/>
    </row>
    <row r="66" spans="3:4" ht="15.75" customHeight="1">
      <c r="C66" s="167"/>
      <c r="D66" s="125"/>
    </row>
    <row r="67" spans="3:4" ht="15.75" customHeight="1">
      <c r="C67" s="167"/>
      <c r="D67" s="125"/>
    </row>
    <row r="68" spans="3:4" ht="15.75" customHeight="1">
      <c r="C68" s="167"/>
      <c r="D68" s="125"/>
    </row>
    <row r="69" spans="3:4" ht="15.75" customHeight="1">
      <c r="C69" s="167"/>
      <c r="D69" s="125"/>
    </row>
    <row r="70" spans="3:4" ht="15.75" customHeight="1">
      <c r="C70" s="167"/>
      <c r="D70" s="125"/>
    </row>
    <row r="71" spans="3:4" ht="15.75" customHeight="1">
      <c r="C71" s="167"/>
      <c r="D71" s="125"/>
    </row>
    <row r="72" spans="3:4" ht="15.75" customHeight="1">
      <c r="C72" s="167"/>
      <c r="D72" s="125"/>
    </row>
    <row r="73" spans="3:4" ht="15.75" customHeight="1">
      <c r="C73" s="167"/>
      <c r="D73" s="125"/>
    </row>
    <row r="74" spans="3:4" ht="15.75" customHeight="1">
      <c r="C74" s="167"/>
      <c r="D74" s="125"/>
    </row>
    <row r="75" spans="3:4" ht="15.75" customHeight="1">
      <c r="C75" s="167"/>
      <c r="D75" s="125"/>
    </row>
    <row r="76" spans="3:4" ht="15.75" customHeight="1">
      <c r="C76" s="167"/>
      <c r="D76" s="125"/>
    </row>
    <row r="77" spans="3:4" ht="15.75" customHeight="1">
      <c r="C77" s="167"/>
      <c r="D77" s="125"/>
    </row>
    <row r="78" spans="3:4" ht="15.75" customHeight="1">
      <c r="C78" s="167"/>
      <c r="D78" s="125"/>
    </row>
    <row r="79" spans="3:4" ht="15.75" customHeight="1">
      <c r="C79" s="167"/>
      <c r="D79" s="125"/>
    </row>
    <row r="80" spans="3:4" ht="15.75" customHeight="1">
      <c r="C80" s="167"/>
      <c r="D80" s="125"/>
    </row>
    <row r="81" spans="3:4" ht="15.75" customHeight="1">
      <c r="C81" s="167"/>
      <c r="D81" s="125"/>
    </row>
    <row r="82" spans="3:4" ht="15.75" customHeight="1">
      <c r="C82" s="167"/>
      <c r="D82" s="125"/>
    </row>
    <row r="83" spans="3:4" ht="15.75" customHeight="1">
      <c r="C83" s="167"/>
      <c r="D83" s="125"/>
    </row>
    <row r="84" spans="3:4" ht="15.75" customHeight="1">
      <c r="C84" s="167"/>
      <c r="D84" s="125"/>
    </row>
    <row r="85" spans="3:4" ht="15.75" customHeight="1">
      <c r="C85" s="167"/>
      <c r="D85" s="125"/>
    </row>
    <row r="86" spans="3:4" ht="15.75" customHeight="1">
      <c r="C86" s="167"/>
      <c r="D86" s="125"/>
    </row>
    <row r="87" spans="3:4" ht="15.75" customHeight="1">
      <c r="C87" s="167"/>
      <c r="D87" s="125"/>
    </row>
    <row r="88" spans="3:4" ht="15.75" customHeight="1">
      <c r="C88" s="167"/>
      <c r="D88" s="125"/>
    </row>
    <row r="89" spans="3:4" ht="15.75" customHeight="1">
      <c r="C89" s="167"/>
      <c r="D89" s="125"/>
    </row>
    <row r="90" spans="3:4" ht="15.75" customHeight="1">
      <c r="C90" s="167"/>
      <c r="D90" s="125"/>
    </row>
    <row r="91" spans="3:4" ht="15.75" customHeight="1">
      <c r="C91" s="167"/>
      <c r="D91" s="125"/>
    </row>
    <row r="92" spans="3:4" ht="15.75" customHeight="1">
      <c r="C92" s="167"/>
      <c r="D92" s="125"/>
    </row>
    <row r="93" spans="3:4" ht="15.75" customHeight="1">
      <c r="C93" s="167"/>
      <c r="D93" s="125"/>
    </row>
    <row r="94" spans="3:4" ht="15.75" customHeight="1">
      <c r="C94" s="167"/>
      <c r="D94" s="125"/>
    </row>
    <row r="95" spans="3:4" ht="15.75" customHeight="1">
      <c r="C95" s="167"/>
      <c r="D95" s="125"/>
    </row>
    <row r="96" spans="3:4" ht="15.75" customHeight="1">
      <c r="C96" s="167"/>
      <c r="D96" s="125"/>
    </row>
    <row r="97" spans="3:4" ht="15.75" customHeight="1">
      <c r="C97" s="167"/>
      <c r="D97" s="125"/>
    </row>
    <row r="98" spans="3:4" ht="15.75" customHeight="1">
      <c r="C98" s="167"/>
      <c r="D98" s="125"/>
    </row>
    <row r="99" spans="3:4" ht="15.75" customHeight="1">
      <c r="C99" s="167"/>
      <c r="D99" s="125"/>
    </row>
    <row r="100" spans="3:4" ht="15.75" customHeight="1">
      <c r="C100" s="167"/>
      <c r="D100" s="125"/>
    </row>
    <row r="101" spans="3:4" ht="15.75" customHeight="1">
      <c r="C101" s="167"/>
      <c r="D101" s="125"/>
    </row>
    <row r="102" spans="3:4" ht="15.75" customHeight="1">
      <c r="C102" s="167"/>
      <c r="D102" s="125"/>
    </row>
    <row r="103" spans="3:4" ht="15.75" customHeight="1">
      <c r="C103" s="167"/>
      <c r="D103" s="125"/>
    </row>
    <row r="104" spans="3:4" ht="15.75" customHeight="1">
      <c r="C104" s="167"/>
      <c r="D104" s="125"/>
    </row>
    <row r="105" spans="3:4" ht="15.75" customHeight="1">
      <c r="C105" s="167"/>
      <c r="D105" s="125"/>
    </row>
    <row r="106" spans="3:4" ht="15.75" customHeight="1">
      <c r="C106" s="167"/>
      <c r="D106" s="125"/>
    </row>
    <row r="107" spans="3:4" ht="15.75" customHeight="1">
      <c r="C107" s="167"/>
      <c r="D107" s="125"/>
    </row>
    <row r="108" spans="3:4" ht="15.75" customHeight="1">
      <c r="C108" s="167"/>
      <c r="D108" s="125"/>
    </row>
    <row r="109" spans="3:4" ht="15.75" customHeight="1">
      <c r="C109" s="167"/>
      <c r="D109" s="125"/>
    </row>
    <row r="110" spans="3:4" ht="15.75" customHeight="1">
      <c r="C110" s="167"/>
      <c r="D110" s="125"/>
    </row>
    <row r="111" spans="3:4" ht="15.75" customHeight="1">
      <c r="C111" s="167"/>
      <c r="D111" s="125"/>
    </row>
    <row r="112" spans="3:4" ht="15.75" customHeight="1">
      <c r="C112" s="167"/>
      <c r="D112" s="125"/>
    </row>
    <row r="113" spans="3:4" ht="15.75" customHeight="1">
      <c r="C113" s="167"/>
      <c r="D113" s="125"/>
    </row>
    <row r="114" spans="3:4" ht="15.75" customHeight="1">
      <c r="C114" s="167"/>
      <c r="D114" s="125"/>
    </row>
    <row r="115" spans="3:4" ht="15.75" customHeight="1">
      <c r="C115" s="167"/>
      <c r="D115" s="125"/>
    </row>
    <row r="116" spans="3:4" ht="15.75" customHeight="1">
      <c r="C116" s="167"/>
      <c r="D116" s="125"/>
    </row>
    <row r="117" spans="3:4" ht="15.75" customHeight="1">
      <c r="C117" s="167"/>
      <c r="D117" s="125"/>
    </row>
    <row r="118" spans="3:4" ht="15.75" customHeight="1">
      <c r="C118" s="167"/>
      <c r="D118" s="125"/>
    </row>
    <row r="119" spans="3:4" ht="15.75" customHeight="1">
      <c r="C119" s="167"/>
      <c r="D119" s="125"/>
    </row>
    <row r="120" spans="3:4" ht="15.75" customHeight="1">
      <c r="C120" s="167"/>
      <c r="D120" s="125"/>
    </row>
    <row r="121" spans="3:4" ht="15.75" customHeight="1">
      <c r="C121" s="167"/>
      <c r="D121" s="125"/>
    </row>
    <row r="122" spans="3:4" ht="15.75" customHeight="1">
      <c r="C122" s="167"/>
      <c r="D122" s="125"/>
    </row>
    <row r="123" spans="3:4" ht="15.75" customHeight="1">
      <c r="C123" s="167"/>
      <c r="D123" s="125"/>
    </row>
    <row r="124" spans="3:4" ht="15.75" customHeight="1">
      <c r="C124" s="167"/>
      <c r="D124" s="125"/>
    </row>
    <row r="125" spans="3:4" ht="15.75" customHeight="1">
      <c r="C125" s="167"/>
      <c r="D125" s="125"/>
    </row>
    <row r="126" spans="3:4" ht="15.75" customHeight="1">
      <c r="C126" s="167"/>
      <c r="D126" s="125"/>
    </row>
    <row r="127" spans="3:4" ht="15.75" customHeight="1">
      <c r="C127" s="167"/>
      <c r="D127" s="125"/>
    </row>
    <row r="128" spans="3:4" ht="15.75" customHeight="1">
      <c r="C128" s="167"/>
      <c r="D128" s="125"/>
    </row>
    <row r="129" spans="3:4" ht="15.75" customHeight="1">
      <c r="C129" s="167"/>
      <c r="D129" s="125"/>
    </row>
    <row r="130" spans="3:4" ht="15.75" customHeight="1">
      <c r="C130" s="167"/>
      <c r="D130" s="125"/>
    </row>
    <row r="131" spans="3:4" ht="15.75" customHeight="1">
      <c r="C131" s="167"/>
      <c r="D131" s="125"/>
    </row>
    <row r="132" spans="3:4" ht="15.75" customHeight="1">
      <c r="C132" s="167"/>
      <c r="D132" s="125"/>
    </row>
    <row r="133" spans="3:4" ht="15.75" customHeight="1">
      <c r="C133" s="167"/>
      <c r="D133" s="125"/>
    </row>
    <row r="134" spans="3:4" ht="15.75" customHeight="1">
      <c r="C134" s="167"/>
      <c r="D134" s="125"/>
    </row>
    <row r="135" spans="3:4" ht="15.75" customHeight="1">
      <c r="C135" s="167"/>
      <c r="D135" s="125"/>
    </row>
    <row r="136" spans="3:4" ht="15.75" customHeight="1">
      <c r="C136" s="167"/>
      <c r="D136" s="125"/>
    </row>
    <row r="137" spans="3:4" ht="15.75" customHeight="1">
      <c r="C137" s="167"/>
      <c r="D137" s="125"/>
    </row>
    <row r="138" spans="3:4" ht="15.75" customHeight="1">
      <c r="C138" s="167"/>
      <c r="D138" s="125"/>
    </row>
    <row r="139" spans="3:4" ht="15.75" customHeight="1">
      <c r="C139" s="167"/>
      <c r="D139" s="125"/>
    </row>
    <row r="140" spans="3:4" ht="15.75" customHeight="1">
      <c r="C140" s="167"/>
      <c r="D140" s="125"/>
    </row>
    <row r="141" spans="3:4" ht="15.75" customHeight="1">
      <c r="C141" s="167"/>
      <c r="D141" s="125"/>
    </row>
    <row r="142" spans="3:4" ht="15.75" customHeight="1">
      <c r="C142" s="167"/>
      <c r="D142" s="125"/>
    </row>
    <row r="143" spans="3:4" ht="15.75" customHeight="1">
      <c r="C143" s="167"/>
      <c r="D143" s="125"/>
    </row>
    <row r="144" spans="3:4" ht="15.75" customHeight="1">
      <c r="C144" s="167"/>
      <c r="D144" s="125"/>
    </row>
    <row r="145" spans="3:4" ht="15.75" customHeight="1">
      <c r="C145" s="167"/>
      <c r="D145" s="125"/>
    </row>
    <row r="146" spans="3:4" ht="15.75" customHeight="1">
      <c r="C146" s="167"/>
      <c r="D146" s="125"/>
    </row>
    <row r="147" spans="3:4" ht="15.75" customHeight="1">
      <c r="C147" s="167"/>
      <c r="D147" s="125"/>
    </row>
    <row r="148" spans="3:4" ht="15.75" customHeight="1">
      <c r="C148" s="167"/>
      <c r="D148" s="125"/>
    </row>
    <row r="149" spans="3:4" ht="15.75" customHeight="1">
      <c r="C149" s="167"/>
      <c r="D149" s="125"/>
    </row>
    <row r="150" spans="3:4" ht="15.75" customHeight="1">
      <c r="C150" s="167"/>
      <c r="D150" s="125"/>
    </row>
    <row r="151" spans="3:4" ht="15.75" customHeight="1">
      <c r="C151" s="167"/>
      <c r="D151" s="125"/>
    </row>
    <row r="152" spans="3:4" ht="15.75" customHeight="1">
      <c r="C152" s="167"/>
      <c r="D152" s="125"/>
    </row>
    <row r="153" spans="3:4" ht="15.75" customHeight="1">
      <c r="C153" s="167"/>
      <c r="D153" s="125"/>
    </row>
    <row r="154" spans="3:4" ht="15.75" customHeight="1">
      <c r="C154" s="167"/>
      <c r="D154" s="125"/>
    </row>
    <row r="155" spans="3:4" ht="15.75" customHeight="1">
      <c r="C155" s="167"/>
      <c r="D155" s="125"/>
    </row>
    <row r="156" spans="3:4" ht="15.75" customHeight="1">
      <c r="C156" s="167"/>
      <c r="D156" s="125"/>
    </row>
    <row r="157" spans="3:4" ht="15.75" customHeight="1">
      <c r="C157" s="167"/>
      <c r="D157" s="125"/>
    </row>
    <row r="158" spans="3:4" ht="15.75" customHeight="1">
      <c r="C158" s="167"/>
      <c r="D158" s="125"/>
    </row>
    <row r="159" spans="3:4" ht="15.75" customHeight="1">
      <c r="C159" s="167"/>
      <c r="D159" s="125"/>
    </row>
    <row r="160" spans="3:4" ht="15.75" customHeight="1">
      <c r="C160" s="167"/>
      <c r="D160" s="125"/>
    </row>
    <row r="161" spans="3:4" ht="15.75" customHeight="1">
      <c r="C161" s="167"/>
      <c r="D161" s="125"/>
    </row>
    <row r="162" spans="3:4" ht="15.75" customHeight="1">
      <c r="C162" s="167"/>
      <c r="D162" s="125"/>
    </row>
    <row r="163" spans="3:4" ht="15.75" customHeight="1">
      <c r="C163" s="167"/>
      <c r="D163" s="125"/>
    </row>
    <row r="164" spans="3:4" ht="15.75" customHeight="1">
      <c r="C164" s="167"/>
      <c r="D164" s="125"/>
    </row>
    <row r="165" spans="3:4" ht="15.75" customHeight="1">
      <c r="C165" s="167"/>
      <c r="D165" s="125"/>
    </row>
    <row r="166" spans="3:4" ht="15.75" customHeight="1">
      <c r="C166" s="167"/>
      <c r="D166" s="125"/>
    </row>
    <row r="167" spans="3:4" ht="15.75" customHeight="1">
      <c r="C167" s="167"/>
      <c r="D167" s="125"/>
    </row>
    <row r="168" spans="3:4" ht="15.75" customHeight="1">
      <c r="C168" s="167"/>
      <c r="D168" s="125"/>
    </row>
    <row r="169" spans="3:4" ht="15.75" customHeight="1">
      <c r="C169" s="167"/>
      <c r="D169" s="125"/>
    </row>
    <row r="170" spans="3:4" ht="15.75" customHeight="1">
      <c r="C170" s="167"/>
      <c r="D170" s="125"/>
    </row>
    <row r="171" spans="3:4" ht="15.75" customHeight="1">
      <c r="C171" s="167"/>
      <c r="D171" s="125"/>
    </row>
    <row r="172" spans="3:4" ht="15.75" customHeight="1">
      <c r="C172" s="167"/>
      <c r="D172" s="125"/>
    </row>
    <row r="173" spans="3:4" ht="15.75" customHeight="1">
      <c r="C173" s="167"/>
      <c r="D173" s="125"/>
    </row>
    <row r="174" spans="3:4" ht="15.75" customHeight="1">
      <c r="C174" s="167"/>
      <c r="D174" s="125"/>
    </row>
    <row r="175" spans="3:4" ht="15.75" customHeight="1">
      <c r="C175" s="167"/>
      <c r="D175" s="125"/>
    </row>
    <row r="176" spans="3:4" ht="15.75" customHeight="1">
      <c r="C176" s="167"/>
      <c r="D176" s="125"/>
    </row>
    <row r="177" spans="3:4" ht="15.75" customHeight="1">
      <c r="C177" s="167"/>
      <c r="D177" s="125"/>
    </row>
    <row r="178" spans="3:4" ht="15.75" customHeight="1">
      <c r="C178" s="167"/>
      <c r="D178" s="125"/>
    </row>
    <row r="179" spans="3:4" ht="15.75" customHeight="1">
      <c r="C179" s="167"/>
      <c r="D179" s="125"/>
    </row>
    <row r="180" spans="3:4" ht="15.75" customHeight="1">
      <c r="C180" s="167"/>
      <c r="D180" s="125"/>
    </row>
    <row r="181" spans="3:4" ht="15.75" customHeight="1">
      <c r="C181" s="167"/>
      <c r="D181" s="125"/>
    </row>
    <row r="182" spans="3:4" ht="15.75" customHeight="1">
      <c r="C182" s="167"/>
      <c r="D182" s="125"/>
    </row>
    <row r="183" spans="3:4" ht="15.75" customHeight="1">
      <c r="C183" s="167"/>
      <c r="D183" s="125"/>
    </row>
    <row r="184" spans="3:4" ht="15.75" customHeight="1">
      <c r="C184" s="167"/>
      <c r="D184" s="125"/>
    </row>
    <row r="185" spans="3:4" ht="15.75" customHeight="1">
      <c r="C185" s="167"/>
      <c r="D185" s="125"/>
    </row>
    <row r="186" spans="3:4" ht="15.75" customHeight="1">
      <c r="C186" s="167"/>
      <c r="D186" s="125"/>
    </row>
    <row r="187" spans="3:4" ht="15.75" customHeight="1">
      <c r="C187" s="167"/>
      <c r="D187" s="125"/>
    </row>
    <row r="188" spans="3:4" ht="15.75" customHeight="1">
      <c r="C188" s="167"/>
      <c r="D188" s="125"/>
    </row>
    <row r="189" spans="3:4" ht="15.75" customHeight="1">
      <c r="C189" s="167"/>
      <c r="D189" s="125"/>
    </row>
    <row r="190" spans="3:4" ht="15.75" customHeight="1">
      <c r="C190" s="167"/>
      <c r="D190" s="125"/>
    </row>
    <row r="191" spans="3:4" ht="15.75" customHeight="1">
      <c r="C191" s="167"/>
      <c r="D191" s="125"/>
    </row>
    <row r="192" spans="3:4" ht="15.75" customHeight="1">
      <c r="C192" s="167"/>
      <c r="D192" s="125"/>
    </row>
    <row r="193" spans="3:4" ht="15.75" customHeight="1">
      <c r="C193" s="167"/>
      <c r="D193" s="125"/>
    </row>
    <row r="194" spans="3:4" ht="15.75" customHeight="1">
      <c r="C194" s="167"/>
      <c r="D194" s="125"/>
    </row>
    <row r="195" spans="3:4" ht="15.75" customHeight="1">
      <c r="C195" s="167"/>
      <c r="D195" s="125"/>
    </row>
    <row r="196" spans="3:4" ht="15.75" customHeight="1">
      <c r="C196" s="167"/>
      <c r="D196" s="125"/>
    </row>
    <row r="197" spans="3:4" ht="15.75" customHeight="1">
      <c r="C197" s="167"/>
      <c r="D197" s="125"/>
    </row>
    <row r="198" spans="3:4" ht="15.75" customHeight="1">
      <c r="C198" s="167"/>
      <c r="D198" s="125"/>
    </row>
    <row r="199" spans="3:4" ht="15.75" customHeight="1">
      <c r="C199" s="167"/>
      <c r="D199" s="125"/>
    </row>
    <row r="200" spans="3:4" ht="15.75" customHeight="1">
      <c r="C200" s="167"/>
      <c r="D200" s="125"/>
    </row>
    <row r="201" spans="3:4" ht="15.75" customHeight="1">
      <c r="C201" s="167"/>
      <c r="D201" s="125"/>
    </row>
    <row r="202" spans="3:4" ht="15.75" customHeight="1">
      <c r="C202" s="167"/>
      <c r="D202" s="125"/>
    </row>
    <row r="203" spans="3:4" ht="15.75" customHeight="1">
      <c r="C203" s="167"/>
      <c r="D203" s="125"/>
    </row>
    <row r="204" spans="3:4" ht="15.75" customHeight="1">
      <c r="C204" s="167"/>
      <c r="D204" s="125"/>
    </row>
    <row r="205" spans="3:4" ht="15.75" customHeight="1">
      <c r="C205" s="167"/>
      <c r="D205" s="125"/>
    </row>
    <row r="206" spans="3:4" ht="15.75" customHeight="1">
      <c r="C206" s="167"/>
      <c r="D206" s="125"/>
    </row>
    <row r="207" spans="3:4" ht="15.75" customHeight="1">
      <c r="C207" s="167"/>
      <c r="D207" s="125"/>
    </row>
    <row r="208" spans="3:4" ht="15.75" customHeight="1">
      <c r="C208" s="167"/>
      <c r="D208" s="125"/>
    </row>
    <row r="209" spans="3:4" ht="15.75" customHeight="1">
      <c r="C209" s="167"/>
      <c r="D209" s="125"/>
    </row>
    <row r="210" spans="3:4" ht="15.75" customHeight="1">
      <c r="C210" s="167"/>
      <c r="D210" s="125"/>
    </row>
    <row r="211" spans="3:4" ht="15.75" customHeight="1">
      <c r="C211" s="167"/>
      <c r="D211" s="125"/>
    </row>
    <row r="212" spans="3:4" ht="15.75" customHeight="1">
      <c r="C212" s="167"/>
      <c r="D212" s="125"/>
    </row>
    <row r="213" spans="3:4" ht="15.75" customHeight="1">
      <c r="C213" s="167"/>
      <c r="D213" s="125"/>
    </row>
    <row r="214" spans="3:4" ht="15.75" customHeight="1">
      <c r="C214" s="167"/>
      <c r="D214" s="125"/>
    </row>
    <row r="215" spans="3:4" ht="15.75" customHeight="1">
      <c r="C215" s="167"/>
      <c r="D215" s="125"/>
    </row>
    <row r="216" spans="3:4" ht="15.75" customHeight="1">
      <c r="C216" s="167"/>
      <c r="D216" s="125"/>
    </row>
    <row r="217" spans="3:4" ht="15.75" customHeight="1">
      <c r="C217" s="167"/>
      <c r="D217" s="125"/>
    </row>
    <row r="218" spans="3:4" ht="15.75" customHeight="1">
      <c r="C218" s="167"/>
      <c r="D218" s="125"/>
    </row>
    <row r="219" spans="3:4" ht="15.75" customHeight="1">
      <c r="C219" s="167"/>
      <c r="D219" s="125"/>
    </row>
    <row r="220" spans="3:4" ht="15.75" customHeight="1">
      <c r="C220" s="167"/>
      <c r="D220" s="125"/>
    </row>
    <row r="221" spans="3:4" ht="15.75" customHeight="1">
      <c r="C221" s="167"/>
      <c r="D221" s="125"/>
    </row>
    <row r="222" spans="3:4" ht="15.75" customHeight="1">
      <c r="C222" s="167"/>
      <c r="D222" s="125"/>
    </row>
    <row r="223" spans="3:4" ht="15.75" customHeight="1">
      <c r="C223" s="167"/>
      <c r="D223" s="125"/>
    </row>
    <row r="224" spans="3:4" ht="15.75" customHeight="1">
      <c r="C224" s="167"/>
      <c r="D224" s="125"/>
    </row>
    <row r="225" spans="3:4" ht="15.75" customHeight="1">
      <c r="C225" s="167"/>
      <c r="D225" s="125"/>
    </row>
    <row r="226" spans="3:4" ht="15.75" customHeight="1">
      <c r="C226" s="167"/>
      <c r="D226" s="125"/>
    </row>
    <row r="227" spans="3:4" ht="15.75" customHeight="1">
      <c r="C227" s="167"/>
      <c r="D227" s="125"/>
    </row>
    <row r="228" spans="3:4" ht="15.75" customHeight="1">
      <c r="C228" s="167"/>
      <c r="D228" s="125"/>
    </row>
    <row r="229" spans="3:4" ht="15.75" customHeight="1">
      <c r="C229" s="167"/>
      <c r="D229" s="125"/>
    </row>
    <row r="230" spans="3:4" ht="15.75" customHeight="1">
      <c r="C230" s="167"/>
      <c r="D230" s="125"/>
    </row>
    <row r="231" spans="3:4" ht="15.75" customHeight="1">
      <c r="C231" s="167"/>
      <c r="D231" s="125"/>
    </row>
    <row r="232" spans="3:4" ht="15.75" customHeight="1">
      <c r="C232" s="167"/>
      <c r="D232" s="125"/>
    </row>
    <row r="233" spans="3:4" ht="15.75" customHeight="1">
      <c r="C233" s="167"/>
      <c r="D233" s="125"/>
    </row>
    <row r="234" spans="3:4" ht="15.75" customHeight="1">
      <c r="C234" s="167"/>
      <c r="D234" s="125"/>
    </row>
    <row r="235" spans="3:4" ht="15.75" customHeight="1">
      <c r="C235" s="167"/>
      <c r="D235" s="125"/>
    </row>
    <row r="236" spans="3:4" ht="15.75" customHeight="1">
      <c r="C236" s="167"/>
      <c r="D236" s="125"/>
    </row>
    <row r="237" spans="3:4" ht="15.75" customHeight="1">
      <c r="C237" s="167"/>
      <c r="D237" s="125"/>
    </row>
    <row r="238" spans="3:4" ht="15.75" customHeight="1">
      <c r="C238" s="167"/>
      <c r="D238" s="125"/>
    </row>
    <row r="239" spans="3:4" ht="15.75" customHeight="1">
      <c r="C239" s="167"/>
      <c r="D239" s="125"/>
    </row>
    <row r="240" spans="3:4" ht="15.75" customHeight="1">
      <c r="C240" s="167"/>
      <c r="D240" s="125"/>
    </row>
    <row r="241" spans="3:4" ht="15.75" customHeight="1">
      <c r="C241" s="167"/>
      <c r="D241" s="125"/>
    </row>
    <row r="242" spans="3:4" ht="15.75" customHeight="1">
      <c r="C242" s="167"/>
      <c r="D242" s="125"/>
    </row>
    <row r="243" spans="3:4" ht="15.75" customHeight="1">
      <c r="C243" s="167"/>
      <c r="D243" s="125"/>
    </row>
    <row r="244" spans="3:4" ht="15.75" customHeight="1">
      <c r="C244" s="167"/>
      <c r="D244" s="125"/>
    </row>
    <row r="245" spans="3:4" ht="15.75" customHeight="1">
      <c r="C245" s="167"/>
      <c r="D245" s="125"/>
    </row>
    <row r="246" spans="3:4" ht="15.75" customHeight="1">
      <c r="C246" s="167"/>
      <c r="D246" s="125"/>
    </row>
    <row r="247" spans="3:4" ht="15.75" customHeight="1">
      <c r="C247" s="167"/>
      <c r="D247" s="125"/>
    </row>
    <row r="248" spans="3:4" ht="15.75" customHeight="1">
      <c r="C248" s="167"/>
      <c r="D248" s="125"/>
    </row>
    <row r="249" spans="3:4" ht="15.75" customHeight="1">
      <c r="C249" s="167"/>
      <c r="D249" s="125"/>
    </row>
    <row r="250" spans="3:4" ht="15.75" customHeight="1">
      <c r="C250" s="167"/>
      <c r="D250" s="125"/>
    </row>
    <row r="251" spans="3:4" ht="15.75" customHeight="1">
      <c r="C251" s="167"/>
      <c r="D251" s="125"/>
    </row>
    <row r="252" spans="3:4" ht="15.75" customHeight="1">
      <c r="C252" s="167"/>
      <c r="D252" s="125"/>
    </row>
    <row r="253" spans="3:4" ht="15.75" customHeight="1">
      <c r="C253" s="167"/>
      <c r="D253" s="125"/>
    </row>
    <row r="254" spans="3:4" ht="15.75" customHeight="1">
      <c r="C254" s="167"/>
      <c r="D254" s="125"/>
    </row>
    <row r="255" spans="3:4" ht="15.75" customHeight="1">
      <c r="C255" s="167"/>
      <c r="D255" s="125"/>
    </row>
    <row r="256" spans="3:4" ht="15.75" customHeight="1">
      <c r="C256" s="167"/>
      <c r="D256" s="125"/>
    </row>
    <row r="257" spans="3:4" ht="15.75" customHeight="1">
      <c r="C257" s="167"/>
      <c r="D257" s="125"/>
    </row>
    <row r="258" spans="3:4" ht="15.75" customHeight="1">
      <c r="C258" s="167"/>
      <c r="D258" s="125"/>
    </row>
    <row r="259" spans="3:4" ht="15.75" customHeight="1">
      <c r="C259" s="167"/>
      <c r="D259" s="125"/>
    </row>
    <row r="260" spans="3:4" ht="15.75" customHeight="1">
      <c r="C260" s="167"/>
      <c r="D260" s="125"/>
    </row>
    <row r="261" spans="3:4" ht="15.75" customHeight="1">
      <c r="C261" s="167"/>
      <c r="D261" s="125"/>
    </row>
    <row r="262" spans="3:4" ht="15.75" customHeight="1">
      <c r="C262" s="167"/>
      <c r="D262" s="125"/>
    </row>
    <row r="263" spans="3:4" ht="15.75" customHeight="1">
      <c r="C263" s="167"/>
      <c r="D263" s="125"/>
    </row>
    <row r="264" spans="3:4" ht="15.75" customHeight="1">
      <c r="C264" s="167"/>
      <c r="D264" s="125"/>
    </row>
    <row r="265" spans="3:4" ht="15.75" customHeight="1">
      <c r="C265" s="167"/>
      <c r="D265" s="125"/>
    </row>
    <row r="266" spans="3:4" ht="15.75" customHeight="1">
      <c r="C266" s="167"/>
      <c r="D266" s="125"/>
    </row>
    <row r="267" spans="3:4" ht="15.75" customHeight="1">
      <c r="C267" s="167"/>
      <c r="D267" s="125"/>
    </row>
    <row r="268" spans="3:4" ht="15.75" customHeight="1">
      <c r="C268" s="167"/>
      <c r="D268" s="125"/>
    </row>
    <row r="269" spans="3:4" ht="15.75" customHeight="1">
      <c r="C269" s="167"/>
      <c r="D269" s="125"/>
    </row>
    <row r="270" spans="3:4" ht="15.75" customHeight="1">
      <c r="C270" s="167"/>
      <c r="D270" s="125"/>
    </row>
    <row r="271" spans="3:4" ht="15.75" customHeight="1">
      <c r="C271" s="167"/>
      <c r="D271" s="125"/>
    </row>
    <row r="272" spans="3:4" ht="15.75" customHeight="1">
      <c r="C272" s="167"/>
      <c r="D272" s="125"/>
    </row>
    <row r="273" spans="3:4" ht="15.75" customHeight="1">
      <c r="C273" s="167"/>
      <c r="D273" s="125"/>
    </row>
    <row r="274" spans="3:4" ht="15.75" customHeight="1">
      <c r="C274" s="167"/>
      <c r="D274" s="125"/>
    </row>
    <row r="275" spans="3:4" ht="15.75" customHeight="1">
      <c r="C275" s="167"/>
      <c r="D275" s="125"/>
    </row>
    <row r="276" spans="3:4" ht="15.75" customHeight="1">
      <c r="C276" s="167"/>
      <c r="D276" s="125"/>
    </row>
    <row r="277" spans="3:4" ht="15.75" customHeight="1">
      <c r="C277" s="167"/>
      <c r="D277" s="125"/>
    </row>
    <row r="278" spans="3:4" ht="15.75" customHeight="1">
      <c r="C278" s="167"/>
      <c r="D278" s="125"/>
    </row>
    <row r="279" spans="3:4" ht="15.75" customHeight="1">
      <c r="C279" s="167"/>
      <c r="D279" s="125"/>
    </row>
    <row r="280" spans="3:4" ht="15.75" customHeight="1">
      <c r="C280" s="167"/>
      <c r="D280" s="125"/>
    </row>
    <row r="281" spans="3:4" ht="15.75" customHeight="1">
      <c r="C281" s="167"/>
      <c r="D281" s="125"/>
    </row>
    <row r="282" spans="3:4" ht="15.75" customHeight="1">
      <c r="C282" s="167"/>
      <c r="D282" s="125"/>
    </row>
    <row r="283" spans="3:4" ht="15.75" customHeight="1">
      <c r="C283" s="167"/>
      <c r="D283" s="125"/>
    </row>
    <row r="284" spans="3:4" ht="15.75" customHeight="1">
      <c r="C284" s="167"/>
      <c r="D284" s="125"/>
    </row>
    <row r="285" spans="3:4" ht="15.75" customHeight="1">
      <c r="C285" s="167"/>
      <c r="D285" s="125"/>
    </row>
    <row r="286" spans="3:4" ht="15.75" customHeight="1">
      <c r="C286" s="167"/>
      <c r="D286" s="125"/>
    </row>
    <row r="287" spans="3:4" ht="15.75" customHeight="1">
      <c r="C287" s="167"/>
      <c r="D287" s="125"/>
    </row>
    <row r="288" spans="3:4" ht="15.75" customHeight="1">
      <c r="C288" s="167"/>
      <c r="D288" s="125"/>
    </row>
    <row r="289" spans="3:4" ht="15.75" customHeight="1">
      <c r="C289" s="167"/>
      <c r="D289" s="125"/>
    </row>
    <row r="290" spans="3:4" ht="15.75" customHeight="1">
      <c r="C290" s="167"/>
      <c r="D290" s="125"/>
    </row>
    <row r="291" spans="3:4" ht="15.75" customHeight="1">
      <c r="C291" s="167"/>
      <c r="D291" s="125"/>
    </row>
    <row r="292" spans="3:4" ht="15.75" customHeight="1">
      <c r="C292" s="167"/>
      <c r="D292" s="125"/>
    </row>
    <row r="293" spans="3:4" ht="15.75" customHeight="1">
      <c r="C293" s="167"/>
      <c r="D293" s="125"/>
    </row>
    <row r="294" spans="3:4" ht="15.75" customHeight="1">
      <c r="C294" s="167"/>
      <c r="D294" s="125"/>
    </row>
    <row r="295" spans="3:4" ht="15.75" customHeight="1">
      <c r="C295" s="167"/>
      <c r="D295" s="125"/>
    </row>
    <row r="296" spans="3:4" ht="15.75" customHeight="1">
      <c r="C296" s="167"/>
      <c r="D296" s="125"/>
    </row>
    <row r="297" spans="3:4" ht="15.75" customHeight="1">
      <c r="C297" s="167"/>
      <c r="D297" s="125"/>
    </row>
    <row r="298" spans="3:4" ht="15.75" customHeight="1">
      <c r="C298" s="167"/>
      <c r="D298" s="125"/>
    </row>
    <row r="299" spans="3:4" ht="15.75" customHeight="1">
      <c r="C299" s="167"/>
      <c r="D299" s="125"/>
    </row>
    <row r="300" spans="3:4" ht="15.75" customHeight="1">
      <c r="C300" s="167"/>
      <c r="D300" s="125"/>
    </row>
    <row r="301" spans="3:4" ht="15.75" customHeight="1">
      <c r="C301" s="167"/>
      <c r="D301" s="125"/>
    </row>
    <row r="302" spans="3:4" ht="15.75" customHeight="1">
      <c r="C302" s="167"/>
      <c r="D302" s="125"/>
    </row>
    <row r="303" spans="3:4" ht="15.75" customHeight="1">
      <c r="C303" s="167"/>
      <c r="D303" s="125"/>
    </row>
    <row r="304" spans="3:4" ht="15.75" customHeight="1">
      <c r="C304" s="167"/>
      <c r="D304" s="125"/>
    </row>
    <row r="305" spans="3:4" ht="15.75" customHeight="1">
      <c r="C305" s="167"/>
      <c r="D305" s="125"/>
    </row>
    <row r="306" spans="3:4" ht="15.75" customHeight="1">
      <c r="C306" s="167"/>
      <c r="D306" s="125"/>
    </row>
    <row r="307" spans="3:4" ht="15.75" customHeight="1">
      <c r="C307" s="167"/>
      <c r="D307" s="125"/>
    </row>
    <row r="308" spans="3:4" ht="15.75" customHeight="1">
      <c r="C308" s="167"/>
      <c r="D308" s="125"/>
    </row>
    <row r="309" spans="3:4" ht="15.75" customHeight="1">
      <c r="C309" s="167"/>
      <c r="D309" s="125"/>
    </row>
    <row r="310" spans="3:4" ht="15.75" customHeight="1">
      <c r="C310" s="167"/>
      <c r="D310" s="125"/>
    </row>
    <row r="311" spans="3:4" ht="15.75" customHeight="1">
      <c r="C311" s="167"/>
      <c r="D311" s="125"/>
    </row>
    <row r="312" spans="3:4" ht="15.75" customHeight="1">
      <c r="C312" s="167"/>
      <c r="D312" s="125"/>
    </row>
    <row r="313" spans="3:4" ht="15.75" customHeight="1">
      <c r="C313" s="167"/>
      <c r="D313" s="125"/>
    </row>
    <row r="314" spans="3:4" ht="15.75" customHeight="1">
      <c r="C314" s="167"/>
      <c r="D314" s="125"/>
    </row>
    <row r="315" spans="3:4" ht="15.75" customHeight="1">
      <c r="C315" s="167"/>
      <c r="D315" s="125"/>
    </row>
    <row r="316" spans="3:4" ht="15.75" customHeight="1">
      <c r="C316" s="167"/>
      <c r="D316" s="125"/>
    </row>
    <row r="317" spans="3:4" ht="15.75" customHeight="1">
      <c r="C317" s="167"/>
      <c r="D317" s="125"/>
    </row>
    <row r="318" spans="3:4" ht="15.75" customHeight="1">
      <c r="C318" s="167"/>
      <c r="D318" s="125"/>
    </row>
    <row r="319" spans="3:4" ht="15.75" customHeight="1">
      <c r="C319" s="167"/>
      <c r="D319" s="125"/>
    </row>
    <row r="320" spans="3:4" ht="15.75" customHeight="1">
      <c r="C320" s="167"/>
      <c r="D320" s="125"/>
    </row>
    <row r="321" spans="3:4" ht="15.75" customHeight="1">
      <c r="C321" s="167"/>
      <c r="D321" s="125"/>
    </row>
    <row r="322" spans="3:4" ht="15.75" customHeight="1">
      <c r="C322" s="167"/>
      <c r="D322" s="125"/>
    </row>
    <row r="323" spans="3:4" ht="15.75" customHeight="1">
      <c r="C323" s="167"/>
      <c r="D323" s="125"/>
    </row>
    <row r="324" spans="3:4" ht="15.75" customHeight="1">
      <c r="C324" s="167"/>
      <c r="D324" s="125"/>
    </row>
    <row r="325" spans="3:4" ht="15.75" customHeight="1">
      <c r="C325" s="167"/>
      <c r="D325" s="125"/>
    </row>
    <row r="326" spans="3:4" ht="15.75" customHeight="1">
      <c r="C326" s="167"/>
      <c r="D326" s="125"/>
    </row>
    <row r="327" spans="3:4" ht="15.75" customHeight="1">
      <c r="C327" s="167"/>
      <c r="D327" s="125"/>
    </row>
    <row r="328" spans="3:4" ht="15.75" customHeight="1">
      <c r="C328" s="167"/>
      <c r="D328" s="125"/>
    </row>
    <row r="329" spans="3:4" ht="15.75" customHeight="1">
      <c r="C329" s="167"/>
      <c r="D329" s="125"/>
    </row>
    <row r="330" spans="3:4" ht="15.75" customHeight="1">
      <c r="C330" s="167"/>
      <c r="D330" s="125"/>
    </row>
    <row r="331" spans="3:4" ht="15.75" customHeight="1">
      <c r="C331" s="167"/>
      <c r="D331" s="125"/>
    </row>
    <row r="332" spans="3:4" ht="15.75" customHeight="1">
      <c r="C332" s="167"/>
      <c r="D332" s="125"/>
    </row>
    <row r="333" spans="3:4" ht="15.75" customHeight="1">
      <c r="C333" s="167"/>
      <c r="D333" s="125"/>
    </row>
    <row r="334" spans="3:4" ht="15.75" customHeight="1">
      <c r="C334" s="167"/>
      <c r="D334" s="125"/>
    </row>
    <row r="335" spans="3:4" ht="15.75" customHeight="1">
      <c r="C335" s="167"/>
      <c r="D335" s="125"/>
    </row>
    <row r="336" spans="3:4" ht="15.75" customHeight="1">
      <c r="C336" s="167"/>
      <c r="D336" s="125"/>
    </row>
    <row r="337" spans="3:4" ht="15.75" customHeight="1">
      <c r="C337" s="167"/>
      <c r="D337" s="125"/>
    </row>
    <row r="338" spans="3:4" ht="15.75" customHeight="1">
      <c r="C338" s="167"/>
      <c r="D338" s="125"/>
    </row>
    <row r="339" spans="3:4" ht="15.75" customHeight="1">
      <c r="C339" s="167"/>
      <c r="D339" s="125"/>
    </row>
    <row r="340" spans="3:4" ht="15.75" customHeight="1">
      <c r="C340" s="167"/>
      <c r="D340" s="125"/>
    </row>
    <row r="341" spans="3:4" ht="15.75" customHeight="1">
      <c r="C341" s="167"/>
      <c r="D341" s="125"/>
    </row>
    <row r="342" spans="3:4" ht="15.75" customHeight="1">
      <c r="C342" s="167"/>
      <c r="D342" s="125"/>
    </row>
    <row r="343" spans="3:4" ht="15.75" customHeight="1">
      <c r="C343" s="167"/>
      <c r="D343" s="125"/>
    </row>
    <row r="344" spans="3:4" ht="15.75" customHeight="1">
      <c r="C344" s="167"/>
      <c r="D344" s="125"/>
    </row>
    <row r="345" spans="3:4" ht="15.75" customHeight="1">
      <c r="C345" s="167"/>
      <c r="D345" s="125"/>
    </row>
    <row r="346" spans="3:4" ht="15.75" customHeight="1">
      <c r="C346" s="167"/>
      <c r="D346" s="125"/>
    </row>
    <row r="347" spans="3:4" ht="15.75" customHeight="1">
      <c r="C347" s="167"/>
      <c r="D347" s="125"/>
    </row>
    <row r="348" spans="3:4" ht="15.75" customHeight="1">
      <c r="C348" s="167"/>
      <c r="D348" s="125"/>
    </row>
    <row r="349" spans="3:4" ht="15.75" customHeight="1">
      <c r="C349" s="167"/>
      <c r="D349" s="125"/>
    </row>
    <row r="350" spans="3:4" ht="15.75" customHeight="1">
      <c r="C350" s="167"/>
      <c r="D350" s="125"/>
    </row>
    <row r="351" spans="3:4" ht="15.75" customHeight="1">
      <c r="C351" s="167"/>
      <c r="D351" s="125"/>
    </row>
    <row r="352" spans="3:4" ht="15.75" customHeight="1">
      <c r="C352" s="167"/>
      <c r="D352" s="125"/>
    </row>
    <row r="353" spans="3:4" ht="15.75" customHeight="1">
      <c r="C353" s="167"/>
      <c r="D353" s="125"/>
    </row>
    <row r="354" spans="3:4" ht="15.75" customHeight="1">
      <c r="C354" s="167"/>
      <c r="D354" s="125"/>
    </row>
    <row r="355" spans="3:4" ht="15.75" customHeight="1">
      <c r="C355" s="167"/>
      <c r="D355" s="125"/>
    </row>
    <row r="356" spans="3:4" ht="15.75" customHeight="1">
      <c r="C356" s="167"/>
      <c r="D356" s="125"/>
    </row>
    <row r="357" spans="3:4" ht="15.75" customHeight="1">
      <c r="C357" s="167"/>
      <c r="D357" s="125"/>
    </row>
    <row r="358" spans="3:4" ht="15.75" customHeight="1">
      <c r="C358" s="167"/>
      <c r="D358" s="125"/>
    </row>
    <row r="359" spans="3:4" ht="15.75" customHeight="1">
      <c r="C359" s="167"/>
      <c r="D359" s="125"/>
    </row>
    <row r="360" spans="3:4" ht="15.75" customHeight="1">
      <c r="C360" s="167"/>
      <c r="D360" s="125"/>
    </row>
    <row r="361" spans="3:4" ht="15.75" customHeight="1">
      <c r="C361" s="167"/>
      <c r="D361" s="125"/>
    </row>
    <row r="362" spans="3:4" ht="15.75" customHeight="1">
      <c r="C362" s="167"/>
      <c r="D362" s="125"/>
    </row>
    <row r="363" spans="3:4" ht="15.75" customHeight="1">
      <c r="C363" s="167"/>
      <c r="D363" s="125"/>
    </row>
    <row r="364" spans="3:4" ht="15.75" customHeight="1">
      <c r="C364" s="167"/>
      <c r="D364" s="125"/>
    </row>
    <row r="365" spans="3:4" ht="15.75" customHeight="1">
      <c r="C365" s="167"/>
      <c r="D365" s="125"/>
    </row>
    <row r="366" spans="3:4" ht="15.75" customHeight="1">
      <c r="C366" s="167"/>
      <c r="D366" s="125"/>
    </row>
    <row r="367" spans="3:4" ht="15.75" customHeight="1">
      <c r="C367" s="167"/>
      <c r="D367" s="125"/>
    </row>
    <row r="368" spans="3:4" ht="15.75" customHeight="1">
      <c r="C368" s="167"/>
      <c r="D368" s="125"/>
    </row>
    <row r="369" spans="3:4" ht="15.75" customHeight="1">
      <c r="C369" s="167"/>
      <c r="D369" s="125"/>
    </row>
    <row r="370" spans="3:4" ht="15.75" customHeight="1">
      <c r="C370" s="167"/>
      <c r="D370" s="125"/>
    </row>
    <row r="371" spans="3:4" ht="15.75" customHeight="1">
      <c r="C371" s="167"/>
      <c r="D371" s="125"/>
    </row>
    <row r="372" spans="3:4" ht="15.75" customHeight="1">
      <c r="C372" s="167"/>
      <c r="D372" s="125"/>
    </row>
    <row r="373" spans="3:4" ht="15.75" customHeight="1">
      <c r="C373" s="167"/>
      <c r="D373" s="125"/>
    </row>
    <row r="374" spans="3:4" ht="15.75" customHeight="1">
      <c r="C374" s="167"/>
      <c r="D374" s="125"/>
    </row>
    <row r="375" spans="3:4" ht="15.75" customHeight="1">
      <c r="C375" s="167"/>
      <c r="D375" s="125"/>
    </row>
    <row r="376" spans="3:4" ht="15.75" customHeight="1">
      <c r="C376" s="167"/>
      <c r="D376" s="125"/>
    </row>
    <row r="377" spans="3:4" ht="15.75" customHeight="1">
      <c r="C377" s="167"/>
      <c r="D377" s="125"/>
    </row>
    <row r="378" spans="3:4" ht="15.75" customHeight="1">
      <c r="C378" s="167"/>
      <c r="D378" s="125"/>
    </row>
    <row r="379" spans="3:4" ht="15.75" customHeight="1">
      <c r="C379" s="167"/>
      <c r="D379" s="125"/>
    </row>
    <row r="380" spans="3:4" ht="15.75" customHeight="1">
      <c r="C380" s="167"/>
      <c r="D380" s="125"/>
    </row>
    <row r="381" spans="3:4" ht="15.75" customHeight="1">
      <c r="C381" s="167"/>
      <c r="D381" s="125"/>
    </row>
    <row r="382" spans="3:4" ht="15.75" customHeight="1">
      <c r="C382" s="167"/>
      <c r="D382" s="125"/>
    </row>
    <row r="383" spans="3:4" ht="15.75" customHeight="1">
      <c r="C383" s="167"/>
      <c r="D383" s="125"/>
    </row>
    <row r="384" spans="3:4" ht="15.75" customHeight="1">
      <c r="C384" s="167"/>
      <c r="D384" s="125"/>
    </row>
    <row r="385" spans="3:4" ht="15.75" customHeight="1">
      <c r="C385" s="167"/>
      <c r="D385" s="125"/>
    </row>
    <row r="386" spans="3:4" ht="15.75" customHeight="1">
      <c r="C386" s="167"/>
      <c r="D386" s="125"/>
    </row>
    <row r="387" spans="3:4" ht="15.75" customHeight="1">
      <c r="C387" s="167"/>
      <c r="D387" s="125"/>
    </row>
    <row r="388" spans="3:4" ht="15.75" customHeight="1">
      <c r="C388" s="167"/>
      <c r="D388" s="125"/>
    </row>
    <row r="389" spans="3:4" ht="15.75" customHeight="1">
      <c r="C389" s="167"/>
      <c r="D389" s="125"/>
    </row>
    <row r="390" spans="3:4" ht="15.75" customHeight="1">
      <c r="C390" s="167"/>
      <c r="D390" s="125"/>
    </row>
    <row r="391" spans="3:4" ht="15.75" customHeight="1">
      <c r="C391" s="167"/>
      <c r="D391" s="125"/>
    </row>
    <row r="392" spans="3:4" ht="15.75" customHeight="1">
      <c r="C392" s="167"/>
      <c r="D392" s="125"/>
    </row>
    <row r="393" spans="3:4" ht="15.75" customHeight="1">
      <c r="C393" s="167"/>
      <c r="D393" s="125"/>
    </row>
    <row r="394" spans="3:4" ht="15.75" customHeight="1">
      <c r="C394" s="167"/>
      <c r="D394" s="125"/>
    </row>
    <row r="395" spans="3:4" ht="15.75" customHeight="1">
      <c r="C395" s="167"/>
      <c r="D395" s="125"/>
    </row>
    <row r="396" spans="3:4" ht="15.75" customHeight="1">
      <c r="C396" s="167"/>
      <c r="D396" s="125"/>
    </row>
    <row r="397" spans="3:4" ht="15.75" customHeight="1">
      <c r="C397" s="167"/>
      <c r="D397" s="125"/>
    </row>
    <row r="398" spans="3:4" ht="15.75" customHeight="1">
      <c r="C398" s="167"/>
      <c r="D398" s="125"/>
    </row>
    <row r="399" spans="3:4" ht="15.75" customHeight="1">
      <c r="C399" s="167"/>
      <c r="D399" s="125"/>
    </row>
    <row r="400" spans="3:4" ht="15.75" customHeight="1">
      <c r="C400" s="167"/>
      <c r="D400" s="125"/>
    </row>
    <row r="401" spans="3:4" ht="15.75" customHeight="1">
      <c r="C401" s="167"/>
      <c r="D401" s="125"/>
    </row>
    <row r="402" spans="3:4" ht="15.75" customHeight="1">
      <c r="C402" s="167"/>
      <c r="D402" s="125"/>
    </row>
    <row r="403" spans="3:4" ht="15.75" customHeight="1">
      <c r="C403" s="167"/>
      <c r="D403" s="125"/>
    </row>
    <row r="404" spans="3:4" ht="15.75" customHeight="1">
      <c r="C404" s="167"/>
      <c r="D404" s="125"/>
    </row>
    <row r="405" spans="3:4" ht="15.75" customHeight="1">
      <c r="C405" s="167"/>
      <c r="D405" s="125"/>
    </row>
    <row r="406" spans="3:4" ht="15.75" customHeight="1">
      <c r="C406" s="167"/>
      <c r="D406" s="125"/>
    </row>
    <row r="407" spans="3:4" ht="15.75" customHeight="1">
      <c r="C407" s="167"/>
      <c r="D407" s="125"/>
    </row>
    <row r="408" spans="3:4" ht="15.75" customHeight="1">
      <c r="C408" s="167"/>
      <c r="D408" s="125"/>
    </row>
    <row r="409" spans="3:4" ht="15.75" customHeight="1">
      <c r="C409" s="167"/>
      <c r="D409" s="125"/>
    </row>
    <row r="410" spans="3:4" ht="15.75" customHeight="1">
      <c r="C410" s="167"/>
      <c r="D410" s="125"/>
    </row>
    <row r="411" spans="3:4" ht="15.75" customHeight="1">
      <c r="C411" s="167"/>
      <c r="D411" s="125"/>
    </row>
    <row r="412" spans="3:4" ht="15.75" customHeight="1">
      <c r="C412" s="167"/>
      <c r="D412" s="125"/>
    </row>
    <row r="413" spans="3:4" ht="15.75" customHeight="1">
      <c r="C413" s="167"/>
      <c r="D413" s="125"/>
    </row>
    <row r="414" spans="3:4" ht="15.75" customHeight="1">
      <c r="C414" s="167"/>
      <c r="D414" s="125"/>
    </row>
    <row r="415" spans="3:4" ht="15.75" customHeight="1">
      <c r="C415" s="167"/>
      <c r="D415" s="125"/>
    </row>
    <row r="416" spans="3:4" ht="15.75" customHeight="1">
      <c r="C416" s="167"/>
      <c r="D416" s="125"/>
    </row>
    <row r="417" spans="3:4" ht="15.75" customHeight="1">
      <c r="C417" s="167"/>
      <c r="D417" s="125"/>
    </row>
    <row r="418" spans="3:4" ht="15.75" customHeight="1">
      <c r="C418" s="167"/>
      <c r="D418" s="125"/>
    </row>
    <row r="419" spans="3:4" ht="15.75" customHeight="1">
      <c r="C419" s="167"/>
      <c r="D419" s="125"/>
    </row>
    <row r="420" spans="3:4" ht="15.75" customHeight="1">
      <c r="C420" s="167"/>
      <c r="D420" s="125"/>
    </row>
    <row r="421" spans="3:4" ht="15.75" customHeight="1">
      <c r="C421" s="167"/>
      <c r="D421" s="125"/>
    </row>
    <row r="422" spans="3:4" ht="15.75" customHeight="1">
      <c r="C422" s="167"/>
      <c r="D422" s="125"/>
    </row>
    <row r="423" spans="3:4" ht="15.75" customHeight="1">
      <c r="C423" s="167"/>
      <c r="D423" s="125"/>
    </row>
    <row r="424" spans="3:4" ht="15.75" customHeight="1">
      <c r="C424" s="167"/>
      <c r="D424" s="125"/>
    </row>
    <row r="425" spans="3:4" ht="15.75" customHeight="1">
      <c r="C425" s="167"/>
      <c r="D425" s="125"/>
    </row>
    <row r="426" spans="3:4" ht="15.75" customHeight="1">
      <c r="C426" s="167"/>
      <c r="D426" s="125"/>
    </row>
    <row r="427" spans="3:4" ht="15.75" customHeight="1">
      <c r="C427" s="167"/>
      <c r="D427" s="125"/>
    </row>
    <row r="428" spans="3:4" ht="15.75" customHeight="1">
      <c r="C428" s="167"/>
      <c r="D428" s="125"/>
    </row>
    <row r="429" spans="3:4" ht="15.75" customHeight="1">
      <c r="C429" s="167"/>
      <c r="D429" s="125"/>
    </row>
    <row r="430" spans="3:4" ht="15.75" customHeight="1">
      <c r="C430" s="167"/>
      <c r="D430" s="125"/>
    </row>
    <row r="431" spans="3:4" ht="15.75" customHeight="1">
      <c r="C431" s="167"/>
      <c r="D431" s="125"/>
    </row>
    <row r="432" spans="3:4" ht="15.75" customHeight="1">
      <c r="C432" s="167"/>
      <c r="D432" s="125"/>
    </row>
    <row r="433" spans="3:4" ht="15.75" customHeight="1">
      <c r="C433" s="167"/>
      <c r="D433" s="125"/>
    </row>
    <row r="434" spans="3:4" ht="15.75" customHeight="1">
      <c r="C434" s="167"/>
      <c r="D434" s="125"/>
    </row>
    <row r="435" spans="3:4" ht="15.75" customHeight="1">
      <c r="C435" s="167"/>
      <c r="D435" s="125"/>
    </row>
    <row r="436" spans="3:4" ht="15.75" customHeight="1">
      <c r="C436" s="167"/>
      <c r="D436" s="125"/>
    </row>
    <row r="437" spans="3:4" ht="15.75" customHeight="1">
      <c r="C437" s="167"/>
      <c r="D437" s="125"/>
    </row>
    <row r="438" spans="3:4" ht="15.75" customHeight="1">
      <c r="C438" s="167"/>
      <c r="D438" s="125"/>
    </row>
    <row r="439" spans="3:4" ht="15.75" customHeight="1">
      <c r="C439" s="167"/>
      <c r="D439" s="125"/>
    </row>
    <row r="440" spans="3:4" ht="15.75" customHeight="1">
      <c r="C440" s="167"/>
      <c r="D440" s="125"/>
    </row>
    <row r="441" spans="3:4" ht="15.75" customHeight="1">
      <c r="C441" s="167"/>
      <c r="D441" s="125"/>
    </row>
    <row r="442" spans="3:4" ht="15.75" customHeight="1">
      <c r="C442" s="167"/>
      <c r="D442" s="125"/>
    </row>
    <row r="443" spans="3:4" ht="15.75" customHeight="1">
      <c r="C443" s="167"/>
      <c r="D443" s="125"/>
    </row>
    <row r="444" spans="3:4" ht="15.75" customHeight="1">
      <c r="C444" s="167"/>
      <c r="D444" s="125"/>
    </row>
    <row r="445" spans="3:4" ht="15.75" customHeight="1">
      <c r="C445" s="167"/>
      <c r="D445" s="125"/>
    </row>
    <row r="446" spans="3:4" ht="15.75" customHeight="1">
      <c r="C446" s="167"/>
      <c r="D446" s="125"/>
    </row>
    <row r="447" spans="3:4" ht="15.75" customHeight="1">
      <c r="C447" s="167"/>
      <c r="D447" s="125"/>
    </row>
    <row r="448" spans="3:4" ht="15.75" customHeight="1">
      <c r="C448" s="167"/>
      <c r="D448" s="125"/>
    </row>
    <row r="449" spans="3:4" ht="15.75" customHeight="1">
      <c r="C449" s="167"/>
      <c r="D449" s="125"/>
    </row>
    <row r="450" spans="3:4" ht="15.75" customHeight="1">
      <c r="C450" s="167"/>
      <c r="D450" s="125"/>
    </row>
    <row r="451" spans="3:4" ht="15.75" customHeight="1">
      <c r="C451" s="167"/>
      <c r="D451" s="125"/>
    </row>
    <row r="452" spans="3:4" ht="15.75" customHeight="1">
      <c r="C452" s="167"/>
      <c r="D452" s="125"/>
    </row>
    <row r="453" spans="3:4" ht="15.75" customHeight="1">
      <c r="C453" s="167"/>
      <c r="D453" s="125"/>
    </row>
    <row r="454" spans="3:4" ht="15.75" customHeight="1">
      <c r="C454" s="167"/>
      <c r="D454" s="125"/>
    </row>
    <row r="455" spans="3:4" ht="15.75" customHeight="1">
      <c r="C455" s="167"/>
      <c r="D455" s="125"/>
    </row>
    <row r="456" spans="3:4" ht="15.75" customHeight="1">
      <c r="C456" s="167"/>
      <c r="D456" s="125"/>
    </row>
    <row r="457" spans="3:4" ht="15.75" customHeight="1">
      <c r="C457" s="167"/>
      <c r="D457" s="125"/>
    </row>
    <row r="458" spans="3:4" ht="15.75" customHeight="1">
      <c r="C458" s="167"/>
      <c r="D458" s="125"/>
    </row>
    <row r="459" spans="3:4" ht="15.75" customHeight="1">
      <c r="C459" s="167"/>
      <c r="D459" s="125"/>
    </row>
    <row r="460" spans="3:4" ht="15.75" customHeight="1">
      <c r="C460" s="167"/>
      <c r="D460" s="125"/>
    </row>
    <row r="461" spans="3:4" ht="15.75" customHeight="1">
      <c r="C461" s="167"/>
      <c r="D461" s="125"/>
    </row>
    <row r="462" spans="3:4" ht="15.75" customHeight="1">
      <c r="C462" s="167"/>
      <c r="D462" s="125"/>
    </row>
    <row r="463" spans="3:4" ht="15.75" customHeight="1">
      <c r="C463" s="167"/>
      <c r="D463" s="125"/>
    </row>
    <row r="464" spans="3:4" ht="15.75" customHeight="1">
      <c r="C464" s="167"/>
      <c r="D464" s="125"/>
    </row>
    <row r="465" spans="3:4" ht="15.75" customHeight="1">
      <c r="C465" s="167"/>
      <c r="D465" s="125"/>
    </row>
    <row r="466" spans="3:4" ht="15.75" customHeight="1">
      <c r="C466" s="167"/>
      <c r="D466" s="125"/>
    </row>
    <row r="467" spans="3:4" ht="15.75" customHeight="1">
      <c r="C467" s="167"/>
      <c r="D467" s="125"/>
    </row>
    <row r="468" spans="3:4" ht="15.75" customHeight="1">
      <c r="C468" s="167"/>
      <c r="D468" s="125"/>
    </row>
    <row r="469" spans="3:4" ht="15.75" customHeight="1">
      <c r="C469" s="167"/>
      <c r="D469" s="125"/>
    </row>
    <row r="470" spans="3:4" ht="15.75" customHeight="1">
      <c r="C470" s="167"/>
      <c r="D470" s="125"/>
    </row>
    <row r="471" spans="3:4" ht="15.75" customHeight="1">
      <c r="C471" s="167"/>
      <c r="D471" s="125"/>
    </row>
    <row r="472" spans="3:4" ht="15.75" customHeight="1">
      <c r="C472" s="167"/>
      <c r="D472" s="125"/>
    </row>
    <row r="473" spans="3:4" ht="15.75" customHeight="1">
      <c r="C473" s="167"/>
      <c r="D473" s="125"/>
    </row>
    <row r="474" spans="3:4" ht="15.75" customHeight="1">
      <c r="C474" s="167"/>
      <c r="D474" s="125"/>
    </row>
    <row r="475" spans="3:4" ht="15.75" customHeight="1">
      <c r="C475" s="167"/>
      <c r="D475" s="125"/>
    </row>
    <row r="476" spans="3:4" ht="15.75" customHeight="1">
      <c r="C476" s="167"/>
      <c r="D476" s="125"/>
    </row>
    <row r="477" spans="3:4" ht="15.75" customHeight="1">
      <c r="C477" s="167"/>
      <c r="D477" s="125"/>
    </row>
    <row r="478" spans="3:4" ht="15.75" customHeight="1">
      <c r="C478" s="167"/>
      <c r="D478" s="125"/>
    </row>
    <row r="479" spans="3:4" ht="15.75" customHeight="1">
      <c r="C479" s="167"/>
      <c r="D479" s="125"/>
    </row>
    <row r="480" spans="3:4" ht="15.75" customHeight="1">
      <c r="C480" s="167"/>
      <c r="D480" s="125"/>
    </row>
    <row r="481" spans="3:4" ht="15.75" customHeight="1">
      <c r="C481" s="167"/>
      <c r="D481" s="125"/>
    </row>
    <row r="482" spans="3:4" ht="15.75" customHeight="1">
      <c r="C482" s="167"/>
      <c r="D482" s="125"/>
    </row>
    <row r="483" spans="3:4" ht="15.75" customHeight="1">
      <c r="C483" s="167"/>
      <c r="D483" s="125"/>
    </row>
    <row r="484" spans="3:4" ht="15.75" customHeight="1">
      <c r="C484" s="167"/>
      <c r="D484" s="125"/>
    </row>
    <row r="485" spans="3:4" ht="15.75" customHeight="1">
      <c r="C485" s="167"/>
      <c r="D485" s="125"/>
    </row>
    <row r="486" spans="3:4" ht="15.75" customHeight="1">
      <c r="C486" s="167"/>
      <c r="D486" s="125"/>
    </row>
    <row r="487" spans="3:4" ht="15.75" customHeight="1">
      <c r="C487" s="167"/>
      <c r="D487" s="125"/>
    </row>
    <row r="488" spans="3:4" ht="15.75" customHeight="1">
      <c r="C488" s="167"/>
      <c r="D488" s="125"/>
    </row>
    <row r="489" spans="3:4" ht="15.75" customHeight="1">
      <c r="C489" s="167"/>
      <c r="D489" s="125"/>
    </row>
    <row r="490" spans="3:4" ht="15.75" customHeight="1">
      <c r="C490" s="167"/>
      <c r="D490" s="125"/>
    </row>
    <row r="491" spans="3:4" ht="15.75" customHeight="1">
      <c r="C491" s="167"/>
      <c r="D491" s="125"/>
    </row>
    <row r="492" spans="3:4" ht="15.75" customHeight="1">
      <c r="C492" s="167"/>
      <c r="D492" s="125"/>
    </row>
    <row r="493" spans="3:4" ht="15.75" customHeight="1">
      <c r="C493" s="167"/>
      <c r="D493" s="125"/>
    </row>
    <row r="494" spans="3:4" ht="15.75" customHeight="1">
      <c r="C494" s="167"/>
      <c r="D494" s="125"/>
    </row>
    <row r="495" spans="3:4" ht="15.75" customHeight="1">
      <c r="C495" s="167"/>
      <c r="D495" s="125"/>
    </row>
    <row r="496" spans="3:4" ht="15.75" customHeight="1">
      <c r="C496" s="167"/>
      <c r="D496" s="125"/>
    </row>
    <row r="497" spans="3:4" ht="15.75" customHeight="1">
      <c r="C497" s="167"/>
      <c r="D497" s="125"/>
    </row>
    <row r="498" spans="3:4" ht="15.75" customHeight="1">
      <c r="C498" s="167"/>
      <c r="D498" s="125"/>
    </row>
    <row r="499" spans="3:4" ht="15.75" customHeight="1">
      <c r="C499" s="167"/>
      <c r="D499" s="125"/>
    </row>
    <row r="500" spans="3:4" ht="15.75" customHeight="1">
      <c r="C500" s="167"/>
      <c r="D500" s="125"/>
    </row>
    <row r="501" spans="3:4" ht="15.75" customHeight="1">
      <c r="C501" s="167"/>
      <c r="D501" s="125"/>
    </row>
    <row r="502" spans="3:4" ht="15.75" customHeight="1">
      <c r="C502" s="167"/>
      <c r="D502" s="125"/>
    </row>
    <row r="503" spans="3:4" ht="15.75" customHeight="1">
      <c r="C503" s="167"/>
      <c r="D503" s="125"/>
    </row>
    <row r="504" spans="3:4" ht="15.75" customHeight="1">
      <c r="C504" s="167"/>
      <c r="D504" s="125"/>
    </row>
    <row r="505" spans="3:4" ht="15.75" customHeight="1">
      <c r="C505" s="167"/>
      <c r="D505" s="125"/>
    </row>
    <row r="506" spans="3:4" ht="15.75" customHeight="1">
      <c r="C506" s="167"/>
      <c r="D506" s="125"/>
    </row>
    <row r="507" spans="3:4" ht="15.75" customHeight="1">
      <c r="C507" s="167"/>
      <c r="D507" s="125"/>
    </row>
    <row r="508" spans="3:4" ht="15.75" customHeight="1">
      <c r="C508" s="167"/>
      <c r="D508" s="125"/>
    </row>
    <row r="509" spans="3:4" ht="15.75" customHeight="1">
      <c r="C509" s="167"/>
      <c r="D509" s="125"/>
    </row>
    <row r="510" spans="3:4" ht="15.75" customHeight="1">
      <c r="C510" s="167"/>
      <c r="D510" s="125"/>
    </row>
    <row r="511" spans="3:4" ht="15.75" customHeight="1">
      <c r="C511" s="167"/>
      <c r="D511" s="125"/>
    </row>
    <row r="512" spans="3:4" ht="15.75" customHeight="1">
      <c r="C512" s="167"/>
      <c r="D512" s="125"/>
    </row>
    <row r="513" spans="3:4" ht="15.75" customHeight="1">
      <c r="C513" s="167"/>
      <c r="D513" s="125"/>
    </row>
    <row r="514" spans="3:4" ht="15.75" customHeight="1">
      <c r="C514" s="167"/>
      <c r="D514" s="125"/>
    </row>
    <row r="515" spans="3:4" ht="15.75" customHeight="1">
      <c r="C515" s="167"/>
      <c r="D515" s="125"/>
    </row>
    <row r="516" spans="3:4" ht="15.75" customHeight="1">
      <c r="C516" s="167"/>
      <c r="D516" s="125"/>
    </row>
    <row r="517" spans="3:4" ht="15.75" customHeight="1">
      <c r="C517" s="167"/>
      <c r="D517" s="125"/>
    </row>
    <row r="518" spans="3:4" ht="15.75" customHeight="1">
      <c r="C518" s="167"/>
      <c r="D518" s="125"/>
    </row>
    <row r="519" spans="3:4" ht="15.75" customHeight="1">
      <c r="C519" s="167"/>
      <c r="D519" s="125"/>
    </row>
    <row r="520" spans="3:4" ht="15.75" customHeight="1">
      <c r="C520" s="167"/>
      <c r="D520" s="125"/>
    </row>
    <row r="521" spans="3:4" ht="15.75" customHeight="1">
      <c r="C521" s="167"/>
      <c r="D521" s="125"/>
    </row>
    <row r="522" spans="3:4" ht="15.75" customHeight="1">
      <c r="C522" s="167"/>
      <c r="D522" s="125"/>
    </row>
    <row r="523" spans="3:4" ht="15.75" customHeight="1">
      <c r="C523" s="167"/>
      <c r="D523" s="125"/>
    </row>
    <row r="524" spans="3:4" ht="15.75" customHeight="1">
      <c r="C524" s="167"/>
      <c r="D524" s="125"/>
    </row>
    <row r="525" spans="3:4" ht="15.75" customHeight="1">
      <c r="C525" s="167"/>
      <c r="D525" s="125"/>
    </row>
    <row r="526" spans="3:4" ht="15.75" customHeight="1">
      <c r="C526" s="167"/>
      <c r="D526" s="125"/>
    </row>
    <row r="527" spans="3:4" ht="15.75" customHeight="1">
      <c r="C527" s="167"/>
      <c r="D527" s="125"/>
    </row>
    <row r="528" spans="3:4" ht="15.75" customHeight="1">
      <c r="C528" s="167"/>
      <c r="D528" s="125"/>
    </row>
    <row r="529" spans="3:4" ht="15.75" customHeight="1">
      <c r="C529" s="167"/>
      <c r="D529" s="125"/>
    </row>
    <row r="530" spans="3:4" ht="15.75" customHeight="1">
      <c r="C530" s="167"/>
      <c r="D530" s="125"/>
    </row>
    <row r="531" spans="3:4" ht="15.75" customHeight="1">
      <c r="C531" s="167"/>
      <c r="D531" s="125"/>
    </row>
    <row r="532" spans="3:4" ht="15.75" customHeight="1">
      <c r="C532" s="167"/>
      <c r="D532" s="125"/>
    </row>
    <row r="533" spans="3:4" ht="15.75" customHeight="1">
      <c r="C533" s="167"/>
      <c r="D533" s="125"/>
    </row>
    <row r="534" spans="3:4" ht="15.75" customHeight="1">
      <c r="C534" s="167"/>
      <c r="D534" s="125"/>
    </row>
    <row r="535" spans="3:4" ht="15.75" customHeight="1">
      <c r="C535" s="167"/>
      <c r="D535" s="125"/>
    </row>
    <row r="536" spans="3:4" ht="15.75" customHeight="1">
      <c r="C536" s="167"/>
      <c r="D536" s="125"/>
    </row>
    <row r="537" spans="3:4" ht="15.75" customHeight="1">
      <c r="C537" s="167"/>
      <c r="D537" s="125"/>
    </row>
    <row r="538" spans="3:4" ht="15.75" customHeight="1">
      <c r="C538" s="167"/>
      <c r="D538" s="125"/>
    </row>
    <row r="539" spans="3:4" ht="15.75" customHeight="1">
      <c r="C539" s="167"/>
      <c r="D539" s="125"/>
    </row>
    <row r="540" spans="3:4" ht="15.75" customHeight="1">
      <c r="C540" s="167"/>
      <c r="D540" s="125"/>
    </row>
    <row r="541" spans="3:4" ht="15.75" customHeight="1">
      <c r="C541" s="167"/>
      <c r="D541" s="125"/>
    </row>
    <row r="542" spans="3:4" ht="15.75" customHeight="1">
      <c r="C542" s="167"/>
      <c r="D542" s="125"/>
    </row>
    <row r="543" spans="3:4" ht="15.75" customHeight="1">
      <c r="C543" s="167"/>
      <c r="D543" s="125"/>
    </row>
    <row r="544" spans="3:4" ht="15.75" customHeight="1">
      <c r="C544" s="167"/>
      <c r="D544" s="125"/>
    </row>
    <row r="545" spans="3:4" ht="15.75" customHeight="1">
      <c r="C545" s="167"/>
      <c r="D545" s="125"/>
    </row>
    <row r="546" spans="3:4" ht="15.75" customHeight="1">
      <c r="C546" s="167"/>
      <c r="D546" s="125"/>
    </row>
    <row r="547" spans="3:4" ht="15.75" customHeight="1">
      <c r="C547" s="167"/>
      <c r="D547" s="125"/>
    </row>
    <row r="548" spans="3:4" ht="15.75" customHeight="1">
      <c r="C548" s="167"/>
      <c r="D548" s="125"/>
    </row>
    <row r="549" spans="3:4" ht="15.75" customHeight="1">
      <c r="C549" s="167"/>
      <c r="D549" s="125"/>
    </row>
    <row r="550" spans="3:4" ht="15.75" customHeight="1">
      <c r="C550" s="167"/>
      <c r="D550" s="125"/>
    </row>
    <row r="551" spans="3:4" ht="15.75" customHeight="1">
      <c r="C551" s="167"/>
      <c r="D551" s="125"/>
    </row>
    <row r="552" spans="3:4" ht="15.75" customHeight="1">
      <c r="C552" s="167"/>
      <c r="D552" s="125"/>
    </row>
    <row r="553" spans="3:4" ht="15.75" customHeight="1">
      <c r="C553" s="167"/>
      <c r="D553" s="125"/>
    </row>
    <row r="554" spans="3:4" ht="15.75" customHeight="1">
      <c r="C554" s="167"/>
      <c r="D554" s="125"/>
    </row>
    <row r="555" spans="3:4" ht="15.75" customHeight="1">
      <c r="C555" s="167"/>
      <c r="D555" s="125"/>
    </row>
    <row r="556" spans="3:4" ht="15.75" customHeight="1">
      <c r="C556" s="167"/>
      <c r="D556" s="125"/>
    </row>
    <row r="557" spans="3:4" ht="15.75" customHeight="1">
      <c r="C557" s="167"/>
      <c r="D557" s="125"/>
    </row>
    <row r="558" spans="3:4" ht="15.75" customHeight="1">
      <c r="C558" s="167"/>
      <c r="D558" s="125"/>
    </row>
    <row r="559" spans="3:4" ht="15.75" customHeight="1">
      <c r="C559" s="167"/>
      <c r="D559" s="125"/>
    </row>
    <row r="560" spans="3:4" ht="15.75" customHeight="1">
      <c r="C560" s="167"/>
      <c r="D560" s="125"/>
    </row>
    <row r="561" spans="3:4" ht="15.75" customHeight="1">
      <c r="C561" s="167"/>
      <c r="D561" s="125"/>
    </row>
    <row r="562" spans="3:4" ht="15.75" customHeight="1">
      <c r="C562" s="167"/>
      <c r="D562" s="125"/>
    </row>
    <row r="563" spans="3:4" ht="15.75" customHeight="1">
      <c r="C563" s="167"/>
      <c r="D563" s="125"/>
    </row>
    <row r="564" spans="3:4" ht="15.75" customHeight="1">
      <c r="C564" s="167"/>
      <c r="D564" s="125"/>
    </row>
    <row r="565" spans="3:4" ht="15.75" customHeight="1">
      <c r="C565" s="167"/>
      <c r="D565" s="125"/>
    </row>
    <row r="566" spans="3:4" ht="15.75" customHeight="1">
      <c r="C566" s="167"/>
      <c r="D566" s="125"/>
    </row>
    <row r="567" spans="3:4" ht="15.75" customHeight="1">
      <c r="C567" s="167"/>
      <c r="D567" s="125"/>
    </row>
    <row r="568" spans="3:4" ht="15.75" customHeight="1">
      <c r="C568" s="167"/>
      <c r="D568" s="125"/>
    </row>
    <row r="569" spans="3:4" ht="15.75" customHeight="1">
      <c r="C569" s="167"/>
      <c r="D569" s="125"/>
    </row>
    <row r="570" spans="3:4" ht="15.75" customHeight="1">
      <c r="C570" s="167"/>
      <c r="D570" s="125"/>
    </row>
    <row r="571" spans="3:4" ht="15.75" customHeight="1">
      <c r="C571" s="167"/>
      <c r="D571" s="125"/>
    </row>
    <row r="572" spans="3:4" ht="15.75" customHeight="1">
      <c r="C572" s="167"/>
      <c r="D572" s="125"/>
    </row>
    <row r="573" spans="3:4" ht="15.75" customHeight="1">
      <c r="C573" s="167"/>
      <c r="D573" s="125"/>
    </row>
    <row r="574" spans="3:4" ht="15.75" customHeight="1">
      <c r="C574" s="167"/>
      <c r="D574" s="125"/>
    </row>
    <row r="575" spans="3:4" ht="15.75" customHeight="1">
      <c r="C575" s="167"/>
      <c r="D575" s="125"/>
    </row>
    <row r="576" spans="3:4" ht="15.75" customHeight="1">
      <c r="C576" s="167"/>
      <c r="D576" s="125"/>
    </row>
    <row r="577" spans="3:4" ht="15.75" customHeight="1">
      <c r="C577" s="167"/>
      <c r="D577" s="125"/>
    </row>
    <row r="578" spans="3:4" ht="15.75" customHeight="1">
      <c r="C578" s="167"/>
      <c r="D578" s="125"/>
    </row>
    <row r="579" spans="3:4" ht="15.75" customHeight="1">
      <c r="C579" s="167"/>
      <c r="D579" s="125"/>
    </row>
    <row r="580" spans="3:4" ht="15.75" customHeight="1">
      <c r="C580" s="167"/>
      <c r="D580" s="125"/>
    </row>
    <row r="581" spans="3:4" ht="15.75" customHeight="1">
      <c r="C581" s="167"/>
      <c r="D581" s="125"/>
    </row>
    <row r="582" spans="3:4" ht="15.75" customHeight="1">
      <c r="C582" s="167"/>
      <c r="D582" s="125"/>
    </row>
    <row r="583" spans="3:4" ht="15.75" customHeight="1">
      <c r="C583" s="167"/>
      <c r="D583" s="125"/>
    </row>
    <row r="584" spans="3:4" ht="15.75" customHeight="1">
      <c r="C584" s="167"/>
      <c r="D584" s="125"/>
    </row>
    <row r="585" spans="3:4" ht="15.75" customHeight="1">
      <c r="C585" s="167"/>
      <c r="D585" s="125"/>
    </row>
    <row r="586" spans="3:4" ht="15.75" customHeight="1">
      <c r="C586" s="167"/>
      <c r="D586" s="125"/>
    </row>
    <row r="587" spans="3:4" ht="15.75" customHeight="1">
      <c r="C587" s="167"/>
      <c r="D587" s="125"/>
    </row>
    <row r="588" spans="3:4" ht="15.75" customHeight="1">
      <c r="C588" s="167"/>
      <c r="D588" s="125"/>
    </row>
    <row r="589" spans="3:4" ht="15.75" customHeight="1">
      <c r="C589" s="167"/>
      <c r="D589" s="125"/>
    </row>
    <row r="590" spans="3:4" ht="15.75" customHeight="1">
      <c r="C590" s="167"/>
      <c r="D590" s="125"/>
    </row>
    <row r="591" spans="3:4" ht="15.75" customHeight="1">
      <c r="C591" s="167"/>
      <c r="D591" s="125"/>
    </row>
    <row r="592" spans="3:4" ht="15.75" customHeight="1">
      <c r="C592" s="167"/>
      <c r="D592" s="125"/>
    </row>
    <row r="593" spans="3:4" ht="15.75" customHeight="1">
      <c r="C593" s="167"/>
      <c r="D593" s="125"/>
    </row>
    <row r="594" spans="3:4" ht="15.75" customHeight="1">
      <c r="C594" s="167"/>
      <c r="D594" s="125"/>
    </row>
    <row r="595" spans="3:4" ht="15.75" customHeight="1">
      <c r="C595" s="167"/>
      <c r="D595" s="125"/>
    </row>
    <row r="596" spans="3:4" ht="15.75" customHeight="1">
      <c r="C596" s="167"/>
      <c r="D596" s="125"/>
    </row>
    <row r="597" spans="3:4" ht="15.75" customHeight="1">
      <c r="C597" s="167"/>
      <c r="D597" s="125"/>
    </row>
    <row r="598" spans="3:4" ht="15.75" customHeight="1">
      <c r="C598" s="167"/>
      <c r="D598" s="125"/>
    </row>
    <row r="599" spans="3:4" ht="15.75" customHeight="1">
      <c r="C599" s="167"/>
      <c r="D599" s="125"/>
    </row>
    <row r="600" spans="3:4" ht="15.75" customHeight="1">
      <c r="C600" s="167"/>
      <c r="D600" s="125"/>
    </row>
    <row r="601" spans="3:4" ht="15.75" customHeight="1">
      <c r="C601" s="167"/>
      <c r="D601" s="125"/>
    </row>
    <row r="602" spans="3:4" ht="15.75" customHeight="1">
      <c r="C602" s="167"/>
      <c r="D602" s="125"/>
    </row>
    <row r="603" spans="3:4" ht="15.75" customHeight="1">
      <c r="C603" s="167"/>
      <c r="D603" s="125"/>
    </row>
    <row r="604" spans="3:4" ht="15.75" customHeight="1">
      <c r="C604" s="167"/>
      <c r="D604" s="125"/>
    </row>
    <row r="605" spans="3:4" ht="15.75" customHeight="1">
      <c r="C605" s="167"/>
      <c r="D605" s="125"/>
    </row>
    <row r="606" spans="3:4" ht="15.75" customHeight="1">
      <c r="C606" s="167"/>
      <c r="D606" s="125"/>
    </row>
    <row r="607" spans="3:4" ht="15.75" customHeight="1">
      <c r="C607" s="167"/>
      <c r="D607" s="125"/>
    </row>
    <row r="608" spans="3:4" ht="15.75" customHeight="1">
      <c r="C608" s="167"/>
      <c r="D608" s="125"/>
    </row>
    <row r="609" spans="3:4" ht="15.75" customHeight="1">
      <c r="C609" s="167"/>
      <c r="D609" s="125"/>
    </row>
    <row r="610" spans="3:4" ht="15.75" customHeight="1">
      <c r="C610" s="167"/>
      <c r="D610" s="125"/>
    </row>
    <row r="611" spans="3:4" ht="15.75" customHeight="1">
      <c r="C611" s="167"/>
      <c r="D611" s="125"/>
    </row>
    <row r="612" spans="3:4" ht="15.75" customHeight="1">
      <c r="C612" s="167"/>
      <c r="D612" s="125"/>
    </row>
    <row r="613" spans="3:4" ht="15.75" customHeight="1">
      <c r="C613" s="167"/>
      <c r="D613" s="125"/>
    </row>
    <row r="614" spans="3:4" ht="15.75" customHeight="1">
      <c r="C614" s="167"/>
      <c r="D614" s="125"/>
    </row>
    <row r="615" spans="3:4" ht="15.75" customHeight="1">
      <c r="C615" s="167"/>
      <c r="D615" s="125"/>
    </row>
    <row r="616" spans="3:4" ht="15.75" customHeight="1">
      <c r="C616" s="167"/>
      <c r="D616" s="125"/>
    </row>
    <row r="617" spans="3:4" ht="15.75" customHeight="1">
      <c r="C617" s="167"/>
      <c r="D617" s="125"/>
    </row>
    <row r="618" spans="3:4" ht="15.75" customHeight="1">
      <c r="C618" s="167"/>
      <c r="D618" s="125"/>
    </row>
    <row r="619" spans="3:4" ht="15.75" customHeight="1">
      <c r="C619" s="167"/>
      <c r="D619" s="125"/>
    </row>
    <row r="620" spans="3:4" ht="15.75" customHeight="1">
      <c r="C620" s="167"/>
      <c r="D620" s="125"/>
    </row>
    <row r="621" spans="3:4" ht="15.75" customHeight="1">
      <c r="C621" s="167"/>
      <c r="D621" s="125"/>
    </row>
    <row r="622" spans="3:4" ht="15.75" customHeight="1">
      <c r="C622" s="167"/>
      <c r="D622" s="125"/>
    </row>
    <row r="623" spans="3:4" ht="15.75" customHeight="1">
      <c r="C623" s="167"/>
      <c r="D623" s="125"/>
    </row>
    <row r="624" spans="3:4" ht="15.75" customHeight="1">
      <c r="C624" s="167"/>
      <c r="D624" s="125"/>
    </row>
    <row r="625" spans="3:4" ht="15.75" customHeight="1">
      <c r="C625" s="167"/>
      <c r="D625" s="125"/>
    </row>
    <row r="626" spans="3:4" ht="15.75" customHeight="1">
      <c r="C626" s="167"/>
      <c r="D626" s="125"/>
    </row>
    <row r="627" spans="3:4" ht="15.75" customHeight="1">
      <c r="C627" s="167"/>
      <c r="D627" s="125"/>
    </row>
    <row r="628" spans="3:4" ht="15.75" customHeight="1">
      <c r="C628" s="167"/>
      <c r="D628" s="125"/>
    </row>
    <row r="629" spans="3:4" ht="15.75" customHeight="1">
      <c r="C629" s="167"/>
      <c r="D629" s="125"/>
    </row>
    <row r="630" spans="3:4" ht="15.75" customHeight="1">
      <c r="C630" s="167"/>
      <c r="D630" s="125"/>
    </row>
    <row r="631" spans="3:4" ht="15.75" customHeight="1">
      <c r="C631" s="167"/>
      <c r="D631" s="125"/>
    </row>
    <row r="632" spans="3:4" ht="15.75" customHeight="1">
      <c r="C632" s="167"/>
      <c r="D632" s="125"/>
    </row>
    <row r="633" spans="3:4" ht="15.75" customHeight="1">
      <c r="C633" s="167"/>
      <c r="D633" s="125"/>
    </row>
    <row r="634" spans="3:4" ht="15.75" customHeight="1">
      <c r="C634" s="167"/>
      <c r="D634" s="125"/>
    </row>
    <row r="635" spans="3:4" ht="15.75" customHeight="1">
      <c r="C635" s="167"/>
      <c r="D635" s="125"/>
    </row>
    <row r="636" spans="3:4" ht="15.75" customHeight="1">
      <c r="C636" s="167"/>
      <c r="D636" s="125"/>
    </row>
    <row r="637" spans="3:4" ht="15.75" customHeight="1">
      <c r="C637" s="167"/>
      <c r="D637" s="125"/>
    </row>
    <row r="638" spans="3:4" ht="15.75" customHeight="1">
      <c r="C638" s="167"/>
      <c r="D638" s="125"/>
    </row>
    <row r="639" spans="3:4" ht="15.75" customHeight="1">
      <c r="C639" s="167"/>
      <c r="D639" s="125"/>
    </row>
    <row r="640" spans="3:4" ht="15.75" customHeight="1">
      <c r="C640" s="167"/>
      <c r="D640" s="125"/>
    </row>
    <row r="641" spans="3:4" ht="15.75" customHeight="1">
      <c r="C641" s="167"/>
      <c r="D641" s="125"/>
    </row>
    <row r="642" spans="3:4" ht="15.75" customHeight="1">
      <c r="C642" s="167"/>
      <c r="D642" s="125"/>
    </row>
    <row r="643" spans="3:4" ht="15.75" customHeight="1">
      <c r="C643" s="167"/>
      <c r="D643" s="125"/>
    </row>
    <row r="644" spans="3:4" ht="15.75" customHeight="1">
      <c r="C644" s="167"/>
      <c r="D644" s="125"/>
    </row>
    <row r="645" spans="3:4" ht="15.75" customHeight="1">
      <c r="C645" s="167"/>
      <c r="D645" s="125"/>
    </row>
    <row r="646" spans="3:4" ht="15.75" customHeight="1">
      <c r="C646" s="167"/>
      <c r="D646" s="125"/>
    </row>
    <row r="647" spans="3:4" ht="15.75" customHeight="1">
      <c r="C647" s="167"/>
      <c r="D647" s="125"/>
    </row>
    <row r="648" spans="3:4" ht="15.75" customHeight="1">
      <c r="C648" s="167"/>
      <c r="D648" s="125"/>
    </row>
    <row r="649" spans="3:4" ht="15.75" customHeight="1">
      <c r="C649" s="167"/>
      <c r="D649" s="125"/>
    </row>
    <row r="650" spans="3:4" ht="15.75" customHeight="1">
      <c r="C650" s="167"/>
      <c r="D650" s="125"/>
    </row>
    <row r="651" spans="3:4" ht="15.75" customHeight="1">
      <c r="C651" s="167"/>
      <c r="D651" s="125"/>
    </row>
    <row r="652" spans="3:4" ht="15.75" customHeight="1">
      <c r="C652" s="167"/>
      <c r="D652" s="125"/>
    </row>
    <row r="653" spans="3:4" ht="15.75" customHeight="1">
      <c r="C653" s="167"/>
      <c r="D653" s="125"/>
    </row>
    <row r="654" spans="3:4" ht="15.75" customHeight="1">
      <c r="C654" s="167"/>
      <c r="D654" s="125"/>
    </row>
    <row r="655" spans="3:4" ht="15.75" customHeight="1">
      <c r="C655" s="167"/>
      <c r="D655" s="125"/>
    </row>
    <row r="656" spans="3:4" ht="15.75" customHeight="1">
      <c r="C656" s="167"/>
      <c r="D656" s="125"/>
    </row>
    <row r="657" spans="3:4" ht="15.75" customHeight="1">
      <c r="C657" s="167"/>
      <c r="D657" s="125"/>
    </row>
    <row r="658" spans="3:4" ht="15.75" customHeight="1">
      <c r="C658" s="167"/>
      <c r="D658" s="125"/>
    </row>
    <row r="659" spans="3:4" ht="15.75" customHeight="1">
      <c r="C659" s="167"/>
      <c r="D659" s="125"/>
    </row>
    <row r="660" spans="3:4" ht="15.75" customHeight="1">
      <c r="C660" s="167"/>
      <c r="D660" s="125"/>
    </row>
    <row r="661" spans="3:4" ht="15.75" customHeight="1">
      <c r="C661" s="167"/>
      <c r="D661" s="125"/>
    </row>
    <row r="662" spans="3:4" ht="15.75" customHeight="1">
      <c r="C662" s="167"/>
      <c r="D662" s="125"/>
    </row>
    <row r="663" spans="3:4" ht="15.75" customHeight="1">
      <c r="C663" s="167"/>
      <c r="D663" s="125"/>
    </row>
    <row r="664" spans="3:4" ht="15.75" customHeight="1">
      <c r="C664" s="167"/>
      <c r="D664" s="125"/>
    </row>
    <row r="665" spans="3:4" ht="15.75" customHeight="1">
      <c r="C665" s="167"/>
      <c r="D665" s="125"/>
    </row>
    <row r="666" spans="3:4" ht="15.75" customHeight="1">
      <c r="C666" s="167"/>
      <c r="D666" s="125"/>
    </row>
    <row r="667" spans="3:4" ht="15.75" customHeight="1">
      <c r="C667" s="167"/>
      <c r="D667" s="125"/>
    </row>
    <row r="668" spans="3:4" ht="15.75" customHeight="1">
      <c r="C668" s="167"/>
      <c r="D668" s="125"/>
    </row>
    <row r="669" spans="3:4" ht="15.75" customHeight="1">
      <c r="C669" s="167"/>
      <c r="D669" s="125"/>
    </row>
    <row r="670" spans="3:4" ht="15.75" customHeight="1">
      <c r="C670" s="167"/>
      <c r="D670" s="125"/>
    </row>
    <row r="671" spans="3:4" ht="15.75" customHeight="1">
      <c r="C671" s="167"/>
      <c r="D671" s="125"/>
    </row>
    <row r="672" spans="3:4" ht="15.75" customHeight="1">
      <c r="C672" s="167"/>
      <c r="D672" s="125"/>
    </row>
    <row r="673" spans="3:4" ht="15.75" customHeight="1">
      <c r="C673" s="167"/>
      <c r="D673" s="125"/>
    </row>
    <row r="674" spans="3:4" ht="15.75" customHeight="1">
      <c r="C674" s="167"/>
      <c r="D674" s="125"/>
    </row>
    <row r="675" spans="3:4" ht="15.75" customHeight="1">
      <c r="C675" s="167"/>
      <c r="D675" s="125"/>
    </row>
    <row r="676" spans="3:4" ht="15.75" customHeight="1">
      <c r="C676" s="167"/>
      <c r="D676" s="125"/>
    </row>
    <row r="677" spans="3:4" ht="15.75" customHeight="1">
      <c r="C677" s="167"/>
      <c r="D677" s="125"/>
    </row>
    <row r="678" spans="3:4" ht="15.75" customHeight="1">
      <c r="C678" s="167"/>
      <c r="D678" s="125"/>
    </row>
    <row r="679" spans="3:4" ht="15.75" customHeight="1">
      <c r="C679" s="167"/>
      <c r="D679" s="125"/>
    </row>
    <row r="680" spans="3:4" ht="15.75" customHeight="1">
      <c r="C680" s="167"/>
      <c r="D680" s="125"/>
    </row>
    <row r="681" spans="3:4" ht="15.75" customHeight="1">
      <c r="C681" s="167"/>
      <c r="D681" s="125"/>
    </row>
    <row r="682" spans="3:4" ht="15.75" customHeight="1">
      <c r="C682" s="167"/>
      <c r="D682" s="125"/>
    </row>
    <row r="683" spans="3:4" ht="15.75" customHeight="1">
      <c r="C683" s="167"/>
      <c r="D683" s="125"/>
    </row>
    <row r="684" spans="3:4" ht="15.75" customHeight="1">
      <c r="C684" s="167"/>
      <c r="D684" s="125"/>
    </row>
    <row r="685" spans="3:4" ht="15.75" customHeight="1">
      <c r="C685" s="167"/>
      <c r="D685" s="125"/>
    </row>
    <row r="686" spans="3:4" ht="15.75" customHeight="1">
      <c r="C686" s="167"/>
      <c r="D686" s="125"/>
    </row>
    <row r="687" spans="3:4" ht="15.75" customHeight="1">
      <c r="C687" s="167"/>
      <c r="D687" s="125"/>
    </row>
    <row r="688" spans="3:4" ht="15.75" customHeight="1">
      <c r="C688" s="167"/>
      <c r="D688" s="125"/>
    </row>
    <row r="689" spans="3:4" ht="15.75" customHeight="1">
      <c r="C689" s="167"/>
      <c r="D689" s="125"/>
    </row>
    <row r="690" spans="3:4" ht="15.75" customHeight="1">
      <c r="C690" s="167"/>
      <c r="D690" s="125"/>
    </row>
    <row r="691" spans="3:4" ht="15.75" customHeight="1">
      <c r="C691" s="167"/>
      <c r="D691" s="125"/>
    </row>
    <row r="692" spans="3:4" ht="15.75" customHeight="1">
      <c r="C692" s="167"/>
      <c r="D692" s="125"/>
    </row>
    <row r="693" spans="3:4" ht="15.75" customHeight="1">
      <c r="C693" s="167"/>
      <c r="D693" s="125"/>
    </row>
    <row r="694" spans="3:4" ht="15.75" customHeight="1">
      <c r="C694" s="167"/>
      <c r="D694" s="125"/>
    </row>
    <row r="695" spans="3:4" ht="15.75" customHeight="1">
      <c r="C695" s="167"/>
      <c r="D695" s="125"/>
    </row>
    <row r="696" spans="3:4" ht="15.75" customHeight="1">
      <c r="C696" s="167"/>
      <c r="D696" s="125"/>
    </row>
    <row r="697" spans="3:4" ht="15.75" customHeight="1">
      <c r="C697" s="167"/>
      <c r="D697" s="125"/>
    </row>
    <row r="698" spans="3:4" ht="15.75" customHeight="1">
      <c r="C698" s="167"/>
      <c r="D698" s="125"/>
    </row>
    <row r="699" spans="3:4" ht="15.75" customHeight="1">
      <c r="C699" s="167"/>
      <c r="D699" s="125"/>
    </row>
    <row r="700" spans="3:4" ht="15.75" customHeight="1">
      <c r="C700" s="167"/>
      <c r="D700" s="125"/>
    </row>
    <row r="701" spans="3:4" ht="15.75" customHeight="1">
      <c r="C701" s="167"/>
      <c r="D701" s="125"/>
    </row>
    <row r="702" spans="3:4" ht="15.75" customHeight="1">
      <c r="C702" s="167"/>
      <c r="D702" s="125"/>
    </row>
    <row r="703" spans="3:4" ht="15.75" customHeight="1">
      <c r="C703" s="167"/>
      <c r="D703" s="125"/>
    </row>
    <row r="704" spans="3:4" ht="15.75" customHeight="1">
      <c r="C704" s="167"/>
      <c r="D704" s="125"/>
    </row>
    <row r="705" spans="3:4" ht="15.75" customHeight="1">
      <c r="C705" s="167"/>
      <c r="D705" s="125"/>
    </row>
    <row r="706" spans="3:4" ht="15.75" customHeight="1">
      <c r="C706" s="167"/>
      <c r="D706" s="125"/>
    </row>
    <row r="707" spans="3:4" ht="15.75" customHeight="1">
      <c r="C707" s="167"/>
      <c r="D707" s="125"/>
    </row>
    <row r="708" spans="3:4" ht="15.75" customHeight="1">
      <c r="C708" s="167"/>
      <c r="D708" s="125"/>
    </row>
    <row r="709" spans="3:4" ht="15.75" customHeight="1">
      <c r="C709" s="167"/>
      <c r="D709" s="125"/>
    </row>
    <row r="710" spans="3:4" ht="15.75" customHeight="1">
      <c r="C710" s="167"/>
      <c r="D710" s="125"/>
    </row>
    <row r="711" spans="3:4" ht="15.75" customHeight="1">
      <c r="C711" s="167"/>
      <c r="D711" s="125"/>
    </row>
    <row r="712" spans="3:4" ht="15.75" customHeight="1">
      <c r="C712" s="167"/>
      <c r="D712" s="125"/>
    </row>
    <row r="713" spans="3:4" ht="15.75" customHeight="1">
      <c r="C713" s="167"/>
      <c r="D713" s="125"/>
    </row>
    <row r="714" spans="3:4" ht="15.75" customHeight="1">
      <c r="C714" s="167"/>
      <c r="D714" s="125"/>
    </row>
    <row r="715" spans="3:4" ht="15.75" customHeight="1">
      <c r="C715" s="167"/>
      <c r="D715" s="125"/>
    </row>
    <row r="716" spans="3:4" ht="15.75" customHeight="1">
      <c r="C716" s="167"/>
      <c r="D716" s="125"/>
    </row>
    <row r="717" spans="3:4" ht="15.75" customHeight="1">
      <c r="C717" s="167"/>
      <c r="D717" s="125"/>
    </row>
    <row r="718" spans="3:4" ht="15.75" customHeight="1">
      <c r="C718" s="167"/>
      <c r="D718" s="125"/>
    </row>
    <row r="719" spans="3:4" ht="15.75" customHeight="1">
      <c r="C719" s="167"/>
      <c r="D719" s="125"/>
    </row>
    <row r="720" spans="3:4" ht="15.75" customHeight="1">
      <c r="C720" s="167"/>
      <c r="D720" s="125"/>
    </row>
    <row r="721" spans="3:4" ht="15.75" customHeight="1">
      <c r="C721" s="167"/>
      <c r="D721" s="125"/>
    </row>
    <row r="722" spans="3:4" ht="15.75" customHeight="1">
      <c r="C722" s="167"/>
      <c r="D722" s="125"/>
    </row>
    <row r="723" spans="3:4" ht="15.75" customHeight="1">
      <c r="C723" s="167"/>
      <c r="D723" s="125"/>
    </row>
    <row r="724" spans="3:4" ht="15.75" customHeight="1">
      <c r="C724" s="167"/>
      <c r="D724" s="125"/>
    </row>
    <row r="725" spans="3:4" ht="15.75" customHeight="1">
      <c r="C725" s="167"/>
      <c r="D725" s="125"/>
    </row>
    <row r="726" spans="3:4" ht="15.75" customHeight="1">
      <c r="C726" s="167"/>
      <c r="D726" s="125"/>
    </row>
    <row r="727" spans="3:4" ht="15.75" customHeight="1">
      <c r="C727" s="167"/>
      <c r="D727" s="125"/>
    </row>
    <row r="728" spans="3:4" ht="15.75" customHeight="1">
      <c r="C728" s="167"/>
      <c r="D728" s="125"/>
    </row>
    <row r="729" spans="3:4" ht="15.75" customHeight="1">
      <c r="C729" s="167"/>
      <c r="D729" s="125"/>
    </row>
    <row r="730" spans="3:4" ht="15.75" customHeight="1">
      <c r="C730" s="167"/>
      <c r="D730" s="125"/>
    </row>
    <row r="731" spans="3:4" ht="15.75" customHeight="1">
      <c r="C731" s="167"/>
      <c r="D731" s="125"/>
    </row>
    <row r="732" spans="3:4" ht="15.75" customHeight="1">
      <c r="C732" s="167"/>
      <c r="D732" s="125"/>
    </row>
    <row r="733" spans="3:4" ht="15.75" customHeight="1">
      <c r="C733" s="167"/>
      <c r="D733" s="125"/>
    </row>
    <row r="734" spans="3:4" ht="15.75" customHeight="1">
      <c r="C734" s="167"/>
      <c r="D734" s="125"/>
    </row>
    <row r="735" spans="3:4" ht="15.75" customHeight="1">
      <c r="C735" s="167"/>
      <c r="D735" s="125"/>
    </row>
    <row r="736" spans="3:4" ht="15.75" customHeight="1">
      <c r="C736" s="167"/>
      <c r="D736" s="125"/>
    </row>
    <row r="737" spans="3:4" ht="15.75" customHeight="1">
      <c r="C737" s="167"/>
      <c r="D737" s="125"/>
    </row>
    <row r="738" spans="3:4" ht="15.75" customHeight="1">
      <c r="C738" s="167"/>
      <c r="D738" s="125"/>
    </row>
    <row r="739" spans="3:4" ht="15.75" customHeight="1">
      <c r="C739" s="167"/>
      <c r="D739" s="125"/>
    </row>
    <row r="740" spans="3:4" ht="15.75" customHeight="1">
      <c r="C740" s="167"/>
      <c r="D740" s="125"/>
    </row>
    <row r="741" spans="3:4" ht="15.75" customHeight="1">
      <c r="C741" s="167"/>
      <c r="D741" s="125"/>
    </row>
    <row r="742" spans="3:4" ht="15.75" customHeight="1">
      <c r="C742" s="167"/>
      <c r="D742" s="125"/>
    </row>
    <row r="743" spans="3:4" ht="15.75" customHeight="1">
      <c r="C743" s="167"/>
      <c r="D743" s="125"/>
    </row>
    <row r="744" spans="3:4" ht="15.75" customHeight="1">
      <c r="C744" s="167"/>
      <c r="D744" s="125"/>
    </row>
    <row r="745" spans="3:4" ht="15.75" customHeight="1">
      <c r="C745" s="167"/>
      <c r="D745" s="125"/>
    </row>
    <row r="746" spans="3:4" ht="15.75" customHeight="1">
      <c r="C746" s="167"/>
      <c r="D746" s="125"/>
    </row>
    <row r="747" spans="3:4" ht="15.75" customHeight="1">
      <c r="C747" s="167"/>
      <c r="D747" s="125"/>
    </row>
    <row r="748" spans="3:4" ht="15.75" customHeight="1">
      <c r="C748" s="167"/>
      <c r="D748" s="125"/>
    </row>
    <row r="749" spans="3:4" ht="15.75" customHeight="1">
      <c r="C749" s="167"/>
      <c r="D749" s="125"/>
    </row>
    <row r="750" spans="3:4" ht="15.75" customHeight="1">
      <c r="C750" s="167"/>
      <c r="D750" s="125"/>
    </row>
    <row r="751" spans="3:4" ht="15.75" customHeight="1">
      <c r="C751" s="167"/>
      <c r="D751" s="125"/>
    </row>
    <row r="752" spans="3:4" ht="15.75" customHeight="1">
      <c r="C752" s="167"/>
      <c r="D752" s="125"/>
    </row>
    <row r="753" spans="3:4" ht="15.75" customHeight="1">
      <c r="C753" s="167"/>
      <c r="D753" s="125"/>
    </row>
    <row r="754" spans="3:4" ht="15.75" customHeight="1">
      <c r="C754" s="167"/>
      <c r="D754" s="125"/>
    </row>
    <row r="755" spans="3:4" ht="15.75" customHeight="1">
      <c r="C755" s="167"/>
      <c r="D755" s="125"/>
    </row>
    <row r="756" spans="3:4" ht="15.75" customHeight="1">
      <c r="C756" s="167"/>
      <c r="D756" s="125"/>
    </row>
    <row r="757" spans="3:4" ht="15.75" customHeight="1">
      <c r="C757" s="167"/>
      <c r="D757" s="125"/>
    </row>
    <row r="758" spans="3:4" ht="15.75" customHeight="1">
      <c r="C758" s="167"/>
      <c r="D758" s="125"/>
    </row>
    <row r="759" spans="3:4" ht="15.75" customHeight="1">
      <c r="C759" s="167"/>
      <c r="D759" s="125"/>
    </row>
    <row r="760" spans="3:4" ht="15.75" customHeight="1">
      <c r="C760" s="167"/>
      <c r="D760" s="125"/>
    </row>
    <row r="761" spans="3:4" ht="15.75" customHeight="1">
      <c r="C761" s="167"/>
      <c r="D761" s="125"/>
    </row>
    <row r="762" spans="3:4" ht="15.75" customHeight="1">
      <c r="C762" s="167"/>
      <c r="D762" s="125"/>
    </row>
    <row r="763" spans="3:4" ht="15.75" customHeight="1">
      <c r="C763" s="167"/>
      <c r="D763" s="125"/>
    </row>
    <row r="764" spans="3:4" ht="15.75" customHeight="1">
      <c r="C764" s="167"/>
      <c r="D764" s="125"/>
    </row>
    <row r="765" spans="3:4" ht="15.75" customHeight="1">
      <c r="C765" s="167"/>
      <c r="D765" s="125"/>
    </row>
    <row r="766" spans="3:4" ht="15.75" customHeight="1">
      <c r="C766" s="167"/>
      <c r="D766" s="125"/>
    </row>
    <row r="767" spans="3:4" ht="15.75" customHeight="1">
      <c r="C767" s="167"/>
      <c r="D767" s="125"/>
    </row>
    <row r="768" spans="3:4" ht="15.75" customHeight="1">
      <c r="C768" s="167"/>
      <c r="D768" s="125"/>
    </row>
    <row r="769" spans="3:4" ht="15.75" customHeight="1">
      <c r="C769" s="167"/>
      <c r="D769" s="125"/>
    </row>
    <row r="770" spans="3:4" ht="15.75" customHeight="1">
      <c r="C770" s="167"/>
      <c r="D770" s="125"/>
    </row>
    <row r="771" spans="3:4" ht="15.75" customHeight="1">
      <c r="C771" s="167"/>
      <c r="D771" s="125"/>
    </row>
    <row r="772" spans="3:4" ht="15.75" customHeight="1">
      <c r="C772" s="167"/>
      <c r="D772" s="125"/>
    </row>
    <row r="773" spans="3:4" ht="15.75" customHeight="1">
      <c r="C773" s="167"/>
      <c r="D773" s="125"/>
    </row>
    <row r="774" spans="3:4" ht="15.75" customHeight="1">
      <c r="C774" s="167"/>
      <c r="D774" s="125"/>
    </row>
    <row r="775" spans="3:4" ht="15.75" customHeight="1">
      <c r="C775" s="167"/>
      <c r="D775" s="125"/>
    </row>
    <row r="776" spans="3:4" ht="15.75" customHeight="1">
      <c r="C776" s="167"/>
      <c r="D776" s="125"/>
    </row>
    <row r="777" spans="3:4" ht="15.75" customHeight="1">
      <c r="C777" s="167"/>
      <c r="D777" s="125"/>
    </row>
    <row r="778" spans="3:4" ht="15.75" customHeight="1">
      <c r="C778" s="167"/>
      <c r="D778" s="125"/>
    </row>
    <row r="779" spans="3:4" ht="15.75" customHeight="1">
      <c r="C779" s="167"/>
      <c r="D779" s="125"/>
    </row>
    <row r="780" spans="3:4" ht="15.75" customHeight="1">
      <c r="C780" s="167"/>
      <c r="D780" s="125"/>
    </row>
    <row r="781" spans="3:4" ht="15.75" customHeight="1">
      <c r="C781" s="167"/>
      <c r="D781" s="125"/>
    </row>
    <row r="782" spans="3:4" ht="15.75" customHeight="1">
      <c r="C782" s="167"/>
      <c r="D782" s="125"/>
    </row>
    <row r="783" spans="3:4" ht="15.75" customHeight="1">
      <c r="C783" s="167"/>
      <c r="D783" s="125"/>
    </row>
    <row r="784" spans="3:4" ht="15.75" customHeight="1">
      <c r="C784" s="167"/>
      <c r="D784" s="125"/>
    </row>
    <row r="785" spans="3:4" ht="15.75" customHeight="1">
      <c r="C785" s="167"/>
      <c r="D785" s="125"/>
    </row>
    <row r="786" spans="3:4" ht="15.75" customHeight="1">
      <c r="C786" s="167"/>
      <c r="D786" s="125"/>
    </row>
    <row r="787" spans="3:4" ht="15.75" customHeight="1">
      <c r="C787" s="167"/>
      <c r="D787" s="125"/>
    </row>
    <row r="788" spans="3:4" ht="15.75" customHeight="1">
      <c r="C788" s="167"/>
      <c r="D788" s="125"/>
    </row>
    <row r="789" spans="3:4" ht="15.75" customHeight="1">
      <c r="C789" s="167"/>
      <c r="D789" s="125"/>
    </row>
    <row r="790" spans="3:4" ht="15.75" customHeight="1">
      <c r="C790" s="167"/>
      <c r="D790" s="125"/>
    </row>
    <row r="791" spans="3:4" ht="15.75" customHeight="1">
      <c r="C791" s="167"/>
      <c r="D791" s="125"/>
    </row>
    <row r="792" spans="3:4" ht="15.75" customHeight="1">
      <c r="C792" s="167"/>
      <c r="D792" s="125"/>
    </row>
    <row r="793" spans="3:4" ht="15.75" customHeight="1">
      <c r="C793" s="167"/>
      <c r="D793" s="125"/>
    </row>
    <row r="794" spans="3:4" ht="15.75" customHeight="1">
      <c r="C794" s="167"/>
      <c r="D794" s="125"/>
    </row>
    <row r="795" spans="3:4" ht="15.75" customHeight="1">
      <c r="C795" s="167"/>
      <c r="D795" s="125"/>
    </row>
    <row r="796" spans="3:4" ht="15.75" customHeight="1">
      <c r="C796" s="167"/>
      <c r="D796" s="125"/>
    </row>
    <row r="797" spans="3:4" ht="15.75" customHeight="1">
      <c r="C797" s="167"/>
      <c r="D797" s="125"/>
    </row>
    <row r="798" spans="3:4" ht="15.75" customHeight="1">
      <c r="C798" s="167"/>
      <c r="D798" s="125"/>
    </row>
    <row r="799" spans="3:4" ht="15.75" customHeight="1">
      <c r="C799" s="167"/>
      <c r="D799" s="125"/>
    </row>
    <row r="800" spans="3:4" ht="15.75" customHeight="1">
      <c r="C800" s="167"/>
      <c r="D800" s="125"/>
    </row>
    <row r="801" spans="3:4" ht="15.75" customHeight="1">
      <c r="C801" s="167"/>
      <c r="D801" s="125"/>
    </row>
    <row r="802" spans="3:4" ht="15.75" customHeight="1">
      <c r="C802" s="167"/>
      <c r="D802" s="125"/>
    </row>
    <row r="803" spans="3:4" ht="15.75" customHeight="1">
      <c r="C803" s="167"/>
      <c r="D803" s="125"/>
    </row>
    <row r="804" spans="3:4" ht="15.75" customHeight="1">
      <c r="C804" s="167"/>
      <c r="D804" s="125"/>
    </row>
    <row r="805" spans="3:4" ht="15.75" customHeight="1">
      <c r="C805" s="167"/>
      <c r="D805" s="125"/>
    </row>
    <row r="806" spans="3:4" ht="15.75" customHeight="1">
      <c r="C806" s="167"/>
      <c r="D806" s="125"/>
    </row>
    <row r="807" spans="3:4" ht="15.75" customHeight="1">
      <c r="C807" s="167"/>
      <c r="D807" s="125"/>
    </row>
    <row r="808" spans="3:4" ht="15.75" customHeight="1">
      <c r="C808" s="167"/>
      <c r="D808" s="125"/>
    </row>
    <row r="809" spans="3:4" ht="15.75" customHeight="1">
      <c r="C809" s="167"/>
      <c r="D809" s="125"/>
    </row>
    <row r="810" spans="3:4" ht="15.75" customHeight="1">
      <c r="C810" s="167"/>
      <c r="D810" s="125"/>
    </row>
    <row r="811" spans="3:4" ht="15.75" customHeight="1">
      <c r="C811" s="167"/>
      <c r="D811" s="125"/>
    </row>
    <row r="812" spans="3:4" ht="15.75" customHeight="1">
      <c r="C812" s="167"/>
      <c r="D812" s="125"/>
    </row>
    <row r="813" spans="3:4" ht="15.75" customHeight="1">
      <c r="C813" s="167"/>
      <c r="D813" s="125"/>
    </row>
    <row r="814" spans="3:4" ht="15.75" customHeight="1">
      <c r="C814" s="167"/>
      <c r="D814" s="125"/>
    </row>
    <row r="815" spans="3:4" ht="15.75" customHeight="1">
      <c r="C815" s="167"/>
      <c r="D815" s="125"/>
    </row>
    <row r="816" spans="3:4" ht="15.75" customHeight="1">
      <c r="C816" s="167"/>
      <c r="D816" s="125"/>
    </row>
    <row r="817" spans="3:4" ht="15.75" customHeight="1">
      <c r="C817" s="167"/>
      <c r="D817" s="125"/>
    </row>
    <row r="818" spans="3:4" ht="15.75" customHeight="1">
      <c r="C818" s="167"/>
      <c r="D818" s="125"/>
    </row>
    <row r="819" spans="3:4" ht="15.75" customHeight="1">
      <c r="C819" s="167"/>
      <c r="D819" s="125"/>
    </row>
    <row r="820" spans="3:4" ht="15.75" customHeight="1">
      <c r="C820" s="167"/>
      <c r="D820" s="125"/>
    </row>
    <row r="821" spans="3:4" ht="15.75" customHeight="1">
      <c r="C821" s="167"/>
      <c r="D821" s="125"/>
    </row>
    <row r="822" spans="3:4" ht="15.75" customHeight="1">
      <c r="C822" s="167"/>
      <c r="D822" s="125"/>
    </row>
    <row r="823" spans="3:4" ht="15.75" customHeight="1">
      <c r="C823" s="167"/>
      <c r="D823" s="125"/>
    </row>
    <row r="824" spans="3:4" ht="15.75" customHeight="1">
      <c r="C824" s="167"/>
      <c r="D824" s="125"/>
    </row>
    <row r="825" spans="3:4" ht="15.75" customHeight="1">
      <c r="C825" s="167"/>
      <c r="D825" s="125"/>
    </row>
    <row r="826" spans="3:4" ht="15.75" customHeight="1">
      <c r="C826" s="167"/>
      <c r="D826" s="125"/>
    </row>
    <row r="827" spans="3:4" ht="15.75" customHeight="1">
      <c r="C827" s="167"/>
      <c r="D827" s="125"/>
    </row>
    <row r="828" spans="3:4" ht="15.75" customHeight="1">
      <c r="C828" s="167"/>
      <c r="D828" s="125"/>
    </row>
    <row r="829" spans="3:4" ht="15.75" customHeight="1">
      <c r="C829" s="167"/>
      <c r="D829" s="125"/>
    </row>
    <row r="830" spans="3:4" ht="15.75" customHeight="1">
      <c r="C830" s="167"/>
      <c r="D830" s="125"/>
    </row>
    <row r="831" spans="3:4" ht="15.75" customHeight="1">
      <c r="C831" s="167"/>
      <c r="D831" s="125"/>
    </row>
    <row r="832" spans="3:4" ht="15.75" customHeight="1">
      <c r="C832" s="167"/>
      <c r="D832" s="125"/>
    </row>
    <row r="833" spans="3:4" ht="15.75" customHeight="1">
      <c r="C833" s="167"/>
      <c r="D833" s="125"/>
    </row>
    <row r="834" spans="3:4" ht="15.75" customHeight="1">
      <c r="C834" s="167"/>
      <c r="D834" s="125"/>
    </row>
    <row r="835" spans="3:4" ht="15.75" customHeight="1">
      <c r="C835" s="167"/>
      <c r="D835" s="125"/>
    </row>
    <row r="836" spans="3:4" ht="15.75" customHeight="1">
      <c r="C836" s="167"/>
      <c r="D836" s="125"/>
    </row>
    <row r="837" spans="3:4" ht="15.75" customHeight="1">
      <c r="C837" s="167"/>
      <c r="D837" s="125"/>
    </row>
    <row r="838" spans="3:4" ht="15.75" customHeight="1">
      <c r="C838" s="167"/>
      <c r="D838" s="125"/>
    </row>
    <row r="839" spans="3:4" ht="15.75" customHeight="1">
      <c r="C839" s="167"/>
      <c r="D839" s="125"/>
    </row>
    <row r="840" spans="3:4" ht="15.75" customHeight="1">
      <c r="C840" s="167"/>
      <c r="D840" s="125"/>
    </row>
    <row r="841" spans="3:4" ht="15.75" customHeight="1">
      <c r="C841" s="167"/>
      <c r="D841" s="125"/>
    </row>
    <row r="842" spans="3:4" ht="15.75" customHeight="1">
      <c r="C842" s="167"/>
      <c r="D842" s="125"/>
    </row>
    <row r="843" spans="3:4" ht="15.75" customHeight="1">
      <c r="C843" s="167"/>
      <c r="D843" s="125"/>
    </row>
    <row r="844" spans="3:4" ht="15.75" customHeight="1">
      <c r="C844" s="167"/>
      <c r="D844" s="125"/>
    </row>
    <row r="845" spans="3:4" ht="15.75" customHeight="1">
      <c r="C845" s="167"/>
      <c r="D845" s="125"/>
    </row>
    <row r="846" spans="3:4" ht="15.75" customHeight="1">
      <c r="C846" s="167"/>
      <c r="D846" s="125"/>
    </row>
    <row r="847" spans="3:4" ht="15.75" customHeight="1">
      <c r="C847" s="167"/>
      <c r="D847" s="125"/>
    </row>
    <row r="848" spans="3:4" ht="15.75" customHeight="1">
      <c r="C848" s="167"/>
      <c r="D848" s="125"/>
    </row>
    <row r="849" spans="3:4" ht="15.75" customHeight="1">
      <c r="C849" s="167"/>
      <c r="D849" s="125"/>
    </row>
    <row r="850" spans="3:4" ht="15.75" customHeight="1">
      <c r="C850" s="167"/>
      <c r="D850" s="125"/>
    </row>
    <row r="851" spans="3:4" ht="15.75" customHeight="1">
      <c r="C851" s="167"/>
      <c r="D851" s="125"/>
    </row>
    <row r="852" spans="3:4" ht="15.75" customHeight="1">
      <c r="C852" s="167"/>
      <c r="D852" s="125"/>
    </row>
    <row r="853" spans="3:4" ht="15.75" customHeight="1">
      <c r="C853" s="167"/>
      <c r="D853" s="125"/>
    </row>
    <row r="854" spans="3:4" ht="15.75" customHeight="1">
      <c r="C854" s="167"/>
      <c r="D854" s="125"/>
    </row>
    <row r="855" spans="3:4" ht="15.75" customHeight="1">
      <c r="C855" s="167"/>
      <c r="D855" s="125"/>
    </row>
    <row r="856" spans="3:4" ht="15.75" customHeight="1">
      <c r="C856" s="167"/>
      <c r="D856" s="125"/>
    </row>
    <row r="857" spans="3:4" ht="15.75" customHeight="1">
      <c r="C857" s="167"/>
      <c r="D857" s="125"/>
    </row>
    <row r="858" spans="3:4" ht="15.75" customHeight="1">
      <c r="C858" s="167"/>
      <c r="D858" s="125"/>
    </row>
    <row r="859" spans="3:4" ht="15.75" customHeight="1">
      <c r="C859" s="167"/>
      <c r="D859" s="125"/>
    </row>
    <row r="860" spans="3:4" ht="15.75" customHeight="1">
      <c r="C860" s="167"/>
      <c r="D860" s="125"/>
    </row>
    <row r="861" spans="3:4" ht="15.75" customHeight="1">
      <c r="C861" s="167"/>
      <c r="D861" s="125"/>
    </row>
    <row r="862" spans="3:4" ht="15.75" customHeight="1">
      <c r="C862" s="167"/>
      <c r="D862" s="125"/>
    </row>
    <row r="863" spans="3:4" ht="15.75" customHeight="1">
      <c r="C863" s="167"/>
      <c r="D863" s="125"/>
    </row>
    <row r="864" spans="3:4" ht="15.75" customHeight="1">
      <c r="C864" s="167"/>
      <c r="D864" s="125"/>
    </row>
    <row r="865" spans="3:4" ht="15.75" customHeight="1">
      <c r="C865" s="167"/>
      <c r="D865" s="125"/>
    </row>
    <row r="866" spans="3:4" ht="15.75" customHeight="1">
      <c r="C866" s="167"/>
      <c r="D866" s="125"/>
    </row>
    <row r="867" spans="3:4" ht="15.75" customHeight="1">
      <c r="C867" s="167"/>
      <c r="D867" s="125"/>
    </row>
    <row r="868" spans="3:4" ht="15.75" customHeight="1">
      <c r="C868" s="167"/>
      <c r="D868" s="125"/>
    </row>
    <row r="869" spans="3:4" ht="15.75" customHeight="1">
      <c r="C869" s="167"/>
      <c r="D869" s="125"/>
    </row>
    <row r="870" spans="3:4" ht="15.75" customHeight="1">
      <c r="C870" s="167"/>
      <c r="D870" s="125"/>
    </row>
    <row r="871" spans="3:4" ht="15.75" customHeight="1">
      <c r="C871" s="167"/>
      <c r="D871" s="125"/>
    </row>
    <row r="872" spans="3:4" ht="15.75" customHeight="1">
      <c r="C872" s="167"/>
      <c r="D872" s="125"/>
    </row>
    <row r="873" spans="3:4" ht="15.75" customHeight="1">
      <c r="C873" s="167"/>
      <c r="D873" s="125"/>
    </row>
    <row r="874" spans="3:4" ht="15.75" customHeight="1">
      <c r="C874" s="167"/>
      <c r="D874" s="125"/>
    </row>
    <row r="875" spans="3:4" ht="15.75" customHeight="1">
      <c r="C875" s="167"/>
      <c r="D875" s="125"/>
    </row>
    <row r="876" spans="3:4" ht="15.75" customHeight="1">
      <c r="C876" s="167"/>
      <c r="D876" s="125"/>
    </row>
    <row r="877" spans="3:4" ht="15.75" customHeight="1">
      <c r="C877" s="167"/>
      <c r="D877" s="125"/>
    </row>
    <row r="878" spans="3:4" ht="15.75" customHeight="1">
      <c r="C878" s="167"/>
      <c r="D878" s="125"/>
    </row>
    <row r="879" spans="3:4" ht="15.75" customHeight="1">
      <c r="C879" s="167"/>
      <c r="D879" s="125"/>
    </row>
    <row r="880" spans="3:4" ht="15.75" customHeight="1">
      <c r="C880" s="167"/>
      <c r="D880" s="125"/>
    </row>
    <row r="881" spans="3:4" ht="15.75" customHeight="1">
      <c r="C881" s="167"/>
      <c r="D881" s="125"/>
    </row>
    <row r="882" spans="3:4" ht="15.75" customHeight="1">
      <c r="C882" s="167"/>
      <c r="D882" s="125"/>
    </row>
    <row r="883" spans="3:4" ht="15.75" customHeight="1">
      <c r="C883" s="167"/>
      <c r="D883" s="125"/>
    </row>
    <row r="884" spans="3:4" ht="15.75" customHeight="1">
      <c r="C884" s="167"/>
      <c r="D884" s="125"/>
    </row>
    <row r="885" spans="3:4" ht="15.75" customHeight="1">
      <c r="C885" s="167"/>
      <c r="D885" s="125"/>
    </row>
    <row r="886" spans="3:4" ht="15.75" customHeight="1">
      <c r="C886" s="167"/>
      <c r="D886" s="125"/>
    </row>
    <row r="887" spans="3:4" ht="15.75" customHeight="1">
      <c r="C887" s="167"/>
      <c r="D887" s="125"/>
    </row>
    <row r="888" spans="3:4" ht="15.75" customHeight="1">
      <c r="C888" s="167"/>
      <c r="D888" s="125"/>
    </row>
    <row r="889" spans="3:4" ht="15.75" customHeight="1">
      <c r="C889" s="167"/>
      <c r="D889" s="125"/>
    </row>
    <row r="890" spans="3:4" ht="15.75" customHeight="1">
      <c r="C890" s="167"/>
      <c r="D890" s="125"/>
    </row>
    <row r="891" spans="3:4" ht="15.75" customHeight="1">
      <c r="C891" s="167"/>
      <c r="D891" s="125"/>
    </row>
    <row r="892" spans="3:4" ht="15.75" customHeight="1">
      <c r="C892" s="167"/>
      <c r="D892" s="125"/>
    </row>
    <row r="893" spans="3:4" ht="15.75" customHeight="1">
      <c r="C893" s="167"/>
      <c r="D893" s="125"/>
    </row>
    <row r="894" spans="3:4" ht="15.75" customHeight="1">
      <c r="C894" s="167"/>
      <c r="D894" s="125"/>
    </row>
    <row r="895" spans="3:4" ht="15.75" customHeight="1">
      <c r="C895" s="167"/>
      <c r="D895" s="125"/>
    </row>
    <row r="896" spans="3:4" ht="15.75" customHeight="1">
      <c r="C896" s="167"/>
      <c r="D896" s="125"/>
    </row>
    <row r="897" spans="3:4" ht="15.75" customHeight="1">
      <c r="C897" s="167"/>
      <c r="D897" s="125"/>
    </row>
    <row r="898" spans="3:4" ht="15.75" customHeight="1">
      <c r="C898" s="167"/>
      <c r="D898" s="125"/>
    </row>
    <row r="899" spans="3:4" ht="15.75" customHeight="1">
      <c r="C899" s="167"/>
      <c r="D899" s="125"/>
    </row>
    <row r="900" spans="3:4" ht="15.75" customHeight="1">
      <c r="C900" s="167"/>
      <c r="D900" s="125"/>
    </row>
    <row r="901" spans="3:4" ht="15.75" customHeight="1">
      <c r="C901" s="167"/>
      <c r="D901" s="125"/>
    </row>
    <row r="902" spans="3:4" ht="15.75" customHeight="1">
      <c r="C902" s="167"/>
      <c r="D902" s="125"/>
    </row>
    <row r="903" spans="3:4" ht="15.75" customHeight="1">
      <c r="C903" s="167"/>
      <c r="D903" s="125"/>
    </row>
    <row r="904" spans="3:4" ht="15.75" customHeight="1">
      <c r="C904" s="167"/>
      <c r="D904" s="125"/>
    </row>
    <row r="905" spans="3:4" ht="15.75" customHeight="1">
      <c r="C905" s="167"/>
      <c r="D905" s="125"/>
    </row>
    <row r="906" spans="3:4" ht="15.75" customHeight="1">
      <c r="C906" s="167"/>
      <c r="D906" s="125"/>
    </row>
    <row r="907" spans="3:4" ht="15.75" customHeight="1">
      <c r="C907" s="167"/>
      <c r="D907" s="125"/>
    </row>
    <row r="908" spans="3:4" ht="15.75" customHeight="1">
      <c r="C908" s="167"/>
      <c r="D908" s="125"/>
    </row>
    <row r="909" spans="3:4" ht="15.75" customHeight="1">
      <c r="C909" s="167"/>
      <c r="D909" s="125"/>
    </row>
    <row r="910" spans="3:4" ht="15.75" customHeight="1">
      <c r="C910" s="167"/>
      <c r="D910" s="125"/>
    </row>
    <row r="911" spans="3:4" ht="15.75" customHeight="1">
      <c r="C911" s="167"/>
      <c r="D911" s="125"/>
    </row>
    <row r="912" spans="3:4" ht="15.75" customHeight="1">
      <c r="C912" s="167"/>
      <c r="D912" s="125"/>
    </row>
    <row r="913" spans="3:4" ht="15.75" customHeight="1">
      <c r="C913" s="167"/>
      <c r="D913" s="125"/>
    </row>
    <row r="914" spans="3:4" ht="15.75" customHeight="1">
      <c r="C914" s="167"/>
      <c r="D914" s="125"/>
    </row>
    <row r="915" spans="3:4" ht="15.75" customHeight="1">
      <c r="C915" s="167"/>
      <c r="D915" s="125"/>
    </row>
    <row r="916" spans="3:4" ht="15.75" customHeight="1">
      <c r="C916" s="167"/>
      <c r="D916" s="125"/>
    </row>
    <row r="917" spans="3:4" ht="15.75" customHeight="1">
      <c r="C917" s="167"/>
      <c r="D917" s="125"/>
    </row>
    <row r="918" spans="3:4" ht="15.75" customHeight="1">
      <c r="C918" s="167"/>
      <c r="D918" s="125"/>
    </row>
    <row r="919" spans="3:4" ht="15.75" customHeight="1">
      <c r="C919" s="167"/>
      <c r="D919" s="125"/>
    </row>
    <row r="920" spans="3:4" ht="15.75" customHeight="1">
      <c r="C920" s="167"/>
      <c r="D920" s="125"/>
    </row>
    <row r="921" spans="3:4" ht="15.75" customHeight="1">
      <c r="C921" s="167"/>
      <c r="D921" s="125"/>
    </row>
    <row r="922" spans="3:4" ht="15.75" customHeight="1">
      <c r="C922" s="167"/>
      <c r="D922" s="125"/>
    </row>
    <row r="923" spans="3:4" ht="15.75" customHeight="1">
      <c r="C923" s="167"/>
      <c r="D923" s="125"/>
    </row>
    <row r="924" spans="3:4" ht="15.75" customHeight="1">
      <c r="C924" s="167"/>
      <c r="D924" s="125"/>
    </row>
    <row r="925" spans="3:4" ht="15.75" customHeight="1">
      <c r="C925" s="167"/>
      <c r="D925" s="125"/>
    </row>
    <row r="926" spans="3:4" ht="15.75" customHeight="1">
      <c r="C926" s="167"/>
      <c r="D926" s="125"/>
    </row>
    <row r="927" spans="3:4" ht="15.75" customHeight="1">
      <c r="C927" s="167"/>
      <c r="D927" s="125"/>
    </row>
    <row r="928" spans="3:4" ht="15.75" customHeight="1">
      <c r="C928" s="167"/>
      <c r="D928" s="125"/>
    </row>
    <row r="929" spans="3:4" ht="15.75" customHeight="1">
      <c r="C929" s="167"/>
      <c r="D929" s="125"/>
    </row>
    <row r="930" spans="3:4" ht="15.75" customHeight="1">
      <c r="C930" s="167"/>
      <c r="D930" s="125"/>
    </row>
    <row r="931" spans="3:4" ht="15.75" customHeight="1">
      <c r="C931" s="167"/>
      <c r="D931" s="125"/>
    </row>
    <row r="932" spans="3:4" ht="15.75" customHeight="1">
      <c r="C932" s="167"/>
      <c r="D932" s="125"/>
    </row>
    <row r="933" spans="3:4" ht="15.75" customHeight="1">
      <c r="C933" s="167"/>
      <c r="D933" s="125"/>
    </row>
    <row r="934" spans="3:4" ht="15.75" customHeight="1">
      <c r="C934" s="167"/>
      <c r="D934" s="125"/>
    </row>
    <row r="935" spans="3:4" ht="15.75" customHeight="1">
      <c r="C935" s="167"/>
      <c r="D935" s="125"/>
    </row>
    <row r="936" spans="3:4" ht="15.75" customHeight="1">
      <c r="C936" s="167"/>
      <c r="D936" s="125"/>
    </row>
    <row r="937" spans="3:4" ht="15.75" customHeight="1">
      <c r="C937" s="167"/>
      <c r="D937" s="125"/>
    </row>
    <row r="938" spans="3:4" ht="15.75" customHeight="1">
      <c r="C938" s="167"/>
      <c r="D938" s="125"/>
    </row>
    <row r="939" spans="3:4" ht="15.75" customHeight="1">
      <c r="C939" s="167"/>
      <c r="D939" s="125"/>
    </row>
    <row r="940" spans="3:4" ht="15.75" customHeight="1">
      <c r="C940" s="167"/>
      <c r="D940" s="125"/>
    </row>
    <row r="941" spans="3:4" ht="15.75" customHeight="1">
      <c r="C941" s="167"/>
      <c r="D941" s="125"/>
    </row>
    <row r="942" spans="3:4" ht="15.75" customHeight="1">
      <c r="C942" s="167"/>
      <c r="D942" s="125"/>
    </row>
    <row r="943" spans="3:4" ht="15.75" customHeight="1">
      <c r="C943" s="167"/>
      <c r="D943" s="125"/>
    </row>
    <row r="944" spans="3:4" ht="15.75" customHeight="1">
      <c r="C944" s="167"/>
      <c r="D944" s="125"/>
    </row>
    <row r="945" spans="3:4" ht="15.75" customHeight="1">
      <c r="C945" s="167"/>
      <c r="D945" s="125"/>
    </row>
    <row r="946" spans="3:4" ht="15.75" customHeight="1">
      <c r="C946" s="167"/>
      <c r="D946" s="125"/>
    </row>
    <row r="947" spans="3:4" ht="15.75" customHeight="1">
      <c r="C947" s="167"/>
      <c r="D947" s="125"/>
    </row>
    <row r="948" spans="3:4" ht="15.75" customHeight="1">
      <c r="C948" s="167"/>
      <c r="D948" s="125"/>
    </row>
    <row r="949" spans="3:4" ht="15.75" customHeight="1">
      <c r="C949" s="167"/>
      <c r="D949" s="125"/>
    </row>
    <row r="950" spans="3:4" ht="15.75" customHeight="1">
      <c r="C950" s="167"/>
      <c r="D950" s="125"/>
    </row>
    <row r="951" spans="3:4" ht="15.75" customHeight="1">
      <c r="C951" s="167"/>
      <c r="D951" s="125"/>
    </row>
    <row r="952" spans="3:4" ht="15.75" customHeight="1">
      <c r="C952" s="167"/>
      <c r="D952" s="125"/>
    </row>
    <row r="953" spans="3:4" ht="15.75" customHeight="1">
      <c r="C953" s="167"/>
      <c r="D953" s="125"/>
    </row>
    <row r="954" spans="3:4" ht="15.75" customHeight="1">
      <c r="C954" s="167"/>
      <c r="D954" s="125"/>
    </row>
    <row r="955" spans="3:4" ht="15.75" customHeight="1">
      <c r="C955" s="167"/>
      <c r="D955" s="125"/>
    </row>
    <row r="956" spans="3:4" ht="15.75" customHeight="1">
      <c r="C956" s="167"/>
      <c r="D956" s="125"/>
    </row>
    <row r="957" spans="3:4" ht="15.75" customHeight="1">
      <c r="C957" s="167"/>
      <c r="D957" s="125"/>
    </row>
    <row r="958" spans="3:4" ht="15.75" customHeight="1">
      <c r="C958" s="167"/>
      <c r="D958" s="125"/>
    </row>
    <row r="959" spans="3:4" ht="15.75" customHeight="1">
      <c r="C959" s="167"/>
      <c r="D959" s="125"/>
    </row>
    <row r="960" spans="3:4" ht="15.75" customHeight="1">
      <c r="C960" s="167"/>
      <c r="D960" s="125"/>
    </row>
    <row r="961" spans="3:4" ht="15.75" customHeight="1">
      <c r="C961" s="167"/>
      <c r="D961" s="125"/>
    </row>
    <row r="962" spans="3:4" ht="15.75" customHeight="1">
      <c r="C962" s="167"/>
      <c r="D962" s="125"/>
    </row>
    <row r="963" spans="3:4" ht="15.75" customHeight="1">
      <c r="C963" s="167"/>
      <c r="D963" s="125"/>
    </row>
    <row r="964" spans="3:4" ht="15.75" customHeight="1">
      <c r="C964" s="167"/>
      <c r="D964" s="125"/>
    </row>
    <row r="965" spans="3:4" ht="15.75" customHeight="1">
      <c r="C965" s="167"/>
      <c r="D965" s="125"/>
    </row>
    <row r="966" spans="3:4" ht="15.75" customHeight="1">
      <c r="C966" s="167"/>
      <c r="D966" s="125"/>
    </row>
    <row r="967" spans="3:4" ht="15.75" customHeight="1">
      <c r="C967" s="167"/>
      <c r="D967" s="125"/>
    </row>
    <row r="968" spans="3:4" ht="15.75" customHeight="1">
      <c r="C968" s="167"/>
      <c r="D968" s="125"/>
    </row>
    <row r="969" spans="3:4" ht="15.75" customHeight="1">
      <c r="C969" s="167"/>
      <c r="D969" s="125"/>
    </row>
    <row r="970" spans="3:4" ht="15.75" customHeight="1">
      <c r="C970" s="167"/>
      <c r="D970" s="125"/>
    </row>
    <row r="971" spans="3:4" ht="15.75" customHeight="1">
      <c r="C971" s="167"/>
      <c r="D971" s="125"/>
    </row>
    <row r="972" spans="3:4" ht="15.75" customHeight="1">
      <c r="C972" s="167"/>
      <c r="D972" s="125"/>
    </row>
    <row r="973" spans="3:4" ht="15.75" customHeight="1">
      <c r="C973" s="167"/>
      <c r="D973" s="125"/>
    </row>
    <row r="974" spans="3:4" ht="15.75" customHeight="1">
      <c r="C974" s="167"/>
      <c r="D974" s="125"/>
    </row>
    <row r="975" spans="3:4" ht="15.75" customHeight="1">
      <c r="C975" s="167"/>
      <c r="D975" s="125"/>
    </row>
    <row r="976" spans="3:4" ht="15.75" customHeight="1">
      <c r="C976" s="167"/>
      <c r="D976" s="125"/>
    </row>
    <row r="977" spans="3:4" ht="15.75" customHeight="1">
      <c r="C977" s="167"/>
      <c r="D977" s="125"/>
    </row>
    <row r="978" spans="3:4" ht="15.75" customHeight="1">
      <c r="C978" s="167"/>
      <c r="D978" s="125"/>
    </row>
    <row r="979" spans="3:4" ht="15.75" customHeight="1">
      <c r="C979" s="167"/>
      <c r="D979" s="125"/>
    </row>
    <row r="980" spans="3:4" ht="15.75" customHeight="1">
      <c r="C980" s="167"/>
      <c r="D980" s="125"/>
    </row>
    <row r="981" spans="3:4" ht="15.75" customHeight="1">
      <c r="C981" s="167"/>
      <c r="D981" s="125"/>
    </row>
    <row r="982" spans="3:4" ht="15.75" customHeight="1">
      <c r="C982" s="167"/>
      <c r="D982" s="125"/>
    </row>
    <row r="983" spans="3:4" ht="15.75" customHeight="1">
      <c r="C983" s="167"/>
      <c r="D983" s="125"/>
    </row>
    <row r="984" spans="3:4" ht="15.75" customHeight="1">
      <c r="C984" s="167"/>
      <c r="D984" s="125"/>
    </row>
    <row r="985" spans="3:4" ht="15.75" customHeight="1">
      <c r="C985" s="167"/>
      <c r="D985" s="125"/>
    </row>
    <row r="986" spans="3:4" ht="15.75" customHeight="1">
      <c r="C986" s="167"/>
      <c r="D986" s="125"/>
    </row>
    <row r="987" spans="3:4" ht="15.75" customHeight="1">
      <c r="C987" s="167"/>
      <c r="D987" s="125"/>
    </row>
    <row r="988" spans="3:4" ht="15.75" customHeight="1">
      <c r="C988" s="167"/>
      <c r="D988" s="125"/>
    </row>
    <row r="989" spans="3:4" ht="15.75" customHeight="1">
      <c r="C989" s="167"/>
      <c r="D989" s="125"/>
    </row>
    <row r="990" spans="3:4" ht="15.75" customHeight="1">
      <c r="C990" s="167"/>
      <c r="D990" s="125"/>
    </row>
    <row r="991" spans="3:4" ht="15.75" customHeight="1">
      <c r="C991" s="167"/>
      <c r="D991" s="125"/>
    </row>
    <row r="992" spans="3:4" ht="15.75" customHeight="1">
      <c r="C992" s="167"/>
      <c r="D992" s="125"/>
    </row>
    <row r="993" spans="3:4" ht="15.75" customHeight="1">
      <c r="C993" s="167"/>
      <c r="D993" s="125"/>
    </row>
    <row r="994" spans="3:4" ht="15.75" customHeight="1">
      <c r="C994" s="167"/>
      <c r="D994" s="125"/>
    </row>
    <row r="995" spans="3:4" ht="15.75" customHeight="1">
      <c r="C995" s="167"/>
      <c r="D995" s="125"/>
    </row>
    <row r="996" spans="3:4" ht="15.75" customHeight="1">
      <c r="C996" s="167"/>
      <c r="D996" s="125"/>
    </row>
    <row r="997" spans="3:4" ht="15.75" customHeight="1">
      <c r="C997" s="167"/>
      <c r="D997" s="125"/>
    </row>
    <row r="998" spans="3:4" ht="15.75" customHeight="1">
      <c r="C998" s="167"/>
      <c r="D998" s="125"/>
    </row>
    <row r="999" spans="3:4" ht="15.75" customHeight="1">
      <c r="C999" s="167"/>
      <c r="D999" s="125"/>
    </row>
    <row r="1000" spans="3:4" ht="15.75" customHeight="1">
      <c r="C1000" s="167"/>
      <c r="D1000" s="125"/>
    </row>
    <row r="1001" spans="3:4" ht="15.75" customHeight="1">
      <c r="C1001" s="167"/>
      <c r="D1001" s="125"/>
    </row>
    <row r="1002" spans="3:4" ht="15.75" customHeight="1">
      <c r="C1002" s="167"/>
      <c r="D1002" s="125"/>
    </row>
    <row r="1003" spans="3:4" ht="15.75" customHeight="1">
      <c r="C1003" s="167"/>
      <c r="D1003" s="125"/>
    </row>
    <row r="1004" spans="3:4" ht="15.75" customHeight="1">
      <c r="C1004" s="167"/>
      <c r="D1004" s="125"/>
    </row>
    <row r="1005" spans="3:4" ht="15.75" customHeight="1">
      <c r="C1005" s="167"/>
      <c r="D1005" s="125"/>
    </row>
    <row r="1006" spans="3:4" ht="15.75" customHeight="1">
      <c r="C1006" s="167"/>
      <c r="D1006" s="125"/>
    </row>
    <row r="1007" spans="3:4" ht="15.75" customHeight="1">
      <c r="C1007" s="167"/>
      <c r="D1007" s="125"/>
    </row>
    <row r="1008" spans="3:4" ht="15.75" customHeight="1">
      <c r="C1008" s="167"/>
      <c r="D1008" s="125"/>
    </row>
  </sheetData>
  <mergeCells count="11">
    <mergeCell ref="G14:J18"/>
    <mergeCell ref="B20:E21"/>
    <mergeCell ref="B22:E22"/>
    <mergeCell ref="B29:E31"/>
    <mergeCell ref="B1:E1"/>
    <mergeCell ref="G1:J1"/>
    <mergeCell ref="B3:E3"/>
    <mergeCell ref="G3:J3"/>
    <mergeCell ref="G4:I4"/>
    <mergeCell ref="G5:J5"/>
    <mergeCell ref="G7:J7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"/>
  <sheetViews>
    <sheetView showGridLines="0" workbookViewId="0">
      <selection activeCell="E21" sqref="E21"/>
    </sheetView>
  </sheetViews>
  <sheetFormatPr defaultColWidth="14.42578125" defaultRowHeight="15" customHeight="1"/>
  <cols>
    <col min="1" max="2" width="8.7109375" customWidth="1"/>
    <col min="3" max="3" width="3.5703125" customWidth="1"/>
    <col min="4" max="4" width="16.42578125" customWidth="1"/>
    <col min="5" max="5" width="15.5703125" customWidth="1"/>
    <col min="6" max="6" width="10.5703125" customWidth="1"/>
    <col min="7" max="7" width="8.7109375" customWidth="1"/>
    <col min="8" max="8" width="3.5703125" customWidth="1"/>
    <col min="9" max="9" width="16.42578125" customWidth="1"/>
    <col min="10" max="10" width="15.5703125" customWidth="1"/>
    <col min="11" max="11" width="8.7109375" customWidth="1"/>
  </cols>
  <sheetData>
    <row r="1" spans="1:10" ht="24" customHeight="1">
      <c r="A1" s="197" t="s">
        <v>453</v>
      </c>
      <c r="B1" s="347" t="s">
        <v>451</v>
      </c>
      <c r="C1" s="335"/>
      <c r="D1" s="335"/>
      <c r="E1" s="336"/>
      <c r="G1" s="348" t="s">
        <v>452</v>
      </c>
      <c r="H1" s="335"/>
      <c r="I1" s="335"/>
      <c r="J1" s="336"/>
    </row>
    <row r="2" spans="1:10" ht="24" customHeight="1">
      <c r="B2" s="127"/>
      <c r="C2" s="150"/>
      <c r="D2" s="151"/>
      <c r="E2" s="128"/>
      <c r="G2" s="127"/>
      <c r="H2" s="150"/>
      <c r="I2" s="151"/>
      <c r="J2" s="128"/>
    </row>
    <row r="3" spans="1:10">
      <c r="B3" s="338" t="s">
        <v>442</v>
      </c>
      <c r="C3" s="251"/>
      <c r="D3" s="251"/>
      <c r="E3" s="333"/>
      <c r="G3" s="338" t="s">
        <v>442</v>
      </c>
      <c r="H3" s="251"/>
      <c r="I3" s="251"/>
      <c r="J3" s="333"/>
    </row>
    <row r="4" spans="1:10">
      <c r="B4" s="168"/>
      <c r="C4" s="169"/>
      <c r="D4" s="170" t="s">
        <v>431</v>
      </c>
      <c r="E4" s="171">
        <f>'Quantitativo - Vigas'!E19</f>
        <v>6.1514180000000014</v>
      </c>
      <c r="G4" s="168"/>
      <c r="H4" s="169"/>
      <c r="I4" s="170" t="s">
        <v>431</v>
      </c>
      <c r="J4" s="171">
        <f>4*E4</f>
        <v>24.605672000000006</v>
      </c>
    </row>
    <row r="5" spans="1:10">
      <c r="B5" s="345" t="s">
        <v>443</v>
      </c>
      <c r="C5" s="251"/>
      <c r="D5" s="251"/>
      <c r="E5" s="333"/>
      <c r="G5" s="345" t="s">
        <v>443</v>
      </c>
      <c r="H5" s="251"/>
      <c r="I5" s="251"/>
      <c r="J5" s="333"/>
    </row>
    <row r="6" spans="1:10">
      <c r="B6" s="168"/>
      <c r="C6" s="169"/>
      <c r="D6" s="170" t="s">
        <v>431</v>
      </c>
      <c r="E6" s="171">
        <f>'Quantitativo - Lajes'!E17</f>
        <v>12.012331319999999</v>
      </c>
      <c r="G6" s="168"/>
      <c r="H6" s="169"/>
      <c r="I6" s="170" t="s">
        <v>431</v>
      </c>
      <c r="J6" s="171">
        <f>4*E6</f>
        <v>48.049325279999998</v>
      </c>
    </row>
    <row r="7" spans="1:10">
      <c r="B7" s="172"/>
      <c r="C7" s="173"/>
      <c r="D7" s="174"/>
      <c r="E7" s="175"/>
      <c r="G7" s="172"/>
      <c r="H7" s="173"/>
      <c r="I7" s="174"/>
      <c r="J7" s="175"/>
    </row>
    <row r="8" spans="1:10">
      <c r="B8" s="345" t="s">
        <v>444</v>
      </c>
      <c r="C8" s="251"/>
      <c r="D8" s="251"/>
      <c r="E8" s="333"/>
      <c r="G8" s="342" t="s">
        <v>444</v>
      </c>
      <c r="H8" s="251"/>
      <c r="I8" s="251"/>
      <c r="J8" s="333"/>
    </row>
    <row r="9" spans="1:10">
      <c r="B9" s="168"/>
      <c r="C9" s="169"/>
      <c r="D9" s="176" t="s">
        <v>445</v>
      </c>
      <c r="E9" s="177">
        <f>SUM(E4,E6)</f>
        <v>18.163749320000001</v>
      </c>
      <c r="G9" s="168"/>
      <c r="H9" s="169"/>
      <c r="I9" s="176" t="s">
        <v>445</v>
      </c>
      <c r="J9" s="177">
        <f>SUM(J4,J6)</f>
        <v>72.654997280000003</v>
      </c>
    </row>
    <row r="10" spans="1:10">
      <c r="B10" s="134"/>
      <c r="C10" s="178"/>
      <c r="D10" s="178"/>
      <c r="E10" s="179"/>
      <c r="G10" s="134"/>
      <c r="H10" s="178"/>
      <c r="I10" s="178"/>
      <c r="J10" s="179"/>
    </row>
    <row r="11" spans="1:10">
      <c r="B11" s="332" t="s">
        <v>446</v>
      </c>
      <c r="C11" s="251"/>
      <c r="D11" s="251"/>
      <c r="E11" s="333"/>
      <c r="G11" s="332" t="s">
        <v>446</v>
      </c>
      <c r="H11" s="251"/>
      <c r="I11" s="251"/>
      <c r="J11" s="333"/>
    </row>
    <row r="12" spans="1:10">
      <c r="B12" s="143"/>
      <c r="C12" s="164"/>
      <c r="D12" s="180" t="s">
        <v>447</v>
      </c>
      <c r="E12" s="181">
        <f>'Quantitativo - Vigas'!E26</f>
        <v>264.03254900000002</v>
      </c>
      <c r="G12" s="182"/>
      <c r="H12" s="183"/>
      <c r="I12" s="180" t="s">
        <v>447</v>
      </c>
      <c r="J12" s="184">
        <f>4*E12</f>
        <v>1056.1301960000001</v>
      </c>
    </row>
    <row r="13" spans="1:10">
      <c r="B13" s="332" t="s">
        <v>448</v>
      </c>
      <c r="C13" s="251"/>
      <c r="D13" s="251"/>
      <c r="E13" s="333"/>
      <c r="G13" s="346" t="s">
        <v>448</v>
      </c>
      <c r="H13" s="251"/>
      <c r="I13" s="251"/>
      <c r="J13" s="333"/>
    </row>
    <row r="14" spans="1:10">
      <c r="B14" s="143"/>
      <c r="C14" s="164"/>
      <c r="D14" s="180" t="s">
        <v>447</v>
      </c>
      <c r="E14" s="181">
        <f>'Quantitativo - Lajes'!E24</f>
        <v>563.51377500000012</v>
      </c>
      <c r="G14" s="182"/>
      <c r="H14" s="183"/>
      <c r="I14" s="180" t="s">
        <v>447</v>
      </c>
      <c r="J14" s="184">
        <f>4*E14</f>
        <v>2254.0551000000005</v>
      </c>
    </row>
    <row r="15" spans="1:10">
      <c r="B15" s="134"/>
      <c r="C15" s="178"/>
      <c r="D15" s="178"/>
      <c r="E15" s="179"/>
      <c r="G15" s="134"/>
      <c r="H15" s="178"/>
      <c r="I15" s="178"/>
      <c r="J15" s="179"/>
    </row>
    <row r="16" spans="1:10">
      <c r="B16" s="332" t="s">
        <v>449</v>
      </c>
      <c r="C16" s="251"/>
      <c r="D16" s="251"/>
      <c r="E16" s="333"/>
      <c r="G16" s="339" t="s">
        <v>449</v>
      </c>
      <c r="H16" s="251"/>
      <c r="I16" s="251"/>
      <c r="J16" s="333"/>
    </row>
    <row r="17" spans="2:10">
      <c r="B17" s="143"/>
      <c r="C17" s="164"/>
      <c r="D17" s="185" t="s">
        <v>144</v>
      </c>
      <c r="E17" s="149">
        <f>SUM(E12,E14)</f>
        <v>827.54632400000014</v>
      </c>
      <c r="G17" s="143"/>
      <c r="H17" s="164"/>
      <c r="I17" s="185" t="s">
        <v>144</v>
      </c>
      <c r="J17" s="145">
        <f>SUM(J12,J14)</f>
        <v>3310.1852960000006</v>
      </c>
    </row>
    <row r="18" spans="2:10" ht="26.25" customHeight="1">
      <c r="B18" s="343"/>
      <c r="C18" s="330"/>
      <c r="D18" s="330"/>
      <c r="E18" s="331"/>
      <c r="G18" s="344" t="s">
        <v>433</v>
      </c>
      <c r="H18" s="330"/>
      <c r="I18" s="330"/>
      <c r="J18" s="331"/>
    </row>
    <row r="19" spans="2:10">
      <c r="C19" s="167"/>
      <c r="D19" s="125"/>
      <c r="H19" s="167"/>
      <c r="I19" s="125"/>
    </row>
    <row r="20" spans="2:10">
      <c r="C20" s="167"/>
      <c r="D20" s="125"/>
      <c r="H20" s="167"/>
      <c r="I20" s="125"/>
    </row>
  </sheetData>
  <mergeCells count="16">
    <mergeCell ref="B1:E1"/>
    <mergeCell ref="G1:J1"/>
    <mergeCell ref="B3:E3"/>
    <mergeCell ref="G3:J3"/>
    <mergeCell ref="B5:E5"/>
    <mergeCell ref="G5:J5"/>
    <mergeCell ref="G8:J8"/>
    <mergeCell ref="B18:E18"/>
    <mergeCell ref="G18:J18"/>
    <mergeCell ref="B8:E8"/>
    <mergeCell ref="B11:E11"/>
    <mergeCell ref="G11:J11"/>
    <mergeCell ref="B13:E13"/>
    <mergeCell ref="G13:J13"/>
    <mergeCell ref="B16:E16"/>
    <mergeCell ref="G16:J16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41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A5"/>
    </sheetView>
  </sheetViews>
  <sheetFormatPr defaultColWidth="14.42578125" defaultRowHeight="15" customHeight="1"/>
  <cols>
    <col min="1" max="1" width="16.42578125" customWidth="1"/>
    <col min="2" max="2" width="10.28515625" customWidth="1"/>
    <col min="3" max="3" width="11.42578125" customWidth="1"/>
    <col min="6" max="6" width="13.85546875" customWidth="1"/>
    <col min="7" max="7" width="12.5703125" customWidth="1"/>
    <col min="14" max="14" width="15.5703125" customWidth="1"/>
    <col min="15" max="15" width="13.85546875" customWidth="1"/>
    <col min="23" max="23" width="11.140625" customWidth="1"/>
    <col min="24" max="25" width="11.42578125" customWidth="1"/>
    <col min="28" max="28" width="11.7109375" customWidth="1"/>
    <col min="34" max="34" width="10.140625" customWidth="1"/>
    <col min="44" max="44" width="14.140625" customWidth="1"/>
    <col min="45" max="45" width="15.7109375" customWidth="1"/>
  </cols>
  <sheetData>
    <row r="1" spans="1:47">
      <c r="A1" s="272" t="s">
        <v>94</v>
      </c>
      <c r="B1" s="259"/>
      <c r="C1" s="259"/>
      <c r="E1" s="28"/>
      <c r="G1" s="28"/>
      <c r="H1" s="28"/>
      <c r="I1" s="29"/>
      <c r="J1" s="29"/>
      <c r="K1" s="30"/>
      <c r="L1" s="30"/>
      <c r="M1" s="28"/>
      <c r="N1" s="273" t="s">
        <v>95</v>
      </c>
      <c r="O1" s="251"/>
      <c r="P1" s="249"/>
      <c r="Q1" s="274" t="s">
        <v>96</v>
      </c>
      <c r="R1" s="251"/>
      <c r="S1" s="251"/>
      <c r="T1" s="249"/>
      <c r="U1" s="29"/>
      <c r="V1" s="29"/>
      <c r="W1" s="29"/>
      <c r="X1" s="28"/>
      <c r="Y1" s="29"/>
      <c r="Z1" s="29"/>
      <c r="AA1" s="30"/>
      <c r="AB1" s="30"/>
      <c r="AC1" s="29"/>
      <c r="AD1" s="29"/>
      <c r="AE1" s="29"/>
      <c r="AF1" s="30"/>
      <c r="AG1" s="30"/>
      <c r="AH1" s="31"/>
      <c r="AI1" s="31"/>
      <c r="AJ1" s="28"/>
      <c r="AK1" s="30"/>
      <c r="AL1" s="266" t="s">
        <v>97</v>
      </c>
      <c r="AM1" s="249"/>
      <c r="AN1" s="267" t="s">
        <v>98</v>
      </c>
      <c r="AO1" s="259"/>
      <c r="AP1" s="259"/>
      <c r="AQ1" s="268" t="s">
        <v>99</v>
      </c>
      <c r="AR1" s="251"/>
      <c r="AS1" s="251"/>
      <c r="AT1" s="251"/>
      <c r="AU1" s="249"/>
    </row>
    <row r="2" spans="1:47" s="113" customFormat="1" ht="30">
      <c r="A2" s="186" t="s">
        <v>100</v>
      </c>
      <c r="B2" s="270" t="s">
        <v>101</v>
      </c>
      <c r="C2" s="271"/>
      <c r="D2" s="186" t="str">
        <f>'Pré-dimencionamento das Vigas'!B24</f>
        <v>Apoio</v>
      </c>
      <c r="E2" s="186" t="str">
        <f>'Pré-dimencionamento das Vigas'!C24</f>
        <v>Apoiadas em</v>
      </c>
      <c r="F2" s="186" t="s">
        <v>102</v>
      </c>
      <c r="G2" s="186" t="s">
        <v>103</v>
      </c>
      <c r="H2" s="186" t="s">
        <v>104</v>
      </c>
      <c r="I2" s="187" t="s">
        <v>105</v>
      </c>
      <c r="J2" s="187" t="s">
        <v>106</v>
      </c>
      <c r="K2" s="188" t="s">
        <v>107</v>
      </c>
      <c r="L2" s="188" t="s">
        <v>108</v>
      </c>
      <c r="M2" s="186" t="s">
        <v>35</v>
      </c>
      <c r="N2" s="32" t="s">
        <v>109</v>
      </c>
      <c r="O2" s="33" t="s">
        <v>110</v>
      </c>
      <c r="P2" s="32" t="s">
        <v>111</v>
      </c>
      <c r="Q2" s="34" t="s">
        <v>112</v>
      </c>
      <c r="R2" s="34" t="s">
        <v>113</v>
      </c>
      <c r="S2" s="34" t="s">
        <v>114</v>
      </c>
      <c r="T2" s="34" t="s">
        <v>115</v>
      </c>
      <c r="U2" s="187" t="s">
        <v>116</v>
      </c>
      <c r="V2" s="187" t="s">
        <v>117</v>
      </c>
      <c r="W2" s="187" t="s">
        <v>118</v>
      </c>
      <c r="X2" s="186" t="s">
        <v>119</v>
      </c>
      <c r="Y2" s="187" t="s">
        <v>120</v>
      </c>
      <c r="Z2" s="187" t="s">
        <v>121</v>
      </c>
      <c r="AA2" s="188" t="s">
        <v>122</v>
      </c>
      <c r="AB2" s="188" t="s">
        <v>123</v>
      </c>
      <c r="AC2" s="187" t="s">
        <v>124</v>
      </c>
      <c r="AD2" s="187" t="s">
        <v>125</v>
      </c>
      <c r="AE2" s="187" t="s">
        <v>126</v>
      </c>
      <c r="AF2" s="188" t="s">
        <v>127</v>
      </c>
      <c r="AG2" s="188" t="s">
        <v>128</v>
      </c>
      <c r="AH2" s="189" t="s">
        <v>129</v>
      </c>
      <c r="AI2" s="189" t="s">
        <v>130</v>
      </c>
      <c r="AJ2" s="190" t="s">
        <v>131</v>
      </c>
      <c r="AK2" s="188" t="s">
        <v>132</v>
      </c>
      <c r="AL2" s="191" t="s">
        <v>133</v>
      </c>
      <c r="AM2" s="192" t="s">
        <v>134</v>
      </c>
      <c r="AN2" s="193" t="s">
        <v>135</v>
      </c>
      <c r="AO2" s="194" t="s">
        <v>134</v>
      </c>
      <c r="AP2" s="194" t="s">
        <v>136</v>
      </c>
      <c r="AQ2" s="187" t="s">
        <v>137</v>
      </c>
      <c r="AR2" s="186" t="s">
        <v>138</v>
      </c>
      <c r="AS2" s="186" t="s">
        <v>139</v>
      </c>
      <c r="AT2" s="35" t="s">
        <v>140</v>
      </c>
      <c r="AU2" s="35" t="s">
        <v>141</v>
      </c>
    </row>
    <row r="3" spans="1:47">
      <c r="A3" s="262" t="s">
        <v>5</v>
      </c>
      <c r="B3" s="263" t="str">
        <f>'Pré-dimencionamento das Vigas'!A25</f>
        <v>Tramo externo 1</v>
      </c>
      <c r="C3" s="249"/>
      <c r="D3" s="36" t="str">
        <f>'Pré-dimencionamento das Vigas'!B25</f>
        <v>BI-APOIADA</v>
      </c>
      <c r="E3" s="36" t="str">
        <f>'Pré-dimencionamento das Vigas'!C25</f>
        <v>P1 e P2</v>
      </c>
      <c r="F3" s="37">
        <f>'Pré-dimencionamento das Vigas'!D25</f>
        <v>3.5449999999999999</v>
      </c>
      <c r="G3" s="36">
        <f>0.14</f>
        <v>0.14000000000000001</v>
      </c>
      <c r="H3" s="38">
        <f>'Pré-dimencionamento das Vigas'!$K$25</f>
        <v>0.4</v>
      </c>
      <c r="I3" s="39">
        <v>0.4</v>
      </c>
      <c r="J3" s="39">
        <v>0.35</v>
      </c>
      <c r="K3" s="40">
        <f t="shared" ref="K3:L3" si="0">MIN(I3/2,0.3*$H3)</f>
        <v>0.12</v>
      </c>
      <c r="L3" s="40">
        <f t="shared" si="0"/>
        <v>0.12</v>
      </c>
      <c r="M3" s="37">
        <f t="shared" ref="M3:M35" si="1">F3+K3+L3</f>
        <v>3.7850000000000001</v>
      </c>
      <c r="N3" s="40">
        <f t="shared" ref="N3:N35" si="2">M3*G3</f>
        <v>0.52990000000000004</v>
      </c>
      <c r="O3" s="41">
        <v>13</v>
      </c>
      <c r="P3" s="40">
        <f t="shared" ref="P3:P35" si="3">O3*N3</f>
        <v>6.8887</v>
      </c>
      <c r="Q3" s="42">
        <f t="shared" ref="Q3:Q35" si="4">G3*H3</f>
        <v>5.6000000000000008E-2</v>
      </c>
      <c r="R3" s="41">
        <v>25</v>
      </c>
      <c r="S3" s="36">
        <f t="shared" ref="S3:S35" si="5">Q3*R3</f>
        <v>1.4000000000000001</v>
      </c>
      <c r="T3" s="40">
        <f t="shared" ref="T3:T35" si="6">S3+P3</f>
        <v>8.2887000000000004</v>
      </c>
      <c r="U3" s="38">
        <f t="shared" ref="U3:U35" si="7">T3*M3^2/8*100</f>
        <v>1484.3222644687503</v>
      </c>
      <c r="V3" s="38">
        <f t="shared" ref="V3:V35" si="8">U3*1.4</f>
        <v>2078.0511702562503</v>
      </c>
      <c r="W3" s="39">
        <v>2</v>
      </c>
      <c r="X3" s="38">
        <f t="shared" ref="X3:X35" si="9">H3*100-W3-0.5</f>
        <v>37.5</v>
      </c>
      <c r="Y3" s="38">
        <f t="shared" ref="Y3:Y35" si="10">G3*100</f>
        <v>14.000000000000002</v>
      </c>
      <c r="Z3" s="39">
        <v>2.5</v>
      </c>
      <c r="AA3" s="40">
        <f t="shared" ref="AA3:AA35" si="11">Z3/1.4</f>
        <v>1.7857142857142858</v>
      </c>
      <c r="AB3" s="40">
        <f t="shared" ref="AB3:AB35" si="12">X3/0.8*(1-(1-2*V3/(0.85*AA3*Y3*X3^2))^0.5)</f>
        <v>3.3816687333770838</v>
      </c>
      <c r="AC3" s="39">
        <f t="shared" ref="AC3:AC35" si="13">AB3/X3</f>
        <v>9.017783289005557E-2</v>
      </c>
      <c r="AD3" s="39" t="str">
        <f t="shared" ref="AD3:AD35" si="14">IF(AC3&lt;=0.45,"OK","NÃO OK")</f>
        <v>OK</v>
      </c>
      <c r="AE3" s="39">
        <v>50</v>
      </c>
      <c r="AF3" s="40">
        <f t="shared" ref="AF3:AF35" si="15">AE3/1.15</f>
        <v>43.478260869565219</v>
      </c>
      <c r="AG3" s="40">
        <f t="shared" ref="AG3:AG35" si="16">0.85*AA3*0.8*AB3*Y3/AF3</f>
        <v>1.3222324747504401</v>
      </c>
      <c r="AH3" s="43">
        <f t="shared" ref="AH3:AH35" si="17">AG3/(Y3*H3*100)</f>
        <v>2.3611294191972143E-3</v>
      </c>
      <c r="AI3" s="44">
        <v>1.5E-3</v>
      </c>
      <c r="AJ3" s="43">
        <f t="shared" ref="AJ3:AJ35" si="18">MAX(AH3,AI3)</f>
        <v>2.3611294191972143E-3</v>
      </c>
      <c r="AK3" s="40">
        <f t="shared" ref="AK3:AK35" si="19">AJ3*(Y3*H3*100)</f>
        <v>1.3222324747504404</v>
      </c>
      <c r="AL3" s="40">
        <f t="shared" ref="AL3:AL35" si="20">PI()*0.8^2/4</f>
        <v>0.50265482457436694</v>
      </c>
      <c r="AM3" s="36">
        <f t="shared" ref="AM3:AM35" si="21">IF(AK3/AL3&lt;2,2,ROUNDUP(AK3/AL3,0))</f>
        <v>3</v>
      </c>
      <c r="AN3" s="38">
        <f t="shared" ref="AN3:AN35" si="22">PI()*1^2/4</f>
        <v>0.78539816339744828</v>
      </c>
      <c r="AO3" s="41">
        <v>0</v>
      </c>
      <c r="AP3" s="41">
        <v>2</v>
      </c>
      <c r="AQ3" s="38">
        <f t="shared" ref="AQ3:AQ35" si="23">M3*100</f>
        <v>378.5</v>
      </c>
      <c r="AR3" s="41">
        <v>0.39500000000000002</v>
      </c>
      <c r="AS3" s="41">
        <v>0.61699999999999999</v>
      </c>
      <c r="AT3" s="38">
        <f t="shared" ref="AT3:AT35" si="24">(AQ3/100)*AR3*(AM3+AO3)</f>
        <v>4.4852250000000007</v>
      </c>
      <c r="AU3" s="38">
        <f t="shared" ref="AU3:AU35" si="25">(AQ3/100)*AS3*AP3</f>
        <v>4.6706900000000005</v>
      </c>
    </row>
    <row r="4" spans="1:47">
      <c r="A4" s="269"/>
      <c r="B4" s="263" t="str">
        <f>'Pré-dimencionamento das Vigas'!A26</f>
        <v>Tramo interno 1</v>
      </c>
      <c r="C4" s="249"/>
      <c r="D4" s="36" t="str">
        <f>'Pré-dimencionamento das Vigas'!B26</f>
        <v>BI-APOIADA</v>
      </c>
      <c r="E4" s="36" t="str">
        <f>'Pré-dimencionamento das Vigas'!C26</f>
        <v>P2 e P3</v>
      </c>
      <c r="F4" s="37">
        <f>'Pré-dimencionamento das Vigas'!D26</f>
        <v>1.43</v>
      </c>
      <c r="G4" s="36">
        <f t="shared" ref="G4:G35" si="26">G3</f>
        <v>0.14000000000000001</v>
      </c>
      <c r="H4" s="38">
        <f>'Pré-dimencionamento das Vigas'!$K$25</f>
        <v>0.4</v>
      </c>
      <c r="I4" s="39">
        <v>0.35</v>
      </c>
      <c r="J4" s="39">
        <v>0.45</v>
      </c>
      <c r="K4" s="40">
        <f t="shared" ref="K4:L4" si="27">MIN(I4/2,0.3*$H4)</f>
        <v>0.12</v>
      </c>
      <c r="L4" s="40">
        <f t="shared" si="27"/>
        <v>0.12</v>
      </c>
      <c r="M4" s="37">
        <f t="shared" si="1"/>
        <v>1.67</v>
      </c>
      <c r="N4" s="40">
        <f t="shared" si="2"/>
        <v>0.23380000000000001</v>
      </c>
      <c r="O4" s="36">
        <v>13</v>
      </c>
      <c r="P4" s="40">
        <f t="shared" si="3"/>
        <v>3.0394000000000001</v>
      </c>
      <c r="Q4" s="36">
        <f t="shared" si="4"/>
        <v>5.6000000000000008E-2</v>
      </c>
      <c r="R4" s="41">
        <v>25</v>
      </c>
      <c r="S4" s="36">
        <f t="shared" si="5"/>
        <v>1.4000000000000001</v>
      </c>
      <c r="T4" s="40">
        <f t="shared" si="6"/>
        <v>4.4394</v>
      </c>
      <c r="U4" s="38">
        <f t="shared" si="7"/>
        <v>154.76303325000001</v>
      </c>
      <c r="V4" s="38">
        <f t="shared" si="8"/>
        <v>216.66824654999999</v>
      </c>
      <c r="W4" s="39">
        <v>2</v>
      </c>
      <c r="X4" s="38">
        <f t="shared" si="9"/>
        <v>37.5</v>
      </c>
      <c r="Y4" s="38">
        <f t="shared" si="10"/>
        <v>14.000000000000002</v>
      </c>
      <c r="Z4" s="39">
        <v>2.5</v>
      </c>
      <c r="AA4" s="45">
        <f t="shared" si="11"/>
        <v>1.7857142857142858</v>
      </c>
      <c r="AB4" s="40">
        <f t="shared" si="12"/>
        <v>0.34111291149022982</v>
      </c>
      <c r="AC4" s="39">
        <f t="shared" si="13"/>
        <v>9.0963443064061289E-3</v>
      </c>
      <c r="AD4" s="39" t="str">
        <f t="shared" si="14"/>
        <v>OK</v>
      </c>
      <c r="AE4" s="39">
        <v>50</v>
      </c>
      <c r="AF4" s="40">
        <f t="shared" si="15"/>
        <v>43.478260869565219</v>
      </c>
      <c r="AG4" s="40">
        <f t="shared" si="16"/>
        <v>0.13337514839267989</v>
      </c>
      <c r="AH4" s="43">
        <f t="shared" si="17"/>
        <v>2.3816990784407118E-4</v>
      </c>
      <c r="AI4" s="44">
        <v>1.5E-3</v>
      </c>
      <c r="AJ4" s="43">
        <f t="shared" si="18"/>
        <v>1.5E-3</v>
      </c>
      <c r="AK4" s="40">
        <f t="shared" si="19"/>
        <v>0.84000000000000019</v>
      </c>
      <c r="AL4" s="40">
        <f t="shared" si="20"/>
        <v>0.50265482457436694</v>
      </c>
      <c r="AM4" s="41">
        <f t="shared" si="21"/>
        <v>2</v>
      </c>
      <c r="AN4" s="38">
        <f t="shared" si="22"/>
        <v>0.78539816339744828</v>
      </c>
      <c r="AO4" s="41">
        <v>0</v>
      </c>
      <c r="AP4" s="41">
        <v>2</v>
      </c>
      <c r="AQ4" s="38">
        <f t="shared" si="23"/>
        <v>167</v>
      </c>
      <c r="AR4" s="41">
        <v>0.39500000000000002</v>
      </c>
      <c r="AS4" s="41">
        <v>0.61699999999999999</v>
      </c>
      <c r="AT4" s="38">
        <f t="shared" si="24"/>
        <v>1.3192999999999999</v>
      </c>
      <c r="AU4" s="38">
        <f t="shared" si="25"/>
        <v>2.0607799999999998</v>
      </c>
    </row>
    <row r="5" spans="1:47">
      <c r="A5" s="257"/>
      <c r="B5" s="263" t="str">
        <f>'Pré-dimencionamento das Vigas'!A27</f>
        <v xml:space="preserve">Tramo externo 2 </v>
      </c>
      <c r="C5" s="249"/>
      <c r="D5" s="36" t="str">
        <f>'Pré-dimencionamento das Vigas'!B27</f>
        <v>BI-APOIADA</v>
      </c>
      <c r="E5" s="36" t="str">
        <f>'Pré-dimencionamento das Vigas'!C27</f>
        <v>P3 e P4</v>
      </c>
      <c r="F5" s="37">
        <f>'Pré-dimencionamento das Vigas'!D27</f>
        <v>3.84</v>
      </c>
      <c r="G5" s="36">
        <f t="shared" si="26"/>
        <v>0.14000000000000001</v>
      </c>
      <c r="H5" s="38">
        <f>'Pré-dimencionamento das Vigas'!$K$25</f>
        <v>0.4</v>
      </c>
      <c r="I5" s="39">
        <v>0.4</v>
      </c>
      <c r="J5" s="39">
        <v>0.45</v>
      </c>
      <c r="K5" s="40">
        <f t="shared" ref="K5:L5" si="28">MIN(I5/2,0.3*$H5)</f>
        <v>0.12</v>
      </c>
      <c r="L5" s="40">
        <f t="shared" si="28"/>
        <v>0.12</v>
      </c>
      <c r="M5" s="37">
        <f t="shared" si="1"/>
        <v>4.08</v>
      </c>
      <c r="N5" s="40">
        <f t="shared" si="2"/>
        <v>0.57120000000000004</v>
      </c>
      <c r="O5" s="36">
        <v>13</v>
      </c>
      <c r="P5" s="40">
        <f t="shared" si="3"/>
        <v>7.4256000000000002</v>
      </c>
      <c r="Q5" s="36">
        <f t="shared" si="4"/>
        <v>5.6000000000000008E-2</v>
      </c>
      <c r="R5" s="41">
        <v>25</v>
      </c>
      <c r="S5" s="36">
        <f t="shared" si="5"/>
        <v>1.4000000000000001</v>
      </c>
      <c r="T5" s="40">
        <f t="shared" si="6"/>
        <v>8.8255999999999997</v>
      </c>
      <c r="U5" s="38">
        <f t="shared" si="7"/>
        <v>1836.4308479999997</v>
      </c>
      <c r="V5" s="38">
        <f t="shared" si="8"/>
        <v>2571.0031871999995</v>
      </c>
      <c r="W5" s="39">
        <v>2</v>
      </c>
      <c r="X5" s="38">
        <f t="shared" si="9"/>
        <v>37.5</v>
      </c>
      <c r="Y5" s="38">
        <f t="shared" si="10"/>
        <v>14.000000000000002</v>
      </c>
      <c r="Z5" s="39">
        <v>2.5</v>
      </c>
      <c r="AA5" s="45">
        <f t="shared" si="11"/>
        <v>1.7857142857142858</v>
      </c>
      <c r="AB5" s="40">
        <f t="shared" si="12"/>
        <v>4.2231897101658777</v>
      </c>
      <c r="AC5" s="39">
        <f t="shared" si="13"/>
        <v>0.11261839227109008</v>
      </c>
      <c r="AD5" s="39" t="str">
        <f t="shared" si="14"/>
        <v>OK</v>
      </c>
      <c r="AE5" s="39">
        <v>50</v>
      </c>
      <c r="AF5" s="40">
        <f t="shared" si="15"/>
        <v>43.478260869565219</v>
      </c>
      <c r="AG5" s="40">
        <f t="shared" si="16"/>
        <v>1.6512671766748586</v>
      </c>
      <c r="AH5" s="43">
        <f t="shared" si="17"/>
        <v>2.9486913869193896E-3</v>
      </c>
      <c r="AI5" s="44">
        <v>1.5E-3</v>
      </c>
      <c r="AJ5" s="43">
        <f t="shared" si="18"/>
        <v>2.9486913869193896E-3</v>
      </c>
      <c r="AK5" s="40">
        <f t="shared" si="19"/>
        <v>1.6512671766748586</v>
      </c>
      <c r="AL5" s="40">
        <f t="shared" si="20"/>
        <v>0.50265482457436694</v>
      </c>
      <c r="AM5" s="36">
        <f t="shared" si="21"/>
        <v>4</v>
      </c>
      <c r="AN5" s="38">
        <f t="shared" si="22"/>
        <v>0.78539816339744828</v>
      </c>
      <c r="AO5" s="41">
        <v>0</v>
      </c>
      <c r="AP5" s="41">
        <v>2</v>
      </c>
      <c r="AQ5" s="38">
        <f t="shared" si="23"/>
        <v>408</v>
      </c>
      <c r="AR5" s="41">
        <v>0.39500000000000002</v>
      </c>
      <c r="AS5" s="41">
        <v>0.61699999999999999</v>
      </c>
      <c r="AT5" s="38">
        <f t="shared" si="24"/>
        <v>6.4464000000000006</v>
      </c>
      <c r="AU5" s="38">
        <f t="shared" si="25"/>
        <v>5.0347200000000001</v>
      </c>
    </row>
    <row r="6" spans="1:47">
      <c r="A6" s="264" t="s">
        <v>6</v>
      </c>
      <c r="B6" s="265" t="str">
        <f>'Pré-dimencionamento das Vigas'!A30</f>
        <v>Tramo externo 1</v>
      </c>
      <c r="C6" s="249"/>
      <c r="D6" s="46" t="str">
        <f>'Pré-dimencionamento das Vigas'!B30</f>
        <v>BI-APOIADA</v>
      </c>
      <c r="E6" s="46" t="str">
        <f>'Pré-dimencionamento das Vigas'!C30</f>
        <v>V13 e P5</v>
      </c>
      <c r="F6" s="47">
        <f>'Pré-dimencionamento das Vigas'!D30</f>
        <v>2.69</v>
      </c>
      <c r="G6" s="46">
        <f t="shared" si="26"/>
        <v>0.14000000000000001</v>
      </c>
      <c r="H6" s="48">
        <f>'Pré-dimencionamento das Vigas'!$K$26</f>
        <v>0.35</v>
      </c>
      <c r="I6" s="49">
        <v>0.14000000000000001</v>
      </c>
      <c r="J6" s="49">
        <v>0.5</v>
      </c>
      <c r="K6" s="50">
        <f t="shared" ref="K6:L6" si="29">MIN(I6/2,0.3*$H6)</f>
        <v>7.0000000000000007E-2</v>
      </c>
      <c r="L6" s="50">
        <f t="shared" si="29"/>
        <v>0.105</v>
      </c>
      <c r="M6" s="47">
        <f t="shared" si="1"/>
        <v>2.8649999999999998</v>
      </c>
      <c r="N6" s="50">
        <f t="shared" si="2"/>
        <v>0.40110000000000001</v>
      </c>
      <c r="O6" s="46">
        <v>13</v>
      </c>
      <c r="P6" s="50">
        <f t="shared" si="3"/>
        <v>5.2142999999999997</v>
      </c>
      <c r="Q6" s="46">
        <f t="shared" si="4"/>
        <v>4.9000000000000002E-2</v>
      </c>
      <c r="R6" s="51">
        <v>25</v>
      </c>
      <c r="S6" s="46">
        <f t="shared" si="5"/>
        <v>1.2250000000000001</v>
      </c>
      <c r="T6" s="50">
        <f t="shared" si="6"/>
        <v>6.4392999999999994</v>
      </c>
      <c r="U6" s="48">
        <f t="shared" si="7"/>
        <v>660.69029053124984</v>
      </c>
      <c r="V6" s="48">
        <f t="shared" si="8"/>
        <v>924.96640674374976</v>
      </c>
      <c r="W6" s="49">
        <v>2</v>
      </c>
      <c r="X6" s="48">
        <f t="shared" si="9"/>
        <v>32.5</v>
      </c>
      <c r="Y6" s="48">
        <f t="shared" si="10"/>
        <v>14.000000000000002</v>
      </c>
      <c r="Z6" s="49">
        <v>2.5</v>
      </c>
      <c r="AA6" s="52">
        <f t="shared" si="11"/>
        <v>1.7857142857142858</v>
      </c>
      <c r="AB6" s="50">
        <f t="shared" si="12"/>
        <v>1.7101422536322666</v>
      </c>
      <c r="AC6" s="49">
        <f t="shared" si="13"/>
        <v>5.2619761650223584E-2</v>
      </c>
      <c r="AD6" s="49" t="str">
        <f t="shared" si="14"/>
        <v>OK</v>
      </c>
      <c r="AE6" s="49">
        <v>50</v>
      </c>
      <c r="AF6" s="50">
        <f t="shared" si="15"/>
        <v>43.478260869565219</v>
      </c>
      <c r="AG6" s="50">
        <f t="shared" si="16"/>
        <v>0.66866562117021633</v>
      </c>
      <c r="AH6" s="53">
        <f t="shared" si="17"/>
        <v>1.3646237166739107E-3</v>
      </c>
      <c r="AI6" s="54">
        <v>1.5E-3</v>
      </c>
      <c r="AJ6" s="53">
        <f t="shared" si="18"/>
        <v>1.5E-3</v>
      </c>
      <c r="AK6" s="50">
        <f t="shared" si="19"/>
        <v>0.7350000000000001</v>
      </c>
      <c r="AL6" s="50">
        <f t="shared" si="20"/>
        <v>0.50265482457436694</v>
      </c>
      <c r="AM6" s="46">
        <f t="shared" si="21"/>
        <v>2</v>
      </c>
      <c r="AN6" s="48">
        <f t="shared" si="22"/>
        <v>0.78539816339744828</v>
      </c>
      <c r="AO6" s="51">
        <v>0</v>
      </c>
      <c r="AP6" s="51">
        <v>2</v>
      </c>
      <c r="AQ6" s="48">
        <f t="shared" si="23"/>
        <v>286.5</v>
      </c>
      <c r="AR6" s="51">
        <v>0.39500000000000002</v>
      </c>
      <c r="AS6" s="51">
        <v>0.61699999999999999</v>
      </c>
      <c r="AT6" s="48">
        <f t="shared" si="24"/>
        <v>2.2633500000000004</v>
      </c>
      <c r="AU6" s="48">
        <f t="shared" si="25"/>
        <v>3.5354100000000002</v>
      </c>
    </row>
    <row r="7" spans="1:47">
      <c r="A7" s="257"/>
      <c r="B7" s="265" t="str">
        <f>'Pré-dimencionamento das Vigas'!A31</f>
        <v>Tramo externo 2</v>
      </c>
      <c r="C7" s="249"/>
      <c r="D7" s="46" t="str">
        <f>'Pré-dimencionamento das Vigas'!B31</f>
        <v>BI-APOIADA</v>
      </c>
      <c r="E7" s="46" t="str">
        <f>'Pré-dimencionamento das Vigas'!C31</f>
        <v>P5 e V14</v>
      </c>
      <c r="F7" s="47">
        <f>'Pré-dimencionamento das Vigas'!D31</f>
        <v>0.83</v>
      </c>
      <c r="G7" s="46">
        <f t="shared" si="26"/>
        <v>0.14000000000000001</v>
      </c>
      <c r="H7" s="48">
        <f>'Pré-dimencionamento das Vigas'!$K$26</f>
        <v>0.35</v>
      </c>
      <c r="I7" s="49">
        <v>0.5</v>
      </c>
      <c r="J7" s="49">
        <v>0.14000000000000001</v>
      </c>
      <c r="K7" s="50">
        <f t="shared" ref="K7:L7" si="30">MIN(I7/2,0.3*$H7)</f>
        <v>0.105</v>
      </c>
      <c r="L7" s="50">
        <f t="shared" si="30"/>
        <v>7.0000000000000007E-2</v>
      </c>
      <c r="M7" s="47">
        <f t="shared" si="1"/>
        <v>1.0049999999999999</v>
      </c>
      <c r="N7" s="50">
        <f t="shared" si="2"/>
        <v>0.14069999999999999</v>
      </c>
      <c r="O7" s="46">
        <v>13</v>
      </c>
      <c r="P7" s="50">
        <f t="shared" si="3"/>
        <v>1.8290999999999999</v>
      </c>
      <c r="Q7" s="46">
        <f t="shared" si="4"/>
        <v>4.9000000000000002E-2</v>
      </c>
      <c r="R7" s="51">
        <v>25</v>
      </c>
      <c r="S7" s="46">
        <f t="shared" si="5"/>
        <v>1.2250000000000001</v>
      </c>
      <c r="T7" s="50">
        <f t="shared" si="6"/>
        <v>3.0541</v>
      </c>
      <c r="U7" s="48">
        <f t="shared" si="7"/>
        <v>38.558966906249992</v>
      </c>
      <c r="V7" s="48">
        <f t="shared" si="8"/>
        <v>53.982553668749986</v>
      </c>
      <c r="W7" s="49">
        <v>2</v>
      </c>
      <c r="X7" s="48">
        <f t="shared" si="9"/>
        <v>32.5</v>
      </c>
      <c r="Y7" s="48">
        <f t="shared" si="10"/>
        <v>14.000000000000002</v>
      </c>
      <c r="Z7" s="49">
        <v>2.5</v>
      </c>
      <c r="AA7" s="52">
        <f t="shared" si="11"/>
        <v>1.7857142857142858</v>
      </c>
      <c r="AB7" s="50">
        <f t="shared" si="12"/>
        <v>9.7823757799751429E-2</v>
      </c>
      <c r="AC7" s="49">
        <f t="shared" si="13"/>
        <v>3.0099617784538901E-3</v>
      </c>
      <c r="AD7" s="49" t="str">
        <f t="shared" si="14"/>
        <v>OK</v>
      </c>
      <c r="AE7" s="49">
        <v>50</v>
      </c>
      <c r="AF7" s="50">
        <f t="shared" si="15"/>
        <v>43.478260869565219</v>
      </c>
      <c r="AG7" s="50">
        <f t="shared" si="16"/>
        <v>3.8249089299702818E-2</v>
      </c>
      <c r="AH7" s="53">
        <f t="shared" si="17"/>
        <v>7.8059365917760847E-5</v>
      </c>
      <c r="AI7" s="54">
        <v>1.5E-3</v>
      </c>
      <c r="AJ7" s="53">
        <f t="shared" si="18"/>
        <v>1.5E-3</v>
      </c>
      <c r="AK7" s="50">
        <f t="shared" si="19"/>
        <v>0.7350000000000001</v>
      </c>
      <c r="AL7" s="50">
        <f t="shared" si="20"/>
        <v>0.50265482457436694</v>
      </c>
      <c r="AM7" s="46">
        <f t="shared" si="21"/>
        <v>2</v>
      </c>
      <c r="AN7" s="48">
        <f t="shared" si="22"/>
        <v>0.78539816339744828</v>
      </c>
      <c r="AO7" s="51">
        <v>0</v>
      </c>
      <c r="AP7" s="51">
        <v>2</v>
      </c>
      <c r="AQ7" s="48">
        <f t="shared" si="23"/>
        <v>100.49999999999999</v>
      </c>
      <c r="AR7" s="51">
        <v>0.39500000000000002</v>
      </c>
      <c r="AS7" s="51">
        <v>0.61699999999999999</v>
      </c>
      <c r="AT7" s="48">
        <f t="shared" si="24"/>
        <v>0.79394999999999993</v>
      </c>
      <c r="AU7" s="48">
        <f t="shared" si="25"/>
        <v>1.2401699999999998</v>
      </c>
    </row>
    <row r="8" spans="1:47">
      <c r="A8" s="262" t="s">
        <v>7</v>
      </c>
      <c r="B8" s="263" t="str">
        <f>'Pré-dimencionamento das Vigas'!A34</f>
        <v>Tramo externo 1</v>
      </c>
      <c r="C8" s="249"/>
      <c r="D8" s="36" t="str">
        <f>'Pré-dimencionamento das Vigas'!B34</f>
        <v>BI-APOIADA</v>
      </c>
      <c r="E8" s="36" t="str">
        <f>'Pré-dimencionamento das Vigas'!C34</f>
        <v>P6 e P7</v>
      </c>
      <c r="F8" s="37">
        <f>'Pré-dimencionamento das Vigas'!D34</f>
        <v>2.25</v>
      </c>
      <c r="G8" s="36">
        <f t="shared" si="26"/>
        <v>0.14000000000000001</v>
      </c>
      <c r="H8" s="38">
        <f>'Pré-dimencionamento das Vigas'!$K$27</f>
        <v>0.35</v>
      </c>
      <c r="I8" s="39">
        <v>0.4</v>
      </c>
      <c r="J8" s="39">
        <v>0.4</v>
      </c>
      <c r="K8" s="40">
        <f t="shared" ref="K8:L8" si="31">MIN(I8/2,0.3*$H8)</f>
        <v>0.105</v>
      </c>
      <c r="L8" s="40">
        <f t="shared" si="31"/>
        <v>0.105</v>
      </c>
      <c r="M8" s="37">
        <f t="shared" si="1"/>
        <v>2.46</v>
      </c>
      <c r="N8" s="40">
        <f t="shared" si="2"/>
        <v>0.34440000000000004</v>
      </c>
      <c r="O8" s="36">
        <v>13</v>
      </c>
      <c r="P8" s="40">
        <f t="shared" si="3"/>
        <v>4.4772000000000007</v>
      </c>
      <c r="Q8" s="36">
        <f t="shared" si="4"/>
        <v>4.9000000000000002E-2</v>
      </c>
      <c r="R8" s="41">
        <v>25</v>
      </c>
      <c r="S8" s="36">
        <f t="shared" si="5"/>
        <v>1.2250000000000001</v>
      </c>
      <c r="T8" s="40">
        <f t="shared" si="6"/>
        <v>5.7022000000000013</v>
      </c>
      <c r="U8" s="38">
        <f t="shared" si="7"/>
        <v>431.34291900000005</v>
      </c>
      <c r="V8" s="38">
        <f t="shared" si="8"/>
        <v>603.88008660000003</v>
      </c>
      <c r="W8" s="39">
        <v>2</v>
      </c>
      <c r="X8" s="38">
        <f t="shared" si="9"/>
        <v>32.5</v>
      </c>
      <c r="Y8" s="38">
        <f t="shared" si="10"/>
        <v>14.000000000000002</v>
      </c>
      <c r="Z8" s="39">
        <v>2.5</v>
      </c>
      <c r="AA8" s="45">
        <f t="shared" si="11"/>
        <v>1.7857142857142858</v>
      </c>
      <c r="AB8" s="40">
        <f t="shared" si="12"/>
        <v>1.1081082964289231</v>
      </c>
      <c r="AC8" s="39">
        <f t="shared" si="13"/>
        <v>3.409563989012071E-2</v>
      </c>
      <c r="AD8" s="39" t="str">
        <f t="shared" si="14"/>
        <v>OK</v>
      </c>
      <c r="AE8" s="39">
        <v>50</v>
      </c>
      <c r="AF8" s="40">
        <f t="shared" si="15"/>
        <v>43.478260869565219</v>
      </c>
      <c r="AG8" s="40">
        <f t="shared" si="16"/>
        <v>0.433270343903709</v>
      </c>
      <c r="AH8" s="43">
        <f t="shared" si="17"/>
        <v>8.8422519164022234E-4</v>
      </c>
      <c r="AI8" s="44">
        <v>1.5E-3</v>
      </c>
      <c r="AJ8" s="43">
        <f t="shared" si="18"/>
        <v>1.5E-3</v>
      </c>
      <c r="AK8" s="40">
        <f t="shared" si="19"/>
        <v>0.7350000000000001</v>
      </c>
      <c r="AL8" s="40">
        <f t="shared" si="20"/>
        <v>0.50265482457436694</v>
      </c>
      <c r="AM8" s="36">
        <f t="shared" si="21"/>
        <v>2</v>
      </c>
      <c r="AN8" s="38">
        <f t="shared" si="22"/>
        <v>0.78539816339744828</v>
      </c>
      <c r="AO8" s="41">
        <v>0</v>
      </c>
      <c r="AP8" s="41">
        <v>2</v>
      </c>
      <c r="AQ8" s="38">
        <f t="shared" si="23"/>
        <v>246</v>
      </c>
      <c r="AR8" s="41">
        <v>0.39500000000000002</v>
      </c>
      <c r="AS8" s="41">
        <v>0.61699999999999999</v>
      </c>
      <c r="AT8" s="38">
        <f t="shared" si="24"/>
        <v>1.9434</v>
      </c>
      <c r="AU8" s="38">
        <f t="shared" si="25"/>
        <v>3.0356399999999999</v>
      </c>
    </row>
    <row r="9" spans="1:47">
      <c r="A9" s="257"/>
      <c r="B9" s="263" t="str">
        <f>'Pré-dimencionamento das Vigas'!A35</f>
        <v>Tramo externo 2</v>
      </c>
      <c r="C9" s="249"/>
      <c r="D9" s="36" t="str">
        <f>'Pré-dimencionamento das Vigas'!B35</f>
        <v>BI-APOIADA</v>
      </c>
      <c r="E9" s="36" t="str">
        <f>'Pré-dimencionamento das Vigas'!C35</f>
        <v>P7 e V13</v>
      </c>
      <c r="F9" s="37">
        <f>'Pré-dimencionamento das Vigas'!D35</f>
        <v>1.23</v>
      </c>
      <c r="G9" s="36">
        <f t="shared" si="26"/>
        <v>0.14000000000000001</v>
      </c>
      <c r="H9" s="38">
        <f>'Pré-dimencionamento das Vigas'!$K$27</f>
        <v>0.35</v>
      </c>
      <c r="I9" s="39">
        <v>0.4</v>
      </c>
      <c r="J9" s="39">
        <v>0.14000000000000001</v>
      </c>
      <c r="K9" s="40">
        <f t="shared" ref="K9:L9" si="32">MIN(I9/2,0.3*$H9)</f>
        <v>0.105</v>
      </c>
      <c r="L9" s="40">
        <f t="shared" si="32"/>
        <v>7.0000000000000007E-2</v>
      </c>
      <c r="M9" s="37">
        <f t="shared" si="1"/>
        <v>1.405</v>
      </c>
      <c r="N9" s="40">
        <f t="shared" si="2"/>
        <v>0.19670000000000001</v>
      </c>
      <c r="O9" s="36">
        <v>13</v>
      </c>
      <c r="P9" s="40">
        <f t="shared" si="3"/>
        <v>2.5571000000000002</v>
      </c>
      <c r="Q9" s="36">
        <f t="shared" si="4"/>
        <v>4.9000000000000002E-2</v>
      </c>
      <c r="R9" s="41">
        <v>25</v>
      </c>
      <c r="S9" s="36">
        <f t="shared" si="5"/>
        <v>1.2250000000000001</v>
      </c>
      <c r="T9" s="40">
        <f t="shared" si="6"/>
        <v>3.7821000000000002</v>
      </c>
      <c r="U9" s="38">
        <f t="shared" si="7"/>
        <v>93.324499406250013</v>
      </c>
      <c r="V9" s="38">
        <f t="shared" si="8"/>
        <v>130.65429916875001</v>
      </c>
      <c r="W9" s="39">
        <v>2</v>
      </c>
      <c r="X9" s="38">
        <f t="shared" si="9"/>
        <v>32.5</v>
      </c>
      <c r="Y9" s="38">
        <f t="shared" si="10"/>
        <v>14.000000000000002</v>
      </c>
      <c r="Z9" s="39">
        <v>2.5</v>
      </c>
      <c r="AA9" s="45">
        <f t="shared" si="11"/>
        <v>1.7857142857142858</v>
      </c>
      <c r="AB9" s="40">
        <f t="shared" si="12"/>
        <v>0.2371706763636055</v>
      </c>
      <c r="AC9" s="39">
        <f t="shared" si="13"/>
        <v>7.2975592727263228E-3</v>
      </c>
      <c r="AD9" s="39" t="str">
        <f t="shared" si="14"/>
        <v>OK</v>
      </c>
      <c r="AE9" s="39">
        <v>50</v>
      </c>
      <c r="AF9" s="40">
        <f t="shared" si="15"/>
        <v>43.478260869565219</v>
      </c>
      <c r="AG9" s="40">
        <f t="shared" si="16"/>
        <v>9.2733734458169778E-2</v>
      </c>
      <c r="AH9" s="43">
        <f t="shared" si="17"/>
        <v>1.8925251930238728E-4</v>
      </c>
      <c r="AI9" s="44">
        <v>1.5E-3</v>
      </c>
      <c r="AJ9" s="43">
        <f t="shared" si="18"/>
        <v>1.5E-3</v>
      </c>
      <c r="AK9" s="40">
        <f t="shared" si="19"/>
        <v>0.7350000000000001</v>
      </c>
      <c r="AL9" s="40">
        <f t="shared" si="20"/>
        <v>0.50265482457436694</v>
      </c>
      <c r="AM9" s="36">
        <f t="shared" si="21"/>
        <v>2</v>
      </c>
      <c r="AN9" s="38">
        <f t="shared" si="22"/>
        <v>0.78539816339744828</v>
      </c>
      <c r="AO9" s="41">
        <v>0</v>
      </c>
      <c r="AP9" s="41">
        <v>2</v>
      </c>
      <c r="AQ9" s="38">
        <f t="shared" si="23"/>
        <v>140.5</v>
      </c>
      <c r="AR9" s="41">
        <v>0.39500000000000002</v>
      </c>
      <c r="AS9" s="41">
        <v>0.61699999999999999</v>
      </c>
      <c r="AT9" s="38">
        <f t="shared" si="24"/>
        <v>1.10995</v>
      </c>
      <c r="AU9" s="38">
        <f t="shared" si="25"/>
        <v>1.73377</v>
      </c>
    </row>
    <row r="10" spans="1:47">
      <c r="A10" s="55" t="s">
        <v>8</v>
      </c>
      <c r="B10" s="265" t="str">
        <f>'Pré-dimencionamento das Vigas'!A38</f>
        <v>BI-APOIADA</v>
      </c>
      <c r="C10" s="249"/>
      <c r="D10" s="46" t="str">
        <f>'Pré-dimencionamento das Vigas'!B38</f>
        <v>BI-APOIADA</v>
      </c>
      <c r="E10" s="46" t="str">
        <f>'Pré-dimencionamento das Vigas'!C38</f>
        <v>P9 e P10</v>
      </c>
      <c r="F10" s="47">
        <f>'Pré-dimencionamento das Vigas'!D38</f>
        <v>3.67</v>
      </c>
      <c r="G10" s="46">
        <f t="shared" si="26"/>
        <v>0.14000000000000001</v>
      </c>
      <c r="H10" s="48">
        <f>'Pré-dimencionamento das Vigas'!$K$28</f>
        <v>0.4</v>
      </c>
      <c r="I10" s="49">
        <v>0.4</v>
      </c>
      <c r="J10" s="49">
        <v>0.3</v>
      </c>
      <c r="K10" s="50">
        <f t="shared" ref="K10:L10" si="33">MIN(I10/2,0.3*$H10)</f>
        <v>0.12</v>
      </c>
      <c r="L10" s="50">
        <f t="shared" si="33"/>
        <v>0.12</v>
      </c>
      <c r="M10" s="47">
        <f t="shared" si="1"/>
        <v>3.91</v>
      </c>
      <c r="N10" s="50">
        <f t="shared" si="2"/>
        <v>0.54740000000000011</v>
      </c>
      <c r="O10" s="46">
        <v>13</v>
      </c>
      <c r="P10" s="50">
        <f t="shared" si="3"/>
        <v>7.116200000000001</v>
      </c>
      <c r="Q10" s="46">
        <f t="shared" si="4"/>
        <v>5.6000000000000008E-2</v>
      </c>
      <c r="R10" s="51">
        <v>25</v>
      </c>
      <c r="S10" s="46">
        <f t="shared" si="5"/>
        <v>1.4000000000000001</v>
      </c>
      <c r="T10" s="50">
        <f t="shared" si="6"/>
        <v>8.5162000000000013</v>
      </c>
      <c r="U10" s="48">
        <f t="shared" si="7"/>
        <v>1627.4564652500003</v>
      </c>
      <c r="V10" s="48">
        <f t="shared" si="8"/>
        <v>2278.4390513500002</v>
      </c>
      <c r="W10" s="49">
        <v>2</v>
      </c>
      <c r="X10" s="48">
        <f t="shared" si="9"/>
        <v>37.5</v>
      </c>
      <c r="Y10" s="48">
        <f t="shared" si="10"/>
        <v>14.000000000000002</v>
      </c>
      <c r="Z10" s="49">
        <v>2.5</v>
      </c>
      <c r="AA10" s="52">
        <f t="shared" si="11"/>
        <v>1.7857142857142858</v>
      </c>
      <c r="AB10" s="50">
        <f t="shared" si="12"/>
        <v>3.721772326684532</v>
      </c>
      <c r="AC10" s="49">
        <f t="shared" si="13"/>
        <v>9.9247262044920848E-2</v>
      </c>
      <c r="AD10" s="49" t="str">
        <f t="shared" si="14"/>
        <v>OK</v>
      </c>
      <c r="AE10" s="49">
        <v>50</v>
      </c>
      <c r="AF10" s="50">
        <f t="shared" si="15"/>
        <v>43.478260869565219</v>
      </c>
      <c r="AG10" s="50">
        <f t="shared" si="16"/>
        <v>1.4552129797336522</v>
      </c>
      <c r="AH10" s="53">
        <f t="shared" si="17"/>
        <v>2.5985946066672356E-3</v>
      </c>
      <c r="AI10" s="54">
        <v>1.5E-3</v>
      </c>
      <c r="AJ10" s="53">
        <f t="shared" si="18"/>
        <v>2.5985946066672356E-3</v>
      </c>
      <c r="AK10" s="50">
        <f t="shared" si="19"/>
        <v>1.4552129797336522</v>
      </c>
      <c r="AL10" s="50">
        <f t="shared" si="20"/>
        <v>0.50265482457436694</v>
      </c>
      <c r="AM10" s="46">
        <f t="shared" si="21"/>
        <v>3</v>
      </c>
      <c r="AN10" s="48">
        <f t="shared" si="22"/>
        <v>0.78539816339744828</v>
      </c>
      <c r="AO10" s="51">
        <v>2</v>
      </c>
      <c r="AP10" s="51">
        <v>0</v>
      </c>
      <c r="AQ10" s="48">
        <f t="shared" si="23"/>
        <v>391</v>
      </c>
      <c r="AR10" s="51">
        <v>0.39500000000000002</v>
      </c>
      <c r="AS10" s="51">
        <v>0.61699999999999999</v>
      </c>
      <c r="AT10" s="48">
        <f t="shared" si="24"/>
        <v>7.7222500000000007</v>
      </c>
      <c r="AU10" s="48">
        <f t="shared" si="25"/>
        <v>0</v>
      </c>
    </row>
    <row r="11" spans="1:47">
      <c r="A11" s="56" t="s">
        <v>9</v>
      </c>
      <c r="B11" s="263" t="str">
        <f>'Pré-dimencionamento das Vigas'!A41</f>
        <v>BI-APOIADA</v>
      </c>
      <c r="C11" s="249"/>
      <c r="D11" s="36" t="str">
        <f>'Pré-dimencionamento das Vigas'!B41</f>
        <v>BI-APOIADA</v>
      </c>
      <c r="E11" s="36" t="str">
        <f>'Pré-dimencionamento das Vigas'!C41</f>
        <v>P12 e P13</v>
      </c>
      <c r="F11" s="37">
        <f>'Pré-dimencionamento das Vigas'!D41</f>
        <v>3.72</v>
      </c>
      <c r="G11" s="36">
        <f t="shared" si="26"/>
        <v>0.14000000000000001</v>
      </c>
      <c r="H11" s="38">
        <f>'Pré-dimencionamento das Vigas'!$K$29</f>
        <v>0.4</v>
      </c>
      <c r="I11" s="39">
        <v>0.3</v>
      </c>
      <c r="J11" s="39">
        <v>0.3</v>
      </c>
      <c r="K11" s="40">
        <f t="shared" ref="K11:L11" si="34">MIN(I11/2,0.3*$H11)</f>
        <v>0.12</v>
      </c>
      <c r="L11" s="40">
        <f t="shared" si="34"/>
        <v>0.12</v>
      </c>
      <c r="M11" s="37">
        <f t="shared" si="1"/>
        <v>3.9600000000000004</v>
      </c>
      <c r="N11" s="40">
        <f t="shared" si="2"/>
        <v>0.55440000000000011</v>
      </c>
      <c r="O11" s="36">
        <v>13</v>
      </c>
      <c r="P11" s="40">
        <f t="shared" si="3"/>
        <v>7.2072000000000012</v>
      </c>
      <c r="Q11" s="36">
        <f t="shared" si="4"/>
        <v>5.6000000000000008E-2</v>
      </c>
      <c r="R11" s="41">
        <v>25</v>
      </c>
      <c r="S11" s="36">
        <f t="shared" si="5"/>
        <v>1.4000000000000001</v>
      </c>
      <c r="T11" s="40">
        <f t="shared" si="6"/>
        <v>8.6072000000000006</v>
      </c>
      <c r="U11" s="38">
        <f t="shared" si="7"/>
        <v>1687.1833440000003</v>
      </c>
      <c r="V11" s="38">
        <f t="shared" si="8"/>
        <v>2362.0566816</v>
      </c>
      <c r="W11" s="39">
        <v>2</v>
      </c>
      <c r="X11" s="38">
        <f t="shared" si="9"/>
        <v>37.5</v>
      </c>
      <c r="Y11" s="38">
        <f t="shared" si="10"/>
        <v>14.000000000000002</v>
      </c>
      <c r="Z11" s="39">
        <v>2.5</v>
      </c>
      <c r="AA11" s="45">
        <f t="shared" si="11"/>
        <v>1.7857142857142858</v>
      </c>
      <c r="AB11" s="40">
        <f t="shared" si="12"/>
        <v>3.8644856076549861</v>
      </c>
      <c r="AC11" s="39">
        <f t="shared" si="13"/>
        <v>0.1030529495374663</v>
      </c>
      <c r="AD11" s="39" t="str">
        <f t="shared" si="14"/>
        <v>OK</v>
      </c>
      <c r="AE11" s="39">
        <v>50</v>
      </c>
      <c r="AF11" s="40">
        <f t="shared" si="15"/>
        <v>43.478260869565219</v>
      </c>
      <c r="AG11" s="40">
        <f t="shared" si="16"/>
        <v>1.5110138725930997</v>
      </c>
      <c r="AH11" s="43">
        <f t="shared" si="17"/>
        <v>2.6982390582019631E-3</v>
      </c>
      <c r="AI11" s="44">
        <v>1.5E-3</v>
      </c>
      <c r="AJ11" s="43">
        <f t="shared" si="18"/>
        <v>2.6982390582019631E-3</v>
      </c>
      <c r="AK11" s="40">
        <f t="shared" si="19"/>
        <v>1.5110138725930997</v>
      </c>
      <c r="AL11" s="40">
        <f t="shared" si="20"/>
        <v>0.50265482457436694</v>
      </c>
      <c r="AM11" s="36">
        <f t="shared" si="21"/>
        <v>4</v>
      </c>
      <c r="AN11" s="38">
        <f t="shared" si="22"/>
        <v>0.78539816339744828</v>
      </c>
      <c r="AO11" s="41">
        <v>2</v>
      </c>
      <c r="AP11" s="41">
        <v>0</v>
      </c>
      <c r="AQ11" s="38">
        <f t="shared" si="23"/>
        <v>396.00000000000006</v>
      </c>
      <c r="AR11" s="41">
        <v>0.39500000000000002</v>
      </c>
      <c r="AS11" s="41">
        <v>0.61699999999999999</v>
      </c>
      <c r="AT11" s="38">
        <f t="shared" si="24"/>
        <v>9.3852000000000011</v>
      </c>
      <c r="AU11" s="38">
        <f t="shared" si="25"/>
        <v>0</v>
      </c>
    </row>
    <row r="12" spans="1:47">
      <c r="A12" s="55" t="s">
        <v>10</v>
      </c>
      <c r="B12" s="265" t="str">
        <f>'Pré-dimencionamento das Vigas'!A44</f>
        <v>BI-APOIADA</v>
      </c>
      <c r="C12" s="249"/>
      <c r="D12" s="46" t="str">
        <f>'Pré-dimencionamento das Vigas'!B44</f>
        <v>BI-APOIADA</v>
      </c>
      <c r="E12" s="46" t="str">
        <f>'Pré-dimencionamento das Vigas'!C44</f>
        <v>V11 e V12</v>
      </c>
      <c r="F12" s="47">
        <f>'Pré-dimencionamento das Vigas'!D44</f>
        <v>2.75</v>
      </c>
      <c r="G12" s="46">
        <f t="shared" si="26"/>
        <v>0.14000000000000001</v>
      </c>
      <c r="H12" s="48">
        <f>'Pré-dimencionamento das Vigas'!$K$30</f>
        <v>0.35</v>
      </c>
      <c r="I12" s="49">
        <v>0.14000000000000001</v>
      </c>
      <c r="J12" s="49">
        <v>0.14000000000000001</v>
      </c>
      <c r="K12" s="50">
        <f t="shared" ref="K12:L12" si="35">MIN(I12/2,0.3*$H12)</f>
        <v>7.0000000000000007E-2</v>
      </c>
      <c r="L12" s="50">
        <f t="shared" si="35"/>
        <v>7.0000000000000007E-2</v>
      </c>
      <c r="M12" s="47">
        <f t="shared" si="1"/>
        <v>2.8899999999999997</v>
      </c>
      <c r="N12" s="50">
        <f t="shared" si="2"/>
        <v>0.40460000000000002</v>
      </c>
      <c r="O12" s="46">
        <v>13</v>
      </c>
      <c r="P12" s="50">
        <f t="shared" si="3"/>
        <v>5.2598000000000003</v>
      </c>
      <c r="Q12" s="46">
        <f t="shared" si="4"/>
        <v>4.9000000000000002E-2</v>
      </c>
      <c r="R12" s="51">
        <v>25</v>
      </c>
      <c r="S12" s="46">
        <f t="shared" si="5"/>
        <v>1.2250000000000001</v>
      </c>
      <c r="T12" s="50">
        <f t="shared" si="6"/>
        <v>6.4847999999999999</v>
      </c>
      <c r="U12" s="48">
        <f t="shared" si="7"/>
        <v>677.02122599999984</v>
      </c>
      <c r="V12" s="48">
        <f t="shared" si="8"/>
        <v>947.82971639999971</v>
      </c>
      <c r="W12" s="49">
        <v>2</v>
      </c>
      <c r="X12" s="48">
        <f t="shared" si="9"/>
        <v>32.5</v>
      </c>
      <c r="Y12" s="48">
        <f t="shared" si="10"/>
        <v>14.000000000000002</v>
      </c>
      <c r="Z12" s="49">
        <v>2.5</v>
      </c>
      <c r="AA12" s="52">
        <f t="shared" si="11"/>
        <v>1.7857142857142858</v>
      </c>
      <c r="AB12" s="50">
        <f t="shared" si="12"/>
        <v>1.7533663579725511</v>
      </c>
      <c r="AC12" s="49">
        <f t="shared" si="13"/>
        <v>5.3949734091463114E-2</v>
      </c>
      <c r="AD12" s="49" t="str">
        <f t="shared" si="14"/>
        <v>OK</v>
      </c>
      <c r="AE12" s="49">
        <v>50</v>
      </c>
      <c r="AF12" s="50">
        <f t="shared" si="15"/>
        <v>43.478260869565219</v>
      </c>
      <c r="AG12" s="50">
        <f t="shared" si="16"/>
        <v>0.68556624596726767</v>
      </c>
      <c r="AH12" s="53">
        <f t="shared" si="17"/>
        <v>1.3991147876883012E-3</v>
      </c>
      <c r="AI12" s="54">
        <v>1.5E-3</v>
      </c>
      <c r="AJ12" s="53">
        <f t="shared" si="18"/>
        <v>1.5E-3</v>
      </c>
      <c r="AK12" s="50">
        <f t="shared" si="19"/>
        <v>0.7350000000000001</v>
      </c>
      <c r="AL12" s="50">
        <f t="shared" si="20"/>
        <v>0.50265482457436694</v>
      </c>
      <c r="AM12" s="46">
        <f t="shared" si="21"/>
        <v>2</v>
      </c>
      <c r="AN12" s="48">
        <f t="shared" si="22"/>
        <v>0.78539816339744828</v>
      </c>
      <c r="AO12" s="51">
        <v>2</v>
      </c>
      <c r="AP12" s="51">
        <v>0</v>
      </c>
      <c r="AQ12" s="48">
        <f t="shared" si="23"/>
        <v>288.99999999999994</v>
      </c>
      <c r="AR12" s="51">
        <v>0.39500000000000002</v>
      </c>
      <c r="AS12" s="51">
        <v>0.61699999999999999</v>
      </c>
      <c r="AT12" s="48">
        <f t="shared" si="24"/>
        <v>4.5661999999999994</v>
      </c>
      <c r="AU12" s="48">
        <f t="shared" si="25"/>
        <v>0</v>
      </c>
    </row>
    <row r="13" spans="1:47">
      <c r="A13" s="262" t="s">
        <v>11</v>
      </c>
      <c r="B13" s="263" t="str">
        <f>'Pré-dimencionamento das Vigas'!A47</f>
        <v>Tramo externo 1</v>
      </c>
      <c r="C13" s="249"/>
      <c r="D13" s="36" t="str">
        <f>'Pré-dimencionamento das Vigas'!B47</f>
        <v>BI-APOIADA</v>
      </c>
      <c r="E13" s="36" t="str">
        <f>'Pré-dimencionamento das Vigas'!C47</f>
        <v>P14 e P15</v>
      </c>
      <c r="F13" s="37">
        <f>'Pré-dimencionamento das Vigas'!D47</f>
        <v>3.97</v>
      </c>
      <c r="G13" s="36">
        <f t="shared" si="26"/>
        <v>0.14000000000000001</v>
      </c>
      <c r="H13" s="38">
        <f>'Pré-dimencionamento das Vigas'!$K$31</f>
        <v>0.4</v>
      </c>
      <c r="I13" s="39">
        <v>0.3</v>
      </c>
      <c r="J13" s="39">
        <v>0.3</v>
      </c>
      <c r="K13" s="40">
        <f t="shared" ref="K13:L13" si="36">MIN(I13/2,0.3*$H13)</f>
        <v>0.12</v>
      </c>
      <c r="L13" s="40">
        <f t="shared" si="36"/>
        <v>0.12</v>
      </c>
      <c r="M13" s="37">
        <f t="shared" si="1"/>
        <v>4.21</v>
      </c>
      <c r="N13" s="40">
        <f t="shared" si="2"/>
        <v>0.58940000000000003</v>
      </c>
      <c r="O13" s="36">
        <v>13</v>
      </c>
      <c r="P13" s="40">
        <f t="shared" si="3"/>
        <v>7.6622000000000003</v>
      </c>
      <c r="Q13" s="36">
        <f t="shared" si="4"/>
        <v>5.6000000000000008E-2</v>
      </c>
      <c r="R13" s="41">
        <v>25</v>
      </c>
      <c r="S13" s="36">
        <f t="shared" si="5"/>
        <v>1.4000000000000001</v>
      </c>
      <c r="T13" s="40">
        <f t="shared" si="6"/>
        <v>9.0622000000000007</v>
      </c>
      <c r="U13" s="38">
        <f t="shared" si="7"/>
        <v>2007.7417377500001</v>
      </c>
      <c r="V13" s="38">
        <f t="shared" si="8"/>
        <v>2810.8384328500001</v>
      </c>
      <c r="W13" s="39">
        <v>2</v>
      </c>
      <c r="X13" s="38">
        <f t="shared" si="9"/>
        <v>37.5</v>
      </c>
      <c r="Y13" s="38">
        <f t="shared" si="10"/>
        <v>14.000000000000002</v>
      </c>
      <c r="Z13" s="39">
        <v>2.5</v>
      </c>
      <c r="AA13" s="45">
        <f t="shared" si="11"/>
        <v>1.7857142857142858</v>
      </c>
      <c r="AB13" s="40">
        <f t="shared" si="12"/>
        <v>4.6386763918327789</v>
      </c>
      <c r="AC13" s="39">
        <f t="shared" si="13"/>
        <v>0.12369803711554077</v>
      </c>
      <c r="AD13" s="39" t="str">
        <f t="shared" si="14"/>
        <v>OK</v>
      </c>
      <c r="AE13" s="39">
        <v>50</v>
      </c>
      <c r="AF13" s="40">
        <f t="shared" si="15"/>
        <v>43.478260869565219</v>
      </c>
      <c r="AG13" s="40">
        <f t="shared" si="16"/>
        <v>1.8137224692066167</v>
      </c>
      <c r="AH13" s="43">
        <f t="shared" si="17"/>
        <v>3.2387901235832435E-3</v>
      </c>
      <c r="AI13" s="44">
        <v>1.5E-3</v>
      </c>
      <c r="AJ13" s="43">
        <f t="shared" si="18"/>
        <v>3.2387901235832435E-3</v>
      </c>
      <c r="AK13" s="40">
        <f t="shared" si="19"/>
        <v>1.8137224692066167</v>
      </c>
      <c r="AL13" s="40">
        <f t="shared" si="20"/>
        <v>0.50265482457436694</v>
      </c>
      <c r="AM13" s="36">
        <f t="shared" si="21"/>
        <v>4</v>
      </c>
      <c r="AN13" s="38">
        <f t="shared" si="22"/>
        <v>0.78539816339744828</v>
      </c>
      <c r="AO13" s="41">
        <v>0</v>
      </c>
      <c r="AP13" s="41">
        <v>2</v>
      </c>
      <c r="AQ13" s="38">
        <f t="shared" si="23"/>
        <v>421</v>
      </c>
      <c r="AR13" s="41">
        <v>0.39500000000000002</v>
      </c>
      <c r="AS13" s="41">
        <v>0.61699999999999999</v>
      </c>
      <c r="AT13" s="38">
        <f t="shared" si="24"/>
        <v>6.6518000000000006</v>
      </c>
      <c r="AU13" s="38">
        <f t="shared" si="25"/>
        <v>5.1951400000000003</v>
      </c>
    </row>
    <row r="14" spans="1:47">
      <c r="A14" s="257"/>
      <c r="B14" s="263" t="str">
        <f>'Pré-dimencionamento das Vigas'!A48</f>
        <v xml:space="preserve">Tramo externo 2 </v>
      </c>
      <c r="C14" s="249"/>
      <c r="D14" s="36" t="str">
        <f>'Pré-dimencionamento das Vigas'!B48</f>
        <v>BI-APOIADA</v>
      </c>
      <c r="E14" s="36" t="str">
        <f>'Pré-dimencionamento das Vigas'!C48</f>
        <v>P15 e P16</v>
      </c>
      <c r="F14" s="37">
        <f>'Pré-dimencionamento das Vigas'!D48</f>
        <v>3.07</v>
      </c>
      <c r="G14" s="36">
        <f t="shared" si="26"/>
        <v>0.14000000000000001</v>
      </c>
      <c r="H14" s="38">
        <f>'Pré-dimencionamento das Vigas'!$K$31</f>
        <v>0.4</v>
      </c>
      <c r="I14" s="39">
        <v>0.3</v>
      </c>
      <c r="J14" s="39">
        <v>0.95</v>
      </c>
      <c r="K14" s="40">
        <f t="shared" ref="K14:L14" si="37">MIN(I14/2,0.3*$H14)</f>
        <v>0.12</v>
      </c>
      <c r="L14" s="40">
        <f t="shared" si="37"/>
        <v>0.12</v>
      </c>
      <c r="M14" s="37">
        <f t="shared" si="1"/>
        <v>3.31</v>
      </c>
      <c r="N14" s="40">
        <f t="shared" si="2"/>
        <v>0.46340000000000003</v>
      </c>
      <c r="O14" s="36">
        <v>13</v>
      </c>
      <c r="P14" s="40">
        <f t="shared" si="3"/>
        <v>6.0242000000000004</v>
      </c>
      <c r="Q14" s="36">
        <f t="shared" si="4"/>
        <v>5.6000000000000008E-2</v>
      </c>
      <c r="R14" s="41">
        <v>25</v>
      </c>
      <c r="S14" s="36">
        <f t="shared" si="5"/>
        <v>1.4000000000000001</v>
      </c>
      <c r="T14" s="40">
        <f t="shared" si="6"/>
        <v>7.4242000000000008</v>
      </c>
      <c r="U14" s="38">
        <f t="shared" si="7"/>
        <v>1016.7534702500003</v>
      </c>
      <c r="V14" s="38">
        <f t="shared" si="8"/>
        <v>1423.4548583500004</v>
      </c>
      <c r="W14" s="39">
        <v>2</v>
      </c>
      <c r="X14" s="38">
        <f t="shared" si="9"/>
        <v>37.5</v>
      </c>
      <c r="Y14" s="38">
        <f t="shared" si="10"/>
        <v>14.000000000000002</v>
      </c>
      <c r="Z14" s="39">
        <v>2.5</v>
      </c>
      <c r="AA14" s="45">
        <f t="shared" si="11"/>
        <v>1.7857142857142858</v>
      </c>
      <c r="AB14" s="40">
        <f t="shared" si="12"/>
        <v>2.2887461970191589</v>
      </c>
      <c r="AC14" s="39">
        <f t="shared" si="13"/>
        <v>6.1033231920510904E-2</v>
      </c>
      <c r="AD14" s="39" t="str">
        <f t="shared" si="14"/>
        <v>OK</v>
      </c>
      <c r="AE14" s="39">
        <v>50</v>
      </c>
      <c r="AF14" s="40">
        <f t="shared" si="15"/>
        <v>43.478260869565219</v>
      </c>
      <c r="AG14" s="40">
        <f t="shared" si="16"/>
        <v>0.89489976303449126</v>
      </c>
      <c r="AH14" s="43">
        <f t="shared" si="17"/>
        <v>1.5980352911330199E-3</v>
      </c>
      <c r="AI14" s="44">
        <v>1.5E-3</v>
      </c>
      <c r="AJ14" s="43">
        <f t="shared" si="18"/>
        <v>1.5980352911330199E-3</v>
      </c>
      <c r="AK14" s="40">
        <f t="shared" si="19"/>
        <v>0.89489976303449126</v>
      </c>
      <c r="AL14" s="40">
        <f t="shared" si="20"/>
        <v>0.50265482457436694</v>
      </c>
      <c r="AM14" s="36">
        <f t="shared" si="21"/>
        <v>2</v>
      </c>
      <c r="AN14" s="38">
        <f t="shared" si="22"/>
        <v>0.78539816339744828</v>
      </c>
      <c r="AO14" s="41">
        <v>0</v>
      </c>
      <c r="AP14" s="41">
        <v>2</v>
      </c>
      <c r="AQ14" s="38">
        <f t="shared" si="23"/>
        <v>331</v>
      </c>
      <c r="AR14" s="41">
        <v>0.39500000000000002</v>
      </c>
      <c r="AS14" s="41">
        <v>0.61699999999999999</v>
      </c>
      <c r="AT14" s="38">
        <f t="shared" si="24"/>
        <v>2.6149</v>
      </c>
      <c r="AU14" s="38">
        <f t="shared" si="25"/>
        <v>4.0845399999999996</v>
      </c>
    </row>
    <row r="15" spans="1:47">
      <c r="A15" s="264" t="s">
        <v>12</v>
      </c>
      <c r="B15" s="265" t="str">
        <f>'Pré-dimencionamento das Vigas'!A51</f>
        <v>Tramo externo 1</v>
      </c>
      <c r="C15" s="249"/>
      <c r="D15" s="46" t="str">
        <f>'Pré-dimencionamento das Vigas'!B51</f>
        <v>BI-APOIADA</v>
      </c>
      <c r="E15" s="46" t="str">
        <f>'Pré-dimencionamento das Vigas'!C51</f>
        <v>V13 e P17</v>
      </c>
      <c r="F15" s="47">
        <f>'Pré-dimencionamento das Vigas'!D51</f>
        <v>2.3199999999999998</v>
      </c>
      <c r="G15" s="46">
        <f t="shared" si="26"/>
        <v>0.14000000000000001</v>
      </c>
      <c r="H15" s="48">
        <f>'Pré-dimencionamento das Vigas'!$K$32</f>
        <v>0.35</v>
      </c>
      <c r="I15" s="49">
        <v>0.14000000000000001</v>
      </c>
      <c r="J15" s="49">
        <v>0.5</v>
      </c>
      <c r="K15" s="50">
        <f t="shared" ref="K15:L15" si="38">MIN(I15/2,0.3*$H15)</f>
        <v>7.0000000000000007E-2</v>
      </c>
      <c r="L15" s="50">
        <f t="shared" si="38"/>
        <v>0.105</v>
      </c>
      <c r="M15" s="47">
        <f t="shared" si="1"/>
        <v>2.4949999999999997</v>
      </c>
      <c r="N15" s="50">
        <f t="shared" si="2"/>
        <v>0.3493</v>
      </c>
      <c r="O15" s="46">
        <v>13</v>
      </c>
      <c r="P15" s="50">
        <f t="shared" si="3"/>
        <v>4.5408999999999997</v>
      </c>
      <c r="Q15" s="46">
        <f t="shared" si="4"/>
        <v>4.9000000000000002E-2</v>
      </c>
      <c r="R15" s="51">
        <v>25</v>
      </c>
      <c r="S15" s="46">
        <f t="shared" si="5"/>
        <v>1.2250000000000001</v>
      </c>
      <c r="T15" s="50">
        <f t="shared" si="6"/>
        <v>5.7659000000000002</v>
      </c>
      <c r="U15" s="48">
        <f t="shared" si="7"/>
        <v>448.66089559374996</v>
      </c>
      <c r="V15" s="48">
        <f t="shared" si="8"/>
        <v>628.12525383124989</v>
      </c>
      <c r="W15" s="49">
        <v>2</v>
      </c>
      <c r="X15" s="48">
        <f t="shared" si="9"/>
        <v>32.5</v>
      </c>
      <c r="Y15" s="48">
        <f t="shared" si="10"/>
        <v>14.000000000000002</v>
      </c>
      <c r="Z15" s="49">
        <v>2.5</v>
      </c>
      <c r="AA15" s="52">
        <f t="shared" si="11"/>
        <v>1.7857142857142858</v>
      </c>
      <c r="AB15" s="50">
        <f t="shared" si="12"/>
        <v>1.1532472628531087</v>
      </c>
      <c r="AC15" s="49">
        <f t="shared" si="13"/>
        <v>3.5484531164711036E-2</v>
      </c>
      <c r="AD15" s="49" t="str">
        <f t="shared" si="14"/>
        <v>OK</v>
      </c>
      <c r="AE15" s="49">
        <v>50</v>
      </c>
      <c r="AF15" s="50">
        <f t="shared" si="15"/>
        <v>43.478260869565219</v>
      </c>
      <c r="AG15" s="50">
        <f t="shared" si="16"/>
        <v>0.45091967977556563</v>
      </c>
      <c r="AH15" s="53">
        <f t="shared" si="17"/>
        <v>9.2024424443992974E-4</v>
      </c>
      <c r="AI15" s="54">
        <v>1.5E-3</v>
      </c>
      <c r="AJ15" s="53">
        <f t="shared" si="18"/>
        <v>1.5E-3</v>
      </c>
      <c r="AK15" s="50">
        <f t="shared" si="19"/>
        <v>0.7350000000000001</v>
      </c>
      <c r="AL15" s="50">
        <f t="shared" si="20"/>
        <v>0.50265482457436694</v>
      </c>
      <c r="AM15" s="46">
        <f t="shared" si="21"/>
        <v>2</v>
      </c>
      <c r="AN15" s="48">
        <f t="shared" si="22"/>
        <v>0.78539816339744828</v>
      </c>
      <c r="AO15" s="51">
        <v>0</v>
      </c>
      <c r="AP15" s="51">
        <v>2</v>
      </c>
      <c r="AQ15" s="48">
        <f t="shared" si="23"/>
        <v>249.49999999999997</v>
      </c>
      <c r="AR15" s="51">
        <v>0.39500000000000002</v>
      </c>
      <c r="AS15" s="51">
        <v>0.61699999999999999</v>
      </c>
      <c r="AT15" s="48">
        <f t="shared" si="24"/>
        <v>1.9710499999999997</v>
      </c>
      <c r="AU15" s="48">
        <f t="shared" si="25"/>
        <v>3.0788299999999995</v>
      </c>
    </row>
    <row r="16" spans="1:47">
      <c r="A16" s="257"/>
      <c r="B16" s="265" t="str">
        <f>'Pré-dimencionamento das Vigas'!A52</f>
        <v xml:space="preserve">Tramo externo 2 </v>
      </c>
      <c r="C16" s="249"/>
      <c r="D16" s="46" t="str">
        <f>'Pré-dimencionamento das Vigas'!B52</f>
        <v>BI-APOIADA</v>
      </c>
      <c r="E16" s="46" t="str">
        <f>'Pré-dimencionamento das Vigas'!C52</f>
        <v>P17 e V14</v>
      </c>
      <c r="F16" s="47">
        <f>'Pré-dimencionamento das Vigas'!D52</f>
        <v>1.21</v>
      </c>
      <c r="G16" s="46">
        <f t="shared" si="26"/>
        <v>0.14000000000000001</v>
      </c>
      <c r="H16" s="48">
        <f>'Pré-dimencionamento das Vigas'!$K$32</f>
        <v>0.35</v>
      </c>
      <c r="I16" s="49">
        <v>0.5</v>
      </c>
      <c r="J16" s="49">
        <v>0.14000000000000001</v>
      </c>
      <c r="K16" s="50">
        <f t="shared" ref="K16:L16" si="39">MIN(I16/2,0.3*$H16)</f>
        <v>0.105</v>
      </c>
      <c r="L16" s="50">
        <f t="shared" si="39"/>
        <v>7.0000000000000007E-2</v>
      </c>
      <c r="M16" s="47">
        <f t="shared" si="1"/>
        <v>1.385</v>
      </c>
      <c r="N16" s="50">
        <f t="shared" si="2"/>
        <v>0.19390000000000002</v>
      </c>
      <c r="O16" s="46">
        <v>13</v>
      </c>
      <c r="P16" s="50">
        <f t="shared" si="3"/>
        <v>2.5207000000000002</v>
      </c>
      <c r="Q16" s="46">
        <f t="shared" si="4"/>
        <v>4.9000000000000002E-2</v>
      </c>
      <c r="R16" s="51">
        <v>25</v>
      </c>
      <c r="S16" s="46">
        <f t="shared" si="5"/>
        <v>1.2250000000000001</v>
      </c>
      <c r="T16" s="50">
        <f t="shared" si="6"/>
        <v>3.7457000000000003</v>
      </c>
      <c r="U16" s="48">
        <f t="shared" si="7"/>
        <v>89.813692281250013</v>
      </c>
      <c r="V16" s="48">
        <f t="shared" si="8"/>
        <v>125.73916919375002</v>
      </c>
      <c r="W16" s="49">
        <v>2</v>
      </c>
      <c r="X16" s="48">
        <f t="shared" si="9"/>
        <v>32.5</v>
      </c>
      <c r="Y16" s="48">
        <f t="shared" si="10"/>
        <v>14.000000000000002</v>
      </c>
      <c r="Z16" s="49">
        <v>2.5</v>
      </c>
      <c r="AA16" s="52">
        <f t="shared" si="11"/>
        <v>1.7857142857142858</v>
      </c>
      <c r="AB16" s="50">
        <f t="shared" si="12"/>
        <v>0.22822326339883084</v>
      </c>
      <c r="AC16" s="49">
        <f t="shared" si="13"/>
        <v>7.0222542584255643E-3</v>
      </c>
      <c r="AD16" s="49" t="str">
        <f t="shared" si="14"/>
        <v>OK</v>
      </c>
      <c r="AE16" s="49">
        <v>50</v>
      </c>
      <c r="AF16" s="50">
        <f t="shared" si="15"/>
        <v>43.478260869565219</v>
      </c>
      <c r="AG16" s="50">
        <f t="shared" si="16"/>
        <v>8.9235295988942864E-2</v>
      </c>
      <c r="AH16" s="53">
        <f t="shared" si="17"/>
        <v>1.8211284895702624E-4</v>
      </c>
      <c r="AI16" s="54">
        <v>1.5E-3</v>
      </c>
      <c r="AJ16" s="53">
        <f t="shared" si="18"/>
        <v>1.5E-3</v>
      </c>
      <c r="AK16" s="50">
        <f t="shared" si="19"/>
        <v>0.7350000000000001</v>
      </c>
      <c r="AL16" s="50">
        <f t="shared" si="20"/>
        <v>0.50265482457436694</v>
      </c>
      <c r="AM16" s="46">
        <f t="shared" si="21"/>
        <v>2</v>
      </c>
      <c r="AN16" s="48">
        <f t="shared" si="22"/>
        <v>0.78539816339744828</v>
      </c>
      <c r="AO16" s="51">
        <v>0</v>
      </c>
      <c r="AP16" s="51">
        <v>2</v>
      </c>
      <c r="AQ16" s="48">
        <f t="shared" si="23"/>
        <v>138.5</v>
      </c>
      <c r="AR16" s="51">
        <v>0.39500000000000002</v>
      </c>
      <c r="AS16" s="51">
        <v>0.61699999999999999</v>
      </c>
      <c r="AT16" s="48">
        <f t="shared" si="24"/>
        <v>1.09415</v>
      </c>
      <c r="AU16" s="48">
        <f t="shared" si="25"/>
        <v>1.70909</v>
      </c>
    </row>
    <row r="17" spans="1:47">
      <c r="A17" s="56" t="s">
        <v>13</v>
      </c>
      <c r="B17" s="263" t="str">
        <f>'Pré-dimencionamento das Vigas'!A55</f>
        <v>BI-APOIADA</v>
      </c>
      <c r="C17" s="249"/>
      <c r="D17" s="36" t="str">
        <f>'Pré-dimencionamento das Vigas'!B55</f>
        <v>BI-APOIADA</v>
      </c>
      <c r="E17" s="36" t="str">
        <f>'Pré-dimencionamento das Vigas'!C55</f>
        <v>P18 e P19</v>
      </c>
      <c r="F17" s="37">
        <f>'Pré-dimencionamento das Vigas'!D55</f>
        <v>3.72</v>
      </c>
      <c r="G17" s="36">
        <f t="shared" si="26"/>
        <v>0.14000000000000001</v>
      </c>
      <c r="H17" s="38">
        <f>'Pré-dimencionamento das Vigas'!$K$33</f>
        <v>0.4</v>
      </c>
      <c r="I17" s="39">
        <v>0.35</v>
      </c>
      <c r="J17" s="39">
        <v>0.3</v>
      </c>
      <c r="K17" s="40">
        <f t="shared" ref="K17:L17" si="40">MIN(I17/2,0.3*$H17)</f>
        <v>0.12</v>
      </c>
      <c r="L17" s="40">
        <f t="shared" si="40"/>
        <v>0.12</v>
      </c>
      <c r="M17" s="37">
        <f t="shared" si="1"/>
        <v>3.9600000000000004</v>
      </c>
      <c r="N17" s="40">
        <f t="shared" si="2"/>
        <v>0.55440000000000011</v>
      </c>
      <c r="O17" s="36">
        <v>13</v>
      </c>
      <c r="P17" s="40">
        <f t="shared" si="3"/>
        <v>7.2072000000000012</v>
      </c>
      <c r="Q17" s="36">
        <f t="shared" si="4"/>
        <v>5.6000000000000008E-2</v>
      </c>
      <c r="R17" s="41">
        <v>25</v>
      </c>
      <c r="S17" s="36">
        <f t="shared" si="5"/>
        <v>1.4000000000000001</v>
      </c>
      <c r="T17" s="40">
        <f t="shared" si="6"/>
        <v>8.6072000000000006</v>
      </c>
      <c r="U17" s="38">
        <f t="shared" si="7"/>
        <v>1687.1833440000003</v>
      </c>
      <c r="V17" s="38">
        <f t="shared" si="8"/>
        <v>2362.0566816</v>
      </c>
      <c r="W17" s="39">
        <v>2</v>
      </c>
      <c r="X17" s="38">
        <f t="shared" si="9"/>
        <v>37.5</v>
      </c>
      <c r="Y17" s="38">
        <f t="shared" si="10"/>
        <v>14.000000000000002</v>
      </c>
      <c r="Z17" s="39">
        <v>2.5</v>
      </c>
      <c r="AA17" s="45">
        <f t="shared" si="11"/>
        <v>1.7857142857142858</v>
      </c>
      <c r="AB17" s="40">
        <f t="shared" si="12"/>
        <v>3.8644856076549861</v>
      </c>
      <c r="AC17" s="39">
        <f t="shared" si="13"/>
        <v>0.1030529495374663</v>
      </c>
      <c r="AD17" s="39" t="str">
        <f t="shared" si="14"/>
        <v>OK</v>
      </c>
      <c r="AE17" s="39">
        <v>50</v>
      </c>
      <c r="AF17" s="40">
        <f t="shared" si="15"/>
        <v>43.478260869565219</v>
      </c>
      <c r="AG17" s="40">
        <f t="shared" si="16"/>
        <v>1.5110138725930997</v>
      </c>
      <c r="AH17" s="43">
        <f t="shared" si="17"/>
        <v>2.6982390582019631E-3</v>
      </c>
      <c r="AI17" s="44">
        <v>1.5E-3</v>
      </c>
      <c r="AJ17" s="43">
        <f t="shared" si="18"/>
        <v>2.6982390582019631E-3</v>
      </c>
      <c r="AK17" s="40">
        <f t="shared" si="19"/>
        <v>1.5110138725930997</v>
      </c>
      <c r="AL17" s="40">
        <f t="shared" si="20"/>
        <v>0.50265482457436694</v>
      </c>
      <c r="AM17" s="36">
        <f t="shared" si="21"/>
        <v>4</v>
      </c>
      <c r="AN17" s="38">
        <f t="shared" si="22"/>
        <v>0.78539816339744828</v>
      </c>
      <c r="AO17" s="41">
        <v>2</v>
      </c>
      <c r="AP17" s="41">
        <v>0</v>
      </c>
      <c r="AQ17" s="38">
        <f t="shared" si="23"/>
        <v>396.00000000000006</v>
      </c>
      <c r="AR17" s="41">
        <v>0.39500000000000002</v>
      </c>
      <c r="AS17" s="41">
        <v>0.61699999999999999</v>
      </c>
      <c r="AT17" s="38">
        <f t="shared" si="24"/>
        <v>9.3852000000000011</v>
      </c>
      <c r="AU17" s="38">
        <f t="shared" si="25"/>
        <v>0</v>
      </c>
    </row>
    <row r="18" spans="1:47">
      <c r="A18" s="55" t="s">
        <v>14</v>
      </c>
      <c r="B18" s="265" t="str">
        <f>'Pré-dimencionamento das Vigas'!A58</f>
        <v>BI-APOIADA</v>
      </c>
      <c r="C18" s="249"/>
      <c r="D18" s="46" t="str">
        <f>'Pré-dimencionamento das Vigas'!B58</f>
        <v>BI-APOIADA</v>
      </c>
      <c r="E18" s="46" t="str">
        <f>'Pré-dimencionamento das Vigas'!C58</f>
        <v>P20 e P18</v>
      </c>
      <c r="F18" s="47">
        <f>'Pré-dimencionamento das Vigas'!D58</f>
        <v>3.77</v>
      </c>
      <c r="G18" s="46">
        <f t="shared" si="26"/>
        <v>0.14000000000000001</v>
      </c>
      <c r="H18" s="48">
        <f>'Pré-dimencionamento das Vigas'!$K$34</f>
        <v>0.4</v>
      </c>
      <c r="I18" s="49">
        <v>0.3</v>
      </c>
      <c r="J18" s="49">
        <v>0.35</v>
      </c>
      <c r="K18" s="50">
        <f t="shared" ref="K18:L18" si="41">MIN(I18/2,0.3*$H18)</f>
        <v>0.12</v>
      </c>
      <c r="L18" s="50">
        <f t="shared" si="41"/>
        <v>0.12</v>
      </c>
      <c r="M18" s="47">
        <f t="shared" si="1"/>
        <v>4.01</v>
      </c>
      <c r="N18" s="50">
        <f t="shared" si="2"/>
        <v>0.56140000000000001</v>
      </c>
      <c r="O18" s="46">
        <v>13</v>
      </c>
      <c r="P18" s="50">
        <f t="shared" si="3"/>
        <v>7.2982000000000005</v>
      </c>
      <c r="Q18" s="46">
        <f t="shared" si="4"/>
        <v>5.6000000000000008E-2</v>
      </c>
      <c r="R18" s="51">
        <v>25</v>
      </c>
      <c r="S18" s="46">
        <f t="shared" si="5"/>
        <v>1.4000000000000001</v>
      </c>
      <c r="T18" s="50">
        <f t="shared" si="6"/>
        <v>8.6981999999999999</v>
      </c>
      <c r="U18" s="48">
        <f t="shared" si="7"/>
        <v>1748.3490727499998</v>
      </c>
      <c r="V18" s="48">
        <f t="shared" si="8"/>
        <v>2447.6887018499997</v>
      </c>
      <c r="W18" s="49">
        <v>2</v>
      </c>
      <c r="X18" s="48">
        <f t="shared" si="9"/>
        <v>37.5</v>
      </c>
      <c r="Y18" s="48">
        <f t="shared" si="10"/>
        <v>14.000000000000002</v>
      </c>
      <c r="Z18" s="49">
        <v>2.5</v>
      </c>
      <c r="AA18" s="52">
        <f t="shared" si="11"/>
        <v>1.7857142857142858</v>
      </c>
      <c r="AB18" s="50">
        <f t="shared" si="12"/>
        <v>4.0111293845305411</v>
      </c>
      <c r="AC18" s="49">
        <f t="shared" si="13"/>
        <v>0.10696345025414776</v>
      </c>
      <c r="AD18" s="49" t="str">
        <f t="shared" si="14"/>
        <v>OK</v>
      </c>
      <c r="AE18" s="49">
        <v>50</v>
      </c>
      <c r="AF18" s="50">
        <f t="shared" si="15"/>
        <v>43.478260869565219</v>
      </c>
      <c r="AG18" s="50">
        <f t="shared" si="16"/>
        <v>1.5683515893514419</v>
      </c>
      <c r="AH18" s="53">
        <f t="shared" si="17"/>
        <v>2.8006278381275743E-3</v>
      </c>
      <c r="AI18" s="54">
        <v>1.5E-3</v>
      </c>
      <c r="AJ18" s="53">
        <f t="shared" si="18"/>
        <v>2.8006278381275743E-3</v>
      </c>
      <c r="AK18" s="50">
        <f t="shared" si="19"/>
        <v>1.5683515893514419</v>
      </c>
      <c r="AL18" s="50">
        <f t="shared" si="20"/>
        <v>0.50265482457436694</v>
      </c>
      <c r="AM18" s="46">
        <f t="shared" si="21"/>
        <v>4</v>
      </c>
      <c r="AN18" s="48">
        <f t="shared" si="22"/>
        <v>0.78539816339744828</v>
      </c>
      <c r="AO18" s="51">
        <v>2</v>
      </c>
      <c r="AP18" s="51">
        <v>0</v>
      </c>
      <c r="AQ18" s="48">
        <f t="shared" si="23"/>
        <v>401</v>
      </c>
      <c r="AR18" s="51">
        <v>0.39500000000000002</v>
      </c>
      <c r="AS18" s="51">
        <v>0.61699999999999999</v>
      </c>
      <c r="AT18" s="48">
        <f t="shared" si="24"/>
        <v>9.5037000000000003</v>
      </c>
      <c r="AU18" s="48">
        <f t="shared" si="25"/>
        <v>0</v>
      </c>
    </row>
    <row r="19" spans="1:47">
      <c r="A19" s="262" t="s">
        <v>15</v>
      </c>
      <c r="B19" s="263" t="str">
        <f>'Pré-dimencionamento das Vigas'!A61</f>
        <v>Tramo externo 1</v>
      </c>
      <c r="C19" s="249"/>
      <c r="D19" s="36" t="str">
        <f>'Pré-dimencionamento das Vigas'!B61</f>
        <v>BI-APOIADA</v>
      </c>
      <c r="E19" s="36" t="str">
        <f>'Pré-dimencionamento das Vigas'!C61</f>
        <v>P1 e P6</v>
      </c>
      <c r="F19" s="37">
        <f>'Pré-dimencionamento das Vigas'!D61</f>
        <v>2.19</v>
      </c>
      <c r="G19" s="36">
        <f t="shared" si="26"/>
        <v>0.14000000000000001</v>
      </c>
      <c r="H19" s="38">
        <f>'Pré-dimencionamento das Vigas'!$K$35</f>
        <v>0.55000000000000004</v>
      </c>
      <c r="I19" s="39">
        <v>0.72</v>
      </c>
      <c r="J19" s="39">
        <v>0.15</v>
      </c>
      <c r="K19" s="40">
        <f t="shared" ref="K19:L19" si="42">MIN(I19/2,0.3*$H19)</f>
        <v>0.16500000000000001</v>
      </c>
      <c r="L19" s="40">
        <f t="shared" si="42"/>
        <v>7.4999999999999997E-2</v>
      </c>
      <c r="M19" s="37">
        <f t="shared" si="1"/>
        <v>2.4300000000000002</v>
      </c>
      <c r="N19" s="40">
        <f t="shared" si="2"/>
        <v>0.34020000000000006</v>
      </c>
      <c r="O19" s="36">
        <v>13</v>
      </c>
      <c r="P19" s="40">
        <f t="shared" si="3"/>
        <v>4.422600000000001</v>
      </c>
      <c r="Q19" s="36">
        <f t="shared" si="4"/>
        <v>7.7000000000000013E-2</v>
      </c>
      <c r="R19" s="41">
        <v>25</v>
      </c>
      <c r="S19" s="36">
        <f t="shared" si="5"/>
        <v>1.9250000000000003</v>
      </c>
      <c r="T19" s="40">
        <f t="shared" si="6"/>
        <v>6.3476000000000017</v>
      </c>
      <c r="U19" s="38">
        <f t="shared" si="7"/>
        <v>468.52429050000018</v>
      </c>
      <c r="V19" s="38">
        <f t="shared" si="8"/>
        <v>655.93400670000017</v>
      </c>
      <c r="W19" s="39">
        <v>2</v>
      </c>
      <c r="X19" s="38">
        <f t="shared" si="9"/>
        <v>52.500000000000007</v>
      </c>
      <c r="Y19" s="38">
        <f t="shared" si="10"/>
        <v>14.000000000000002</v>
      </c>
      <c r="Z19" s="39">
        <v>2.5</v>
      </c>
      <c r="AA19" s="45">
        <f t="shared" si="11"/>
        <v>1.7857142857142858</v>
      </c>
      <c r="AB19" s="40">
        <f t="shared" si="12"/>
        <v>0.7391021356584353</v>
      </c>
      <c r="AC19" s="39">
        <f t="shared" si="13"/>
        <v>1.4078135917303527E-2</v>
      </c>
      <c r="AD19" s="39" t="str">
        <f t="shared" si="14"/>
        <v>OK</v>
      </c>
      <c r="AE19" s="39">
        <v>50</v>
      </c>
      <c r="AF19" s="40">
        <f t="shared" si="15"/>
        <v>43.478260869565219</v>
      </c>
      <c r="AG19" s="40">
        <f t="shared" si="16"/>
        <v>0.28898893504244827</v>
      </c>
      <c r="AH19" s="43">
        <f t="shared" si="17"/>
        <v>3.7531030524993271E-4</v>
      </c>
      <c r="AI19" s="44">
        <v>1.5E-3</v>
      </c>
      <c r="AJ19" s="43">
        <f t="shared" si="18"/>
        <v>1.5E-3</v>
      </c>
      <c r="AK19" s="40">
        <f t="shared" si="19"/>
        <v>1.1550000000000005</v>
      </c>
      <c r="AL19" s="40">
        <f t="shared" si="20"/>
        <v>0.50265482457436694</v>
      </c>
      <c r="AM19" s="36">
        <f t="shared" si="21"/>
        <v>3</v>
      </c>
      <c r="AN19" s="38">
        <f t="shared" si="22"/>
        <v>0.78539816339744828</v>
      </c>
      <c r="AO19" s="41">
        <v>0</v>
      </c>
      <c r="AP19" s="41">
        <v>2</v>
      </c>
      <c r="AQ19" s="38">
        <f t="shared" si="23"/>
        <v>243.00000000000003</v>
      </c>
      <c r="AR19" s="41">
        <v>0.39500000000000002</v>
      </c>
      <c r="AS19" s="41">
        <v>0.61699999999999999</v>
      </c>
      <c r="AT19" s="38">
        <f t="shared" si="24"/>
        <v>2.8795500000000001</v>
      </c>
      <c r="AU19" s="38">
        <f t="shared" si="25"/>
        <v>2.9986200000000003</v>
      </c>
    </row>
    <row r="20" spans="1:47">
      <c r="A20" s="269"/>
      <c r="B20" s="263" t="str">
        <f>'Pré-dimencionamento das Vigas'!A62</f>
        <v>Tramo interno 1</v>
      </c>
      <c r="C20" s="249"/>
      <c r="D20" s="36" t="str">
        <f>'Pré-dimencionamento das Vigas'!B62</f>
        <v>BI-APOIADA</v>
      </c>
      <c r="E20" s="36" t="str">
        <f>'Pré-dimencionamento das Vigas'!C62</f>
        <v>P6 e P8</v>
      </c>
      <c r="F20" s="37">
        <f>'Pré-dimencionamento das Vigas'!D62</f>
        <v>0.85</v>
      </c>
      <c r="G20" s="36">
        <f t="shared" si="26"/>
        <v>0.14000000000000001</v>
      </c>
      <c r="H20" s="38">
        <f>'Pré-dimencionamento das Vigas'!$K$35</f>
        <v>0.55000000000000004</v>
      </c>
      <c r="I20" s="39">
        <v>0.15</v>
      </c>
      <c r="J20" s="39">
        <v>0.5</v>
      </c>
      <c r="K20" s="40">
        <f t="shared" ref="K20:L20" si="43">MIN(I20/2,0.3*$H20)</f>
        <v>7.4999999999999997E-2</v>
      </c>
      <c r="L20" s="40">
        <f t="shared" si="43"/>
        <v>0.16500000000000001</v>
      </c>
      <c r="M20" s="37">
        <f t="shared" si="1"/>
        <v>1.0899999999999999</v>
      </c>
      <c r="N20" s="40">
        <f t="shared" si="2"/>
        <v>0.15259999999999999</v>
      </c>
      <c r="O20" s="36">
        <v>13</v>
      </c>
      <c r="P20" s="40">
        <f t="shared" si="3"/>
        <v>1.9837999999999998</v>
      </c>
      <c r="Q20" s="36">
        <f t="shared" si="4"/>
        <v>7.7000000000000013E-2</v>
      </c>
      <c r="R20" s="41">
        <v>25</v>
      </c>
      <c r="S20" s="36">
        <f t="shared" si="5"/>
        <v>1.9250000000000003</v>
      </c>
      <c r="T20" s="40">
        <f t="shared" si="6"/>
        <v>3.9088000000000003</v>
      </c>
      <c r="U20" s="38">
        <f t="shared" si="7"/>
        <v>58.050565999999989</v>
      </c>
      <c r="V20" s="38">
        <f t="shared" si="8"/>
        <v>81.270792399999976</v>
      </c>
      <c r="W20" s="39">
        <v>2</v>
      </c>
      <c r="X20" s="38">
        <f t="shared" si="9"/>
        <v>52.500000000000007</v>
      </c>
      <c r="Y20" s="38">
        <f t="shared" si="10"/>
        <v>14.000000000000002</v>
      </c>
      <c r="Z20" s="39">
        <v>2.5</v>
      </c>
      <c r="AA20" s="45">
        <f t="shared" si="11"/>
        <v>1.7857142857142858</v>
      </c>
      <c r="AB20" s="40">
        <f t="shared" si="12"/>
        <v>9.1122975346922055E-2</v>
      </c>
      <c r="AC20" s="39">
        <f t="shared" si="13"/>
        <v>1.7356757208937532E-3</v>
      </c>
      <c r="AD20" s="39" t="str">
        <f t="shared" si="14"/>
        <v>OK</v>
      </c>
      <c r="AE20" s="39">
        <v>50</v>
      </c>
      <c r="AF20" s="40">
        <f t="shared" si="15"/>
        <v>43.478260869565219</v>
      </c>
      <c r="AG20" s="40">
        <f t="shared" si="16"/>
        <v>3.5629083360646525E-2</v>
      </c>
      <c r="AH20" s="43">
        <f t="shared" si="17"/>
        <v>4.6271536832008464E-5</v>
      </c>
      <c r="AI20" s="44">
        <v>1.5E-3</v>
      </c>
      <c r="AJ20" s="43">
        <f t="shared" si="18"/>
        <v>1.5E-3</v>
      </c>
      <c r="AK20" s="40">
        <f t="shared" si="19"/>
        <v>1.1550000000000005</v>
      </c>
      <c r="AL20" s="40">
        <f t="shared" si="20"/>
        <v>0.50265482457436694</v>
      </c>
      <c r="AM20" s="36">
        <f t="shared" si="21"/>
        <v>3</v>
      </c>
      <c r="AN20" s="38">
        <f t="shared" si="22"/>
        <v>0.78539816339744828</v>
      </c>
      <c r="AO20" s="41">
        <v>0</v>
      </c>
      <c r="AP20" s="41">
        <v>2</v>
      </c>
      <c r="AQ20" s="38">
        <f t="shared" si="23"/>
        <v>108.99999999999999</v>
      </c>
      <c r="AR20" s="41">
        <v>0.39500000000000002</v>
      </c>
      <c r="AS20" s="41">
        <v>0.61699999999999999</v>
      </c>
      <c r="AT20" s="38">
        <f t="shared" si="24"/>
        <v>1.29165</v>
      </c>
      <c r="AU20" s="38">
        <f t="shared" si="25"/>
        <v>1.3450599999999997</v>
      </c>
    </row>
    <row r="21" spans="1:47">
      <c r="A21" s="269"/>
      <c r="B21" s="263" t="str">
        <f>'Pré-dimencionamento das Vigas'!A63</f>
        <v>Tramo interno 2</v>
      </c>
      <c r="C21" s="249"/>
      <c r="D21" s="36" t="str">
        <f>'Pré-dimencionamento das Vigas'!B63</f>
        <v>BI-APOIADA</v>
      </c>
      <c r="E21" s="36" t="str">
        <f>'Pré-dimencionamento das Vigas'!C63</f>
        <v>P8 e P11</v>
      </c>
      <c r="F21" s="37">
        <f>'Pré-dimencionamento das Vigas'!D63</f>
        <v>2.4</v>
      </c>
      <c r="G21" s="36">
        <f t="shared" si="26"/>
        <v>0.14000000000000001</v>
      </c>
      <c r="H21" s="38">
        <f>'Pré-dimencionamento das Vigas'!$K$35</f>
        <v>0.55000000000000004</v>
      </c>
      <c r="I21" s="39">
        <v>0.5</v>
      </c>
      <c r="J21" s="39">
        <v>0.45</v>
      </c>
      <c r="K21" s="40">
        <f t="shared" ref="K21:L21" si="44">MIN(I21/2,0.3*$H21)</f>
        <v>0.16500000000000001</v>
      </c>
      <c r="L21" s="40">
        <f t="shared" si="44"/>
        <v>0.16500000000000001</v>
      </c>
      <c r="M21" s="37">
        <f t="shared" si="1"/>
        <v>2.73</v>
      </c>
      <c r="N21" s="40">
        <f t="shared" si="2"/>
        <v>0.38220000000000004</v>
      </c>
      <c r="O21" s="36">
        <v>13</v>
      </c>
      <c r="P21" s="40">
        <f t="shared" si="3"/>
        <v>4.9686000000000003</v>
      </c>
      <c r="Q21" s="36">
        <f t="shared" si="4"/>
        <v>7.7000000000000013E-2</v>
      </c>
      <c r="R21" s="41">
        <v>25</v>
      </c>
      <c r="S21" s="36">
        <f t="shared" si="5"/>
        <v>1.9250000000000003</v>
      </c>
      <c r="T21" s="40">
        <f t="shared" si="6"/>
        <v>6.8936000000000011</v>
      </c>
      <c r="U21" s="38">
        <f t="shared" si="7"/>
        <v>642.21639300000004</v>
      </c>
      <c r="V21" s="38">
        <f t="shared" si="8"/>
        <v>899.10295020000001</v>
      </c>
      <c r="W21" s="39">
        <v>2</v>
      </c>
      <c r="X21" s="38">
        <f t="shared" si="9"/>
        <v>52.500000000000007</v>
      </c>
      <c r="Y21" s="38">
        <f t="shared" si="10"/>
        <v>14.000000000000002</v>
      </c>
      <c r="Z21" s="39">
        <v>2.5</v>
      </c>
      <c r="AA21" s="45">
        <f t="shared" si="11"/>
        <v>1.7857142857142858</v>
      </c>
      <c r="AB21" s="40">
        <f t="shared" si="12"/>
        <v>1.0152514870103806</v>
      </c>
      <c r="AC21" s="39">
        <f t="shared" si="13"/>
        <v>1.9338123562102485E-2</v>
      </c>
      <c r="AD21" s="39" t="str">
        <f t="shared" si="14"/>
        <v>OK</v>
      </c>
      <c r="AE21" s="39">
        <v>50</v>
      </c>
      <c r="AF21" s="40">
        <f t="shared" si="15"/>
        <v>43.478260869565219</v>
      </c>
      <c r="AG21" s="40">
        <f t="shared" si="16"/>
        <v>0.39696333142105888</v>
      </c>
      <c r="AH21" s="43">
        <f t="shared" si="17"/>
        <v>5.1553679405332313E-4</v>
      </c>
      <c r="AI21" s="44">
        <v>1.5E-3</v>
      </c>
      <c r="AJ21" s="43">
        <f t="shared" si="18"/>
        <v>1.5E-3</v>
      </c>
      <c r="AK21" s="40">
        <f t="shared" si="19"/>
        <v>1.1550000000000005</v>
      </c>
      <c r="AL21" s="40">
        <f t="shared" si="20"/>
        <v>0.50265482457436694</v>
      </c>
      <c r="AM21" s="36">
        <f t="shared" si="21"/>
        <v>3</v>
      </c>
      <c r="AN21" s="38">
        <f t="shared" si="22"/>
        <v>0.78539816339744828</v>
      </c>
      <c r="AO21" s="41">
        <v>0</v>
      </c>
      <c r="AP21" s="41">
        <v>2</v>
      </c>
      <c r="AQ21" s="38">
        <f t="shared" si="23"/>
        <v>273</v>
      </c>
      <c r="AR21" s="41">
        <v>0.39500000000000002</v>
      </c>
      <c r="AS21" s="41">
        <v>0.61699999999999999</v>
      </c>
      <c r="AT21" s="38">
        <f t="shared" si="24"/>
        <v>3.2350500000000002</v>
      </c>
      <c r="AU21" s="38">
        <f t="shared" si="25"/>
        <v>3.3688199999999999</v>
      </c>
    </row>
    <row r="22" spans="1:47">
      <c r="A22" s="269"/>
      <c r="B22" s="263" t="str">
        <f>'Pré-dimencionamento das Vigas'!A64</f>
        <v>Tramo interno 3</v>
      </c>
      <c r="C22" s="249"/>
      <c r="D22" s="36" t="str">
        <f>'Pré-dimencionamento das Vigas'!B64</f>
        <v>BI-APOIADA</v>
      </c>
      <c r="E22" s="36" t="str">
        <f>'Pré-dimencionamento das Vigas'!C64</f>
        <v>P11 e P14</v>
      </c>
      <c r="F22" s="37">
        <f>'Pré-dimencionamento das Vigas'!D64</f>
        <v>1.1000000000000001</v>
      </c>
      <c r="G22" s="36">
        <f t="shared" si="26"/>
        <v>0.14000000000000001</v>
      </c>
      <c r="H22" s="38">
        <f>'Pré-dimencionamento das Vigas'!$K$35</f>
        <v>0.55000000000000004</v>
      </c>
      <c r="I22" s="39">
        <v>0.55000000000000004</v>
      </c>
      <c r="J22" s="39">
        <v>0.45</v>
      </c>
      <c r="K22" s="40">
        <f t="shared" ref="K22:L22" si="45">MIN(I22/2,0.3*$H22)</f>
        <v>0.16500000000000001</v>
      </c>
      <c r="L22" s="40">
        <f t="shared" si="45"/>
        <v>0.16500000000000001</v>
      </c>
      <c r="M22" s="37">
        <f t="shared" si="1"/>
        <v>1.4300000000000002</v>
      </c>
      <c r="N22" s="40">
        <f t="shared" si="2"/>
        <v>0.20020000000000004</v>
      </c>
      <c r="O22" s="36">
        <v>13</v>
      </c>
      <c r="P22" s="40">
        <f t="shared" si="3"/>
        <v>2.6026000000000007</v>
      </c>
      <c r="Q22" s="36">
        <f t="shared" si="4"/>
        <v>7.7000000000000013E-2</v>
      </c>
      <c r="R22" s="41">
        <v>25</v>
      </c>
      <c r="S22" s="36">
        <f t="shared" si="5"/>
        <v>1.9250000000000003</v>
      </c>
      <c r="T22" s="40">
        <f t="shared" si="6"/>
        <v>4.5276000000000014</v>
      </c>
      <c r="U22" s="38">
        <f t="shared" si="7"/>
        <v>115.73111550000006</v>
      </c>
      <c r="V22" s="38">
        <f t="shared" si="8"/>
        <v>162.02356170000007</v>
      </c>
      <c r="W22" s="39">
        <v>2</v>
      </c>
      <c r="X22" s="38">
        <f t="shared" si="9"/>
        <v>52.500000000000007</v>
      </c>
      <c r="Y22" s="38">
        <f t="shared" si="10"/>
        <v>14.000000000000002</v>
      </c>
      <c r="Z22" s="39">
        <v>2.5</v>
      </c>
      <c r="AA22" s="45">
        <f t="shared" si="11"/>
        <v>1.7857142857142858</v>
      </c>
      <c r="AB22" s="40">
        <f t="shared" si="12"/>
        <v>0.18179079818630534</v>
      </c>
      <c r="AC22" s="39">
        <f t="shared" si="13"/>
        <v>3.4626818702153395E-3</v>
      </c>
      <c r="AD22" s="39" t="str">
        <f t="shared" si="14"/>
        <v>OK</v>
      </c>
      <c r="AE22" s="39">
        <v>50</v>
      </c>
      <c r="AF22" s="40">
        <f t="shared" si="15"/>
        <v>43.478260869565219</v>
      </c>
      <c r="AG22" s="40">
        <f t="shared" si="16"/>
        <v>7.108020209084541E-2</v>
      </c>
      <c r="AH22" s="43">
        <f t="shared" si="17"/>
        <v>9.2311950767331677E-5</v>
      </c>
      <c r="AI22" s="44">
        <v>1.5E-3</v>
      </c>
      <c r="AJ22" s="43">
        <f t="shared" si="18"/>
        <v>1.5E-3</v>
      </c>
      <c r="AK22" s="40">
        <f t="shared" si="19"/>
        <v>1.1550000000000005</v>
      </c>
      <c r="AL22" s="40">
        <f t="shared" si="20"/>
        <v>0.50265482457436694</v>
      </c>
      <c r="AM22" s="36">
        <f t="shared" si="21"/>
        <v>3</v>
      </c>
      <c r="AN22" s="38">
        <f t="shared" si="22"/>
        <v>0.78539816339744828</v>
      </c>
      <c r="AO22" s="41">
        <v>0</v>
      </c>
      <c r="AP22" s="41">
        <v>2</v>
      </c>
      <c r="AQ22" s="38">
        <f t="shared" si="23"/>
        <v>143.00000000000003</v>
      </c>
      <c r="AR22" s="41">
        <v>0.39500000000000002</v>
      </c>
      <c r="AS22" s="41">
        <v>0.61699999999999999</v>
      </c>
      <c r="AT22" s="38">
        <f t="shared" si="24"/>
        <v>1.6945500000000004</v>
      </c>
      <c r="AU22" s="38">
        <f t="shared" si="25"/>
        <v>1.7646200000000005</v>
      </c>
    </row>
    <row r="23" spans="1:47">
      <c r="A23" s="257"/>
      <c r="B23" s="263" t="str">
        <f>'Pré-dimencionamento das Vigas'!A65</f>
        <v>Tramo externo 2</v>
      </c>
      <c r="C23" s="249"/>
      <c r="D23" s="36" t="str">
        <f>'Pré-dimencionamento das Vigas'!B65</f>
        <v>BI-APOIADA</v>
      </c>
      <c r="E23" s="36" t="str">
        <f>'Pré-dimencionamento das Vigas'!C65</f>
        <v>P14 e P20</v>
      </c>
      <c r="F23" s="37">
        <f>'Pré-dimencionamento das Vigas'!D65</f>
        <v>5.2</v>
      </c>
      <c r="G23" s="36">
        <f t="shared" si="26"/>
        <v>0.14000000000000001</v>
      </c>
      <c r="H23" s="38">
        <f>'Pré-dimencionamento das Vigas'!$K$35</f>
        <v>0.55000000000000004</v>
      </c>
      <c r="I23" s="39">
        <v>0.55000000000000004</v>
      </c>
      <c r="J23" s="39">
        <v>0.55000000000000004</v>
      </c>
      <c r="K23" s="40">
        <f t="shared" ref="K23:L23" si="46">MIN(I23/2,0.3*$H23)</f>
        <v>0.16500000000000001</v>
      </c>
      <c r="L23" s="40">
        <f t="shared" si="46"/>
        <v>0.16500000000000001</v>
      </c>
      <c r="M23" s="37">
        <f t="shared" si="1"/>
        <v>5.53</v>
      </c>
      <c r="N23" s="40">
        <f t="shared" si="2"/>
        <v>0.77420000000000011</v>
      </c>
      <c r="O23" s="36">
        <v>13</v>
      </c>
      <c r="P23" s="40">
        <f t="shared" si="3"/>
        <v>10.064600000000002</v>
      </c>
      <c r="Q23" s="36">
        <f t="shared" si="4"/>
        <v>7.7000000000000013E-2</v>
      </c>
      <c r="R23" s="41">
        <v>25</v>
      </c>
      <c r="S23" s="36">
        <f t="shared" si="5"/>
        <v>1.9250000000000003</v>
      </c>
      <c r="T23" s="40">
        <f t="shared" si="6"/>
        <v>11.989600000000003</v>
      </c>
      <c r="U23" s="38">
        <f t="shared" si="7"/>
        <v>4583.1594830000013</v>
      </c>
      <c r="V23" s="38">
        <f t="shared" si="8"/>
        <v>6416.4232762000011</v>
      </c>
      <c r="W23" s="39">
        <v>2</v>
      </c>
      <c r="X23" s="38">
        <f t="shared" si="9"/>
        <v>52.500000000000007</v>
      </c>
      <c r="Y23" s="38">
        <f t="shared" si="10"/>
        <v>14.000000000000002</v>
      </c>
      <c r="Z23" s="39">
        <v>2.5</v>
      </c>
      <c r="AA23" s="45">
        <f t="shared" si="11"/>
        <v>1.7857142857142858</v>
      </c>
      <c r="AB23" s="40">
        <f t="shared" si="12"/>
        <v>7.6331991421606675</v>
      </c>
      <c r="AC23" s="39">
        <f t="shared" si="13"/>
        <v>0.14539426937448888</v>
      </c>
      <c r="AD23" s="39" t="str">
        <f t="shared" si="14"/>
        <v>OK</v>
      </c>
      <c r="AE23" s="39">
        <v>50</v>
      </c>
      <c r="AF23" s="40">
        <f t="shared" si="15"/>
        <v>43.478260869565219</v>
      </c>
      <c r="AG23" s="40">
        <f t="shared" si="16"/>
        <v>2.9845808645848217</v>
      </c>
      <c r="AH23" s="43">
        <f t="shared" si="17"/>
        <v>3.876079044915352E-3</v>
      </c>
      <c r="AI23" s="44">
        <v>1.5E-3</v>
      </c>
      <c r="AJ23" s="43">
        <f t="shared" si="18"/>
        <v>3.876079044915352E-3</v>
      </c>
      <c r="AK23" s="40">
        <f t="shared" si="19"/>
        <v>2.9845808645848217</v>
      </c>
      <c r="AL23" s="40">
        <f t="shared" si="20"/>
        <v>0.50265482457436694</v>
      </c>
      <c r="AM23" s="36">
        <f t="shared" si="21"/>
        <v>6</v>
      </c>
      <c r="AN23" s="38">
        <f t="shared" si="22"/>
        <v>0.78539816339744828</v>
      </c>
      <c r="AO23" s="41">
        <v>0</v>
      </c>
      <c r="AP23" s="41">
        <v>2</v>
      </c>
      <c r="AQ23" s="38">
        <f t="shared" si="23"/>
        <v>553</v>
      </c>
      <c r="AR23" s="41">
        <v>0.39500000000000002</v>
      </c>
      <c r="AS23" s="41">
        <v>0.61699999999999999</v>
      </c>
      <c r="AT23" s="38">
        <f t="shared" si="24"/>
        <v>13.106100000000001</v>
      </c>
      <c r="AU23" s="38">
        <f t="shared" si="25"/>
        <v>6.82402</v>
      </c>
    </row>
    <row r="24" spans="1:47">
      <c r="A24" s="264" t="s">
        <v>16</v>
      </c>
      <c r="B24" s="265" t="str">
        <f>'Pré-dimencionamento das Vigas'!A68</f>
        <v>Tramo externo 1</v>
      </c>
      <c r="C24" s="249"/>
      <c r="D24" s="46" t="str">
        <f>'Pré-dimencionamento das Vigas'!B68</f>
        <v>BI-APOIADA</v>
      </c>
      <c r="E24" s="46" t="str">
        <f>'Pré-dimencionamento das Vigas'!C68</f>
        <v>V1 e P4</v>
      </c>
      <c r="F24" s="47">
        <f>'Pré-dimencionamento das Vigas'!D68</f>
        <v>1.53</v>
      </c>
      <c r="G24" s="46">
        <f t="shared" si="26"/>
        <v>0.14000000000000001</v>
      </c>
      <c r="H24" s="48">
        <f>'Pré-dimencionamento das Vigas'!$K$36</f>
        <v>0.55000000000000004</v>
      </c>
      <c r="I24" s="49">
        <v>0.14000000000000001</v>
      </c>
      <c r="J24" s="49">
        <v>0.4</v>
      </c>
      <c r="K24" s="50">
        <f t="shared" ref="K24:L24" si="47">MIN(I24/2,0.3*$H24)</f>
        <v>7.0000000000000007E-2</v>
      </c>
      <c r="L24" s="50">
        <f t="shared" si="47"/>
        <v>0.16500000000000001</v>
      </c>
      <c r="M24" s="47">
        <f t="shared" si="1"/>
        <v>1.7650000000000001</v>
      </c>
      <c r="N24" s="50">
        <f t="shared" si="2"/>
        <v>0.24710000000000004</v>
      </c>
      <c r="O24" s="46">
        <v>13</v>
      </c>
      <c r="P24" s="50">
        <f t="shared" si="3"/>
        <v>3.2123000000000004</v>
      </c>
      <c r="Q24" s="46">
        <f t="shared" si="4"/>
        <v>7.7000000000000013E-2</v>
      </c>
      <c r="R24" s="51">
        <v>25</v>
      </c>
      <c r="S24" s="46">
        <f t="shared" si="5"/>
        <v>1.9250000000000003</v>
      </c>
      <c r="T24" s="50">
        <f t="shared" si="6"/>
        <v>5.1373000000000006</v>
      </c>
      <c r="U24" s="48">
        <f t="shared" si="7"/>
        <v>200.04806740625006</v>
      </c>
      <c r="V24" s="48">
        <f t="shared" si="8"/>
        <v>280.06729436875008</v>
      </c>
      <c r="W24" s="49">
        <v>2</v>
      </c>
      <c r="X24" s="48">
        <f t="shared" si="9"/>
        <v>52.500000000000007</v>
      </c>
      <c r="Y24" s="48">
        <f t="shared" si="10"/>
        <v>14.000000000000002</v>
      </c>
      <c r="Z24" s="49">
        <v>2.5</v>
      </c>
      <c r="AA24" s="52">
        <f t="shared" si="11"/>
        <v>1.7857142857142858</v>
      </c>
      <c r="AB24" s="50">
        <f t="shared" si="12"/>
        <v>0.31455475438047498</v>
      </c>
      <c r="AC24" s="49">
        <f t="shared" si="13"/>
        <v>5.9915191310566654E-3</v>
      </c>
      <c r="AD24" s="49" t="str">
        <f t="shared" si="14"/>
        <v>OK</v>
      </c>
      <c r="AE24" s="49">
        <v>50</v>
      </c>
      <c r="AF24" s="50">
        <f t="shared" si="15"/>
        <v>43.478260869565219</v>
      </c>
      <c r="AG24" s="50">
        <f t="shared" si="16"/>
        <v>0.12299090896276575</v>
      </c>
      <c r="AH24" s="53">
        <f t="shared" si="17"/>
        <v>1.5972845319839704E-4</v>
      </c>
      <c r="AI24" s="54">
        <v>1.5E-3</v>
      </c>
      <c r="AJ24" s="53">
        <f t="shared" si="18"/>
        <v>1.5E-3</v>
      </c>
      <c r="AK24" s="50">
        <f t="shared" si="19"/>
        <v>1.1550000000000005</v>
      </c>
      <c r="AL24" s="50">
        <f t="shared" si="20"/>
        <v>0.50265482457436694</v>
      </c>
      <c r="AM24" s="46">
        <f t="shared" si="21"/>
        <v>3</v>
      </c>
      <c r="AN24" s="48">
        <f t="shared" si="22"/>
        <v>0.78539816339744828</v>
      </c>
      <c r="AO24" s="51">
        <v>0</v>
      </c>
      <c r="AP24" s="51">
        <v>2</v>
      </c>
      <c r="AQ24" s="48">
        <f t="shared" si="23"/>
        <v>176.5</v>
      </c>
      <c r="AR24" s="51">
        <v>0.39500000000000002</v>
      </c>
      <c r="AS24" s="51">
        <v>0.61699999999999999</v>
      </c>
      <c r="AT24" s="48">
        <f t="shared" si="24"/>
        <v>2.0915249999999999</v>
      </c>
      <c r="AU24" s="48">
        <f t="shared" si="25"/>
        <v>2.17801</v>
      </c>
    </row>
    <row r="25" spans="1:47">
      <c r="A25" s="269"/>
      <c r="B25" s="265" t="str">
        <f>'Pré-dimencionamento das Vigas'!A69</f>
        <v>Tramo interno 1</v>
      </c>
      <c r="C25" s="249"/>
      <c r="D25" s="46" t="str">
        <f>'Pré-dimencionamento das Vigas'!B69</f>
        <v>BI-APOIADA</v>
      </c>
      <c r="E25" s="46" t="str">
        <f>'Pré-dimencionamento das Vigas'!C69</f>
        <v>P4 e P7</v>
      </c>
      <c r="F25" s="47">
        <f>'Pré-dimencionamento das Vigas'!D69</f>
        <v>0.83</v>
      </c>
      <c r="G25" s="46">
        <f t="shared" si="26"/>
        <v>0.14000000000000001</v>
      </c>
      <c r="H25" s="48">
        <f>'Pré-dimencionamento das Vigas'!$K$36</f>
        <v>0.55000000000000004</v>
      </c>
      <c r="I25" s="49">
        <v>0.4</v>
      </c>
      <c r="J25" s="49">
        <v>0.14000000000000001</v>
      </c>
      <c r="K25" s="50">
        <f t="shared" ref="K25:L25" si="48">MIN(I25/2,0.3*$H25)</f>
        <v>0.16500000000000001</v>
      </c>
      <c r="L25" s="50">
        <f t="shared" si="48"/>
        <v>7.0000000000000007E-2</v>
      </c>
      <c r="M25" s="47">
        <f t="shared" si="1"/>
        <v>1.0649999999999999</v>
      </c>
      <c r="N25" s="50">
        <f t="shared" si="2"/>
        <v>0.14910000000000001</v>
      </c>
      <c r="O25" s="46">
        <v>13</v>
      </c>
      <c r="P25" s="50">
        <f t="shared" si="3"/>
        <v>1.9383000000000001</v>
      </c>
      <c r="Q25" s="46">
        <f t="shared" si="4"/>
        <v>7.7000000000000013E-2</v>
      </c>
      <c r="R25" s="51">
        <v>25</v>
      </c>
      <c r="S25" s="46">
        <f t="shared" si="5"/>
        <v>1.9250000000000003</v>
      </c>
      <c r="T25" s="50">
        <f t="shared" si="6"/>
        <v>3.8633000000000006</v>
      </c>
      <c r="U25" s="48">
        <f t="shared" si="7"/>
        <v>54.773143031250001</v>
      </c>
      <c r="V25" s="48">
        <f t="shared" si="8"/>
        <v>76.682400243749996</v>
      </c>
      <c r="W25" s="49">
        <v>2</v>
      </c>
      <c r="X25" s="48">
        <f t="shared" si="9"/>
        <v>52.500000000000007</v>
      </c>
      <c r="Y25" s="48">
        <f t="shared" si="10"/>
        <v>14.000000000000002</v>
      </c>
      <c r="Z25" s="49">
        <v>2.5</v>
      </c>
      <c r="AA25" s="52">
        <f t="shared" si="11"/>
        <v>1.7857142857142858</v>
      </c>
      <c r="AB25" s="50">
        <f t="shared" si="12"/>
        <v>8.5974973419518375E-2</v>
      </c>
      <c r="AC25" s="49">
        <f t="shared" si="13"/>
        <v>1.6376185413241593E-3</v>
      </c>
      <c r="AD25" s="49" t="str">
        <f t="shared" si="14"/>
        <v>OK</v>
      </c>
      <c r="AE25" s="49">
        <v>50</v>
      </c>
      <c r="AF25" s="50">
        <f t="shared" si="15"/>
        <v>43.478260869565219</v>
      </c>
      <c r="AG25" s="50">
        <f t="shared" si="16"/>
        <v>3.3616214607031694E-2</v>
      </c>
      <c r="AH25" s="53">
        <f t="shared" si="17"/>
        <v>4.3657421567573614E-5</v>
      </c>
      <c r="AI25" s="54">
        <v>1.5E-3</v>
      </c>
      <c r="AJ25" s="53">
        <f t="shared" si="18"/>
        <v>1.5E-3</v>
      </c>
      <c r="AK25" s="50">
        <f t="shared" si="19"/>
        <v>1.1550000000000005</v>
      </c>
      <c r="AL25" s="50">
        <f t="shared" si="20"/>
        <v>0.50265482457436694</v>
      </c>
      <c r="AM25" s="46">
        <f t="shared" si="21"/>
        <v>3</v>
      </c>
      <c r="AN25" s="48">
        <f t="shared" si="22"/>
        <v>0.78539816339744828</v>
      </c>
      <c r="AO25" s="51">
        <v>0</v>
      </c>
      <c r="AP25" s="51">
        <v>2</v>
      </c>
      <c r="AQ25" s="48">
        <f t="shared" si="23"/>
        <v>106.5</v>
      </c>
      <c r="AR25" s="51">
        <v>0.39500000000000002</v>
      </c>
      <c r="AS25" s="51">
        <v>0.61699999999999999</v>
      </c>
      <c r="AT25" s="48">
        <f t="shared" si="24"/>
        <v>1.262025</v>
      </c>
      <c r="AU25" s="48">
        <f t="shared" si="25"/>
        <v>1.3142099999999999</v>
      </c>
    </row>
    <row r="26" spans="1:47">
      <c r="A26" s="269"/>
      <c r="B26" s="265" t="str">
        <f>'Pré-dimencionamento das Vigas'!A70</f>
        <v>Tramo interno 2</v>
      </c>
      <c r="C26" s="249"/>
      <c r="D26" s="46" t="str">
        <f>'Pré-dimencionamento das Vigas'!B70</f>
        <v>BI-APOIADA</v>
      </c>
      <c r="E26" s="46" t="str">
        <f>'Pré-dimencionamento das Vigas'!C70</f>
        <v>P7 e P8</v>
      </c>
      <c r="F26" s="47">
        <f>'Pré-dimencionamento das Vigas'!D70</f>
        <v>1.1499999999999999</v>
      </c>
      <c r="G26" s="46">
        <f t="shared" si="26"/>
        <v>0.14000000000000001</v>
      </c>
      <c r="H26" s="48">
        <f>'Pré-dimencionamento das Vigas'!$K$36</f>
        <v>0.55000000000000004</v>
      </c>
      <c r="I26" s="49">
        <v>0.15</v>
      </c>
      <c r="J26" s="49">
        <v>0.2</v>
      </c>
      <c r="K26" s="50">
        <f t="shared" ref="K26:L26" si="49">MIN(I26/2,0.3*$H26)</f>
        <v>7.4999999999999997E-2</v>
      </c>
      <c r="L26" s="50">
        <f t="shared" si="49"/>
        <v>0.1</v>
      </c>
      <c r="M26" s="47">
        <f t="shared" si="1"/>
        <v>1.325</v>
      </c>
      <c r="N26" s="50">
        <f t="shared" si="2"/>
        <v>0.1855</v>
      </c>
      <c r="O26" s="46">
        <v>13</v>
      </c>
      <c r="P26" s="50">
        <f t="shared" si="3"/>
        <v>2.4115000000000002</v>
      </c>
      <c r="Q26" s="46">
        <f t="shared" si="4"/>
        <v>7.7000000000000013E-2</v>
      </c>
      <c r="R26" s="51">
        <v>25</v>
      </c>
      <c r="S26" s="46">
        <f t="shared" si="5"/>
        <v>1.9250000000000003</v>
      </c>
      <c r="T26" s="50">
        <f t="shared" si="6"/>
        <v>4.3365000000000009</v>
      </c>
      <c r="U26" s="48">
        <f t="shared" si="7"/>
        <v>95.165847656250023</v>
      </c>
      <c r="V26" s="48">
        <f t="shared" si="8"/>
        <v>133.23218671875003</v>
      </c>
      <c r="W26" s="49">
        <v>2</v>
      </c>
      <c r="X26" s="48">
        <f t="shared" si="9"/>
        <v>52.500000000000007</v>
      </c>
      <c r="Y26" s="48">
        <f t="shared" si="10"/>
        <v>14.000000000000002</v>
      </c>
      <c r="Z26" s="49">
        <v>2.5</v>
      </c>
      <c r="AA26" s="52">
        <f t="shared" si="11"/>
        <v>1.7857142857142858</v>
      </c>
      <c r="AB26" s="50">
        <f t="shared" si="12"/>
        <v>0.14944993461384026</v>
      </c>
      <c r="AC26" s="49">
        <f t="shared" si="13"/>
        <v>2.8466654212160047E-3</v>
      </c>
      <c r="AD26" s="49" t="str">
        <f t="shared" si="14"/>
        <v>OK</v>
      </c>
      <c r="AE26" s="49">
        <v>50</v>
      </c>
      <c r="AF26" s="50">
        <f t="shared" si="15"/>
        <v>43.478260869565219</v>
      </c>
      <c r="AG26" s="50">
        <f t="shared" si="16"/>
        <v>5.8434924434011562E-2</v>
      </c>
      <c r="AH26" s="53">
        <f t="shared" si="17"/>
        <v>7.5889512251963047E-5</v>
      </c>
      <c r="AI26" s="54">
        <v>1.5E-3</v>
      </c>
      <c r="AJ26" s="53">
        <f t="shared" si="18"/>
        <v>1.5E-3</v>
      </c>
      <c r="AK26" s="50">
        <f t="shared" si="19"/>
        <v>1.1550000000000005</v>
      </c>
      <c r="AL26" s="50">
        <f t="shared" si="20"/>
        <v>0.50265482457436694</v>
      </c>
      <c r="AM26" s="46">
        <f t="shared" si="21"/>
        <v>3</v>
      </c>
      <c r="AN26" s="48">
        <f t="shared" si="22"/>
        <v>0.78539816339744828</v>
      </c>
      <c r="AO26" s="51">
        <v>0</v>
      </c>
      <c r="AP26" s="51">
        <v>2</v>
      </c>
      <c r="AQ26" s="48">
        <f t="shared" si="23"/>
        <v>132.5</v>
      </c>
      <c r="AR26" s="51">
        <v>0.39500000000000002</v>
      </c>
      <c r="AS26" s="51">
        <v>0.61699999999999999</v>
      </c>
      <c r="AT26" s="48">
        <f t="shared" si="24"/>
        <v>1.570125</v>
      </c>
      <c r="AU26" s="48">
        <f t="shared" si="25"/>
        <v>1.6350499999999999</v>
      </c>
    </row>
    <row r="27" spans="1:47">
      <c r="A27" s="257"/>
      <c r="B27" s="265" t="str">
        <f>'Pré-dimencionamento das Vigas'!A71</f>
        <v>Tramo externo 2</v>
      </c>
      <c r="C27" s="249"/>
      <c r="D27" s="46" t="str">
        <f>'Pré-dimencionamento das Vigas'!B71</f>
        <v>BI-APOIADA</v>
      </c>
      <c r="E27" s="46" t="str">
        <f>'Pré-dimencionamento das Vigas'!C71</f>
        <v>P8 e V7</v>
      </c>
      <c r="F27" s="47">
        <f>'Pré-dimencionamento das Vigas'!D71</f>
        <v>4.7300000000000004</v>
      </c>
      <c r="G27" s="46">
        <f t="shared" si="26"/>
        <v>0.14000000000000001</v>
      </c>
      <c r="H27" s="48">
        <f>'Pré-dimencionamento das Vigas'!$K$36</f>
        <v>0.55000000000000004</v>
      </c>
      <c r="I27" s="49">
        <v>0.2</v>
      </c>
      <c r="J27" s="49">
        <v>0.14000000000000001</v>
      </c>
      <c r="K27" s="50">
        <f t="shared" ref="K27:L27" si="50">MIN(I27/2,0.3*$H27)</f>
        <v>0.1</v>
      </c>
      <c r="L27" s="50">
        <f t="shared" si="50"/>
        <v>7.0000000000000007E-2</v>
      </c>
      <c r="M27" s="47">
        <f t="shared" si="1"/>
        <v>4.9000000000000004</v>
      </c>
      <c r="N27" s="50">
        <f t="shared" si="2"/>
        <v>0.68600000000000017</v>
      </c>
      <c r="O27" s="46">
        <v>13</v>
      </c>
      <c r="P27" s="50">
        <f t="shared" si="3"/>
        <v>8.9180000000000028</v>
      </c>
      <c r="Q27" s="46">
        <f t="shared" si="4"/>
        <v>7.7000000000000013E-2</v>
      </c>
      <c r="R27" s="51">
        <v>25</v>
      </c>
      <c r="S27" s="46">
        <f t="shared" si="5"/>
        <v>1.9250000000000003</v>
      </c>
      <c r="T27" s="50">
        <f t="shared" si="6"/>
        <v>10.843000000000004</v>
      </c>
      <c r="U27" s="48">
        <f t="shared" si="7"/>
        <v>3254.2553750000015</v>
      </c>
      <c r="V27" s="48">
        <f t="shared" si="8"/>
        <v>4555.9575250000016</v>
      </c>
      <c r="W27" s="49">
        <v>2</v>
      </c>
      <c r="X27" s="48">
        <f t="shared" si="9"/>
        <v>52.500000000000007</v>
      </c>
      <c r="Y27" s="48">
        <f t="shared" si="10"/>
        <v>14.000000000000002</v>
      </c>
      <c r="Z27" s="49">
        <v>2.5</v>
      </c>
      <c r="AA27" s="52">
        <f t="shared" si="11"/>
        <v>1.7857142857142858</v>
      </c>
      <c r="AB27" s="50">
        <f t="shared" si="12"/>
        <v>5.3203826699519698</v>
      </c>
      <c r="AC27" s="49">
        <f t="shared" si="13"/>
        <v>0.10134062228479941</v>
      </c>
      <c r="AD27" s="49" t="str">
        <f t="shared" si="14"/>
        <v>OK</v>
      </c>
      <c r="AE27" s="49">
        <v>50</v>
      </c>
      <c r="AF27" s="50">
        <f t="shared" si="15"/>
        <v>43.478260869565219</v>
      </c>
      <c r="AG27" s="50">
        <f t="shared" si="16"/>
        <v>2.0802696239512204</v>
      </c>
      <c r="AH27" s="53">
        <f t="shared" si="17"/>
        <v>2.7016488622743115E-3</v>
      </c>
      <c r="AI27" s="54">
        <v>1.5E-3</v>
      </c>
      <c r="AJ27" s="53">
        <f t="shared" si="18"/>
        <v>2.7016488622743115E-3</v>
      </c>
      <c r="AK27" s="50">
        <f t="shared" si="19"/>
        <v>2.0802696239512204</v>
      </c>
      <c r="AL27" s="50">
        <f t="shared" si="20"/>
        <v>0.50265482457436694</v>
      </c>
      <c r="AM27" s="46">
        <f t="shared" si="21"/>
        <v>5</v>
      </c>
      <c r="AN27" s="48">
        <f t="shared" si="22"/>
        <v>0.78539816339744828</v>
      </c>
      <c r="AO27" s="51">
        <v>0</v>
      </c>
      <c r="AP27" s="51">
        <v>2</v>
      </c>
      <c r="AQ27" s="48">
        <f t="shared" si="23"/>
        <v>490.00000000000006</v>
      </c>
      <c r="AR27" s="51">
        <v>0.39500000000000002</v>
      </c>
      <c r="AS27" s="51">
        <v>0.61699999999999999</v>
      </c>
      <c r="AT27" s="48">
        <f t="shared" si="24"/>
        <v>9.677500000000002</v>
      </c>
      <c r="AU27" s="48">
        <f t="shared" si="25"/>
        <v>6.0466000000000006</v>
      </c>
    </row>
    <row r="28" spans="1:47">
      <c r="A28" s="262" t="s">
        <v>17</v>
      </c>
      <c r="B28" s="263" t="str">
        <f>'Pré-dimencionamento das Vigas'!A74</f>
        <v>Tramo externo 1</v>
      </c>
      <c r="C28" s="249"/>
      <c r="D28" s="36" t="str">
        <f>'Pré-dimencionamento das Vigas'!B74</f>
        <v>BI-APOIADA</v>
      </c>
      <c r="E28" s="36" t="str">
        <f>'Pré-dimencionamento das Vigas'!C74</f>
        <v>P2 e P9</v>
      </c>
      <c r="F28" s="37">
        <f>'Pré-dimencionamento das Vigas'!D74</f>
        <v>3.68</v>
      </c>
      <c r="G28" s="36">
        <f t="shared" si="26"/>
        <v>0.14000000000000001</v>
      </c>
      <c r="H28" s="38">
        <f>'Pré-dimencionamento das Vigas'!$K$37</f>
        <v>0.5</v>
      </c>
      <c r="I28" s="39">
        <v>0.35</v>
      </c>
      <c r="J28" s="39">
        <v>0.4</v>
      </c>
      <c r="K28" s="40">
        <f t="shared" ref="K28:L28" si="51">MIN(I28/2,0.3*$H28)</f>
        <v>0.15</v>
      </c>
      <c r="L28" s="40">
        <f t="shared" si="51"/>
        <v>0.15</v>
      </c>
      <c r="M28" s="37">
        <f t="shared" si="1"/>
        <v>3.98</v>
      </c>
      <c r="N28" s="40">
        <f t="shared" si="2"/>
        <v>0.55720000000000003</v>
      </c>
      <c r="O28" s="36">
        <v>13</v>
      </c>
      <c r="P28" s="40">
        <f t="shared" si="3"/>
        <v>7.2436000000000007</v>
      </c>
      <c r="Q28" s="36">
        <f t="shared" si="4"/>
        <v>7.0000000000000007E-2</v>
      </c>
      <c r="R28" s="41">
        <v>25</v>
      </c>
      <c r="S28" s="36">
        <f t="shared" si="5"/>
        <v>1.7500000000000002</v>
      </c>
      <c r="T28" s="40">
        <f t="shared" si="6"/>
        <v>8.9936000000000007</v>
      </c>
      <c r="U28" s="38">
        <f t="shared" si="7"/>
        <v>1780.7777680000002</v>
      </c>
      <c r="V28" s="38">
        <f t="shared" si="8"/>
        <v>2493.0888752000001</v>
      </c>
      <c r="W28" s="39">
        <v>2</v>
      </c>
      <c r="X28" s="38">
        <f t="shared" si="9"/>
        <v>47.5</v>
      </c>
      <c r="Y28" s="38">
        <f t="shared" si="10"/>
        <v>14.000000000000002</v>
      </c>
      <c r="Z28" s="39">
        <v>2.5</v>
      </c>
      <c r="AA28" s="45">
        <f t="shared" si="11"/>
        <v>1.7857142857142858</v>
      </c>
      <c r="AB28" s="40">
        <f t="shared" si="12"/>
        <v>3.1721539149588645</v>
      </c>
      <c r="AC28" s="39">
        <f t="shared" si="13"/>
        <v>6.6782187683344513E-2</v>
      </c>
      <c r="AD28" s="39" t="str">
        <f t="shared" si="14"/>
        <v>OK</v>
      </c>
      <c r="AE28" s="39">
        <v>50</v>
      </c>
      <c r="AF28" s="40">
        <f t="shared" si="15"/>
        <v>43.478260869565219</v>
      </c>
      <c r="AG28" s="40">
        <f t="shared" si="16"/>
        <v>1.2403121807489161</v>
      </c>
      <c r="AH28" s="43">
        <f t="shared" si="17"/>
        <v>1.7718745439270227E-3</v>
      </c>
      <c r="AI28" s="44">
        <v>1.5E-3</v>
      </c>
      <c r="AJ28" s="43">
        <f t="shared" si="18"/>
        <v>1.7718745439270227E-3</v>
      </c>
      <c r="AK28" s="40">
        <f t="shared" si="19"/>
        <v>1.2403121807489161</v>
      </c>
      <c r="AL28" s="40">
        <f t="shared" si="20"/>
        <v>0.50265482457436694</v>
      </c>
      <c r="AM28" s="36">
        <f t="shared" si="21"/>
        <v>3</v>
      </c>
      <c r="AN28" s="38">
        <f t="shared" si="22"/>
        <v>0.78539816339744828</v>
      </c>
      <c r="AO28" s="41">
        <v>0</v>
      </c>
      <c r="AP28" s="41">
        <v>2</v>
      </c>
      <c r="AQ28" s="38">
        <f t="shared" si="23"/>
        <v>398</v>
      </c>
      <c r="AR28" s="41">
        <v>0.39500000000000002</v>
      </c>
      <c r="AS28" s="41">
        <v>0.61699999999999999</v>
      </c>
      <c r="AT28" s="38">
        <f t="shared" si="24"/>
        <v>4.7163000000000004</v>
      </c>
      <c r="AU28" s="38">
        <f t="shared" si="25"/>
        <v>4.9113199999999999</v>
      </c>
    </row>
    <row r="29" spans="1:47">
      <c r="A29" s="269"/>
      <c r="B29" s="263" t="str">
        <f>'Pré-dimencionamento das Vigas'!A75</f>
        <v>Tramo interno 1</v>
      </c>
      <c r="C29" s="249"/>
      <c r="D29" s="36" t="str">
        <f>'Pré-dimencionamento das Vigas'!B75</f>
        <v>BI-APOIADA</v>
      </c>
      <c r="E29" s="36" t="str">
        <f>'Pré-dimencionamento das Vigas'!C75</f>
        <v>P9 e P12</v>
      </c>
      <c r="F29" s="37">
        <f>'Pré-dimencionamento das Vigas'!D75</f>
        <v>2.4</v>
      </c>
      <c r="G29" s="36">
        <f t="shared" si="26"/>
        <v>0.14000000000000001</v>
      </c>
      <c r="H29" s="38">
        <f>'Pré-dimencionamento das Vigas'!$K$37</f>
        <v>0.5</v>
      </c>
      <c r="I29" s="39">
        <v>0.4</v>
      </c>
      <c r="J29" s="39">
        <v>0.45</v>
      </c>
      <c r="K29" s="40">
        <f t="shared" ref="K29:L29" si="52">MIN(I29/2,0.3*$H29)</f>
        <v>0.15</v>
      </c>
      <c r="L29" s="40">
        <f t="shared" si="52"/>
        <v>0.15</v>
      </c>
      <c r="M29" s="37">
        <f t="shared" si="1"/>
        <v>2.6999999999999997</v>
      </c>
      <c r="N29" s="40">
        <f t="shared" si="2"/>
        <v>0.378</v>
      </c>
      <c r="O29" s="36">
        <v>13</v>
      </c>
      <c r="P29" s="40">
        <f t="shared" si="3"/>
        <v>4.9139999999999997</v>
      </c>
      <c r="Q29" s="36">
        <f t="shared" si="4"/>
        <v>7.0000000000000007E-2</v>
      </c>
      <c r="R29" s="41">
        <v>25</v>
      </c>
      <c r="S29" s="36">
        <f t="shared" si="5"/>
        <v>1.7500000000000002</v>
      </c>
      <c r="T29" s="40">
        <f t="shared" si="6"/>
        <v>6.6639999999999997</v>
      </c>
      <c r="U29" s="38">
        <f t="shared" si="7"/>
        <v>607.25699999999983</v>
      </c>
      <c r="V29" s="38">
        <f t="shared" si="8"/>
        <v>850.15979999999968</v>
      </c>
      <c r="W29" s="39">
        <v>2</v>
      </c>
      <c r="X29" s="38">
        <f t="shared" si="9"/>
        <v>47.5</v>
      </c>
      <c r="Y29" s="38">
        <f t="shared" si="10"/>
        <v>14.000000000000002</v>
      </c>
      <c r="Z29" s="39">
        <v>2.5</v>
      </c>
      <c r="AA29" s="45">
        <f t="shared" si="11"/>
        <v>1.7857142857142858</v>
      </c>
      <c r="AB29" s="40">
        <f t="shared" si="12"/>
        <v>1.0623330656194401</v>
      </c>
      <c r="AC29" s="39">
        <f t="shared" si="13"/>
        <v>2.2364906644619792E-2</v>
      </c>
      <c r="AD29" s="39" t="str">
        <f t="shared" si="14"/>
        <v>OK</v>
      </c>
      <c r="AE29" s="39">
        <v>50</v>
      </c>
      <c r="AF29" s="40">
        <f t="shared" si="15"/>
        <v>43.478260869565219</v>
      </c>
      <c r="AG29" s="40">
        <f t="shared" si="16"/>
        <v>0.41537222865720119</v>
      </c>
      <c r="AH29" s="43">
        <f t="shared" si="17"/>
        <v>5.9338889808171591E-4</v>
      </c>
      <c r="AI29" s="44">
        <v>1.5E-3</v>
      </c>
      <c r="AJ29" s="43">
        <f t="shared" si="18"/>
        <v>1.5E-3</v>
      </c>
      <c r="AK29" s="40">
        <f t="shared" si="19"/>
        <v>1.0500000000000003</v>
      </c>
      <c r="AL29" s="40">
        <f t="shared" si="20"/>
        <v>0.50265482457436694</v>
      </c>
      <c r="AM29" s="36">
        <f t="shared" si="21"/>
        <v>3</v>
      </c>
      <c r="AN29" s="38">
        <f t="shared" si="22"/>
        <v>0.78539816339744828</v>
      </c>
      <c r="AO29" s="41">
        <v>0</v>
      </c>
      <c r="AP29" s="41">
        <v>2</v>
      </c>
      <c r="AQ29" s="38">
        <f t="shared" si="23"/>
        <v>270</v>
      </c>
      <c r="AR29" s="41">
        <v>0.39500000000000002</v>
      </c>
      <c r="AS29" s="41">
        <v>0.61699999999999999</v>
      </c>
      <c r="AT29" s="38">
        <f t="shared" si="24"/>
        <v>3.1995000000000005</v>
      </c>
      <c r="AU29" s="38">
        <f t="shared" si="25"/>
        <v>3.3318000000000003</v>
      </c>
    </row>
    <row r="30" spans="1:47">
      <c r="A30" s="269"/>
      <c r="B30" s="263" t="str">
        <f>'Pré-dimencionamento das Vigas'!A76</f>
        <v>Tramo interno 2</v>
      </c>
      <c r="C30" s="249"/>
      <c r="D30" s="36" t="str">
        <f>'Pré-dimencionamento das Vigas'!B76</f>
        <v>BI-APOIADA</v>
      </c>
      <c r="E30" s="36" t="str">
        <f>'Pré-dimencionamento das Vigas'!C76</f>
        <v>P12 e P15</v>
      </c>
      <c r="F30" s="37">
        <f>'Pré-dimencionamento das Vigas'!D76</f>
        <v>1.65</v>
      </c>
      <c r="G30" s="36">
        <f t="shared" si="26"/>
        <v>0.14000000000000001</v>
      </c>
      <c r="H30" s="38">
        <f>'Pré-dimencionamento das Vigas'!$K$37</f>
        <v>0.5</v>
      </c>
      <c r="I30" s="39">
        <v>0.45</v>
      </c>
      <c r="J30" s="39">
        <v>0.55000000000000004</v>
      </c>
      <c r="K30" s="40">
        <f t="shared" ref="K30:L30" si="53">MIN(I30/2,0.3*$H30)</f>
        <v>0.15</v>
      </c>
      <c r="L30" s="40">
        <f t="shared" si="53"/>
        <v>0.15</v>
      </c>
      <c r="M30" s="37">
        <f t="shared" si="1"/>
        <v>1.9499999999999997</v>
      </c>
      <c r="N30" s="40">
        <f t="shared" si="2"/>
        <v>0.27299999999999996</v>
      </c>
      <c r="O30" s="36">
        <v>13</v>
      </c>
      <c r="P30" s="40">
        <f t="shared" si="3"/>
        <v>3.5489999999999995</v>
      </c>
      <c r="Q30" s="36">
        <f t="shared" si="4"/>
        <v>7.0000000000000007E-2</v>
      </c>
      <c r="R30" s="41">
        <v>25</v>
      </c>
      <c r="S30" s="36">
        <f t="shared" si="5"/>
        <v>1.7500000000000002</v>
      </c>
      <c r="T30" s="40">
        <f t="shared" si="6"/>
        <v>5.2989999999999995</v>
      </c>
      <c r="U30" s="38">
        <f t="shared" si="7"/>
        <v>251.86809374999993</v>
      </c>
      <c r="V30" s="38">
        <f t="shared" si="8"/>
        <v>352.61533124999988</v>
      </c>
      <c r="W30" s="39">
        <v>2</v>
      </c>
      <c r="X30" s="38">
        <f t="shared" si="9"/>
        <v>47.5</v>
      </c>
      <c r="Y30" s="38">
        <f t="shared" si="10"/>
        <v>14.000000000000002</v>
      </c>
      <c r="Z30" s="39">
        <v>2.5</v>
      </c>
      <c r="AA30" s="45">
        <f t="shared" si="11"/>
        <v>1.7857142857142858</v>
      </c>
      <c r="AB30" s="40">
        <f t="shared" si="12"/>
        <v>0.4382930235499044</v>
      </c>
      <c r="AC30" s="39">
        <f t="shared" si="13"/>
        <v>9.2272215484190401E-3</v>
      </c>
      <c r="AD30" s="39" t="str">
        <f t="shared" si="14"/>
        <v>OK</v>
      </c>
      <c r="AE30" s="39">
        <v>50</v>
      </c>
      <c r="AF30" s="40">
        <f t="shared" si="15"/>
        <v>43.478260869565219</v>
      </c>
      <c r="AG30" s="40">
        <f t="shared" si="16"/>
        <v>0.17137257220801266</v>
      </c>
      <c r="AH30" s="43">
        <f t="shared" si="17"/>
        <v>2.4481796029716089E-4</v>
      </c>
      <c r="AI30" s="44">
        <v>1.5E-3</v>
      </c>
      <c r="AJ30" s="43">
        <f t="shared" si="18"/>
        <v>1.5E-3</v>
      </c>
      <c r="AK30" s="40">
        <f t="shared" si="19"/>
        <v>1.0500000000000003</v>
      </c>
      <c r="AL30" s="40">
        <f t="shared" si="20"/>
        <v>0.50265482457436694</v>
      </c>
      <c r="AM30" s="36">
        <f t="shared" si="21"/>
        <v>3</v>
      </c>
      <c r="AN30" s="38">
        <f t="shared" si="22"/>
        <v>0.78539816339744828</v>
      </c>
      <c r="AO30" s="41">
        <v>0</v>
      </c>
      <c r="AP30" s="41">
        <v>2</v>
      </c>
      <c r="AQ30" s="38">
        <f t="shared" si="23"/>
        <v>194.99999999999997</v>
      </c>
      <c r="AR30" s="41">
        <v>0.39500000000000002</v>
      </c>
      <c r="AS30" s="41">
        <v>0.61699999999999999</v>
      </c>
      <c r="AT30" s="38">
        <f t="shared" si="24"/>
        <v>2.3107499999999996</v>
      </c>
      <c r="AU30" s="38">
        <f t="shared" si="25"/>
        <v>2.4062999999999994</v>
      </c>
    </row>
    <row r="31" spans="1:47">
      <c r="A31" s="257"/>
      <c r="B31" s="263" t="str">
        <f>'Pré-dimencionamento das Vigas'!A77</f>
        <v xml:space="preserve">Tramo externo 2 </v>
      </c>
      <c r="C31" s="249"/>
      <c r="D31" s="36" t="str">
        <f>'Pré-dimencionamento das Vigas'!B77</f>
        <v>BI-APOIADA</v>
      </c>
      <c r="E31" s="36" t="str">
        <f>'Pré-dimencionamento das Vigas'!C77</f>
        <v>P15 e P18</v>
      </c>
      <c r="F31" s="37">
        <f>'Pré-dimencionamento das Vigas'!D77</f>
        <v>4.53</v>
      </c>
      <c r="G31" s="36">
        <f t="shared" si="26"/>
        <v>0.14000000000000001</v>
      </c>
      <c r="H31" s="38">
        <f>'Pré-dimencionamento das Vigas'!$K$37</f>
        <v>0.5</v>
      </c>
      <c r="I31" s="39">
        <v>0.55000000000000004</v>
      </c>
      <c r="J31" s="39">
        <v>1.25</v>
      </c>
      <c r="K31" s="40">
        <f t="shared" ref="K31:L31" si="54">MIN(I31/2,0.3*$H31)</f>
        <v>0.15</v>
      </c>
      <c r="L31" s="40">
        <f t="shared" si="54"/>
        <v>0.15</v>
      </c>
      <c r="M31" s="37">
        <f t="shared" si="1"/>
        <v>4.830000000000001</v>
      </c>
      <c r="N31" s="40">
        <f t="shared" si="2"/>
        <v>0.67620000000000025</v>
      </c>
      <c r="O31" s="36">
        <v>13</v>
      </c>
      <c r="P31" s="40">
        <f t="shared" si="3"/>
        <v>8.7906000000000031</v>
      </c>
      <c r="Q31" s="36">
        <f t="shared" si="4"/>
        <v>7.0000000000000007E-2</v>
      </c>
      <c r="R31" s="41">
        <v>25</v>
      </c>
      <c r="S31" s="36">
        <f t="shared" si="5"/>
        <v>1.7500000000000002</v>
      </c>
      <c r="T31" s="40">
        <f t="shared" si="6"/>
        <v>10.540600000000003</v>
      </c>
      <c r="U31" s="38">
        <f t="shared" si="7"/>
        <v>3073.757541750002</v>
      </c>
      <c r="V31" s="38">
        <f t="shared" si="8"/>
        <v>4303.2605584500025</v>
      </c>
      <c r="W31" s="39">
        <v>2</v>
      </c>
      <c r="X31" s="38">
        <f t="shared" si="9"/>
        <v>47.5</v>
      </c>
      <c r="Y31" s="38">
        <f t="shared" si="10"/>
        <v>14.000000000000002</v>
      </c>
      <c r="Z31" s="39">
        <v>2.5</v>
      </c>
      <c r="AA31" s="45">
        <f t="shared" si="11"/>
        <v>1.7857142857142858</v>
      </c>
      <c r="AB31" s="40">
        <f t="shared" si="12"/>
        <v>5.592491784653415</v>
      </c>
      <c r="AC31" s="39">
        <f t="shared" si="13"/>
        <v>0.11773666915059822</v>
      </c>
      <c r="AD31" s="39" t="str">
        <f t="shared" si="14"/>
        <v>OK</v>
      </c>
      <c r="AE31" s="39">
        <v>50</v>
      </c>
      <c r="AF31" s="40">
        <f t="shared" si="15"/>
        <v>43.478260869565219</v>
      </c>
      <c r="AG31" s="40">
        <f t="shared" si="16"/>
        <v>2.1866642877994855</v>
      </c>
      <c r="AH31" s="43">
        <f t="shared" si="17"/>
        <v>3.1238061254278359E-3</v>
      </c>
      <c r="AI31" s="44">
        <v>1.5E-3</v>
      </c>
      <c r="AJ31" s="43">
        <f t="shared" si="18"/>
        <v>3.1238061254278359E-3</v>
      </c>
      <c r="AK31" s="40">
        <f t="shared" si="19"/>
        <v>2.1866642877994855</v>
      </c>
      <c r="AL31" s="40">
        <f t="shared" si="20"/>
        <v>0.50265482457436694</v>
      </c>
      <c r="AM31" s="36">
        <f t="shared" si="21"/>
        <v>5</v>
      </c>
      <c r="AN31" s="38">
        <f t="shared" si="22"/>
        <v>0.78539816339744828</v>
      </c>
      <c r="AO31" s="41">
        <v>0</v>
      </c>
      <c r="AP31" s="41">
        <v>2</v>
      </c>
      <c r="AQ31" s="38">
        <f t="shared" si="23"/>
        <v>483.00000000000011</v>
      </c>
      <c r="AR31" s="41">
        <v>0.39500000000000002</v>
      </c>
      <c r="AS31" s="41">
        <v>0.61699999999999999</v>
      </c>
      <c r="AT31" s="38">
        <f t="shared" si="24"/>
        <v>9.5392500000000027</v>
      </c>
      <c r="AU31" s="38">
        <f t="shared" si="25"/>
        <v>5.9602200000000014</v>
      </c>
    </row>
    <row r="32" spans="1:47">
      <c r="A32" s="264" t="s">
        <v>18</v>
      </c>
      <c r="B32" s="265" t="str">
        <f>'Pré-dimencionamento das Vigas'!A80</f>
        <v>Tramo externo 1</v>
      </c>
      <c r="C32" s="249"/>
      <c r="D32" s="46" t="str">
        <f>'Pré-dimencionamento das Vigas'!B80</f>
        <v>BI-APOIADA</v>
      </c>
      <c r="E32" s="46" t="str">
        <f>'Pré-dimencionamento das Vigas'!C80</f>
        <v>P4 e P10</v>
      </c>
      <c r="F32" s="47">
        <f>'Pré-dimencionamento das Vigas'!D80</f>
        <v>3.24</v>
      </c>
      <c r="G32" s="46">
        <f t="shared" si="26"/>
        <v>0.14000000000000001</v>
      </c>
      <c r="H32" s="48">
        <f>'Pré-dimencionamento das Vigas'!$K$38</f>
        <v>0.5</v>
      </c>
      <c r="I32" s="49">
        <v>0.72</v>
      </c>
      <c r="J32" s="49">
        <v>0.45</v>
      </c>
      <c r="K32" s="50">
        <f t="shared" ref="K32:L32" si="55">MIN(I32/2,0.3*$H32)</f>
        <v>0.15</v>
      </c>
      <c r="L32" s="50">
        <f t="shared" si="55"/>
        <v>0.15</v>
      </c>
      <c r="M32" s="47">
        <f t="shared" si="1"/>
        <v>3.54</v>
      </c>
      <c r="N32" s="50">
        <f t="shared" si="2"/>
        <v>0.49560000000000004</v>
      </c>
      <c r="O32" s="46">
        <v>13</v>
      </c>
      <c r="P32" s="50">
        <f t="shared" si="3"/>
        <v>6.4428000000000001</v>
      </c>
      <c r="Q32" s="46">
        <f t="shared" si="4"/>
        <v>7.0000000000000007E-2</v>
      </c>
      <c r="R32" s="51">
        <v>25</v>
      </c>
      <c r="S32" s="46">
        <f t="shared" si="5"/>
        <v>1.7500000000000002</v>
      </c>
      <c r="T32" s="50">
        <f t="shared" si="6"/>
        <v>8.1928000000000001</v>
      </c>
      <c r="U32" s="48">
        <f t="shared" si="7"/>
        <v>1283.3611560000002</v>
      </c>
      <c r="V32" s="48">
        <f t="shared" si="8"/>
        <v>1796.7056184</v>
      </c>
      <c r="W32" s="49">
        <v>2</v>
      </c>
      <c r="X32" s="48">
        <f t="shared" si="9"/>
        <v>47.5</v>
      </c>
      <c r="Y32" s="48">
        <f t="shared" si="10"/>
        <v>14.000000000000002</v>
      </c>
      <c r="Z32" s="49">
        <v>2.5</v>
      </c>
      <c r="AA32" s="52">
        <f t="shared" si="11"/>
        <v>1.7857142857142858</v>
      </c>
      <c r="AB32" s="50">
        <f t="shared" si="12"/>
        <v>2.2683523087774669</v>
      </c>
      <c r="AC32" s="49">
        <f t="shared" si="13"/>
        <v>4.7754785447946674E-2</v>
      </c>
      <c r="AD32" s="49" t="str">
        <f t="shared" si="14"/>
        <v>OK</v>
      </c>
      <c r="AE32" s="49">
        <v>50</v>
      </c>
      <c r="AF32" s="50">
        <f t="shared" si="15"/>
        <v>43.478260869565219</v>
      </c>
      <c r="AG32" s="50">
        <f t="shared" si="16"/>
        <v>0.8869257527319897</v>
      </c>
      <c r="AH32" s="53">
        <f t="shared" si="17"/>
        <v>1.267036789617128E-3</v>
      </c>
      <c r="AI32" s="54">
        <v>1.5E-3</v>
      </c>
      <c r="AJ32" s="53">
        <f t="shared" si="18"/>
        <v>1.5E-3</v>
      </c>
      <c r="AK32" s="50">
        <f t="shared" si="19"/>
        <v>1.0500000000000003</v>
      </c>
      <c r="AL32" s="50">
        <f t="shared" si="20"/>
        <v>0.50265482457436694</v>
      </c>
      <c r="AM32" s="46">
        <f t="shared" si="21"/>
        <v>3</v>
      </c>
      <c r="AN32" s="48">
        <f t="shared" si="22"/>
        <v>0.78539816339744828</v>
      </c>
      <c r="AO32" s="51">
        <v>0</v>
      </c>
      <c r="AP32" s="51">
        <v>2</v>
      </c>
      <c r="AQ32" s="48">
        <f t="shared" si="23"/>
        <v>354</v>
      </c>
      <c r="AR32" s="51">
        <v>0.39500000000000002</v>
      </c>
      <c r="AS32" s="51">
        <v>0.61699999999999999</v>
      </c>
      <c r="AT32" s="48">
        <f t="shared" si="24"/>
        <v>4.1949000000000005</v>
      </c>
      <c r="AU32" s="48">
        <f t="shared" si="25"/>
        <v>4.36836</v>
      </c>
    </row>
    <row r="33" spans="1:47">
      <c r="A33" s="269"/>
      <c r="B33" s="265" t="str">
        <f>'Pré-dimencionamento das Vigas'!A81</f>
        <v>Tramo interno 1</v>
      </c>
      <c r="C33" s="249"/>
      <c r="D33" s="46" t="str">
        <f>'Pré-dimencionamento das Vigas'!B81</f>
        <v>BI-APOIADA</v>
      </c>
      <c r="E33" s="46" t="str">
        <f>'Pré-dimencionamento das Vigas'!C81</f>
        <v>P10 e P13</v>
      </c>
      <c r="F33" s="47">
        <f>'Pré-dimencionamento das Vigas'!D81</f>
        <v>2.4</v>
      </c>
      <c r="G33" s="46">
        <f t="shared" si="26"/>
        <v>0.14000000000000001</v>
      </c>
      <c r="H33" s="48">
        <f>'Pré-dimencionamento das Vigas'!$K$38</f>
        <v>0.5</v>
      </c>
      <c r="I33" s="49">
        <v>0.45</v>
      </c>
      <c r="J33" s="49">
        <v>0.45</v>
      </c>
      <c r="K33" s="50">
        <f t="shared" ref="K33:L33" si="56">MIN(I33/2,0.3*$H33)</f>
        <v>0.15</v>
      </c>
      <c r="L33" s="50">
        <f t="shared" si="56"/>
        <v>0.15</v>
      </c>
      <c r="M33" s="47">
        <f t="shared" si="1"/>
        <v>2.6999999999999997</v>
      </c>
      <c r="N33" s="50">
        <f t="shared" si="2"/>
        <v>0.378</v>
      </c>
      <c r="O33" s="46">
        <v>13</v>
      </c>
      <c r="P33" s="50">
        <f t="shared" si="3"/>
        <v>4.9139999999999997</v>
      </c>
      <c r="Q33" s="46">
        <f t="shared" si="4"/>
        <v>7.0000000000000007E-2</v>
      </c>
      <c r="R33" s="51">
        <v>25</v>
      </c>
      <c r="S33" s="46">
        <f t="shared" si="5"/>
        <v>1.7500000000000002</v>
      </c>
      <c r="T33" s="50">
        <f t="shared" si="6"/>
        <v>6.6639999999999997</v>
      </c>
      <c r="U33" s="48">
        <f t="shared" si="7"/>
        <v>607.25699999999983</v>
      </c>
      <c r="V33" s="48">
        <f t="shared" si="8"/>
        <v>850.15979999999968</v>
      </c>
      <c r="W33" s="49">
        <v>2</v>
      </c>
      <c r="X33" s="48">
        <f t="shared" si="9"/>
        <v>47.5</v>
      </c>
      <c r="Y33" s="48">
        <f t="shared" si="10"/>
        <v>14.000000000000002</v>
      </c>
      <c r="Z33" s="49">
        <v>2.5</v>
      </c>
      <c r="AA33" s="52">
        <f t="shared" si="11"/>
        <v>1.7857142857142858</v>
      </c>
      <c r="AB33" s="50">
        <f t="shared" si="12"/>
        <v>1.0623330656194401</v>
      </c>
      <c r="AC33" s="49">
        <f t="shared" si="13"/>
        <v>2.2364906644619792E-2</v>
      </c>
      <c r="AD33" s="49" t="str">
        <f t="shared" si="14"/>
        <v>OK</v>
      </c>
      <c r="AE33" s="49">
        <v>50</v>
      </c>
      <c r="AF33" s="50">
        <f t="shared" si="15"/>
        <v>43.478260869565219</v>
      </c>
      <c r="AG33" s="50">
        <f t="shared" si="16"/>
        <v>0.41537222865720119</v>
      </c>
      <c r="AH33" s="53">
        <f t="shared" si="17"/>
        <v>5.9338889808171591E-4</v>
      </c>
      <c r="AI33" s="54">
        <v>1.5E-3</v>
      </c>
      <c r="AJ33" s="53">
        <f t="shared" si="18"/>
        <v>1.5E-3</v>
      </c>
      <c r="AK33" s="50">
        <f t="shared" si="19"/>
        <v>1.0500000000000003</v>
      </c>
      <c r="AL33" s="50">
        <f t="shared" si="20"/>
        <v>0.50265482457436694</v>
      </c>
      <c r="AM33" s="46">
        <f t="shared" si="21"/>
        <v>3</v>
      </c>
      <c r="AN33" s="48">
        <f t="shared" si="22"/>
        <v>0.78539816339744828</v>
      </c>
      <c r="AO33" s="51">
        <v>0</v>
      </c>
      <c r="AP33" s="51">
        <v>2</v>
      </c>
      <c r="AQ33" s="48">
        <f t="shared" si="23"/>
        <v>270</v>
      </c>
      <c r="AR33" s="51">
        <v>0.39500000000000002</v>
      </c>
      <c r="AS33" s="51">
        <v>0.61699999999999999</v>
      </c>
      <c r="AT33" s="48">
        <f t="shared" si="24"/>
        <v>3.1995000000000005</v>
      </c>
      <c r="AU33" s="48">
        <f t="shared" si="25"/>
        <v>3.3318000000000003</v>
      </c>
    </row>
    <row r="34" spans="1:47">
      <c r="A34" s="269"/>
      <c r="B34" s="265" t="str">
        <f>'Pré-dimencionamento das Vigas'!A82</f>
        <v>Tramo interno 2</v>
      </c>
      <c r="C34" s="249"/>
      <c r="D34" s="46" t="str">
        <f>'Pré-dimencionamento das Vigas'!B82</f>
        <v>BI-APOIADA</v>
      </c>
      <c r="E34" s="46" t="str">
        <f>'Pré-dimencionamento das Vigas'!C82</f>
        <v>P13 e P16</v>
      </c>
      <c r="F34" s="47">
        <f>'Pré-dimencionamento das Vigas'!D82</f>
        <v>1.7</v>
      </c>
      <c r="G34" s="46">
        <f t="shared" si="26"/>
        <v>0.14000000000000001</v>
      </c>
      <c r="H34" s="48">
        <f>'Pré-dimencionamento das Vigas'!$K$38</f>
        <v>0.5</v>
      </c>
      <c r="I34" s="49">
        <v>0.45</v>
      </c>
      <c r="J34" s="49">
        <v>0.45</v>
      </c>
      <c r="K34" s="50">
        <f t="shared" ref="K34:L34" si="57">MIN(I34/2,0.3*$H34)</f>
        <v>0.15</v>
      </c>
      <c r="L34" s="50">
        <f t="shared" si="57"/>
        <v>0.15</v>
      </c>
      <c r="M34" s="47">
        <f t="shared" si="1"/>
        <v>1.9999999999999998</v>
      </c>
      <c r="N34" s="50">
        <f t="shared" si="2"/>
        <v>0.27999999999999997</v>
      </c>
      <c r="O34" s="46">
        <v>13</v>
      </c>
      <c r="P34" s="50">
        <f t="shared" si="3"/>
        <v>3.6399999999999997</v>
      </c>
      <c r="Q34" s="46">
        <f t="shared" si="4"/>
        <v>7.0000000000000007E-2</v>
      </c>
      <c r="R34" s="51">
        <v>25</v>
      </c>
      <c r="S34" s="46">
        <f t="shared" si="5"/>
        <v>1.7500000000000002</v>
      </c>
      <c r="T34" s="50">
        <f t="shared" si="6"/>
        <v>5.39</v>
      </c>
      <c r="U34" s="48">
        <f t="shared" si="7"/>
        <v>269.49999999999994</v>
      </c>
      <c r="V34" s="48">
        <f t="shared" si="8"/>
        <v>377.2999999999999</v>
      </c>
      <c r="W34" s="49">
        <v>2</v>
      </c>
      <c r="X34" s="48">
        <f t="shared" si="9"/>
        <v>47.5</v>
      </c>
      <c r="Y34" s="48">
        <f t="shared" si="10"/>
        <v>14.000000000000002</v>
      </c>
      <c r="Z34" s="49">
        <v>2.5</v>
      </c>
      <c r="AA34" s="52">
        <f t="shared" si="11"/>
        <v>1.7857142857142858</v>
      </c>
      <c r="AB34" s="50">
        <f t="shared" si="12"/>
        <v>0.46909765666641423</v>
      </c>
      <c r="AC34" s="49">
        <f t="shared" si="13"/>
        <v>9.8757401403455625E-3</v>
      </c>
      <c r="AD34" s="49" t="str">
        <f t="shared" si="14"/>
        <v>OK</v>
      </c>
      <c r="AE34" s="49">
        <v>50</v>
      </c>
      <c r="AF34" s="50">
        <f t="shared" si="15"/>
        <v>43.478260869565219</v>
      </c>
      <c r="AG34" s="50">
        <f t="shared" si="16"/>
        <v>0.18341718375656799</v>
      </c>
      <c r="AH34" s="53">
        <f t="shared" si="17"/>
        <v>2.6202454822366853E-4</v>
      </c>
      <c r="AI34" s="54">
        <v>1.5E-3</v>
      </c>
      <c r="AJ34" s="53">
        <f t="shared" si="18"/>
        <v>1.5E-3</v>
      </c>
      <c r="AK34" s="50">
        <f t="shared" si="19"/>
        <v>1.0500000000000003</v>
      </c>
      <c r="AL34" s="50">
        <f t="shared" si="20"/>
        <v>0.50265482457436694</v>
      </c>
      <c r="AM34" s="46">
        <f t="shared" si="21"/>
        <v>3</v>
      </c>
      <c r="AN34" s="48">
        <f t="shared" si="22"/>
        <v>0.78539816339744828</v>
      </c>
      <c r="AO34" s="51">
        <v>0</v>
      </c>
      <c r="AP34" s="51">
        <v>2</v>
      </c>
      <c r="AQ34" s="48">
        <f t="shared" si="23"/>
        <v>199.99999999999997</v>
      </c>
      <c r="AR34" s="51">
        <v>0.39500000000000002</v>
      </c>
      <c r="AS34" s="51">
        <v>0.61699999999999999</v>
      </c>
      <c r="AT34" s="48">
        <f t="shared" si="24"/>
        <v>2.3699999999999997</v>
      </c>
      <c r="AU34" s="48">
        <f t="shared" si="25"/>
        <v>2.4679999999999995</v>
      </c>
    </row>
    <row r="35" spans="1:47">
      <c r="A35" s="257"/>
      <c r="B35" s="265" t="str">
        <f>'Pré-dimencionamento das Vigas'!A83</f>
        <v xml:space="preserve">Tramo externo 2 </v>
      </c>
      <c r="C35" s="249"/>
      <c r="D35" s="46" t="str">
        <f>'Pré-dimencionamento das Vigas'!B83</f>
        <v>BI-APOIADA</v>
      </c>
      <c r="E35" s="46" t="str">
        <f>'Pré-dimencionamento das Vigas'!C83</f>
        <v>P16 e P19</v>
      </c>
      <c r="F35" s="47">
        <f>'Pré-dimencionamento das Vigas'!D83</f>
        <v>4.25</v>
      </c>
      <c r="G35" s="46">
        <f t="shared" si="26"/>
        <v>0.14000000000000001</v>
      </c>
      <c r="H35" s="48">
        <f>'Pré-dimencionamento das Vigas'!$K$38</f>
        <v>0.5</v>
      </c>
      <c r="I35" s="49">
        <v>0.45</v>
      </c>
      <c r="J35" s="49">
        <v>0.45</v>
      </c>
      <c r="K35" s="50">
        <f t="shared" ref="K35:L35" si="58">MIN(I35/2,0.3*$H35)</f>
        <v>0.15</v>
      </c>
      <c r="L35" s="50">
        <f t="shared" si="58"/>
        <v>0.15</v>
      </c>
      <c r="M35" s="47">
        <f t="shared" si="1"/>
        <v>4.5500000000000007</v>
      </c>
      <c r="N35" s="50">
        <f t="shared" si="2"/>
        <v>0.63700000000000012</v>
      </c>
      <c r="O35" s="46">
        <v>13</v>
      </c>
      <c r="P35" s="50">
        <f t="shared" si="3"/>
        <v>8.2810000000000024</v>
      </c>
      <c r="Q35" s="46">
        <f t="shared" si="4"/>
        <v>7.0000000000000007E-2</v>
      </c>
      <c r="R35" s="51">
        <v>25</v>
      </c>
      <c r="S35" s="46">
        <f t="shared" si="5"/>
        <v>1.7500000000000002</v>
      </c>
      <c r="T35" s="50">
        <f t="shared" si="6"/>
        <v>10.031000000000002</v>
      </c>
      <c r="U35" s="48">
        <f t="shared" si="7"/>
        <v>2595.8347187500017</v>
      </c>
      <c r="V35" s="48">
        <f t="shared" si="8"/>
        <v>3634.1686062500021</v>
      </c>
      <c r="W35" s="49">
        <v>2</v>
      </c>
      <c r="X35" s="48">
        <f t="shared" si="9"/>
        <v>47.5</v>
      </c>
      <c r="Y35" s="48">
        <f t="shared" si="10"/>
        <v>14.000000000000002</v>
      </c>
      <c r="Z35" s="49">
        <v>2.5</v>
      </c>
      <c r="AA35" s="52">
        <f t="shared" si="11"/>
        <v>1.7857142857142858</v>
      </c>
      <c r="AB35" s="50">
        <f t="shared" si="12"/>
        <v>4.6853843014292798</v>
      </c>
      <c r="AC35" s="49">
        <f t="shared" si="13"/>
        <v>9.8639669503774313E-2</v>
      </c>
      <c r="AD35" s="49" t="str">
        <f t="shared" si="14"/>
        <v>OK</v>
      </c>
      <c r="AE35" s="49">
        <v>50</v>
      </c>
      <c r="AF35" s="50">
        <f t="shared" si="15"/>
        <v>43.478260869565219</v>
      </c>
      <c r="AG35" s="50">
        <f t="shared" si="16"/>
        <v>1.8319852618588486</v>
      </c>
      <c r="AH35" s="53">
        <f t="shared" si="17"/>
        <v>2.6171218026554977E-3</v>
      </c>
      <c r="AI35" s="54">
        <v>1.5E-3</v>
      </c>
      <c r="AJ35" s="53">
        <f t="shared" si="18"/>
        <v>2.6171218026554977E-3</v>
      </c>
      <c r="AK35" s="50">
        <f t="shared" si="19"/>
        <v>1.8319852618588486</v>
      </c>
      <c r="AL35" s="50">
        <f t="shared" si="20"/>
        <v>0.50265482457436694</v>
      </c>
      <c r="AM35" s="46">
        <f t="shared" si="21"/>
        <v>4</v>
      </c>
      <c r="AN35" s="48">
        <f t="shared" si="22"/>
        <v>0.78539816339744828</v>
      </c>
      <c r="AO35" s="51">
        <v>0</v>
      </c>
      <c r="AP35" s="51">
        <v>2</v>
      </c>
      <c r="AQ35" s="48">
        <f t="shared" si="23"/>
        <v>455.00000000000006</v>
      </c>
      <c r="AR35" s="51">
        <v>0.39500000000000002</v>
      </c>
      <c r="AS35" s="51">
        <v>0.61699999999999999</v>
      </c>
      <c r="AT35" s="48">
        <f t="shared" si="24"/>
        <v>7.1890000000000018</v>
      </c>
      <c r="AU35" s="48">
        <f t="shared" si="25"/>
        <v>5.6147000000000009</v>
      </c>
    </row>
    <row r="36" spans="1:47" ht="18" customHeight="1">
      <c r="A36" s="57"/>
      <c r="B36" s="58"/>
      <c r="C36" s="58"/>
      <c r="D36" s="58"/>
      <c r="E36" s="58"/>
      <c r="F36" s="58"/>
      <c r="G36" s="58"/>
      <c r="H36" s="58"/>
      <c r="I36" s="59"/>
      <c r="J36" s="59"/>
      <c r="K36" s="60"/>
      <c r="L36" s="60"/>
      <c r="M36" s="58"/>
      <c r="N36" s="60"/>
      <c r="O36" s="58"/>
      <c r="P36" s="60"/>
      <c r="Q36" s="58"/>
      <c r="R36" s="61"/>
      <c r="S36" s="58"/>
      <c r="T36" s="58"/>
      <c r="U36" s="62"/>
      <c r="V36" s="62"/>
      <c r="W36" s="59"/>
      <c r="X36" s="58"/>
      <c r="Y36" s="62"/>
      <c r="Z36" s="59"/>
      <c r="AA36" s="63"/>
      <c r="AB36" s="60"/>
      <c r="AC36" s="59"/>
      <c r="AD36" s="59"/>
      <c r="AE36" s="59"/>
      <c r="AF36" s="60"/>
      <c r="AG36" s="60"/>
      <c r="AH36" s="64"/>
      <c r="AI36" s="65"/>
      <c r="AJ36" s="58"/>
      <c r="AK36" s="60"/>
      <c r="AL36" s="258" t="s">
        <v>142</v>
      </c>
      <c r="AM36" s="259"/>
      <c r="AN36" s="260" t="s">
        <v>143</v>
      </c>
      <c r="AO36" s="259"/>
      <c r="AP36" s="259"/>
      <c r="AQ36" s="62"/>
      <c r="AR36" s="58"/>
      <c r="AS36" s="66" t="s">
        <v>144</v>
      </c>
      <c r="AT36" s="67">
        <f t="shared" ref="AT36:AU36" si="59">SUM(AT3:AT35)*1.1</f>
        <v>159.26163</v>
      </c>
      <c r="AU36" s="67">
        <f t="shared" si="59"/>
        <v>104.77091900000002</v>
      </c>
    </row>
    <row r="37" spans="1:47">
      <c r="A37" s="57"/>
      <c r="B37" s="58"/>
      <c r="C37" s="58"/>
      <c r="D37" s="58"/>
      <c r="E37" s="58"/>
      <c r="F37" s="58"/>
      <c r="G37" s="58"/>
      <c r="H37" s="58"/>
      <c r="I37" s="59"/>
      <c r="J37" s="59"/>
      <c r="K37" s="60"/>
      <c r="L37" s="60"/>
      <c r="M37" s="58"/>
      <c r="N37" s="60"/>
      <c r="O37" s="58"/>
      <c r="P37" s="60"/>
      <c r="Q37" s="58"/>
      <c r="R37" s="61"/>
      <c r="S37" s="58"/>
      <c r="T37" s="58"/>
      <c r="U37" s="62"/>
      <c r="V37" s="62"/>
      <c r="W37" s="59"/>
      <c r="X37" s="58"/>
      <c r="Y37" s="62"/>
      <c r="Z37" s="59"/>
      <c r="AA37" s="63"/>
      <c r="AB37" s="60"/>
      <c r="AC37" s="59"/>
      <c r="AD37" s="59"/>
      <c r="AE37" s="59"/>
      <c r="AF37" s="60"/>
      <c r="AG37" s="60"/>
      <c r="AH37" s="64"/>
      <c r="AI37" s="65"/>
      <c r="AJ37" s="58"/>
      <c r="AK37" s="60"/>
      <c r="AL37" s="259"/>
      <c r="AM37" s="259"/>
      <c r="AN37" s="259"/>
      <c r="AO37" s="259"/>
      <c r="AP37" s="259"/>
      <c r="AQ37" s="62"/>
      <c r="AR37" s="58"/>
      <c r="AS37" s="261" t="s">
        <v>145</v>
      </c>
      <c r="AT37" s="259"/>
      <c r="AU37" s="259"/>
    </row>
    <row r="38" spans="1:47">
      <c r="A38" s="57"/>
      <c r="B38" s="58"/>
      <c r="C38" s="58"/>
      <c r="D38" s="58"/>
      <c r="E38" s="58"/>
      <c r="F38" s="58"/>
      <c r="G38" s="58"/>
      <c r="H38" s="58"/>
      <c r="I38" s="59"/>
      <c r="J38" s="59"/>
      <c r="K38" s="60"/>
      <c r="L38" s="60"/>
      <c r="M38" s="58"/>
      <c r="N38" s="60"/>
      <c r="O38" s="58"/>
      <c r="P38" s="60"/>
      <c r="Q38" s="58"/>
      <c r="R38" s="61"/>
      <c r="S38" s="58"/>
      <c r="T38" s="58"/>
      <c r="U38" s="62"/>
      <c r="V38" s="62"/>
      <c r="W38" s="59"/>
      <c r="X38" s="58"/>
      <c r="Y38" s="62"/>
      <c r="Z38" s="59"/>
      <c r="AA38" s="63"/>
      <c r="AB38" s="60"/>
      <c r="AC38" s="59"/>
      <c r="AD38" s="59"/>
      <c r="AE38" s="59"/>
      <c r="AF38" s="60"/>
      <c r="AG38" s="60"/>
      <c r="AH38" s="64"/>
      <c r="AI38" s="65"/>
      <c r="AJ38" s="58"/>
      <c r="AK38" s="60"/>
      <c r="AL38" s="259"/>
      <c r="AM38" s="259"/>
      <c r="AN38" s="259"/>
      <c r="AO38" s="259"/>
      <c r="AP38" s="259"/>
      <c r="AQ38" s="62"/>
      <c r="AR38" s="58"/>
      <c r="AS38" s="259"/>
      <c r="AT38" s="259"/>
      <c r="AU38" s="259"/>
    </row>
    <row r="39" spans="1:47">
      <c r="A39" s="57"/>
      <c r="B39" s="58"/>
      <c r="C39" s="58"/>
      <c r="D39" s="58"/>
      <c r="E39" s="58"/>
      <c r="F39" s="58"/>
      <c r="G39" s="58"/>
      <c r="H39" s="58"/>
      <c r="I39" s="59"/>
      <c r="J39" s="59"/>
      <c r="K39" s="60"/>
      <c r="L39" s="60"/>
      <c r="M39" s="58"/>
      <c r="N39" s="60"/>
      <c r="O39" s="58"/>
      <c r="P39" s="60"/>
      <c r="Q39" s="58"/>
      <c r="R39" s="61"/>
      <c r="S39" s="58"/>
      <c r="T39" s="58"/>
      <c r="U39" s="62"/>
      <c r="V39" s="62"/>
      <c r="W39" s="59"/>
      <c r="X39" s="58"/>
      <c r="Y39" s="62"/>
      <c r="Z39" s="59"/>
      <c r="AA39" s="63"/>
      <c r="AB39" s="60"/>
      <c r="AC39" s="59"/>
      <c r="AD39" s="59"/>
      <c r="AE39" s="59"/>
      <c r="AF39" s="60"/>
      <c r="AG39" s="60"/>
      <c r="AH39" s="64"/>
      <c r="AI39" s="65"/>
      <c r="AJ39" s="58"/>
      <c r="AK39" s="60"/>
      <c r="AL39" s="259"/>
      <c r="AM39" s="259"/>
      <c r="AN39" s="259"/>
      <c r="AO39" s="259"/>
      <c r="AP39" s="259"/>
      <c r="AQ39" s="62"/>
      <c r="AR39" s="58"/>
      <c r="AS39" s="259"/>
      <c r="AT39" s="259"/>
      <c r="AU39" s="259"/>
    </row>
    <row r="40" spans="1:47">
      <c r="A40" s="57"/>
      <c r="B40" s="58"/>
      <c r="C40" s="58"/>
      <c r="D40" s="58"/>
      <c r="E40" s="58"/>
      <c r="F40" s="58"/>
      <c r="G40" s="58"/>
      <c r="H40" s="58"/>
      <c r="I40" s="59"/>
      <c r="J40" s="59"/>
      <c r="K40" s="60"/>
      <c r="L40" s="60"/>
      <c r="M40" s="58"/>
      <c r="N40" s="60"/>
      <c r="O40" s="58"/>
      <c r="P40" s="60"/>
      <c r="Q40" s="58"/>
      <c r="R40" s="61"/>
      <c r="S40" s="58"/>
      <c r="T40" s="58"/>
      <c r="U40" s="62"/>
      <c r="V40" s="62"/>
      <c r="W40" s="59"/>
      <c r="X40" s="58"/>
      <c r="Y40" s="62"/>
      <c r="Z40" s="59"/>
      <c r="AA40" s="63"/>
      <c r="AB40" s="60"/>
      <c r="AC40" s="59"/>
      <c r="AD40" s="59"/>
      <c r="AE40" s="59"/>
      <c r="AF40" s="60"/>
      <c r="AG40" s="60"/>
      <c r="AH40" s="64"/>
      <c r="AI40" s="65"/>
      <c r="AJ40" s="58"/>
      <c r="AK40" s="60"/>
      <c r="AL40" s="259"/>
      <c r="AM40" s="259"/>
      <c r="AN40" s="259"/>
      <c r="AO40" s="259"/>
      <c r="AP40" s="259"/>
      <c r="AQ40" s="62"/>
      <c r="AR40" s="58"/>
      <c r="AS40" s="259"/>
      <c r="AT40" s="259"/>
      <c r="AU40" s="259"/>
    </row>
    <row r="41" spans="1:47">
      <c r="A41" s="57"/>
      <c r="B41" s="58"/>
      <c r="C41" s="58"/>
      <c r="D41" s="58"/>
      <c r="E41" s="58"/>
      <c r="F41" s="58"/>
      <c r="G41" s="58"/>
      <c r="H41" s="58"/>
      <c r="I41" s="59"/>
      <c r="J41" s="59"/>
      <c r="K41" s="60"/>
      <c r="L41" s="60"/>
      <c r="M41" s="58"/>
      <c r="N41" s="60"/>
      <c r="O41" s="58"/>
      <c r="P41" s="60"/>
      <c r="Q41" s="58"/>
      <c r="R41" s="61"/>
      <c r="S41" s="58"/>
      <c r="T41" s="58"/>
      <c r="U41" s="62"/>
      <c r="V41" s="62"/>
      <c r="W41" s="59"/>
      <c r="X41" s="58"/>
      <c r="Y41" s="62"/>
      <c r="Z41" s="59"/>
      <c r="AA41" s="63"/>
      <c r="AB41" s="60"/>
      <c r="AC41" s="59"/>
      <c r="AD41" s="59"/>
      <c r="AE41" s="59"/>
      <c r="AF41" s="60"/>
      <c r="AG41" s="60"/>
      <c r="AH41" s="64"/>
      <c r="AI41" s="65"/>
      <c r="AJ41" s="58"/>
      <c r="AK41" s="60"/>
      <c r="AL41" s="259"/>
      <c r="AM41" s="259"/>
      <c r="AN41" s="259"/>
      <c r="AO41" s="259"/>
      <c r="AP41" s="259"/>
      <c r="AQ41" s="62"/>
      <c r="AR41" s="58"/>
      <c r="AS41" s="259"/>
      <c r="AT41" s="259"/>
      <c r="AU41" s="259"/>
    </row>
  </sheetData>
  <mergeCells count="52">
    <mergeCell ref="B21:C21"/>
    <mergeCell ref="B24:C24"/>
    <mergeCell ref="A24:A27"/>
    <mergeCell ref="A28:A31"/>
    <mergeCell ref="A32:A35"/>
    <mergeCell ref="B28:C28"/>
    <mergeCell ref="B29:C29"/>
    <mergeCell ref="B30:C30"/>
    <mergeCell ref="B31:C31"/>
    <mergeCell ref="B32:C32"/>
    <mergeCell ref="B33:C33"/>
    <mergeCell ref="B34:C34"/>
    <mergeCell ref="B35:C35"/>
    <mergeCell ref="B27:C27"/>
    <mergeCell ref="B25:C25"/>
    <mergeCell ref="B26:C26"/>
    <mergeCell ref="AL1:AM1"/>
    <mergeCell ref="AN1:AP1"/>
    <mergeCell ref="AQ1:AU1"/>
    <mergeCell ref="A3:A5"/>
    <mergeCell ref="B4:C4"/>
    <mergeCell ref="B5:C5"/>
    <mergeCell ref="B2:C2"/>
    <mergeCell ref="B3:C3"/>
    <mergeCell ref="A1:C1"/>
    <mergeCell ref="N1:P1"/>
    <mergeCell ref="Q1:T1"/>
    <mergeCell ref="B9:C9"/>
    <mergeCell ref="B10:C10"/>
    <mergeCell ref="B11:C11"/>
    <mergeCell ref="B12:C12"/>
    <mergeCell ref="A6:A7"/>
    <mergeCell ref="B6:C6"/>
    <mergeCell ref="B7:C7"/>
    <mergeCell ref="A8:A9"/>
    <mergeCell ref="B8:C8"/>
    <mergeCell ref="AL36:AM41"/>
    <mergeCell ref="AN36:AP41"/>
    <mergeCell ref="AS37:AU41"/>
    <mergeCell ref="A13:A14"/>
    <mergeCell ref="B13:C13"/>
    <mergeCell ref="A15:A16"/>
    <mergeCell ref="B22:C22"/>
    <mergeCell ref="B23:C23"/>
    <mergeCell ref="B14:C14"/>
    <mergeCell ref="B15:C15"/>
    <mergeCell ref="B16:C16"/>
    <mergeCell ref="B17:C17"/>
    <mergeCell ref="B18:C18"/>
    <mergeCell ref="A19:A23"/>
    <mergeCell ref="B19:C19"/>
    <mergeCell ref="B20:C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1001"/>
  <sheetViews>
    <sheetView showGridLines="0" workbookViewId="0">
      <selection activeCell="A2" sqref="A2"/>
    </sheetView>
  </sheetViews>
  <sheetFormatPr defaultColWidth="14.42578125" defaultRowHeight="15" customHeight="1"/>
  <cols>
    <col min="1" max="1" width="8.7109375" customWidth="1"/>
    <col min="2" max="2" width="8.5703125" customWidth="1"/>
    <col min="3" max="3" width="13" customWidth="1"/>
    <col min="4" max="4" width="12.7109375" customWidth="1"/>
    <col min="5" max="10" width="8.7109375" customWidth="1"/>
    <col min="11" max="11" width="12.42578125" customWidth="1"/>
    <col min="12" max="13" width="8.7109375" customWidth="1"/>
    <col min="14" max="14" width="13.42578125" customWidth="1"/>
    <col min="15" max="15" width="14" customWidth="1"/>
    <col min="16" max="16" width="15" customWidth="1"/>
    <col min="17" max="17" width="13.140625" customWidth="1"/>
    <col min="18" max="18" width="12.5703125" customWidth="1"/>
    <col min="19" max="19" width="17.140625" customWidth="1"/>
    <col min="20" max="20" width="11.140625" customWidth="1"/>
    <col min="21" max="21" width="9.85546875" customWidth="1"/>
    <col min="22" max="22" width="17.140625" customWidth="1"/>
    <col min="23" max="23" width="15" customWidth="1"/>
    <col min="24" max="24" width="16.140625" customWidth="1"/>
    <col min="25" max="25" width="15" customWidth="1"/>
    <col min="26" max="26" width="21.28515625" customWidth="1"/>
    <col min="27" max="27" width="9.85546875" customWidth="1"/>
    <col min="28" max="28" width="15" customWidth="1"/>
    <col min="29" max="29" width="16.140625" customWidth="1"/>
    <col min="30" max="33" width="8.7109375" customWidth="1"/>
    <col min="34" max="34" width="13.28515625" customWidth="1"/>
    <col min="35" max="35" width="18.42578125" customWidth="1"/>
    <col min="36" max="36" width="8.7109375" customWidth="1"/>
    <col min="37" max="39" width="10.28515625" customWidth="1"/>
    <col min="40" max="42" width="8.7109375" customWidth="1"/>
    <col min="43" max="43" width="8.5703125" customWidth="1"/>
    <col min="44" max="44" width="7.140625" customWidth="1"/>
    <col min="45" max="45" width="8.42578125" customWidth="1"/>
    <col min="46" max="46" width="10.28515625" customWidth="1"/>
    <col min="47" max="50" width="8.7109375" customWidth="1"/>
    <col min="51" max="51" width="10.28515625" customWidth="1"/>
    <col min="52" max="53" width="8.7109375" customWidth="1"/>
    <col min="54" max="54" width="10.7109375" customWidth="1"/>
    <col min="55" max="55" width="9.85546875" customWidth="1"/>
    <col min="56" max="57" width="10.85546875" customWidth="1"/>
    <col min="58" max="58" width="15" customWidth="1"/>
    <col min="59" max="59" width="12" customWidth="1"/>
    <col min="60" max="60" width="15" customWidth="1"/>
    <col min="61" max="61" width="16.140625" customWidth="1"/>
    <col min="62" max="62" width="11.42578125" customWidth="1"/>
    <col min="63" max="63" width="8.7109375" customWidth="1"/>
    <col min="64" max="65" width="9.140625" customWidth="1"/>
    <col min="66" max="66" width="13" customWidth="1"/>
    <col min="67" max="67" width="8.7109375" customWidth="1"/>
  </cols>
  <sheetData>
    <row r="1" spans="1:67" ht="21" customHeight="1">
      <c r="A1" s="280" t="s">
        <v>146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49"/>
      <c r="BL1" s="23"/>
      <c r="BM1" s="23"/>
    </row>
    <row r="2" spans="1:67">
      <c r="BL2" s="23"/>
      <c r="BM2" s="23"/>
    </row>
    <row r="3" spans="1:67">
      <c r="A3" s="68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BL3" s="23"/>
      <c r="BM3" s="23"/>
    </row>
    <row r="4" spans="1:67" ht="15.75" customHeight="1">
      <c r="AK4" s="276" t="s">
        <v>147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49"/>
      <c r="BL4" s="23"/>
      <c r="BM4" s="23"/>
    </row>
    <row r="5" spans="1:67" ht="15.75">
      <c r="A5" s="281" t="s">
        <v>148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3"/>
      <c r="P5" s="69"/>
      <c r="Q5" s="276" t="s">
        <v>149</v>
      </c>
      <c r="R5" s="251"/>
      <c r="S5" s="251"/>
      <c r="T5" s="249"/>
      <c r="V5" s="276" t="s">
        <v>150</v>
      </c>
      <c r="W5" s="251"/>
      <c r="X5" s="251"/>
      <c r="Y5" s="251"/>
      <c r="Z5" s="251"/>
      <c r="AA5" s="251"/>
      <c r="AB5" s="251"/>
      <c r="AC5" s="249"/>
      <c r="AK5" s="256" t="s">
        <v>151</v>
      </c>
      <c r="AL5" s="256" t="s">
        <v>152</v>
      </c>
      <c r="AM5" s="276" t="s">
        <v>153</v>
      </c>
      <c r="AN5" s="251"/>
      <c r="AO5" s="251"/>
      <c r="AP5" s="251"/>
      <c r="AQ5" s="251"/>
      <c r="AR5" s="249"/>
      <c r="AS5" s="276" t="s">
        <v>154</v>
      </c>
      <c r="AT5" s="251"/>
      <c r="AU5" s="251"/>
      <c r="AV5" s="251"/>
      <c r="AW5" s="251"/>
      <c r="AX5" s="249"/>
      <c r="AY5" s="256" t="s">
        <v>155</v>
      </c>
      <c r="AZ5" s="256" t="s">
        <v>156</v>
      </c>
      <c r="BB5" s="276" t="s">
        <v>157</v>
      </c>
      <c r="BC5" s="251"/>
      <c r="BD5" s="251"/>
      <c r="BE5" s="251"/>
      <c r="BF5" s="251"/>
      <c r="BG5" s="251"/>
      <c r="BH5" s="251"/>
      <c r="BI5" s="249"/>
      <c r="BK5" s="287"/>
      <c r="BL5" s="259"/>
      <c r="BM5" s="259"/>
      <c r="BN5" s="259"/>
    </row>
    <row r="6" spans="1:67" ht="15.75">
      <c r="A6" s="284"/>
      <c r="B6" s="285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6"/>
      <c r="P6" s="69"/>
      <c r="Q6" s="70" t="s">
        <v>151</v>
      </c>
      <c r="R6" s="70" t="s">
        <v>158</v>
      </c>
      <c r="S6" s="70" t="s">
        <v>159</v>
      </c>
      <c r="T6" s="70" t="s">
        <v>160</v>
      </c>
      <c r="V6" s="70" t="s">
        <v>151</v>
      </c>
      <c r="W6" s="70" t="s">
        <v>161</v>
      </c>
      <c r="X6" s="70" t="s">
        <v>162</v>
      </c>
      <c r="Y6" s="70" t="s">
        <v>163</v>
      </c>
      <c r="Z6" s="70" t="s">
        <v>164</v>
      </c>
      <c r="AA6" s="70" t="s">
        <v>119</v>
      </c>
      <c r="AB6" s="70" t="s">
        <v>165</v>
      </c>
      <c r="AC6" s="70" t="s">
        <v>166</v>
      </c>
      <c r="AE6" s="70" t="s">
        <v>151</v>
      </c>
      <c r="AF6" s="70" t="s">
        <v>167</v>
      </c>
      <c r="AG6" s="70" t="s">
        <v>168</v>
      </c>
      <c r="AH6" s="70" t="s">
        <v>169</v>
      </c>
      <c r="AI6" s="70" t="s">
        <v>170</v>
      </c>
      <c r="AK6" s="257"/>
      <c r="AL6" s="257"/>
      <c r="AM6" s="70" t="s">
        <v>171</v>
      </c>
      <c r="AN6" s="70" t="s">
        <v>172</v>
      </c>
      <c r="AO6" s="70" t="s">
        <v>173</v>
      </c>
      <c r="AP6" s="70" t="s">
        <v>174</v>
      </c>
      <c r="AQ6" s="70" t="s">
        <v>175</v>
      </c>
      <c r="AR6" s="70" t="s">
        <v>176</v>
      </c>
      <c r="AS6" s="71" t="s">
        <v>177</v>
      </c>
      <c r="AT6" s="71" t="s">
        <v>178</v>
      </c>
      <c r="AU6" s="71" t="s">
        <v>179</v>
      </c>
      <c r="AV6" s="71" t="s">
        <v>180</v>
      </c>
      <c r="AW6" s="70" t="s">
        <v>181</v>
      </c>
      <c r="AX6" s="72" t="s">
        <v>182</v>
      </c>
      <c r="AY6" s="257"/>
      <c r="AZ6" s="257"/>
      <c r="BB6" s="70" t="s">
        <v>151</v>
      </c>
      <c r="BC6" s="70" t="s">
        <v>161</v>
      </c>
      <c r="BD6" s="70" t="s">
        <v>162</v>
      </c>
      <c r="BE6" s="70" t="s">
        <v>163</v>
      </c>
      <c r="BF6" s="70" t="s">
        <v>164</v>
      </c>
      <c r="BG6" s="70" t="s">
        <v>119</v>
      </c>
      <c r="BH6" s="70" t="s">
        <v>165</v>
      </c>
      <c r="BI6" s="70" t="s">
        <v>166</v>
      </c>
      <c r="BK6" s="70" t="s">
        <v>151</v>
      </c>
      <c r="BL6" s="70" t="s">
        <v>176</v>
      </c>
      <c r="BM6" s="70" t="s">
        <v>182</v>
      </c>
      <c r="BN6" s="14" t="s">
        <v>183</v>
      </c>
    </row>
    <row r="7" spans="1:67" ht="15.75">
      <c r="A7" s="256" t="s">
        <v>151</v>
      </c>
      <c r="B7" s="276" t="s">
        <v>153</v>
      </c>
      <c r="C7" s="251"/>
      <c r="D7" s="251"/>
      <c r="E7" s="251"/>
      <c r="F7" s="251"/>
      <c r="G7" s="249"/>
      <c r="H7" s="276" t="s">
        <v>154</v>
      </c>
      <c r="I7" s="251"/>
      <c r="J7" s="251"/>
      <c r="K7" s="251"/>
      <c r="L7" s="251"/>
      <c r="M7" s="249"/>
      <c r="N7" s="256" t="s">
        <v>155</v>
      </c>
      <c r="O7" s="256" t="s">
        <v>156</v>
      </c>
      <c r="P7" s="69"/>
      <c r="Q7" s="25" t="s">
        <v>184</v>
      </c>
      <c r="R7" s="25">
        <v>609</v>
      </c>
      <c r="S7" s="73">
        <v>460</v>
      </c>
      <c r="T7" s="74">
        <f t="shared" ref="T7:T8" si="0">IF(S7&lt;(R7*2/3),0,1)</f>
        <v>1</v>
      </c>
      <c r="V7" s="16" t="s">
        <v>185</v>
      </c>
      <c r="W7" s="75">
        <f t="shared" ref="W7:W18" si="1">G9</f>
        <v>289</v>
      </c>
      <c r="X7" s="75">
        <f t="shared" ref="X7:X18" si="2">0.7*M9</f>
        <v>203</v>
      </c>
      <c r="Y7" s="16">
        <f t="shared" ref="Y7:Y18" si="3">MIN(W7,X7)/100</f>
        <v>2.0299999999999998</v>
      </c>
      <c r="Z7" s="25">
        <v>2</v>
      </c>
      <c r="AA7" s="16">
        <f t="shared" ref="AA7:AA18" si="4">(2.5-0.1*Z7)*Y7</f>
        <v>4.6689999999999996</v>
      </c>
      <c r="AB7" s="16">
        <f t="shared" ref="AB7:AB18" si="5">AA7+2.5</f>
        <v>7.1689999999999996</v>
      </c>
      <c r="AC7" s="16">
        <v>10</v>
      </c>
      <c r="AE7" s="16" t="s">
        <v>185</v>
      </c>
      <c r="AF7" s="25">
        <v>2</v>
      </c>
      <c r="AG7" s="16">
        <f t="shared" ref="AG7:AG18" si="6">(2.5-0.1*AF7)*Y7</f>
        <v>4.6689999999999996</v>
      </c>
      <c r="AH7" s="16">
        <f t="shared" ref="AH7:AH18" si="7">AG7+2.5</f>
        <v>7.1689999999999996</v>
      </c>
      <c r="AI7" s="16">
        <v>10</v>
      </c>
      <c r="AK7" s="16" t="s">
        <v>185</v>
      </c>
      <c r="AL7" s="16">
        <f t="shared" ref="AL7:AL18" si="8">0.3*AI7 /100</f>
        <v>0.03</v>
      </c>
      <c r="AM7" s="76">
        <f t="shared" ref="AM7:AM18" si="9">B9</f>
        <v>275</v>
      </c>
      <c r="AN7" s="16">
        <f t="shared" ref="AN7:AO7" si="10">C9/100</f>
        <v>0.14000000000000001</v>
      </c>
      <c r="AO7" s="16">
        <f t="shared" si="10"/>
        <v>0.14000000000000001</v>
      </c>
      <c r="AP7" s="16">
        <f t="shared" ref="AP7:AP18" si="11">(MIN(AL7,AN7/2))</f>
        <v>0.03</v>
      </c>
      <c r="AQ7" s="16">
        <f t="shared" ref="AQ7:AQ18" si="12">(MIN(AL7,AO7/2))</f>
        <v>0.03</v>
      </c>
      <c r="AR7" s="16">
        <f t="shared" ref="AR7:AR18" si="13">AM7/100+AP7+AQ7</f>
        <v>2.8099999999999996</v>
      </c>
      <c r="AS7" s="76">
        <f t="shared" ref="AS7:AS18" si="14">H9</f>
        <v>276</v>
      </c>
      <c r="AT7" s="16">
        <f t="shared" ref="AT7:AU7" si="15">I9/100</f>
        <v>0.14000000000000001</v>
      </c>
      <c r="AU7" s="16">
        <f t="shared" si="15"/>
        <v>0.14000000000000001</v>
      </c>
      <c r="AV7" s="16">
        <f t="shared" ref="AV7:AV18" si="16">(MIN(AL7,AT7/2))</f>
        <v>0.03</v>
      </c>
      <c r="AW7" s="77">
        <f t="shared" ref="AW7:AW18" si="17">MIN(AL7,AU7/2)</f>
        <v>0.03</v>
      </c>
      <c r="AX7" s="16">
        <f t="shared" ref="AX7:AX18" si="18">AS7/100+AV7+AW7</f>
        <v>2.8199999999999994</v>
      </c>
      <c r="AY7" s="78">
        <f t="shared" ref="AY7:AY18" si="19">AX7/AR7</f>
        <v>1.0035587188612098</v>
      </c>
      <c r="AZ7" s="16">
        <f t="shared" ref="AZ7:AZ18" si="20">IF(AY7&lt;=2,2,1)</f>
        <v>2</v>
      </c>
      <c r="BB7" s="16" t="s">
        <v>185</v>
      </c>
      <c r="BC7" s="16">
        <f t="shared" ref="BC7:BC18" si="21">AR7*100</f>
        <v>280.99999999999994</v>
      </c>
      <c r="BD7" s="16">
        <f t="shared" ref="BD7:BD18" si="22">0.7*AX7*100</f>
        <v>197.39999999999995</v>
      </c>
      <c r="BE7" s="16">
        <f t="shared" ref="BE7:BE18" si="23">MIN(BC7,BD7)/100</f>
        <v>1.9739999999999995</v>
      </c>
      <c r="BF7" s="16">
        <f t="shared" ref="BF7:BF18" si="24">AF7</f>
        <v>2</v>
      </c>
      <c r="BG7" s="16">
        <f t="shared" ref="BG7:BG18" si="25">(2.5-0.1*BF7)*BE7</f>
        <v>4.5401999999999987</v>
      </c>
      <c r="BH7" s="16">
        <f t="shared" ref="BH7:BH18" si="26">BG7+2.5</f>
        <v>7.0401999999999987</v>
      </c>
      <c r="BI7" s="16">
        <v>10</v>
      </c>
      <c r="BK7" s="16" t="s">
        <v>185</v>
      </c>
      <c r="BL7" s="16">
        <f t="shared" ref="BL7:BL18" si="27">AR7</f>
        <v>2.8099999999999996</v>
      </c>
      <c r="BM7" s="16">
        <f t="shared" ref="BM7:BM18" si="28">AX7</f>
        <v>2.8199999999999994</v>
      </c>
      <c r="BN7" s="7">
        <f t="shared" ref="BN7:BN18" si="29">AR7*AX7</f>
        <v>7.9241999999999972</v>
      </c>
      <c r="BO7" s="23"/>
    </row>
    <row r="8" spans="1:67" ht="15.75">
      <c r="A8" s="257"/>
      <c r="B8" s="70" t="s">
        <v>171</v>
      </c>
      <c r="C8" s="70" t="s">
        <v>186</v>
      </c>
      <c r="D8" s="70" t="s">
        <v>187</v>
      </c>
      <c r="E8" s="70" t="s">
        <v>188</v>
      </c>
      <c r="F8" s="70" t="s">
        <v>189</v>
      </c>
      <c r="G8" s="70" t="s">
        <v>161</v>
      </c>
      <c r="H8" s="79" t="s">
        <v>190</v>
      </c>
      <c r="I8" s="70" t="s">
        <v>191</v>
      </c>
      <c r="J8" s="70" t="s">
        <v>192</v>
      </c>
      <c r="K8" s="70" t="s">
        <v>193</v>
      </c>
      <c r="L8" s="70" t="s">
        <v>194</v>
      </c>
      <c r="M8" s="70" t="s">
        <v>195</v>
      </c>
      <c r="N8" s="257"/>
      <c r="O8" s="257"/>
      <c r="P8" s="69"/>
      <c r="Q8" s="25" t="s">
        <v>196</v>
      </c>
      <c r="R8" s="25">
        <v>397</v>
      </c>
      <c r="S8" s="73">
        <v>123</v>
      </c>
      <c r="T8" s="74">
        <f t="shared" si="0"/>
        <v>0</v>
      </c>
      <c r="U8" s="69"/>
      <c r="V8" s="16" t="s">
        <v>197</v>
      </c>
      <c r="W8" s="75">
        <f t="shared" si="1"/>
        <v>137</v>
      </c>
      <c r="X8" s="75">
        <f t="shared" si="2"/>
        <v>203</v>
      </c>
      <c r="Y8" s="16">
        <f t="shared" si="3"/>
        <v>1.37</v>
      </c>
      <c r="Z8" s="25">
        <v>3</v>
      </c>
      <c r="AA8" s="16">
        <f t="shared" si="4"/>
        <v>3.0140000000000007</v>
      </c>
      <c r="AB8" s="16">
        <f t="shared" si="5"/>
        <v>5.5140000000000011</v>
      </c>
      <c r="AC8" s="16">
        <v>10</v>
      </c>
      <c r="AE8" s="16" t="s">
        <v>197</v>
      </c>
      <c r="AF8" s="25">
        <v>3</v>
      </c>
      <c r="AG8" s="16">
        <f t="shared" si="6"/>
        <v>3.0140000000000007</v>
      </c>
      <c r="AH8" s="16">
        <f t="shared" si="7"/>
        <v>5.5140000000000011</v>
      </c>
      <c r="AI8" s="16">
        <v>10</v>
      </c>
      <c r="AK8" s="16" t="s">
        <v>197</v>
      </c>
      <c r="AL8" s="16">
        <f t="shared" si="8"/>
        <v>0.03</v>
      </c>
      <c r="AM8" s="76">
        <f t="shared" si="9"/>
        <v>123</v>
      </c>
      <c r="AN8" s="16">
        <f t="shared" ref="AN8:AO8" si="30">C10/100</f>
        <v>0.14000000000000001</v>
      </c>
      <c r="AO8" s="16">
        <f t="shared" si="30"/>
        <v>0.14000000000000001</v>
      </c>
      <c r="AP8" s="16">
        <f t="shared" si="11"/>
        <v>0.03</v>
      </c>
      <c r="AQ8" s="16">
        <f t="shared" si="12"/>
        <v>0.03</v>
      </c>
      <c r="AR8" s="16">
        <f t="shared" si="13"/>
        <v>1.29</v>
      </c>
      <c r="AS8" s="76">
        <f t="shared" si="14"/>
        <v>276</v>
      </c>
      <c r="AT8" s="16">
        <f t="shared" ref="AT8:AU8" si="31">I10/100</f>
        <v>0.14000000000000001</v>
      </c>
      <c r="AU8" s="16">
        <f t="shared" si="31"/>
        <v>0.14000000000000001</v>
      </c>
      <c r="AV8" s="16">
        <f t="shared" si="16"/>
        <v>0.03</v>
      </c>
      <c r="AW8" s="16">
        <f t="shared" si="17"/>
        <v>0.03</v>
      </c>
      <c r="AX8" s="16">
        <f t="shared" si="18"/>
        <v>2.8199999999999994</v>
      </c>
      <c r="AY8" s="78">
        <f t="shared" si="19"/>
        <v>2.1860465116279064</v>
      </c>
      <c r="AZ8" s="16">
        <f t="shared" si="20"/>
        <v>1</v>
      </c>
      <c r="BB8" s="16" t="s">
        <v>197</v>
      </c>
      <c r="BC8" s="16">
        <f t="shared" si="21"/>
        <v>129</v>
      </c>
      <c r="BD8" s="16">
        <f t="shared" si="22"/>
        <v>197.39999999999995</v>
      </c>
      <c r="BE8" s="16">
        <f t="shared" si="23"/>
        <v>1.29</v>
      </c>
      <c r="BF8" s="16">
        <f t="shared" si="24"/>
        <v>3</v>
      </c>
      <c r="BG8" s="16">
        <f t="shared" si="25"/>
        <v>2.8380000000000005</v>
      </c>
      <c r="BH8" s="16">
        <f t="shared" si="26"/>
        <v>5.338000000000001</v>
      </c>
      <c r="BI8" s="16">
        <v>10</v>
      </c>
      <c r="BK8" s="16" t="s">
        <v>197</v>
      </c>
      <c r="BL8" s="16">
        <f t="shared" si="27"/>
        <v>1.29</v>
      </c>
      <c r="BM8" s="16">
        <f t="shared" si="28"/>
        <v>2.8199999999999994</v>
      </c>
      <c r="BN8" s="7">
        <f t="shared" si="29"/>
        <v>3.6377999999999995</v>
      </c>
      <c r="BO8" s="23"/>
    </row>
    <row r="9" spans="1:67">
      <c r="A9" s="16" t="s">
        <v>185</v>
      </c>
      <c r="B9" s="80">
        <v>275</v>
      </c>
      <c r="C9" s="25">
        <v>14</v>
      </c>
      <c r="D9" s="25">
        <v>14</v>
      </c>
      <c r="E9" s="16">
        <f t="shared" ref="E9:F9" si="32">C9/2</f>
        <v>7</v>
      </c>
      <c r="F9" s="16">
        <f t="shared" si="32"/>
        <v>7</v>
      </c>
      <c r="G9" s="75">
        <f t="shared" ref="G9:G20" si="33">B9+E9+F9</f>
        <v>289</v>
      </c>
      <c r="H9" s="80">
        <v>276</v>
      </c>
      <c r="I9" s="25">
        <v>14</v>
      </c>
      <c r="J9" s="25">
        <v>14</v>
      </c>
      <c r="K9" s="16">
        <f t="shared" ref="K9:L9" si="34">I9/2</f>
        <v>7</v>
      </c>
      <c r="L9" s="16">
        <f t="shared" si="34"/>
        <v>7</v>
      </c>
      <c r="M9" s="75">
        <f t="shared" ref="M9:M20" si="35">H9+K9+L9</f>
        <v>290</v>
      </c>
      <c r="N9" s="81">
        <f t="shared" ref="N9:N20" si="36">M9/G9</f>
        <v>1.0034602076124568</v>
      </c>
      <c r="O9" s="16">
        <f t="shared" ref="O9:O20" si="37">IF(N9&lt;=2,2,1)</f>
        <v>2</v>
      </c>
      <c r="P9" s="82"/>
      <c r="Q9" s="277" t="s">
        <v>198</v>
      </c>
      <c r="R9" s="259"/>
      <c r="S9" s="259"/>
      <c r="T9" s="259"/>
      <c r="U9" s="23"/>
      <c r="V9" s="16" t="s">
        <v>199</v>
      </c>
      <c r="W9" s="75">
        <f t="shared" si="1"/>
        <v>259</v>
      </c>
      <c r="X9" s="75">
        <f t="shared" si="2"/>
        <v>291.2</v>
      </c>
      <c r="Y9" s="16">
        <f t="shared" si="3"/>
        <v>2.59</v>
      </c>
      <c r="Z9" s="16">
        <v>2</v>
      </c>
      <c r="AA9" s="16">
        <f t="shared" si="4"/>
        <v>5.956999999999999</v>
      </c>
      <c r="AB9" s="16">
        <f t="shared" si="5"/>
        <v>8.456999999999999</v>
      </c>
      <c r="AC9" s="16">
        <v>10</v>
      </c>
      <c r="AE9" s="16" t="s">
        <v>199</v>
      </c>
      <c r="AF9" s="16">
        <v>2</v>
      </c>
      <c r="AG9" s="16">
        <f t="shared" si="6"/>
        <v>5.956999999999999</v>
      </c>
      <c r="AH9" s="16">
        <f t="shared" si="7"/>
        <v>8.456999999999999</v>
      </c>
      <c r="AI9" s="16">
        <v>10</v>
      </c>
      <c r="AK9" s="16" t="s">
        <v>199</v>
      </c>
      <c r="AL9" s="16">
        <f t="shared" si="8"/>
        <v>0.03</v>
      </c>
      <c r="AM9" s="76">
        <f t="shared" si="9"/>
        <v>245</v>
      </c>
      <c r="AN9" s="16">
        <f t="shared" ref="AN9:AO9" si="38">C11/100</f>
        <v>0.14000000000000001</v>
      </c>
      <c r="AO9" s="16">
        <f t="shared" si="38"/>
        <v>0.14000000000000001</v>
      </c>
      <c r="AP9" s="16">
        <f t="shared" si="11"/>
        <v>0.03</v>
      </c>
      <c r="AQ9" s="16">
        <f t="shared" si="12"/>
        <v>0.03</v>
      </c>
      <c r="AR9" s="16">
        <f t="shared" si="13"/>
        <v>2.5099999999999998</v>
      </c>
      <c r="AS9" s="76">
        <f t="shared" si="14"/>
        <v>402</v>
      </c>
      <c r="AT9" s="16">
        <f t="shared" ref="AT9:AU9" si="39">I11/100</f>
        <v>0.14000000000000001</v>
      </c>
      <c r="AU9" s="16">
        <f t="shared" si="39"/>
        <v>0.14000000000000001</v>
      </c>
      <c r="AV9" s="16">
        <f t="shared" si="16"/>
        <v>0.03</v>
      </c>
      <c r="AW9" s="16">
        <f t="shared" si="17"/>
        <v>0.03</v>
      </c>
      <c r="AX9" s="16">
        <f t="shared" si="18"/>
        <v>4.08</v>
      </c>
      <c r="AY9" s="78">
        <f t="shared" si="19"/>
        <v>1.6254980079681276</v>
      </c>
      <c r="AZ9" s="16">
        <f t="shared" si="20"/>
        <v>2</v>
      </c>
      <c r="BB9" s="16" t="s">
        <v>199</v>
      </c>
      <c r="BC9" s="16">
        <f t="shared" si="21"/>
        <v>250.99999999999997</v>
      </c>
      <c r="BD9" s="16">
        <f t="shared" si="22"/>
        <v>285.59999999999997</v>
      </c>
      <c r="BE9" s="16">
        <f t="shared" si="23"/>
        <v>2.5099999999999998</v>
      </c>
      <c r="BF9" s="16">
        <f t="shared" si="24"/>
        <v>2</v>
      </c>
      <c r="BG9" s="16">
        <f t="shared" si="25"/>
        <v>5.7729999999999988</v>
      </c>
      <c r="BH9" s="16">
        <f t="shared" si="26"/>
        <v>8.2729999999999997</v>
      </c>
      <c r="BI9" s="16">
        <v>10</v>
      </c>
      <c r="BK9" s="16" t="s">
        <v>199</v>
      </c>
      <c r="BL9" s="16">
        <f t="shared" si="27"/>
        <v>2.5099999999999998</v>
      </c>
      <c r="BM9" s="16">
        <f t="shared" si="28"/>
        <v>4.08</v>
      </c>
      <c r="BN9" s="7">
        <f t="shared" si="29"/>
        <v>10.2408</v>
      </c>
      <c r="BO9" s="23"/>
    </row>
    <row r="10" spans="1:67">
      <c r="A10" s="16" t="s">
        <v>197</v>
      </c>
      <c r="B10" s="80">
        <v>123</v>
      </c>
      <c r="C10" s="25">
        <v>14</v>
      </c>
      <c r="D10" s="25">
        <v>14</v>
      </c>
      <c r="E10" s="16">
        <f t="shared" ref="E10:F10" si="40">C10/2</f>
        <v>7</v>
      </c>
      <c r="F10" s="16">
        <f t="shared" si="40"/>
        <v>7</v>
      </c>
      <c r="G10" s="75">
        <f t="shared" si="33"/>
        <v>137</v>
      </c>
      <c r="H10" s="80">
        <v>276</v>
      </c>
      <c r="I10" s="25">
        <v>14</v>
      </c>
      <c r="J10" s="25">
        <v>14</v>
      </c>
      <c r="K10" s="16">
        <f t="shared" ref="K10:L10" si="41">I10/2</f>
        <v>7</v>
      </c>
      <c r="L10" s="16">
        <f t="shared" si="41"/>
        <v>7</v>
      </c>
      <c r="M10" s="75">
        <f t="shared" si="35"/>
        <v>290</v>
      </c>
      <c r="N10" s="81">
        <f t="shared" si="36"/>
        <v>2.1167883211678831</v>
      </c>
      <c r="O10" s="16">
        <f t="shared" si="37"/>
        <v>1</v>
      </c>
      <c r="P10" s="82"/>
      <c r="Q10" s="259"/>
      <c r="R10" s="259"/>
      <c r="S10" s="259"/>
      <c r="T10" s="259"/>
      <c r="U10" s="23"/>
      <c r="V10" s="16" t="s">
        <v>200</v>
      </c>
      <c r="W10" s="75">
        <f t="shared" si="1"/>
        <v>160</v>
      </c>
      <c r="X10" s="75">
        <f t="shared" si="2"/>
        <v>291.2</v>
      </c>
      <c r="Y10" s="16">
        <f t="shared" si="3"/>
        <v>1.6</v>
      </c>
      <c r="Z10" s="25">
        <v>3</v>
      </c>
      <c r="AA10" s="16">
        <f t="shared" si="4"/>
        <v>3.5200000000000005</v>
      </c>
      <c r="AB10" s="16">
        <f t="shared" si="5"/>
        <v>6.0200000000000005</v>
      </c>
      <c r="AC10" s="16">
        <v>10</v>
      </c>
      <c r="AE10" s="16" t="s">
        <v>200</v>
      </c>
      <c r="AF10" s="25">
        <v>3</v>
      </c>
      <c r="AG10" s="16">
        <f t="shared" si="6"/>
        <v>3.5200000000000005</v>
      </c>
      <c r="AH10" s="16">
        <f t="shared" si="7"/>
        <v>6.0200000000000005</v>
      </c>
      <c r="AI10" s="16">
        <v>10</v>
      </c>
      <c r="AK10" s="16" t="s">
        <v>200</v>
      </c>
      <c r="AL10" s="16">
        <f t="shared" si="8"/>
        <v>0.03</v>
      </c>
      <c r="AM10" s="76">
        <f t="shared" si="9"/>
        <v>146</v>
      </c>
      <c r="AN10" s="16">
        <f t="shared" ref="AN10:AO10" si="42">C12/100</f>
        <v>0.14000000000000001</v>
      </c>
      <c r="AO10" s="16">
        <f t="shared" si="42"/>
        <v>0.14000000000000001</v>
      </c>
      <c r="AP10" s="16">
        <f t="shared" si="11"/>
        <v>0.03</v>
      </c>
      <c r="AQ10" s="16">
        <f t="shared" si="12"/>
        <v>0.03</v>
      </c>
      <c r="AR10" s="16">
        <f t="shared" si="13"/>
        <v>1.52</v>
      </c>
      <c r="AS10" s="76">
        <f t="shared" si="14"/>
        <v>402</v>
      </c>
      <c r="AT10" s="16">
        <f t="shared" ref="AT10:AU10" si="43">I12/100</f>
        <v>0.14000000000000001</v>
      </c>
      <c r="AU10" s="16">
        <f t="shared" si="43"/>
        <v>0.14000000000000001</v>
      </c>
      <c r="AV10" s="16">
        <f t="shared" si="16"/>
        <v>0.03</v>
      </c>
      <c r="AW10" s="16">
        <f t="shared" si="17"/>
        <v>0.03</v>
      </c>
      <c r="AX10" s="16">
        <f t="shared" si="18"/>
        <v>4.08</v>
      </c>
      <c r="AY10" s="78">
        <f t="shared" si="19"/>
        <v>2.6842105263157894</v>
      </c>
      <c r="AZ10" s="16">
        <f t="shared" si="20"/>
        <v>1</v>
      </c>
      <c r="BB10" s="16" t="s">
        <v>200</v>
      </c>
      <c r="BC10" s="16">
        <f t="shared" si="21"/>
        <v>152</v>
      </c>
      <c r="BD10" s="16">
        <f t="shared" si="22"/>
        <v>285.59999999999997</v>
      </c>
      <c r="BE10" s="16">
        <f t="shared" si="23"/>
        <v>1.52</v>
      </c>
      <c r="BF10" s="16">
        <f t="shared" si="24"/>
        <v>3</v>
      </c>
      <c r="BG10" s="16">
        <f t="shared" si="25"/>
        <v>3.3440000000000003</v>
      </c>
      <c r="BH10" s="16">
        <f t="shared" si="26"/>
        <v>5.8440000000000003</v>
      </c>
      <c r="BI10" s="16">
        <v>10</v>
      </c>
      <c r="BK10" s="16" t="s">
        <v>200</v>
      </c>
      <c r="BL10" s="16">
        <f t="shared" si="27"/>
        <v>1.52</v>
      </c>
      <c r="BM10" s="16">
        <f t="shared" si="28"/>
        <v>4.08</v>
      </c>
      <c r="BN10" s="7">
        <f t="shared" si="29"/>
        <v>6.2016</v>
      </c>
      <c r="BO10" s="23"/>
    </row>
    <row r="11" spans="1:67">
      <c r="A11" s="16" t="s">
        <v>199</v>
      </c>
      <c r="B11" s="80">
        <v>245</v>
      </c>
      <c r="C11" s="25">
        <v>14</v>
      </c>
      <c r="D11" s="25">
        <v>14</v>
      </c>
      <c r="E11" s="16">
        <f t="shared" ref="E11:F11" si="44">C11/2</f>
        <v>7</v>
      </c>
      <c r="F11" s="16">
        <f t="shared" si="44"/>
        <v>7</v>
      </c>
      <c r="G11" s="75">
        <f t="shared" si="33"/>
        <v>259</v>
      </c>
      <c r="H11" s="80">
        <v>402</v>
      </c>
      <c r="I11" s="25">
        <v>14</v>
      </c>
      <c r="J11" s="25">
        <v>14</v>
      </c>
      <c r="K11" s="16">
        <f t="shared" ref="K11:L11" si="45">I11/2</f>
        <v>7</v>
      </c>
      <c r="L11" s="16">
        <f t="shared" si="45"/>
        <v>7</v>
      </c>
      <c r="M11" s="75">
        <f t="shared" si="35"/>
        <v>416</v>
      </c>
      <c r="N11" s="81">
        <f t="shared" si="36"/>
        <v>1.6061776061776061</v>
      </c>
      <c r="O11" s="16">
        <f t="shared" si="37"/>
        <v>2</v>
      </c>
      <c r="P11" s="82"/>
      <c r="Q11" s="259"/>
      <c r="R11" s="259"/>
      <c r="S11" s="259"/>
      <c r="T11" s="259"/>
      <c r="U11" s="23"/>
      <c r="V11" s="16" t="s">
        <v>201</v>
      </c>
      <c r="W11" s="75">
        <f t="shared" si="1"/>
        <v>129</v>
      </c>
      <c r="X11" s="75">
        <f t="shared" si="2"/>
        <v>167.29999999999998</v>
      </c>
      <c r="Y11" s="16">
        <f t="shared" si="3"/>
        <v>1.29</v>
      </c>
      <c r="Z11" s="25">
        <v>3</v>
      </c>
      <c r="AA11" s="16">
        <f t="shared" si="4"/>
        <v>2.8380000000000005</v>
      </c>
      <c r="AB11" s="16">
        <f t="shared" si="5"/>
        <v>5.338000000000001</v>
      </c>
      <c r="AC11" s="16">
        <v>10</v>
      </c>
      <c r="AE11" s="16" t="s">
        <v>201</v>
      </c>
      <c r="AF11" s="25">
        <v>3</v>
      </c>
      <c r="AG11" s="16">
        <f t="shared" si="6"/>
        <v>2.8380000000000005</v>
      </c>
      <c r="AH11" s="16">
        <f t="shared" si="7"/>
        <v>5.338000000000001</v>
      </c>
      <c r="AI11" s="16">
        <v>10</v>
      </c>
      <c r="AK11" s="16" t="s">
        <v>201</v>
      </c>
      <c r="AL11" s="16">
        <f t="shared" si="8"/>
        <v>0.03</v>
      </c>
      <c r="AM11" s="76">
        <f t="shared" si="9"/>
        <v>115</v>
      </c>
      <c r="AN11" s="16">
        <f t="shared" ref="AN11:AO11" si="46">C13/100</f>
        <v>0.14000000000000001</v>
      </c>
      <c r="AO11" s="16">
        <f t="shared" si="46"/>
        <v>0.14000000000000001</v>
      </c>
      <c r="AP11" s="16">
        <f t="shared" si="11"/>
        <v>0.03</v>
      </c>
      <c r="AQ11" s="16">
        <f t="shared" si="12"/>
        <v>0.03</v>
      </c>
      <c r="AR11" s="16">
        <f t="shared" si="13"/>
        <v>1.21</v>
      </c>
      <c r="AS11" s="76">
        <f t="shared" si="14"/>
        <v>225</v>
      </c>
      <c r="AT11" s="16">
        <f t="shared" ref="AT11:AU11" si="47">I13/100</f>
        <v>0.14000000000000001</v>
      </c>
      <c r="AU11" s="16">
        <f t="shared" si="47"/>
        <v>0.14000000000000001</v>
      </c>
      <c r="AV11" s="16">
        <f t="shared" si="16"/>
        <v>0.03</v>
      </c>
      <c r="AW11" s="16">
        <f t="shared" si="17"/>
        <v>0.03</v>
      </c>
      <c r="AX11" s="16">
        <f t="shared" si="18"/>
        <v>2.3099999999999996</v>
      </c>
      <c r="AY11" s="78">
        <f t="shared" si="19"/>
        <v>1.9090909090909087</v>
      </c>
      <c r="AZ11" s="16">
        <f t="shared" si="20"/>
        <v>2</v>
      </c>
      <c r="BB11" s="16" t="s">
        <v>201</v>
      </c>
      <c r="BC11" s="16">
        <f t="shared" si="21"/>
        <v>121</v>
      </c>
      <c r="BD11" s="16">
        <f t="shared" si="22"/>
        <v>161.69999999999996</v>
      </c>
      <c r="BE11" s="16">
        <f t="shared" si="23"/>
        <v>1.21</v>
      </c>
      <c r="BF11" s="16">
        <f t="shared" si="24"/>
        <v>3</v>
      </c>
      <c r="BG11" s="16">
        <f t="shared" si="25"/>
        <v>2.6619999999999999</v>
      </c>
      <c r="BH11" s="16">
        <f t="shared" si="26"/>
        <v>5.1619999999999999</v>
      </c>
      <c r="BI11" s="16">
        <v>10</v>
      </c>
      <c r="BK11" s="16" t="s">
        <v>201</v>
      </c>
      <c r="BL11" s="16">
        <f t="shared" si="27"/>
        <v>1.21</v>
      </c>
      <c r="BM11" s="16">
        <f t="shared" si="28"/>
        <v>2.3099999999999996</v>
      </c>
      <c r="BN11" s="7">
        <f t="shared" si="29"/>
        <v>2.7950999999999993</v>
      </c>
      <c r="BO11" s="23"/>
    </row>
    <row r="12" spans="1:67">
      <c r="A12" s="16" t="s">
        <v>200</v>
      </c>
      <c r="B12" s="80">
        <v>146</v>
      </c>
      <c r="C12" s="25">
        <v>14</v>
      </c>
      <c r="D12" s="25">
        <v>14</v>
      </c>
      <c r="E12" s="16">
        <f t="shared" ref="E12:F12" si="48">C12/2</f>
        <v>7</v>
      </c>
      <c r="F12" s="16">
        <f t="shared" si="48"/>
        <v>7</v>
      </c>
      <c r="G12" s="75">
        <f t="shared" si="33"/>
        <v>160</v>
      </c>
      <c r="H12" s="80">
        <v>402</v>
      </c>
      <c r="I12" s="25">
        <v>14</v>
      </c>
      <c r="J12" s="25">
        <v>14</v>
      </c>
      <c r="K12" s="16">
        <f t="shared" ref="K12:L12" si="49">I12/2</f>
        <v>7</v>
      </c>
      <c r="L12" s="16">
        <f t="shared" si="49"/>
        <v>7</v>
      </c>
      <c r="M12" s="75">
        <f t="shared" si="35"/>
        <v>416</v>
      </c>
      <c r="N12" s="81">
        <f t="shared" si="36"/>
        <v>2.6</v>
      </c>
      <c r="O12" s="16">
        <f t="shared" si="37"/>
        <v>1</v>
      </c>
      <c r="P12" s="82"/>
      <c r="Q12" s="259"/>
      <c r="R12" s="259"/>
      <c r="S12" s="259"/>
      <c r="T12" s="259"/>
      <c r="U12" s="23"/>
      <c r="V12" s="16" t="s">
        <v>184</v>
      </c>
      <c r="W12" s="75">
        <f t="shared" si="1"/>
        <v>137</v>
      </c>
      <c r="X12" s="75">
        <f t="shared" si="2"/>
        <v>435.4</v>
      </c>
      <c r="Y12" s="16">
        <f t="shared" si="3"/>
        <v>1.37</v>
      </c>
      <c r="Z12" s="25">
        <v>4</v>
      </c>
      <c r="AA12" s="16">
        <f t="shared" si="4"/>
        <v>2.8770000000000002</v>
      </c>
      <c r="AB12" s="16">
        <f t="shared" si="5"/>
        <v>5.3770000000000007</v>
      </c>
      <c r="AC12" s="16">
        <v>10</v>
      </c>
      <c r="AE12" s="16" t="s">
        <v>184</v>
      </c>
      <c r="AF12" s="25">
        <v>4</v>
      </c>
      <c r="AG12" s="16">
        <f t="shared" si="6"/>
        <v>2.8770000000000002</v>
      </c>
      <c r="AH12" s="16">
        <f t="shared" si="7"/>
        <v>5.3770000000000007</v>
      </c>
      <c r="AI12" s="16">
        <v>10</v>
      </c>
      <c r="AK12" s="16" t="s">
        <v>184</v>
      </c>
      <c r="AL12" s="16">
        <f t="shared" si="8"/>
        <v>0.03</v>
      </c>
      <c r="AM12" s="76">
        <f t="shared" si="9"/>
        <v>123</v>
      </c>
      <c r="AN12" s="16">
        <f t="shared" ref="AN12:AO12" si="50">C14/100</f>
        <v>0.14000000000000001</v>
      </c>
      <c r="AO12" s="16">
        <f t="shared" si="50"/>
        <v>0.14000000000000001</v>
      </c>
      <c r="AP12" s="16">
        <f t="shared" si="11"/>
        <v>0.03</v>
      </c>
      <c r="AQ12" s="16">
        <f t="shared" si="12"/>
        <v>0.03</v>
      </c>
      <c r="AR12" s="16">
        <f t="shared" si="13"/>
        <v>1.29</v>
      </c>
      <c r="AS12" s="76">
        <f t="shared" si="14"/>
        <v>608</v>
      </c>
      <c r="AT12" s="16">
        <f t="shared" ref="AT12:AU12" si="51">I14/100</f>
        <v>0.14000000000000001</v>
      </c>
      <c r="AU12" s="16">
        <f t="shared" si="51"/>
        <v>0.14000000000000001</v>
      </c>
      <c r="AV12" s="16">
        <f t="shared" si="16"/>
        <v>0.03</v>
      </c>
      <c r="AW12" s="16">
        <f t="shared" si="17"/>
        <v>0.03</v>
      </c>
      <c r="AX12" s="16">
        <f t="shared" si="18"/>
        <v>6.1400000000000006</v>
      </c>
      <c r="AY12" s="78">
        <f t="shared" si="19"/>
        <v>4.7596899224806206</v>
      </c>
      <c r="AZ12" s="16">
        <f t="shared" si="20"/>
        <v>1</v>
      </c>
      <c r="BB12" s="16" t="s">
        <v>184</v>
      </c>
      <c r="BC12" s="16">
        <f t="shared" si="21"/>
        <v>129</v>
      </c>
      <c r="BD12" s="16">
        <f t="shared" si="22"/>
        <v>429.8</v>
      </c>
      <c r="BE12" s="16">
        <f t="shared" si="23"/>
        <v>1.29</v>
      </c>
      <c r="BF12" s="16">
        <f t="shared" si="24"/>
        <v>4</v>
      </c>
      <c r="BG12" s="16">
        <f t="shared" si="25"/>
        <v>2.7090000000000001</v>
      </c>
      <c r="BH12" s="16">
        <f t="shared" si="26"/>
        <v>5.2089999999999996</v>
      </c>
      <c r="BI12" s="16">
        <v>10</v>
      </c>
      <c r="BK12" s="16" t="s">
        <v>184</v>
      </c>
      <c r="BL12" s="16">
        <f t="shared" si="27"/>
        <v>1.29</v>
      </c>
      <c r="BM12" s="16">
        <f t="shared" si="28"/>
        <v>6.1400000000000006</v>
      </c>
      <c r="BN12" s="7">
        <f t="shared" si="29"/>
        <v>7.9206000000000012</v>
      </c>
      <c r="BO12" s="23"/>
    </row>
    <row r="13" spans="1:67">
      <c r="A13" s="16" t="s">
        <v>201</v>
      </c>
      <c r="B13" s="80">
        <v>115</v>
      </c>
      <c r="C13" s="25">
        <v>14</v>
      </c>
      <c r="D13" s="25">
        <v>14</v>
      </c>
      <c r="E13" s="16">
        <f t="shared" ref="E13:F13" si="52">C13/2</f>
        <v>7</v>
      </c>
      <c r="F13" s="16">
        <f t="shared" si="52"/>
        <v>7</v>
      </c>
      <c r="G13" s="75">
        <f t="shared" si="33"/>
        <v>129</v>
      </c>
      <c r="H13" s="80">
        <v>225</v>
      </c>
      <c r="I13" s="25">
        <v>14</v>
      </c>
      <c r="J13" s="25">
        <v>14</v>
      </c>
      <c r="K13" s="16">
        <f t="shared" ref="K13:L13" si="53">I13/2</f>
        <v>7</v>
      </c>
      <c r="L13" s="16">
        <f t="shared" si="53"/>
        <v>7</v>
      </c>
      <c r="M13" s="75">
        <f t="shared" si="35"/>
        <v>239</v>
      </c>
      <c r="N13" s="81">
        <f t="shared" si="36"/>
        <v>1.8527131782945736</v>
      </c>
      <c r="O13" s="16">
        <f t="shared" si="37"/>
        <v>2</v>
      </c>
      <c r="P13" s="82"/>
      <c r="Q13" s="259"/>
      <c r="R13" s="259"/>
      <c r="S13" s="259"/>
      <c r="T13" s="259"/>
      <c r="U13" s="23"/>
      <c r="V13" s="16" t="s">
        <v>202</v>
      </c>
      <c r="W13" s="75">
        <f t="shared" si="1"/>
        <v>289</v>
      </c>
      <c r="X13" s="75">
        <f t="shared" si="2"/>
        <v>340.9</v>
      </c>
      <c r="Y13" s="16">
        <f t="shared" si="3"/>
        <v>2.89</v>
      </c>
      <c r="Z13" s="25">
        <v>2</v>
      </c>
      <c r="AA13" s="16">
        <f t="shared" si="4"/>
        <v>6.6469999999999994</v>
      </c>
      <c r="AB13" s="16">
        <f t="shared" si="5"/>
        <v>9.1469999999999985</v>
      </c>
      <c r="AC13" s="16">
        <v>10</v>
      </c>
      <c r="AE13" s="16" t="s">
        <v>202</v>
      </c>
      <c r="AF13" s="25">
        <v>2</v>
      </c>
      <c r="AG13" s="16">
        <f t="shared" si="6"/>
        <v>6.6469999999999994</v>
      </c>
      <c r="AH13" s="16">
        <f t="shared" si="7"/>
        <v>9.1469999999999985</v>
      </c>
      <c r="AI13" s="16">
        <v>10</v>
      </c>
      <c r="AK13" s="16" t="s">
        <v>202</v>
      </c>
      <c r="AL13" s="16">
        <f t="shared" si="8"/>
        <v>0.03</v>
      </c>
      <c r="AM13" s="76">
        <f t="shared" si="9"/>
        <v>275</v>
      </c>
      <c r="AN13" s="16">
        <f t="shared" ref="AN13:AO13" si="54">C15/100</f>
        <v>0.14000000000000001</v>
      </c>
      <c r="AO13" s="16">
        <f t="shared" si="54"/>
        <v>0.14000000000000001</v>
      </c>
      <c r="AP13" s="16">
        <f t="shared" si="11"/>
        <v>0.03</v>
      </c>
      <c r="AQ13" s="16">
        <f t="shared" si="12"/>
        <v>0.03</v>
      </c>
      <c r="AR13" s="16">
        <f t="shared" si="13"/>
        <v>2.8099999999999996</v>
      </c>
      <c r="AS13" s="76">
        <f t="shared" si="14"/>
        <v>473</v>
      </c>
      <c r="AT13" s="16">
        <f t="shared" ref="AT13:AU13" si="55">I15/100</f>
        <v>0.14000000000000001</v>
      </c>
      <c r="AU13" s="16">
        <f t="shared" si="55"/>
        <v>0.14000000000000001</v>
      </c>
      <c r="AV13" s="16">
        <f t="shared" si="16"/>
        <v>0.03</v>
      </c>
      <c r="AW13" s="16">
        <f t="shared" si="17"/>
        <v>0.03</v>
      </c>
      <c r="AX13" s="16">
        <f t="shared" si="18"/>
        <v>4.7900000000000009</v>
      </c>
      <c r="AY13" s="78">
        <f t="shared" si="19"/>
        <v>1.7046263345195736</v>
      </c>
      <c r="AZ13" s="16">
        <f t="shared" si="20"/>
        <v>2</v>
      </c>
      <c r="BB13" s="16" t="s">
        <v>202</v>
      </c>
      <c r="BC13" s="16">
        <f t="shared" si="21"/>
        <v>280.99999999999994</v>
      </c>
      <c r="BD13" s="16">
        <f t="shared" si="22"/>
        <v>335.30000000000007</v>
      </c>
      <c r="BE13" s="16">
        <f t="shared" si="23"/>
        <v>2.8099999999999996</v>
      </c>
      <c r="BF13" s="16">
        <f t="shared" si="24"/>
        <v>2</v>
      </c>
      <c r="BG13" s="16">
        <f t="shared" si="25"/>
        <v>6.4629999999999983</v>
      </c>
      <c r="BH13" s="16">
        <f t="shared" si="26"/>
        <v>8.9629999999999974</v>
      </c>
      <c r="BI13" s="16">
        <v>10</v>
      </c>
      <c r="BK13" s="16" t="s">
        <v>202</v>
      </c>
      <c r="BL13" s="16">
        <f t="shared" si="27"/>
        <v>2.8099999999999996</v>
      </c>
      <c r="BM13" s="16">
        <f t="shared" si="28"/>
        <v>4.7900000000000009</v>
      </c>
      <c r="BN13" s="7">
        <f t="shared" si="29"/>
        <v>13.459900000000001</v>
      </c>
      <c r="BO13" s="23"/>
    </row>
    <row r="14" spans="1:67">
      <c r="A14" s="16" t="s">
        <v>184</v>
      </c>
      <c r="B14" s="80">
        <v>123</v>
      </c>
      <c r="C14" s="25">
        <v>14</v>
      </c>
      <c r="D14" s="25">
        <v>14</v>
      </c>
      <c r="E14" s="16">
        <f t="shared" ref="E14:F14" si="56">C14/2</f>
        <v>7</v>
      </c>
      <c r="F14" s="16">
        <f t="shared" si="56"/>
        <v>7</v>
      </c>
      <c r="G14" s="75">
        <f t="shared" si="33"/>
        <v>137</v>
      </c>
      <c r="H14" s="80">
        <v>608</v>
      </c>
      <c r="I14" s="25">
        <v>14</v>
      </c>
      <c r="J14" s="25">
        <v>14</v>
      </c>
      <c r="K14" s="16">
        <f t="shared" ref="K14:L14" si="57">I14/2</f>
        <v>7</v>
      </c>
      <c r="L14" s="16">
        <f t="shared" si="57"/>
        <v>7</v>
      </c>
      <c r="M14" s="75">
        <f t="shared" si="35"/>
        <v>622</v>
      </c>
      <c r="N14" s="81">
        <f t="shared" si="36"/>
        <v>4.5401459854014599</v>
      </c>
      <c r="O14" s="16">
        <f t="shared" si="37"/>
        <v>1</v>
      </c>
      <c r="P14" s="82"/>
      <c r="Q14" s="83"/>
      <c r="R14" s="82"/>
      <c r="S14" s="82"/>
      <c r="T14" s="82"/>
      <c r="U14" s="23"/>
      <c r="V14" s="16" t="s">
        <v>203</v>
      </c>
      <c r="W14" s="75">
        <f t="shared" si="1"/>
        <v>291</v>
      </c>
      <c r="X14" s="75">
        <f t="shared" si="2"/>
        <v>291.2</v>
      </c>
      <c r="Y14" s="16">
        <f t="shared" si="3"/>
        <v>2.91</v>
      </c>
      <c r="Z14" s="25">
        <v>3</v>
      </c>
      <c r="AA14" s="16">
        <f t="shared" si="4"/>
        <v>6.402000000000001</v>
      </c>
      <c r="AB14" s="16">
        <f t="shared" si="5"/>
        <v>8.902000000000001</v>
      </c>
      <c r="AC14" s="16">
        <v>10</v>
      </c>
      <c r="AE14" s="16" t="s">
        <v>203</v>
      </c>
      <c r="AF14" s="25">
        <v>3</v>
      </c>
      <c r="AG14" s="16">
        <f t="shared" si="6"/>
        <v>6.402000000000001</v>
      </c>
      <c r="AH14" s="16">
        <f t="shared" si="7"/>
        <v>8.902000000000001</v>
      </c>
      <c r="AI14" s="16">
        <v>10</v>
      </c>
      <c r="AK14" s="16" t="s">
        <v>203</v>
      </c>
      <c r="AL14" s="16">
        <f t="shared" si="8"/>
        <v>0.03</v>
      </c>
      <c r="AM14" s="76">
        <f t="shared" si="9"/>
        <v>277</v>
      </c>
      <c r="AN14" s="16">
        <f t="shared" ref="AN14:AO14" si="58">C16/100</f>
        <v>0.14000000000000001</v>
      </c>
      <c r="AO14" s="16">
        <f t="shared" si="58"/>
        <v>0.14000000000000001</v>
      </c>
      <c r="AP14" s="16">
        <f t="shared" si="11"/>
        <v>0.03</v>
      </c>
      <c r="AQ14" s="16">
        <f t="shared" si="12"/>
        <v>0.03</v>
      </c>
      <c r="AR14" s="16">
        <f t="shared" si="13"/>
        <v>2.8299999999999996</v>
      </c>
      <c r="AS14" s="76">
        <f t="shared" si="14"/>
        <v>402</v>
      </c>
      <c r="AT14" s="16">
        <f t="shared" ref="AT14:AU14" si="59">I16/100</f>
        <v>0.14000000000000001</v>
      </c>
      <c r="AU14" s="16">
        <f t="shared" si="59"/>
        <v>0.14000000000000001</v>
      </c>
      <c r="AV14" s="16">
        <f t="shared" si="16"/>
        <v>0.03</v>
      </c>
      <c r="AW14" s="16">
        <f t="shared" si="17"/>
        <v>0.03</v>
      </c>
      <c r="AX14" s="16">
        <f t="shared" si="18"/>
        <v>4.08</v>
      </c>
      <c r="AY14" s="78">
        <f t="shared" si="19"/>
        <v>1.4416961130742052</v>
      </c>
      <c r="AZ14" s="16">
        <f t="shared" si="20"/>
        <v>2</v>
      </c>
      <c r="BB14" s="16" t="s">
        <v>203</v>
      </c>
      <c r="BC14" s="16">
        <f t="shared" si="21"/>
        <v>282.99999999999994</v>
      </c>
      <c r="BD14" s="16">
        <f t="shared" si="22"/>
        <v>285.59999999999997</v>
      </c>
      <c r="BE14" s="16">
        <f t="shared" si="23"/>
        <v>2.8299999999999996</v>
      </c>
      <c r="BF14" s="16">
        <f t="shared" si="24"/>
        <v>3</v>
      </c>
      <c r="BG14" s="16">
        <f t="shared" si="25"/>
        <v>6.226</v>
      </c>
      <c r="BH14" s="84">
        <f t="shared" si="26"/>
        <v>8.7259999999999991</v>
      </c>
      <c r="BI14" s="16">
        <v>10</v>
      </c>
      <c r="BK14" s="16" t="s">
        <v>203</v>
      </c>
      <c r="BL14" s="16">
        <f t="shared" si="27"/>
        <v>2.8299999999999996</v>
      </c>
      <c r="BM14" s="16">
        <f t="shared" si="28"/>
        <v>4.08</v>
      </c>
      <c r="BN14" s="7">
        <f t="shared" si="29"/>
        <v>11.546399999999998</v>
      </c>
      <c r="BO14" s="23"/>
    </row>
    <row r="15" spans="1:67" ht="15.75">
      <c r="A15" s="16" t="s">
        <v>202</v>
      </c>
      <c r="B15" s="80">
        <v>275</v>
      </c>
      <c r="C15" s="25">
        <v>14</v>
      </c>
      <c r="D15" s="25">
        <v>14</v>
      </c>
      <c r="E15" s="16">
        <f t="shared" ref="E15:F15" si="60">C15/2</f>
        <v>7</v>
      </c>
      <c r="F15" s="16">
        <f t="shared" si="60"/>
        <v>7</v>
      </c>
      <c r="G15" s="75">
        <f t="shared" si="33"/>
        <v>289</v>
      </c>
      <c r="H15" s="80">
        <v>473</v>
      </c>
      <c r="I15" s="25">
        <v>14</v>
      </c>
      <c r="J15" s="25">
        <v>14</v>
      </c>
      <c r="K15" s="16">
        <f t="shared" ref="K15:L15" si="61">I15/2</f>
        <v>7</v>
      </c>
      <c r="L15" s="16">
        <f t="shared" si="61"/>
        <v>7</v>
      </c>
      <c r="M15" s="75">
        <f t="shared" si="35"/>
        <v>487</v>
      </c>
      <c r="N15" s="81">
        <f t="shared" si="36"/>
        <v>1.685121107266436</v>
      </c>
      <c r="O15" s="16">
        <f t="shared" si="37"/>
        <v>2</v>
      </c>
      <c r="P15" s="82"/>
      <c r="Q15" s="83"/>
      <c r="R15" s="82"/>
      <c r="S15" s="82"/>
      <c r="T15" s="82"/>
      <c r="U15" s="85"/>
      <c r="V15" s="16" t="s">
        <v>204</v>
      </c>
      <c r="W15" s="75">
        <f t="shared" si="1"/>
        <v>203</v>
      </c>
      <c r="X15" s="75">
        <f t="shared" si="2"/>
        <v>224.7</v>
      </c>
      <c r="Y15" s="16">
        <f t="shared" si="3"/>
        <v>2.0299999999999998</v>
      </c>
      <c r="Z15" s="25">
        <v>3</v>
      </c>
      <c r="AA15" s="16">
        <f t="shared" si="4"/>
        <v>4.4660000000000002</v>
      </c>
      <c r="AB15" s="16">
        <f t="shared" si="5"/>
        <v>6.9660000000000002</v>
      </c>
      <c r="AC15" s="16">
        <v>10</v>
      </c>
      <c r="AE15" s="16" t="s">
        <v>204</v>
      </c>
      <c r="AF15" s="25">
        <v>3</v>
      </c>
      <c r="AG15" s="16">
        <f t="shared" si="6"/>
        <v>4.4660000000000002</v>
      </c>
      <c r="AH15" s="16">
        <f t="shared" si="7"/>
        <v>6.9660000000000002</v>
      </c>
      <c r="AI15" s="16">
        <v>10</v>
      </c>
      <c r="AK15" s="16" t="s">
        <v>204</v>
      </c>
      <c r="AL15" s="16">
        <f t="shared" si="8"/>
        <v>0.03</v>
      </c>
      <c r="AM15" s="76">
        <f t="shared" si="9"/>
        <v>189</v>
      </c>
      <c r="AN15" s="16">
        <f t="shared" ref="AN15:AO15" si="62">C17/100</f>
        <v>0.14000000000000001</v>
      </c>
      <c r="AO15" s="16">
        <f t="shared" si="62"/>
        <v>0.14000000000000001</v>
      </c>
      <c r="AP15" s="16">
        <f t="shared" si="11"/>
        <v>0.03</v>
      </c>
      <c r="AQ15" s="16">
        <f t="shared" si="12"/>
        <v>0.03</v>
      </c>
      <c r="AR15" s="16">
        <f t="shared" si="13"/>
        <v>1.95</v>
      </c>
      <c r="AS15" s="76">
        <f t="shared" si="14"/>
        <v>307</v>
      </c>
      <c r="AT15" s="16">
        <f t="shared" ref="AT15:AU15" si="63">I17/100</f>
        <v>0.14000000000000001</v>
      </c>
      <c r="AU15" s="16">
        <f t="shared" si="63"/>
        <v>0.14000000000000001</v>
      </c>
      <c r="AV15" s="16">
        <f t="shared" si="16"/>
        <v>0.03</v>
      </c>
      <c r="AW15" s="16">
        <f t="shared" si="17"/>
        <v>0.03</v>
      </c>
      <c r="AX15" s="16">
        <f t="shared" si="18"/>
        <v>3.1299999999999994</v>
      </c>
      <c r="AY15" s="78">
        <f t="shared" si="19"/>
        <v>1.605128205128205</v>
      </c>
      <c r="AZ15" s="16">
        <f t="shared" si="20"/>
        <v>2</v>
      </c>
      <c r="BB15" s="16" t="s">
        <v>204</v>
      </c>
      <c r="BC15" s="16">
        <f t="shared" si="21"/>
        <v>195</v>
      </c>
      <c r="BD15" s="16">
        <f t="shared" si="22"/>
        <v>219.09999999999994</v>
      </c>
      <c r="BE15" s="16">
        <f t="shared" si="23"/>
        <v>1.95</v>
      </c>
      <c r="BF15" s="16">
        <f t="shared" si="24"/>
        <v>3</v>
      </c>
      <c r="BG15" s="16">
        <f t="shared" si="25"/>
        <v>4.29</v>
      </c>
      <c r="BH15" s="84">
        <f t="shared" si="26"/>
        <v>6.79</v>
      </c>
      <c r="BI15" s="16">
        <v>10</v>
      </c>
      <c r="BK15" s="16" t="s">
        <v>204</v>
      </c>
      <c r="BL15" s="16">
        <f t="shared" si="27"/>
        <v>1.95</v>
      </c>
      <c r="BM15" s="16">
        <f t="shared" si="28"/>
        <v>3.1299999999999994</v>
      </c>
      <c r="BN15" s="7">
        <f t="shared" si="29"/>
        <v>6.1034999999999986</v>
      </c>
      <c r="BO15" s="23"/>
    </row>
    <row r="16" spans="1:67" ht="15.75">
      <c r="A16" s="25" t="s">
        <v>203</v>
      </c>
      <c r="B16" s="80">
        <v>277</v>
      </c>
      <c r="C16" s="25">
        <v>14</v>
      </c>
      <c r="D16" s="25">
        <v>14</v>
      </c>
      <c r="E16" s="16">
        <f t="shared" ref="E16:F16" si="64">C16/2</f>
        <v>7</v>
      </c>
      <c r="F16" s="16">
        <f t="shared" si="64"/>
        <v>7</v>
      </c>
      <c r="G16" s="75">
        <f t="shared" si="33"/>
        <v>291</v>
      </c>
      <c r="H16" s="80">
        <v>402</v>
      </c>
      <c r="I16" s="25">
        <v>14</v>
      </c>
      <c r="J16" s="25">
        <v>14</v>
      </c>
      <c r="K16" s="16">
        <f t="shared" ref="K16:L16" si="65">I16/2</f>
        <v>7</v>
      </c>
      <c r="L16" s="16">
        <f t="shared" si="65"/>
        <v>7</v>
      </c>
      <c r="M16" s="75">
        <f t="shared" si="35"/>
        <v>416</v>
      </c>
      <c r="N16" s="81">
        <f t="shared" si="36"/>
        <v>1.429553264604811</v>
      </c>
      <c r="O16" s="16">
        <f t="shared" si="37"/>
        <v>2</v>
      </c>
      <c r="P16" s="82"/>
      <c r="Q16" s="82"/>
      <c r="R16" s="82"/>
      <c r="S16" s="82"/>
      <c r="T16" s="82"/>
      <c r="U16" s="85"/>
      <c r="V16" s="16" t="s">
        <v>196</v>
      </c>
      <c r="W16" s="75">
        <f t="shared" si="1"/>
        <v>426</v>
      </c>
      <c r="X16" s="75">
        <f t="shared" si="2"/>
        <v>404.59999999999997</v>
      </c>
      <c r="Y16" s="16">
        <f t="shared" si="3"/>
        <v>4.0459999999999994</v>
      </c>
      <c r="Z16" s="16">
        <v>1</v>
      </c>
      <c r="AA16" s="16">
        <f t="shared" si="4"/>
        <v>9.7103999999999981</v>
      </c>
      <c r="AB16" s="84">
        <f t="shared" si="5"/>
        <v>12.210399999999998</v>
      </c>
      <c r="AC16" s="25">
        <v>13</v>
      </c>
      <c r="AE16" s="16" t="s">
        <v>196</v>
      </c>
      <c r="AF16" s="86">
        <v>0</v>
      </c>
      <c r="AG16" s="16">
        <f t="shared" si="6"/>
        <v>10.114999999999998</v>
      </c>
      <c r="AH16" s="16">
        <f t="shared" si="7"/>
        <v>12.614999999999998</v>
      </c>
      <c r="AI16" s="25">
        <v>13</v>
      </c>
      <c r="AK16" s="16" t="s">
        <v>196</v>
      </c>
      <c r="AL16" s="16">
        <f t="shared" si="8"/>
        <v>3.9E-2</v>
      </c>
      <c r="AM16" s="76">
        <f t="shared" si="9"/>
        <v>412</v>
      </c>
      <c r="AN16" s="16">
        <f t="shared" ref="AN16:AO16" si="66">C18/100</f>
        <v>0.14000000000000001</v>
      </c>
      <c r="AO16" s="16">
        <f t="shared" si="66"/>
        <v>0.14000000000000001</v>
      </c>
      <c r="AP16" s="16">
        <f t="shared" si="11"/>
        <v>3.9E-2</v>
      </c>
      <c r="AQ16" s="16">
        <f t="shared" si="12"/>
        <v>3.9E-2</v>
      </c>
      <c r="AR16" s="16">
        <f t="shared" si="13"/>
        <v>4.1979999999999995</v>
      </c>
      <c r="AS16" s="76">
        <f t="shared" si="14"/>
        <v>564</v>
      </c>
      <c r="AT16" s="16">
        <f t="shared" ref="AT16:AU16" si="67">I18/100</f>
        <v>0.14000000000000001</v>
      </c>
      <c r="AU16" s="16">
        <f t="shared" si="67"/>
        <v>0.14000000000000001</v>
      </c>
      <c r="AV16" s="16">
        <f t="shared" si="16"/>
        <v>3.9E-2</v>
      </c>
      <c r="AW16" s="16">
        <f t="shared" si="17"/>
        <v>3.9E-2</v>
      </c>
      <c r="AX16" s="16">
        <f t="shared" si="18"/>
        <v>5.7179999999999991</v>
      </c>
      <c r="AY16" s="78">
        <f t="shared" si="19"/>
        <v>1.3620771796093378</v>
      </c>
      <c r="AZ16" s="16">
        <f t="shared" si="20"/>
        <v>2</v>
      </c>
      <c r="BB16" s="16" t="s">
        <v>196</v>
      </c>
      <c r="BC16" s="16">
        <f t="shared" si="21"/>
        <v>419.79999999999995</v>
      </c>
      <c r="BD16" s="16">
        <f t="shared" si="22"/>
        <v>400.25999999999993</v>
      </c>
      <c r="BE16" s="16">
        <f t="shared" si="23"/>
        <v>4.0025999999999993</v>
      </c>
      <c r="BF16" s="16">
        <f t="shared" si="24"/>
        <v>0</v>
      </c>
      <c r="BG16" s="16">
        <f t="shared" si="25"/>
        <v>10.006499999999999</v>
      </c>
      <c r="BH16" s="84">
        <f t="shared" si="26"/>
        <v>12.506499999999999</v>
      </c>
      <c r="BI16" s="25">
        <v>13</v>
      </c>
      <c r="BK16" s="16" t="s">
        <v>196</v>
      </c>
      <c r="BL16" s="16">
        <f t="shared" si="27"/>
        <v>4.1979999999999995</v>
      </c>
      <c r="BM16" s="16">
        <f t="shared" si="28"/>
        <v>5.7179999999999991</v>
      </c>
      <c r="BN16" s="7">
        <f t="shared" si="29"/>
        <v>24.004163999999992</v>
      </c>
      <c r="BO16" s="23"/>
    </row>
    <row r="17" spans="1:67" ht="15.75">
      <c r="A17" s="25" t="s">
        <v>204</v>
      </c>
      <c r="B17" s="80">
        <v>189</v>
      </c>
      <c r="C17" s="25">
        <v>14</v>
      </c>
      <c r="D17" s="25">
        <v>14</v>
      </c>
      <c r="E17" s="16">
        <f t="shared" ref="E17:F17" si="68">C17/2</f>
        <v>7</v>
      </c>
      <c r="F17" s="16">
        <f t="shared" si="68"/>
        <v>7</v>
      </c>
      <c r="G17" s="75">
        <f t="shared" si="33"/>
        <v>203</v>
      </c>
      <c r="H17" s="80">
        <v>307</v>
      </c>
      <c r="I17" s="25">
        <v>14</v>
      </c>
      <c r="J17" s="25">
        <v>14</v>
      </c>
      <c r="K17" s="16">
        <f t="shared" ref="K17:L17" si="69">I17/2</f>
        <v>7</v>
      </c>
      <c r="L17" s="16">
        <f t="shared" si="69"/>
        <v>7</v>
      </c>
      <c r="M17" s="75">
        <f t="shared" si="35"/>
        <v>321</v>
      </c>
      <c r="N17" s="81">
        <f t="shared" si="36"/>
        <v>1.5812807881773399</v>
      </c>
      <c r="O17" s="16">
        <f t="shared" si="37"/>
        <v>2</v>
      </c>
      <c r="P17" s="82"/>
      <c r="Q17" s="82"/>
      <c r="R17" s="82"/>
      <c r="S17" s="82"/>
      <c r="T17" s="82"/>
      <c r="U17" s="85"/>
      <c r="V17" s="16" t="s">
        <v>205</v>
      </c>
      <c r="W17" s="75">
        <f t="shared" si="1"/>
        <v>131</v>
      </c>
      <c r="X17" s="75">
        <f t="shared" si="2"/>
        <v>291.2</v>
      </c>
      <c r="Y17" s="16">
        <f t="shared" si="3"/>
        <v>1.31</v>
      </c>
      <c r="Z17" s="25">
        <v>3</v>
      </c>
      <c r="AA17" s="16">
        <f t="shared" si="4"/>
        <v>2.8820000000000006</v>
      </c>
      <c r="AB17" s="84">
        <f t="shared" si="5"/>
        <v>5.3820000000000006</v>
      </c>
      <c r="AC17" s="16">
        <v>10</v>
      </c>
      <c r="AE17" s="16" t="s">
        <v>205</v>
      </c>
      <c r="AF17" s="25">
        <v>3</v>
      </c>
      <c r="AG17" s="16">
        <f t="shared" si="6"/>
        <v>2.8820000000000006</v>
      </c>
      <c r="AH17" s="16">
        <f t="shared" si="7"/>
        <v>5.3820000000000006</v>
      </c>
      <c r="AI17" s="16">
        <v>10</v>
      </c>
      <c r="AK17" s="16" t="s">
        <v>205</v>
      </c>
      <c r="AL17" s="16">
        <f t="shared" si="8"/>
        <v>0.03</v>
      </c>
      <c r="AM17" s="76">
        <f t="shared" si="9"/>
        <v>117</v>
      </c>
      <c r="AN17" s="16">
        <f t="shared" ref="AN17:AO17" si="70">C19/100</f>
        <v>0.14000000000000001</v>
      </c>
      <c r="AO17" s="16">
        <f t="shared" si="70"/>
        <v>0.14000000000000001</v>
      </c>
      <c r="AP17" s="16">
        <f t="shared" si="11"/>
        <v>0.03</v>
      </c>
      <c r="AQ17" s="16">
        <f t="shared" si="12"/>
        <v>0.03</v>
      </c>
      <c r="AR17" s="16">
        <f t="shared" si="13"/>
        <v>1.23</v>
      </c>
      <c r="AS17" s="76">
        <f t="shared" si="14"/>
        <v>402</v>
      </c>
      <c r="AT17" s="16">
        <f t="shared" ref="AT17:AU17" si="71">I19/100</f>
        <v>0.14000000000000001</v>
      </c>
      <c r="AU17" s="16">
        <f t="shared" si="71"/>
        <v>0.14000000000000001</v>
      </c>
      <c r="AV17" s="16">
        <f t="shared" si="16"/>
        <v>0.03</v>
      </c>
      <c r="AW17" s="16">
        <f t="shared" si="17"/>
        <v>0.03</v>
      </c>
      <c r="AX17" s="16">
        <f t="shared" si="18"/>
        <v>4.08</v>
      </c>
      <c r="AY17" s="78">
        <f t="shared" si="19"/>
        <v>3.3170731707317076</v>
      </c>
      <c r="AZ17" s="16">
        <f t="shared" si="20"/>
        <v>1</v>
      </c>
      <c r="BB17" s="16" t="s">
        <v>205</v>
      </c>
      <c r="BC17" s="16">
        <f t="shared" si="21"/>
        <v>123</v>
      </c>
      <c r="BD17" s="16">
        <f t="shared" si="22"/>
        <v>285.59999999999997</v>
      </c>
      <c r="BE17" s="16">
        <f t="shared" si="23"/>
        <v>1.23</v>
      </c>
      <c r="BF17" s="16">
        <f t="shared" si="24"/>
        <v>3</v>
      </c>
      <c r="BG17" s="16">
        <f t="shared" si="25"/>
        <v>2.706</v>
      </c>
      <c r="BH17" s="84">
        <f t="shared" si="26"/>
        <v>5.2059999999999995</v>
      </c>
      <c r="BI17" s="16">
        <v>10</v>
      </c>
      <c r="BK17" s="16" t="s">
        <v>205</v>
      </c>
      <c r="BL17" s="16">
        <f t="shared" si="27"/>
        <v>1.23</v>
      </c>
      <c r="BM17" s="16">
        <f t="shared" si="28"/>
        <v>4.08</v>
      </c>
      <c r="BN17" s="7">
        <f t="shared" si="29"/>
        <v>5.0183999999999997</v>
      </c>
      <c r="BO17" s="23"/>
    </row>
    <row r="18" spans="1:67" ht="15.75">
      <c r="A18" s="25" t="s">
        <v>196</v>
      </c>
      <c r="B18" s="80">
        <v>412</v>
      </c>
      <c r="C18" s="25">
        <v>14</v>
      </c>
      <c r="D18" s="25">
        <v>14</v>
      </c>
      <c r="E18" s="16">
        <f t="shared" ref="E18:F18" si="72">C18/2</f>
        <v>7</v>
      </c>
      <c r="F18" s="16">
        <f t="shared" si="72"/>
        <v>7</v>
      </c>
      <c r="G18" s="75">
        <f t="shared" si="33"/>
        <v>426</v>
      </c>
      <c r="H18" s="80">
        <v>564</v>
      </c>
      <c r="I18" s="25">
        <v>14</v>
      </c>
      <c r="J18" s="25">
        <v>14</v>
      </c>
      <c r="K18" s="16">
        <f t="shared" ref="K18:L18" si="73">I18/2</f>
        <v>7</v>
      </c>
      <c r="L18" s="16">
        <f t="shared" si="73"/>
        <v>7</v>
      </c>
      <c r="M18" s="75">
        <f t="shared" si="35"/>
        <v>578</v>
      </c>
      <c r="N18" s="81">
        <f t="shared" si="36"/>
        <v>1.3568075117370892</v>
      </c>
      <c r="O18" s="16">
        <f t="shared" si="37"/>
        <v>2</v>
      </c>
      <c r="P18" s="82"/>
      <c r="Q18" s="82"/>
      <c r="R18" s="82"/>
      <c r="S18" s="82"/>
      <c r="T18" s="82"/>
      <c r="U18" s="85"/>
      <c r="V18" s="16" t="s">
        <v>206</v>
      </c>
      <c r="W18" s="75">
        <f t="shared" si="1"/>
        <v>352</v>
      </c>
      <c r="X18" s="75">
        <f t="shared" si="2"/>
        <v>291.89999999999998</v>
      </c>
      <c r="Y18" s="16">
        <f t="shared" si="3"/>
        <v>2.9189999999999996</v>
      </c>
      <c r="Z18" s="25">
        <v>2</v>
      </c>
      <c r="AA18" s="16">
        <f t="shared" si="4"/>
        <v>6.7136999999999984</v>
      </c>
      <c r="AB18" s="84">
        <f t="shared" si="5"/>
        <v>9.2136999999999993</v>
      </c>
      <c r="AC18" s="16">
        <v>10</v>
      </c>
      <c r="AE18" s="16" t="s">
        <v>206</v>
      </c>
      <c r="AF18" s="25">
        <v>2</v>
      </c>
      <c r="AG18" s="16">
        <f t="shared" si="6"/>
        <v>6.7136999999999984</v>
      </c>
      <c r="AH18" s="16">
        <f t="shared" si="7"/>
        <v>9.2136999999999993</v>
      </c>
      <c r="AI18" s="16">
        <v>10</v>
      </c>
      <c r="AK18" s="16" t="s">
        <v>206</v>
      </c>
      <c r="AL18" s="16">
        <f t="shared" si="8"/>
        <v>0.03</v>
      </c>
      <c r="AM18" s="76">
        <f t="shared" si="9"/>
        <v>338</v>
      </c>
      <c r="AN18" s="16">
        <f t="shared" ref="AN18:AO18" si="74">C20/100</f>
        <v>0.14000000000000001</v>
      </c>
      <c r="AO18" s="16">
        <f t="shared" si="74"/>
        <v>0.14000000000000001</v>
      </c>
      <c r="AP18" s="16">
        <f t="shared" si="11"/>
        <v>0.03</v>
      </c>
      <c r="AQ18" s="16">
        <f t="shared" si="12"/>
        <v>0.03</v>
      </c>
      <c r="AR18" s="16">
        <f t="shared" si="13"/>
        <v>3.4399999999999995</v>
      </c>
      <c r="AS18" s="76">
        <f t="shared" si="14"/>
        <v>403</v>
      </c>
      <c r="AT18" s="16">
        <f t="shared" ref="AT18:AU18" si="75">I20/100</f>
        <v>0.14000000000000001</v>
      </c>
      <c r="AU18" s="16">
        <f t="shared" si="75"/>
        <v>0.14000000000000001</v>
      </c>
      <c r="AV18" s="16">
        <f t="shared" si="16"/>
        <v>0.03</v>
      </c>
      <c r="AW18" s="16">
        <f t="shared" si="17"/>
        <v>0.03</v>
      </c>
      <c r="AX18" s="16">
        <f t="shared" si="18"/>
        <v>4.0900000000000007</v>
      </c>
      <c r="AY18" s="78">
        <f t="shared" si="19"/>
        <v>1.1889534883720934</v>
      </c>
      <c r="AZ18" s="16">
        <f t="shared" si="20"/>
        <v>2</v>
      </c>
      <c r="BB18" s="16" t="s">
        <v>206</v>
      </c>
      <c r="BC18" s="16">
        <f t="shared" si="21"/>
        <v>343.99999999999994</v>
      </c>
      <c r="BD18" s="16">
        <f t="shared" si="22"/>
        <v>286.30000000000007</v>
      </c>
      <c r="BE18" s="16">
        <f t="shared" si="23"/>
        <v>2.8630000000000009</v>
      </c>
      <c r="BF18" s="16">
        <f t="shared" si="24"/>
        <v>2</v>
      </c>
      <c r="BG18" s="16">
        <f t="shared" si="25"/>
        <v>6.5849000000000011</v>
      </c>
      <c r="BH18" s="84">
        <f t="shared" si="26"/>
        <v>9.0849000000000011</v>
      </c>
      <c r="BI18" s="16">
        <v>10</v>
      </c>
      <c r="BK18" s="16" t="s">
        <v>206</v>
      </c>
      <c r="BL18" s="16">
        <f t="shared" si="27"/>
        <v>3.4399999999999995</v>
      </c>
      <c r="BM18" s="16">
        <f t="shared" si="28"/>
        <v>4.0900000000000007</v>
      </c>
      <c r="BN18" s="7">
        <f t="shared" si="29"/>
        <v>14.069600000000001</v>
      </c>
      <c r="BO18" s="23"/>
    </row>
    <row r="19" spans="1:67" ht="15.75">
      <c r="A19" s="25" t="s">
        <v>205</v>
      </c>
      <c r="B19" s="80">
        <v>117</v>
      </c>
      <c r="C19" s="25">
        <v>14</v>
      </c>
      <c r="D19" s="25">
        <v>14</v>
      </c>
      <c r="E19" s="16">
        <f t="shared" ref="E19:F19" si="76">C19/2</f>
        <v>7</v>
      </c>
      <c r="F19" s="16">
        <f t="shared" si="76"/>
        <v>7</v>
      </c>
      <c r="G19" s="75">
        <f t="shared" si="33"/>
        <v>131</v>
      </c>
      <c r="H19" s="80">
        <v>402</v>
      </c>
      <c r="I19" s="25">
        <v>14</v>
      </c>
      <c r="J19" s="25">
        <v>14</v>
      </c>
      <c r="K19" s="16">
        <f t="shared" ref="K19:L19" si="77">I19/2</f>
        <v>7</v>
      </c>
      <c r="L19" s="16">
        <f t="shared" si="77"/>
        <v>7</v>
      </c>
      <c r="M19" s="75">
        <f t="shared" si="35"/>
        <v>416</v>
      </c>
      <c r="N19" s="81">
        <f t="shared" si="36"/>
        <v>3.1755725190839694</v>
      </c>
      <c r="O19" s="16">
        <f t="shared" si="37"/>
        <v>1</v>
      </c>
      <c r="P19" s="82"/>
      <c r="Q19" s="82"/>
      <c r="R19" s="82"/>
      <c r="S19" s="82"/>
      <c r="T19" s="82"/>
      <c r="U19" s="85"/>
      <c r="V19" s="275" t="s">
        <v>207</v>
      </c>
      <c r="W19" s="251"/>
      <c r="X19" s="251"/>
      <c r="Y19" s="251"/>
      <c r="Z19" s="251"/>
      <c r="AA19" s="251"/>
      <c r="AB19" s="251"/>
      <c r="AC19" s="249"/>
      <c r="AK19" s="278" t="s">
        <v>208</v>
      </c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49"/>
      <c r="BL19" s="23"/>
      <c r="BM19" s="23"/>
      <c r="BO19" s="23"/>
    </row>
    <row r="20" spans="1:67" ht="15.75">
      <c r="A20" s="25" t="s">
        <v>206</v>
      </c>
      <c r="B20" s="80">
        <v>338</v>
      </c>
      <c r="C20" s="25">
        <v>14</v>
      </c>
      <c r="D20" s="25">
        <v>14</v>
      </c>
      <c r="E20" s="16">
        <f t="shared" ref="E20:F20" si="78">C20/2</f>
        <v>7</v>
      </c>
      <c r="F20" s="16">
        <f t="shared" si="78"/>
        <v>7</v>
      </c>
      <c r="G20" s="75">
        <f t="shared" si="33"/>
        <v>352</v>
      </c>
      <c r="H20" s="80">
        <v>403</v>
      </c>
      <c r="I20" s="25">
        <v>14</v>
      </c>
      <c r="J20" s="25">
        <v>14</v>
      </c>
      <c r="K20" s="16">
        <f t="shared" ref="K20:L20" si="79">I20/2</f>
        <v>7</v>
      </c>
      <c r="L20" s="16">
        <f t="shared" si="79"/>
        <v>7</v>
      </c>
      <c r="M20" s="75">
        <f t="shared" si="35"/>
        <v>417</v>
      </c>
      <c r="N20" s="81">
        <f t="shared" si="36"/>
        <v>1.1846590909090908</v>
      </c>
      <c r="O20" s="16">
        <f t="shared" si="37"/>
        <v>2</v>
      </c>
      <c r="P20" s="82"/>
      <c r="Q20" s="82"/>
      <c r="R20" s="82"/>
      <c r="S20" s="82"/>
      <c r="T20" s="82"/>
      <c r="U20" s="85"/>
      <c r="V20" s="275" t="s">
        <v>209</v>
      </c>
      <c r="W20" s="251"/>
      <c r="X20" s="251"/>
      <c r="Y20" s="251"/>
      <c r="Z20" s="251"/>
      <c r="AA20" s="251"/>
      <c r="AB20" s="251"/>
      <c r="AC20" s="249"/>
      <c r="AE20" s="279" t="s">
        <v>210</v>
      </c>
      <c r="AF20" s="259"/>
      <c r="AG20" s="259"/>
      <c r="AH20" s="259"/>
      <c r="AI20" s="259"/>
      <c r="BL20" s="23"/>
      <c r="BM20" s="23"/>
      <c r="BO20" s="23"/>
    </row>
    <row r="21" spans="1:67" ht="15.75" hidden="1" customHeight="1">
      <c r="H21" s="87"/>
      <c r="P21" s="82"/>
      <c r="Q21" s="82"/>
      <c r="R21" s="82"/>
      <c r="S21" s="82"/>
      <c r="T21" s="82"/>
      <c r="U21" s="23"/>
      <c r="V21" s="275" t="s">
        <v>209</v>
      </c>
      <c r="W21" s="251"/>
      <c r="X21" s="251"/>
      <c r="Y21" s="251"/>
      <c r="Z21" s="251"/>
      <c r="AA21" s="251"/>
      <c r="AB21" s="251"/>
      <c r="AC21" s="249"/>
      <c r="AE21" s="259"/>
      <c r="AF21" s="259"/>
      <c r="AG21" s="259"/>
      <c r="AH21" s="259"/>
      <c r="AI21" s="259"/>
      <c r="BL21" s="23"/>
      <c r="BM21" s="23"/>
      <c r="BO21" s="23"/>
    </row>
    <row r="22" spans="1:67" ht="15.75" hidden="1" customHeight="1">
      <c r="P22" s="82"/>
      <c r="Q22" s="83"/>
      <c r="R22" s="82"/>
      <c r="S22" s="82"/>
      <c r="T22" s="82"/>
      <c r="U22" s="23"/>
      <c r="V22" s="275" t="s">
        <v>209</v>
      </c>
      <c r="W22" s="251"/>
      <c r="X22" s="251"/>
      <c r="Y22" s="251"/>
      <c r="Z22" s="251"/>
      <c r="AA22" s="251"/>
      <c r="AB22" s="251"/>
      <c r="AC22" s="249"/>
      <c r="AE22" s="259"/>
      <c r="AF22" s="259"/>
      <c r="AG22" s="259"/>
      <c r="AH22" s="259"/>
      <c r="AI22" s="259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BL22" s="23"/>
      <c r="BM22" s="23"/>
      <c r="BO22" s="23"/>
    </row>
    <row r="23" spans="1:67" ht="15.75" hidden="1" customHeight="1">
      <c r="P23" s="82"/>
      <c r="Q23" s="83"/>
      <c r="R23" s="82"/>
      <c r="S23" s="82"/>
      <c r="T23" s="82"/>
      <c r="U23" s="23"/>
      <c r="V23" s="275" t="s">
        <v>209</v>
      </c>
      <c r="W23" s="251"/>
      <c r="X23" s="251"/>
      <c r="Y23" s="251"/>
      <c r="Z23" s="251"/>
      <c r="AA23" s="251"/>
      <c r="AB23" s="251"/>
      <c r="AC23" s="249"/>
      <c r="AE23" s="259"/>
      <c r="AF23" s="259"/>
      <c r="AG23" s="259"/>
      <c r="AH23" s="259"/>
      <c r="AI23" s="259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BL23" s="23"/>
      <c r="BM23" s="23"/>
      <c r="BO23" s="23"/>
    </row>
    <row r="24" spans="1:67" ht="15.75" hidden="1" customHeight="1">
      <c r="P24" s="82"/>
      <c r="Q24" s="83"/>
      <c r="R24" s="82"/>
      <c r="S24" s="82"/>
      <c r="T24" s="82"/>
      <c r="U24" s="23"/>
      <c r="V24" s="275" t="s">
        <v>209</v>
      </c>
      <c r="W24" s="251"/>
      <c r="X24" s="251"/>
      <c r="Y24" s="251"/>
      <c r="Z24" s="251"/>
      <c r="AA24" s="251"/>
      <c r="AB24" s="251"/>
      <c r="AC24" s="249"/>
      <c r="AE24" s="259"/>
      <c r="AF24" s="259"/>
      <c r="AG24" s="259"/>
      <c r="AH24" s="259"/>
      <c r="AI24" s="259"/>
      <c r="BL24" s="23"/>
      <c r="BM24" s="23"/>
      <c r="BO24" s="23"/>
    </row>
    <row r="25" spans="1:67" ht="15.75" hidden="1" customHeight="1">
      <c r="P25" s="82"/>
      <c r="Q25" s="83"/>
      <c r="R25" s="82"/>
      <c r="S25" s="82"/>
      <c r="T25" s="82"/>
      <c r="U25" s="23"/>
      <c r="V25" s="275" t="s">
        <v>209</v>
      </c>
      <c r="W25" s="251"/>
      <c r="X25" s="251"/>
      <c r="Y25" s="251"/>
      <c r="Z25" s="251"/>
      <c r="AA25" s="251"/>
      <c r="AB25" s="251"/>
      <c r="AC25" s="249"/>
      <c r="AE25" s="259"/>
      <c r="AF25" s="259"/>
      <c r="AG25" s="259"/>
      <c r="AH25" s="259"/>
      <c r="AI25" s="259"/>
      <c r="BL25" s="23"/>
      <c r="BM25" s="23"/>
      <c r="BO25" s="23"/>
    </row>
    <row r="26" spans="1:67" ht="15.75" customHeight="1">
      <c r="P26" s="82"/>
      <c r="Q26" s="83"/>
      <c r="R26" s="82"/>
      <c r="S26" s="82"/>
      <c r="T26" s="82"/>
      <c r="U26" s="23"/>
      <c r="AE26" s="259"/>
      <c r="AF26" s="259"/>
      <c r="AG26" s="259"/>
      <c r="AH26" s="259"/>
      <c r="AI26" s="259"/>
      <c r="BL26" s="23"/>
      <c r="BM26" s="23"/>
      <c r="BO26" s="23"/>
    </row>
    <row r="27" spans="1:67" ht="15.75" customHeight="1">
      <c r="P27" s="82"/>
      <c r="Q27" s="83"/>
      <c r="R27" s="82"/>
      <c r="S27" s="82"/>
      <c r="T27" s="82"/>
      <c r="U27" s="23"/>
      <c r="BL27" s="23"/>
      <c r="BM27" s="23"/>
      <c r="BO27" s="23"/>
    </row>
    <row r="28" spans="1:67" ht="15.75" customHeight="1">
      <c r="P28" s="82"/>
      <c r="Q28" s="82"/>
      <c r="R28" s="82"/>
      <c r="S28" s="82"/>
      <c r="T28" s="82"/>
      <c r="U28" s="23"/>
      <c r="V28" s="88"/>
      <c r="Z28" s="82"/>
      <c r="AA28" s="82"/>
      <c r="AB28" s="82"/>
      <c r="AC28" s="82"/>
      <c r="BL28" s="23"/>
      <c r="BM28" s="23"/>
      <c r="BO28" s="23"/>
    </row>
    <row r="29" spans="1:67" ht="15.75" customHeight="1">
      <c r="P29" s="82"/>
      <c r="Q29" s="82"/>
      <c r="R29" s="82"/>
      <c r="S29" s="82"/>
      <c r="T29" s="82"/>
      <c r="U29" s="23"/>
      <c r="Z29" s="82"/>
      <c r="AA29" s="82"/>
      <c r="AB29" s="82"/>
      <c r="AC29" s="82"/>
      <c r="BL29" s="23"/>
      <c r="BM29" s="23"/>
      <c r="BO29" s="23"/>
    </row>
    <row r="30" spans="1:67" ht="15.75" customHeight="1">
      <c r="P30" s="82"/>
      <c r="U30" s="23"/>
      <c r="Z30" s="82"/>
      <c r="AA30" s="82"/>
      <c r="AB30" s="82"/>
      <c r="AC30" s="82"/>
      <c r="BL30" s="23"/>
      <c r="BM30" s="23"/>
      <c r="BO30" s="23"/>
    </row>
    <row r="31" spans="1:67" ht="15.75" customHeight="1">
      <c r="P31" s="82"/>
      <c r="U31" s="23"/>
      <c r="Z31" s="82"/>
      <c r="AA31" s="82"/>
      <c r="AB31" s="82"/>
      <c r="AC31" s="82"/>
      <c r="BL31" s="23"/>
      <c r="BM31" s="23"/>
    </row>
    <row r="32" spans="1:67" ht="15" customHeight="1">
      <c r="P32" s="82"/>
      <c r="U32" s="23"/>
      <c r="AD32" s="89"/>
      <c r="BL32" s="23"/>
      <c r="BM32" s="23"/>
    </row>
    <row r="33" spans="19:65" ht="15.75" customHeight="1">
      <c r="AJ33" s="82"/>
      <c r="BL33" s="23"/>
      <c r="BM33" s="23"/>
    </row>
    <row r="34" spans="19:65" ht="15.75" customHeight="1">
      <c r="AJ34" s="82"/>
      <c r="BL34" s="23"/>
      <c r="BM34" s="23"/>
    </row>
    <row r="35" spans="19:65" ht="15.75" customHeight="1">
      <c r="AJ35" s="82"/>
      <c r="BL35" s="23"/>
      <c r="BM35" s="23"/>
    </row>
    <row r="36" spans="19:65" ht="15.75" customHeight="1">
      <c r="AJ36" s="82"/>
      <c r="BL36" s="23"/>
      <c r="BM36" s="23"/>
    </row>
    <row r="37" spans="19:65" ht="15.75" customHeight="1">
      <c r="S37" s="90"/>
      <c r="AJ37" s="82"/>
      <c r="BL37" s="23"/>
      <c r="BM37" s="23"/>
    </row>
    <row r="38" spans="19:65" ht="15.75" customHeight="1">
      <c r="S38" s="90"/>
      <c r="AJ38" s="82"/>
      <c r="BL38" s="23"/>
      <c r="BM38" s="23"/>
    </row>
    <row r="39" spans="19:65" ht="15.75" customHeight="1">
      <c r="AJ39" s="82"/>
      <c r="BL39" s="23"/>
      <c r="BM39" s="23"/>
    </row>
    <row r="40" spans="19:65" ht="15.75" customHeight="1">
      <c r="U40" s="90"/>
      <c r="AD40" s="82"/>
      <c r="BL40" s="23"/>
      <c r="BM40" s="23"/>
    </row>
    <row r="41" spans="19:65" ht="15.75" customHeight="1">
      <c r="AD41" s="82"/>
      <c r="BL41" s="23"/>
      <c r="BM41" s="23"/>
    </row>
    <row r="42" spans="19:65" ht="15.75" customHeight="1">
      <c r="AD42" s="82"/>
      <c r="BL42" s="23"/>
      <c r="BM42" s="23"/>
    </row>
    <row r="43" spans="19:65" ht="15.75" customHeight="1">
      <c r="AD43" s="82"/>
      <c r="BL43" s="23"/>
      <c r="BM43" s="23"/>
    </row>
    <row r="44" spans="19:65" ht="15.75" customHeight="1">
      <c r="BL44" s="23"/>
      <c r="BM44" s="23"/>
    </row>
    <row r="45" spans="19:65" ht="15.75" customHeight="1">
      <c r="BL45" s="23"/>
      <c r="BM45" s="23"/>
    </row>
    <row r="46" spans="19:65" ht="15.75" customHeight="1">
      <c r="BL46" s="23"/>
      <c r="BM46" s="23"/>
    </row>
    <row r="47" spans="19:65" ht="15.75" customHeight="1">
      <c r="BL47" s="23"/>
      <c r="BM47" s="23"/>
    </row>
    <row r="48" spans="19:65" ht="15.75" customHeight="1">
      <c r="BL48" s="23"/>
      <c r="BM48" s="23"/>
    </row>
    <row r="49" spans="64:65" ht="15.75" customHeight="1">
      <c r="BL49" s="23"/>
      <c r="BM49" s="23"/>
    </row>
    <row r="50" spans="64:65" ht="15.75" customHeight="1">
      <c r="BL50" s="23"/>
      <c r="BM50" s="23"/>
    </row>
    <row r="51" spans="64:65" ht="15.75" customHeight="1">
      <c r="BL51" s="23"/>
      <c r="BM51" s="23"/>
    </row>
    <row r="52" spans="64:65" ht="15.75" customHeight="1">
      <c r="BL52" s="23"/>
      <c r="BM52" s="23"/>
    </row>
    <row r="53" spans="64:65" ht="15.75" customHeight="1">
      <c r="BL53" s="23"/>
      <c r="BM53" s="23"/>
    </row>
    <row r="54" spans="64:65" ht="15.75" customHeight="1">
      <c r="BL54" s="23"/>
      <c r="BM54" s="23"/>
    </row>
    <row r="55" spans="64:65" ht="15.75" customHeight="1">
      <c r="BL55" s="23"/>
      <c r="BM55" s="23"/>
    </row>
    <row r="56" spans="64:65" ht="15.75" customHeight="1">
      <c r="BL56" s="23"/>
      <c r="BM56" s="23"/>
    </row>
    <row r="57" spans="64:65" ht="15.75" customHeight="1">
      <c r="BL57" s="23"/>
      <c r="BM57" s="23"/>
    </row>
    <row r="58" spans="64:65" ht="15.75" customHeight="1">
      <c r="BL58" s="23"/>
      <c r="BM58" s="23"/>
    </row>
    <row r="59" spans="64:65" ht="15.75" customHeight="1">
      <c r="BL59" s="23"/>
      <c r="BM59" s="23"/>
    </row>
    <row r="60" spans="64:65" ht="15.75" customHeight="1">
      <c r="BL60" s="23"/>
      <c r="BM60" s="23"/>
    </row>
    <row r="61" spans="64:65" ht="15.75" customHeight="1">
      <c r="BL61" s="23"/>
      <c r="BM61" s="23"/>
    </row>
    <row r="62" spans="64:65" ht="15.75" customHeight="1">
      <c r="BL62" s="23"/>
      <c r="BM62" s="23"/>
    </row>
    <row r="63" spans="64:65" ht="15.75" customHeight="1">
      <c r="BL63" s="23"/>
      <c r="BM63" s="23"/>
    </row>
    <row r="64" spans="64:65" ht="15.75" customHeight="1">
      <c r="BL64" s="23"/>
      <c r="BM64" s="23"/>
    </row>
    <row r="65" spans="64:65" ht="15.75" customHeight="1">
      <c r="BL65" s="23"/>
      <c r="BM65" s="23"/>
    </row>
    <row r="66" spans="64:65" ht="15.75" customHeight="1">
      <c r="BL66" s="23"/>
      <c r="BM66" s="23"/>
    </row>
    <row r="67" spans="64:65" ht="15.75" customHeight="1">
      <c r="BL67" s="23"/>
      <c r="BM67" s="23"/>
    </row>
    <row r="68" spans="64:65" ht="15.75" customHeight="1">
      <c r="BL68" s="23"/>
      <c r="BM68" s="23"/>
    </row>
    <row r="69" spans="64:65" ht="15.75" customHeight="1">
      <c r="BL69" s="23"/>
      <c r="BM69" s="23"/>
    </row>
    <row r="70" spans="64:65" ht="15.75" customHeight="1">
      <c r="BL70" s="23"/>
      <c r="BM70" s="23"/>
    </row>
    <row r="71" spans="64:65" ht="15.75" customHeight="1">
      <c r="BL71" s="23"/>
      <c r="BM71" s="23"/>
    </row>
    <row r="72" spans="64:65" ht="15.75" customHeight="1">
      <c r="BL72" s="23"/>
      <c r="BM72" s="23"/>
    </row>
    <row r="73" spans="64:65" ht="15.75" customHeight="1">
      <c r="BL73" s="23"/>
      <c r="BM73" s="23"/>
    </row>
    <row r="74" spans="64:65" ht="15.75" customHeight="1">
      <c r="BL74" s="23"/>
      <c r="BM74" s="23"/>
    </row>
    <row r="75" spans="64:65" ht="15.75" customHeight="1">
      <c r="BL75" s="23"/>
      <c r="BM75" s="23"/>
    </row>
    <row r="76" spans="64:65" ht="15.75" customHeight="1">
      <c r="BL76" s="23"/>
      <c r="BM76" s="23"/>
    </row>
    <row r="77" spans="64:65" ht="15.75" customHeight="1">
      <c r="BL77" s="23"/>
      <c r="BM77" s="23"/>
    </row>
    <row r="78" spans="64:65" ht="15.75" customHeight="1">
      <c r="BL78" s="23"/>
      <c r="BM78" s="23"/>
    </row>
    <row r="79" spans="64:65" ht="15.75" customHeight="1">
      <c r="BL79" s="23"/>
      <c r="BM79" s="23"/>
    </row>
    <row r="80" spans="64:65" ht="15.75" customHeight="1">
      <c r="BL80" s="23"/>
      <c r="BM80" s="23"/>
    </row>
    <row r="81" spans="64:65" ht="15.75" customHeight="1">
      <c r="BL81" s="23"/>
      <c r="BM81" s="23"/>
    </row>
    <row r="82" spans="64:65" ht="15.75" customHeight="1">
      <c r="BL82" s="23"/>
      <c r="BM82" s="23"/>
    </row>
    <row r="83" spans="64:65" ht="15.75" customHeight="1">
      <c r="BL83" s="23"/>
      <c r="BM83" s="23"/>
    </row>
    <row r="84" spans="64:65" ht="15.75" customHeight="1">
      <c r="BL84" s="23"/>
      <c r="BM84" s="23"/>
    </row>
    <row r="85" spans="64:65" ht="15.75" customHeight="1">
      <c r="BL85" s="23"/>
      <c r="BM85" s="23"/>
    </row>
    <row r="86" spans="64:65" ht="15.75" customHeight="1">
      <c r="BL86" s="23"/>
      <c r="BM86" s="23"/>
    </row>
    <row r="87" spans="64:65" ht="15.75" customHeight="1">
      <c r="BL87" s="23"/>
      <c r="BM87" s="23"/>
    </row>
    <row r="88" spans="64:65" ht="15.75" customHeight="1">
      <c r="BL88" s="23"/>
      <c r="BM88" s="23"/>
    </row>
    <row r="89" spans="64:65" ht="15.75" customHeight="1">
      <c r="BL89" s="23"/>
      <c r="BM89" s="23"/>
    </row>
    <row r="90" spans="64:65" ht="15.75" customHeight="1">
      <c r="BL90" s="23"/>
      <c r="BM90" s="23"/>
    </row>
    <row r="91" spans="64:65" ht="15.75" customHeight="1">
      <c r="BL91" s="23"/>
      <c r="BM91" s="23"/>
    </row>
    <row r="92" spans="64:65" ht="15.75" customHeight="1">
      <c r="BL92" s="23"/>
      <c r="BM92" s="23"/>
    </row>
    <row r="93" spans="64:65" ht="15.75" customHeight="1">
      <c r="BL93" s="23"/>
      <c r="BM93" s="23"/>
    </row>
    <row r="94" spans="64:65" ht="15.75" customHeight="1">
      <c r="BL94" s="23"/>
      <c r="BM94" s="23"/>
    </row>
    <row r="95" spans="64:65" ht="15.75" customHeight="1">
      <c r="BL95" s="23"/>
      <c r="BM95" s="23"/>
    </row>
    <row r="96" spans="64:65" ht="15.75" customHeight="1">
      <c r="BL96" s="23"/>
      <c r="BM96" s="23"/>
    </row>
    <row r="97" spans="64:65" ht="15.75" customHeight="1">
      <c r="BL97" s="23"/>
      <c r="BM97" s="23"/>
    </row>
    <row r="98" spans="64:65" ht="15.75" customHeight="1">
      <c r="BL98" s="23"/>
      <c r="BM98" s="23"/>
    </row>
    <row r="99" spans="64:65" ht="15.75" customHeight="1">
      <c r="BL99" s="23"/>
      <c r="BM99" s="23"/>
    </row>
    <row r="100" spans="64:65" ht="15.75" customHeight="1">
      <c r="BL100" s="23"/>
      <c r="BM100" s="23"/>
    </row>
    <row r="101" spans="64:65" ht="15.75" customHeight="1">
      <c r="BL101" s="23"/>
      <c r="BM101" s="23"/>
    </row>
    <row r="102" spans="64:65" ht="15.75" customHeight="1">
      <c r="BL102" s="23"/>
      <c r="BM102" s="23"/>
    </row>
    <row r="103" spans="64:65" ht="15.75" customHeight="1">
      <c r="BL103" s="23"/>
      <c r="BM103" s="23"/>
    </row>
    <row r="104" spans="64:65" ht="15.75" customHeight="1">
      <c r="BL104" s="23"/>
      <c r="BM104" s="23"/>
    </row>
    <row r="105" spans="64:65" ht="15.75" customHeight="1">
      <c r="BL105" s="23"/>
      <c r="BM105" s="23"/>
    </row>
    <row r="106" spans="64:65" ht="15.75" customHeight="1">
      <c r="BL106" s="23"/>
      <c r="BM106" s="23"/>
    </row>
    <row r="107" spans="64:65" ht="15.75" customHeight="1">
      <c r="BL107" s="23"/>
      <c r="BM107" s="23"/>
    </row>
    <row r="108" spans="64:65" ht="15.75" customHeight="1">
      <c r="BL108" s="23"/>
      <c r="BM108" s="23"/>
    </row>
    <row r="109" spans="64:65" ht="15.75" customHeight="1">
      <c r="BL109" s="23"/>
      <c r="BM109" s="23"/>
    </row>
    <row r="110" spans="64:65" ht="15.75" customHeight="1">
      <c r="BL110" s="23"/>
      <c r="BM110" s="23"/>
    </row>
    <row r="111" spans="64:65" ht="15.75" customHeight="1">
      <c r="BL111" s="23"/>
      <c r="BM111" s="23"/>
    </row>
    <row r="112" spans="64:65" ht="15.75" customHeight="1">
      <c r="BL112" s="23"/>
      <c r="BM112" s="23"/>
    </row>
    <row r="113" spans="64:65" ht="15.75" customHeight="1">
      <c r="BL113" s="23"/>
      <c r="BM113" s="23"/>
    </row>
    <row r="114" spans="64:65" ht="15.75" customHeight="1">
      <c r="BL114" s="23"/>
      <c r="BM114" s="23"/>
    </row>
    <row r="115" spans="64:65" ht="15.75" customHeight="1">
      <c r="BL115" s="23"/>
      <c r="BM115" s="23"/>
    </row>
    <row r="116" spans="64:65" ht="15.75" customHeight="1">
      <c r="BL116" s="23"/>
      <c r="BM116" s="23"/>
    </row>
    <row r="117" spans="64:65" ht="15.75" customHeight="1">
      <c r="BL117" s="23"/>
      <c r="BM117" s="23"/>
    </row>
    <row r="118" spans="64:65" ht="15.75" customHeight="1">
      <c r="BL118" s="23"/>
      <c r="BM118" s="23"/>
    </row>
    <row r="119" spans="64:65" ht="15.75" customHeight="1">
      <c r="BL119" s="23"/>
      <c r="BM119" s="23"/>
    </row>
    <row r="120" spans="64:65" ht="15.75" customHeight="1">
      <c r="BL120" s="23"/>
      <c r="BM120" s="23"/>
    </row>
    <row r="121" spans="64:65" ht="15.75" customHeight="1">
      <c r="BL121" s="23"/>
      <c r="BM121" s="23"/>
    </row>
    <row r="122" spans="64:65" ht="15.75" customHeight="1">
      <c r="BL122" s="23"/>
      <c r="BM122" s="23"/>
    </row>
    <row r="123" spans="64:65" ht="15.75" customHeight="1">
      <c r="BL123" s="23"/>
      <c r="BM123" s="23"/>
    </row>
    <row r="124" spans="64:65" ht="15.75" customHeight="1">
      <c r="BL124" s="23"/>
      <c r="BM124" s="23"/>
    </row>
    <row r="125" spans="64:65" ht="15.75" customHeight="1">
      <c r="BL125" s="23"/>
      <c r="BM125" s="23"/>
    </row>
    <row r="126" spans="64:65" ht="15.75" customHeight="1">
      <c r="BL126" s="23"/>
      <c r="BM126" s="23"/>
    </row>
    <row r="127" spans="64:65" ht="15.75" customHeight="1">
      <c r="BL127" s="23"/>
      <c r="BM127" s="23"/>
    </row>
    <row r="128" spans="64:65" ht="15.75" customHeight="1">
      <c r="BL128" s="23"/>
      <c r="BM128" s="23"/>
    </row>
    <row r="129" spans="64:65" ht="15.75" customHeight="1">
      <c r="BL129" s="23"/>
      <c r="BM129" s="23"/>
    </row>
    <row r="130" spans="64:65" ht="15.75" customHeight="1">
      <c r="BL130" s="23"/>
      <c r="BM130" s="23"/>
    </row>
    <row r="131" spans="64:65" ht="15.75" customHeight="1">
      <c r="BL131" s="23"/>
      <c r="BM131" s="23"/>
    </row>
    <row r="132" spans="64:65" ht="15.75" customHeight="1">
      <c r="BL132" s="23"/>
      <c r="BM132" s="23"/>
    </row>
    <row r="133" spans="64:65" ht="15.75" customHeight="1">
      <c r="BL133" s="23"/>
      <c r="BM133" s="23"/>
    </row>
    <row r="134" spans="64:65" ht="15.75" customHeight="1">
      <c r="BL134" s="23"/>
      <c r="BM134" s="23"/>
    </row>
    <row r="135" spans="64:65" ht="15.75" customHeight="1">
      <c r="BL135" s="23"/>
      <c r="BM135" s="23"/>
    </row>
    <row r="136" spans="64:65" ht="15.75" customHeight="1">
      <c r="BL136" s="23"/>
      <c r="BM136" s="23"/>
    </row>
    <row r="137" spans="64:65" ht="15.75" customHeight="1">
      <c r="BL137" s="23"/>
      <c r="BM137" s="23"/>
    </row>
    <row r="138" spans="64:65" ht="15.75" customHeight="1">
      <c r="BL138" s="23"/>
      <c r="BM138" s="23"/>
    </row>
    <row r="139" spans="64:65" ht="15.75" customHeight="1">
      <c r="BL139" s="23"/>
      <c r="BM139" s="23"/>
    </row>
    <row r="140" spans="64:65" ht="15.75" customHeight="1">
      <c r="BL140" s="23"/>
      <c r="BM140" s="23"/>
    </row>
    <row r="141" spans="64:65" ht="15.75" customHeight="1">
      <c r="BL141" s="23"/>
      <c r="BM141" s="23"/>
    </row>
    <row r="142" spans="64:65" ht="15.75" customHeight="1">
      <c r="BL142" s="23"/>
      <c r="BM142" s="23"/>
    </row>
    <row r="143" spans="64:65" ht="15.75" customHeight="1">
      <c r="BL143" s="23"/>
      <c r="BM143" s="23"/>
    </row>
    <row r="144" spans="64:65" ht="15.75" customHeight="1">
      <c r="BL144" s="23"/>
      <c r="BM144" s="23"/>
    </row>
    <row r="145" spans="64:65" ht="15.75" customHeight="1">
      <c r="BL145" s="23"/>
      <c r="BM145" s="23"/>
    </row>
    <row r="146" spans="64:65" ht="15.75" customHeight="1">
      <c r="BL146" s="23"/>
      <c r="BM146" s="23"/>
    </row>
    <row r="147" spans="64:65" ht="15.75" customHeight="1">
      <c r="BL147" s="23"/>
      <c r="BM147" s="23"/>
    </row>
    <row r="148" spans="64:65" ht="15.75" customHeight="1">
      <c r="BL148" s="23"/>
      <c r="BM148" s="23"/>
    </row>
    <row r="149" spans="64:65" ht="15.75" customHeight="1">
      <c r="BL149" s="23"/>
      <c r="BM149" s="23"/>
    </row>
    <row r="150" spans="64:65" ht="15.75" customHeight="1">
      <c r="BL150" s="23"/>
      <c r="BM150" s="23"/>
    </row>
    <row r="151" spans="64:65" ht="15.75" customHeight="1">
      <c r="BL151" s="23"/>
      <c r="BM151" s="23"/>
    </row>
    <row r="152" spans="64:65" ht="15.75" customHeight="1">
      <c r="BL152" s="23"/>
      <c r="BM152" s="23"/>
    </row>
    <row r="153" spans="64:65" ht="15.75" customHeight="1">
      <c r="BL153" s="23"/>
      <c r="BM153" s="23"/>
    </row>
    <row r="154" spans="64:65" ht="15.75" customHeight="1">
      <c r="BL154" s="23"/>
      <c r="BM154" s="23"/>
    </row>
    <row r="155" spans="64:65" ht="15.75" customHeight="1">
      <c r="BL155" s="23"/>
      <c r="BM155" s="23"/>
    </row>
    <row r="156" spans="64:65" ht="15.75" customHeight="1">
      <c r="BL156" s="23"/>
      <c r="BM156" s="23"/>
    </row>
    <row r="157" spans="64:65" ht="15.75" customHeight="1">
      <c r="BL157" s="23"/>
      <c r="BM157" s="23"/>
    </row>
    <row r="158" spans="64:65" ht="15.75" customHeight="1">
      <c r="BL158" s="23"/>
      <c r="BM158" s="23"/>
    </row>
    <row r="159" spans="64:65" ht="15.75" customHeight="1">
      <c r="BL159" s="23"/>
      <c r="BM159" s="23"/>
    </row>
    <row r="160" spans="64:65" ht="15.75" customHeight="1">
      <c r="BL160" s="23"/>
      <c r="BM160" s="23"/>
    </row>
    <row r="161" spans="64:65" ht="15.75" customHeight="1">
      <c r="BL161" s="23"/>
      <c r="BM161" s="23"/>
    </row>
    <row r="162" spans="64:65" ht="15.75" customHeight="1">
      <c r="BL162" s="23"/>
      <c r="BM162" s="23"/>
    </row>
    <row r="163" spans="64:65" ht="15.75" customHeight="1">
      <c r="BL163" s="23"/>
      <c r="BM163" s="23"/>
    </row>
    <row r="164" spans="64:65" ht="15.75" customHeight="1">
      <c r="BL164" s="23"/>
      <c r="BM164" s="23"/>
    </row>
    <row r="165" spans="64:65" ht="15.75" customHeight="1">
      <c r="BL165" s="23"/>
      <c r="BM165" s="23"/>
    </row>
    <row r="166" spans="64:65" ht="15.75" customHeight="1">
      <c r="BL166" s="23"/>
      <c r="BM166" s="23"/>
    </row>
    <row r="167" spans="64:65" ht="15.75" customHeight="1">
      <c r="BL167" s="23"/>
      <c r="BM167" s="23"/>
    </row>
    <row r="168" spans="64:65" ht="15.75" customHeight="1">
      <c r="BL168" s="23"/>
      <c r="BM168" s="23"/>
    </row>
    <row r="169" spans="64:65" ht="15.75" customHeight="1">
      <c r="BL169" s="23"/>
      <c r="BM169" s="23"/>
    </row>
    <row r="170" spans="64:65" ht="15.75" customHeight="1">
      <c r="BL170" s="23"/>
      <c r="BM170" s="23"/>
    </row>
    <row r="171" spans="64:65" ht="15.75" customHeight="1">
      <c r="BL171" s="23"/>
      <c r="BM171" s="23"/>
    </row>
    <row r="172" spans="64:65" ht="15.75" customHeight="1">
      <c r="BL172" s="23"/>
      <c r="BM172" s="23"/>
    </row>
    <row r="173" spans="64:65" ht="15.75" customHeight="1">
      <c r="BL173" s="23"/>
      <c r="BM173" s="23"/>
    </row>
    <row r="174" spans="64:65" ht="15.75" customHeight="1">
      <c r="BL174" s="23"/>
      <c r="BM174" s="23"/>
    </row>
    <row r="175" spans="64:65" ht="15.75" customHeight="1">
      <c r="BL175" s="23"/>
      <c r="BM175" s="23"/>
    </row>
    <row r="176" spans="64:65" ht="15.75" customHeight="1">
      <c r="BL176" s="23"/>
      <c r="BM176" s="23"/>
    </row>
    <row r="177" spans="64:65" ht="15.75" customHeight="1">
      <c r="BL177" s="23"/>
      <c r="BM177" s="23"/>
    </row>
    <row r="178" spans="64:65" ht="15.75" customHeight="1">
      <c r="BL178" s="23"/>
      <c r="BM178" s="23"/>
    </row>
    <row r="179" spans="64:65" ht="15.75" customHeight="1">
      <c r="BL179" s="23"/>
      <c r="BM179" s="23"/>
    </row>
    <row r="180" spans="64:65" ht="15.75" customHeight="1">
      <c r="BL180" s="23"/>
      <c r="BM180" s="23"/>
    </row>
    <row r="181" spans="64:65" ht="15.75" customHeight="1">
      <c r="BL181" s="23"/>
      <c r="BM181" s="23"/>
    </row>
    <row r="182" spans="64:65" ht="15.75" customHeight="1">
      <c r="BL182" s="23"/>
      <c r="BM182" s="23"/>
    </row>
    <row r="183" spans="64:65" ht="15.75" customHeight="1">
      <c r="BL183" s="23"/>
      <c r="BM183" s="23"/>
    </row>
    <row r="184" spans="64:65" ht="15.75" customHeight="1">
      <c r="BL184" s="23"/>
      <c r="BM184" s="23"/>
    </row>
    <row r="185" spans="64:65" ht="15.75" customHeight="1">
      <c r="BL185" s="23"/>
      <c r="BM185" s="23"/>
    </row>
    <row r="186" spans="64:65" ht="15.75" customHeight="1">
      <c r="BL186" s="23"/>
      <c r="BM186" s="23"/>
    </row>
    <row r="187" spans="64:65" ht="15.75" customHeight="1">
      <c r="BL187" s="23"/>
      <c r="BM187" s="23"/>
    </row>
    <row r="188" spans="64:65" ht="15.75" customHeight="1">
      <c r="BL188" s="23"/>
      <c r="BM188" s="23"/>
    </row>
    <row r="189" spans="64:65" ht="15.75" customHeight="1">
      <c r="BL189" s="23"/>
      <c r="BM189" s="23"/>
    </row>
    <row r="190" spans="64:65" ht="15.75" customHeight="1">
      <c r="BL190" s="23"/>
      <c r="BM190" s="23"/>
    </row>
    <row r="191" spans="64:65" ht="15.75" customHeight="1">
      <c r="BL191" s="23"/>
      <c r="BM191" s="23"/>
    </row>
    <row r="192" spans="64:65" ht="15.75" customHeight="1">
      <c r="BL192" s="23"/>
      <c r="BM192" s="23"/>
    </row>
    <row r="193" spans="64:65" ht="15.75" customHeight="1">
      <c r="BL193" s="23"/>
      <c r="BM193" s="23"/>
    </row>
    <row r="194" spans="64:65" ht="15.75" customHeight="1">
      <c r="BL194" s="23"/>
      <c r="BM194" s="23"/>
    </row>
    <row r="195" spans="64:65" ht="15.75" customHeight="1">
      <c r="BL195" s="23"/>
      <c r="BM195" s="23"/>
    </row>
    <row r="196" spans="64:65" ht="15.75" customHeight="1">
      <c r="BL196" s="23"/>
      <c r="BM196" s="23"/>
    </row>
    <row r="197" spans="64:65" ht="15.75" customHeight="1">
      <c r="BL197" s="23"/>
      <c r="BM197" s="23"/>
    </row>
    <row r="198" spans="64:65" ht="15.75" customHeight="1">
      <c r="BL198" s="23"/>
      <c r="BM198" s="23"/>
    </row>
    <row r="199" spans="64:65" ht="15.75" customHeight="1">
      <c r="BL199" s="23"/>
      <c r="BM199" s="23"/>
    </row>
    <row r="200" spans="64:65" ht="15.75" customHeight="1">
      <c r="BL200" s="23"/>
      <c r="BM200" s="23"/>
    </row>
    <row r="201" spans="64:65" ht="15.75" customHeight="1">
      <c r="BL201" s="23"/>
      <c r="BM201" s="23"/>
    </row>
    <row r="202" spans="64:65" ht="15.75" customHeight="1">
      <c r="BL202" s="23"/>
      <c r="BM202" s="23"/>
    </row>
    <row r="203" spans="64:65" ht="15.75" customHeight="1">
      <c r="BL203" s="23"/>
      <c r="BM203" s="23"/>
    </row>
    <row r="204" spans="64:65" ht="15.75" customHeight="1">
      <c r="BL204" s="23"/>
      <c r="BM204" s="23"/>
    </row>
    <row r="205" spans="64:65" ht="15.75" customHeight="1">
      <c r="BL205" s="23"/>
      <c r="BM205" s="23"/>
    </row>
    <row r="206" spans="64:65" ht="15.75" customHeight="1">
      <c r="BL206" s="23"/>
      <c r="BM206" s="23"/>
    </row>
    <row r="207" spans="64:65" ht="15.75" customHeight="1">
      <c r="BL207" s="23"/>
      <c r="BM207" s="23"/>
    </row>
    <row r="208" spans="64:65" ht="15.75" customHeight="1">
      <c r="BL208" s="23"/>
      <c r="BM208" s="23"/>
    </row>
    <row r="209" spans="64:65" ht="15.75" customHeight="1">
      <c r="BL209" s="23"/>
      <c r="BM209" s="23"/>
    </row>
    <row r="210" spans="64:65" ht="15.75" customHeight="1">
      <c r="BL210" s="23"/>
      <c r="BM210" s="23"/>
    </row>
    <row r="211" spans="64:65" ht="15.75" customHeight="1">
      <c r="BL211" s="23"/>
      <c r="BM211" s="23"/>
    </row>
    <row r="212" spans="64:65" ht="15.75" customHeight="1">
      <c r="BL212" s="23"/>
      <c r="BM212" s="23"/>
    </row>
    <row r="213" spans="64:65" ht="15.75" customHeight="1">
      <c r="BL213" s="23"/>
      <c r="BM213" s="23"/>
    </row>
    <row r="214" spans="64:65" ht="15.75" customHeight="1">
      <c r="BL214" s="23"/>
      <c r="BM214" s="23"/>
    </row>
    <row r="215" spans="64:65" ht="15.75" customHeight="1">
      <c r="BL215" s="23"/>
      <c r="BM215" s="23"/>
    </row>
    <row r="216" spans="64:65" ht="15.75" customHeight="1">
      <c r="BL216" s="23"/>
      <c r="BM216" s="23"/>
    </row>
    <row r="217" spans="64:65" ht="15.75" customHeight="1">
      <c r="BL217" s="23"/>
      <c r="BM217" s="23"/>
    </row>
    <row r="218" spans="64:65" ht="15.75" customHeight="1">
      <c r="BL218" s="23"/>
      <c r="BM218" s="23"/>
    </row>
    <row r="219" spans="64:65" ht="15.75" customHeight="1">
      <c r="BL219" s="23"/>
      <c r="BM219" s="23"/>
    </row>
    <row r="220" spans="64:65" ht="15.75" customHeight="1">
      <c r="BL220" s="23"/>
      <c r="BM220" s="23"/>
    </row>
    <row r="221" spans="64:65" ht="15.75" customHeight="1">
      <c r="BL221" s="23"/>
      <c r="BM221" s="23"/>
    </row>
    <row r="222" spans="64:65" ht="15.75" customHeight="1">
      <c r="BL222" s="23"/>
      <c r="BM222" s="23"/>
    </row>
    <row r="223" spans="64:65" ht="15.75" customHeight="1">
      <c r="BL223" s="23"/>
      <c r="BM223" s="23"/>
    </row>
    <row r="224" spans="64:65" ht="15.75" customHeight="1">
      <c r="BL224" s="23"/>
      <c r="BM224" s="23"/>
    </row>
    <row r="225" spans="64:65" ht="15.75" customHeight="1">
      <c r="BL225" s="23"/>
      <c r="BM225" s="23"/>
    </row>
    <row r="226" spans="64:65" ht="15.75" customHeight="1">
      <c r="BL226" s="23"/>
      <c r="BM226" s="23"/>
    </row>
    <row r="227" spans="64:65" ht="15.75" customHeight="1">
      <c r="BL227" s="23"/>
      <c r="BM227" s="23"/>
    </row>
    <row r="228" spans="64:65" ht="15.75" customHeight="1">
      <c r="BL228" s="23"/>
      <c r="BM228" s="23"/>
    </row>
    <row r="229" spans="64:65" ht="15.75" customHeight="1">
      <c r="BL229" s="23"/>
      <c r="BM229" s="23"/>
    </row>
    <row r="230" spans="64:65" ht="15.75" customHeight="1">
      <c r="BL230" s="23"/>
      <c r="BM230" s="23"/>
    </row>
    <row r="231" spans="64:65" ht="15.75" customHeight="1">
      <c r="BL231" s="23"/>
      <c r="BM231" s="23"/>
    </row>
    <row r="232" spans="64:65" ht="15.75" customHeight="1">
      <c r="BL232" s="23"/>
      <c r="BM232" s="23"/>
    </row>
    <row r="233" spans="64:65" ht="15.75" customHeight="1">
      <c r="BL233" s="23"/>
      <c r="BM233" s="23"/>
    </row>
    <row r="234" spans="64:65" ht="15.75" customHeight="1">
      <c r="BL234" s="23"/>
      <c r="BM234" s="23"/>
    </row>
    <row r="235" spans="64:65" ht="15.75" customHeight="1">
      <c r="BL235" s="23"/>
      <c r="BM235" s="23"/>
    </row>
    <row r="236" spans="64:65" ht="15.75" customHeight="1">
      <c r="BL236" s="23"/>
      <c r="BM236" s="23"/>
    </row>
    <row r="237" spans="64:65" ht="15.75" customHeight="1">
      <c r="BL237" s="23"/>
      <c r="BM237" s="23"/>
    </row>
    <row r="238" spans="64:65" ht="15.75" customHeight="1">
      <c r="BL238" s="23"/>
      <c r="BM238" s="23"/>
    </row>
    <row r="239" spans="64:65" ht="15.75" customHeight="1">
      <c r="BL239" s="23"/>
      <c r="BM239" s="23"/>
    </row>
    <row r="240" spans="64:65" ht="15.75" customHeight="1">
      <c r="BL240" s="23"/>
      <c r="BM240" s="23"/>
    </row>
    <row r="241" spans="64:65" ht="15.75" customHeight="1">
      <c r="BL241" s="23"/>
      <c r="BM241" s="23"/>
    </row>
    <row r="242" spans="64:65" ht="15.75" customHeight="1">
      <c r="BL242" s="23"/>
      <c r="BM242" s="23"/>
    </row>
    <row r="243" spans="64:65" ht="15.75" customHeight="1">
      <c r="BL243" s="23"/>
      <c r="BM243" s="23"/>
    </row>
    <row r="244" spans="64:65" ht="15.75" customHeight="1">
      <c r="BL244" s="23"/>
      <c r="BM244" s="23"/>
    </row>
    <row r="245" spans="64:65" ht="15.75" customHeight="1">
      <c r="BL245" s="23"/>
      <c r="BM245" s="23"/>
    </row>
    <row r="246" spans="64:65" ht="15.75" customHeight="1">
      <c r="BL246" s="23"/>
      <c r="BM246" s="23"/>
    </row>
    <row r="247" spans="64:65" ht="15.75" customHeight="1">
      <c r="BL247" s="23"/>
      <c r="BM247" s="23"/>
    </row>
    <row r="248" spans="64:65" ht="15.75" customHeight="1">
      <c r="BL248" s="23"/>
      <c r="BM248" s="23"/>
    </row>
    <row r="249" spans="64:65" ht="15.75" customHeight="1">
      <c r="BL249" s="23"/>
      <c r="BM249" s="23"/>
    </row>
    <row r="250" spans="64:65" ht="15.75" customHeight="1">
      <c r="BL250" s="23"/>
      <c r="BM250" s="23"/>
    </row>
    <row r="251" spans="64:65" ht="15.75" customHeight="1">
      <c r="BL251" s="23"/>
      <c r="BM251" s="23"/>
    </row>
    <row r="252" spans="64:65" ht="15.75" customHeight="1">
      <c r="BL252" s="23"/>
      <c r="BM252" s="23"/>
    </row>
    <row r="253" spans="64:65" ht="15.75" customHeight="1">
      <c r="BL253" s="23"/>
      <c r="BM253" s="23"/>
    </row>
    <row r="254" spans="64:65" ht="15.75" customHeight="1">
      <c r="BL254" s="23"/>
      <c r="BM254" s="23"/>
    </row>
    <row r="255" spans="64:65" ht="15.75" customHeight="1">
      <c r="BL255" s="23"/>
      <c r="BM255" s="23"/>
    </row>
    <row r="256" spans="64:65" ht="15.75" customHeight="1">
      <c r="BL256" s="23"/>
      <c r="BM256" s="23"/>
    </row>
    <row r="257" spans="64:65" ht="15.75" customHeight="1">
      <c r="BL257" s="23"/>
      <c r="BM257" s="23"/>
    </row>
    <row r="258" spans="64:65" ht="15.75" customHeight="1">
      <c r="BL258" s="23"/>
      <c r="BM258" s="23"/>
    </row>
    <row r="259" spans="64:65" ht="15.75" customHeight="1">
      <c r="BL259" s="23"/>
      <c r="BM259" s="23"/>
    </row>
    <row r="260" spans="64:65" ht="15.75" customHeight="1">
      <c r="BL260" s="23"/>
      <c r="BM260" s="23"/>
    </row>
    <row r="261" spans="64:65" ht="15.75" customHeight="1">
      <c r="BL261" s="23"/>
      <c r="BM261" s="23"/>
    </row>
    <row r="262" spans="64:65" ht="15.75" customHeight="1">
      <c r="BL262" s="23"/>
      <c r="BM262" s="23"/>
    </row>
    <row r="263" spans="64:65" ht="15.75" customHeight="1">
      <c r="BL263" s="23"/>
      <c r="BM263" s="23"/>
    </row>
    <row r="264" spans="64:65" ht="15.75" customHeight="1">
      <c r="BL264" s="23"/>
      <c r="BM264" s="23"/>
    </row>
    <row r="265" spans="64:65" ht="15.75" customHeight="1">
      <c r="BL265" s="23"/>
      <c r="BM265" s="23"/>
    </row>
    <row r="266" spans="64:65" ht="15.75" customHeight="1">
      <c r="BL266" s="23"/>
      <c r="BM266" s="23"/>
    </row>
    <row r="267" spans="64:65" ht="15.75" customHeight="1">
      <c r="BL267" s="23"/>
      <c r="BM267" s="23"/>
    </row>
    <row r="268" spans="64:65" ht="15.75" customHeight="1">
      <c r="BL268" s="23"/>
      <c r="BM268" s="23"/>
    </row>
    <row r="269" spans="64:65" ht="15.75" customHeight="1">
      <c r="BL269" s="23"/>
      <c r="BM269" s="23"/>
    </row>
    <row r="270" spans="64:65" ht="15.75" customHeight="1">
      <c r="BL270" s="23"/>
      <c r="BM270" s="23"/>
    </row>
    <row r="271" spans="64:65" ht="15.75" customHeight="1">
      <c r="BL271" s="23"/>
      <c r="BM271" s="23"/>
    </row>
    <row r="272" spans="64:65" ht="15.75" customHeight="1">
      <c r="BL272" s="23"/>
      <c r="BM272" s="23"/>
    </row>
    <row r="273" spans="64:65" ht="15.75" customHeight="1">
      <c r="BL273" s="23"/>
      <c r="BM273" s="23"/>
    </row>
    <row r="274" spans="64:65" ht="15.75" customHeight="1">
      <c r="BL274" s="23"/>
      <c r="BM274" s="23"/>
    </row>
    <row r="275" spans="64:65" ht="15.75" customHeight="1">
      <c r="BL275" s="23"/>
      <c r="BM275" s="23"/>
    </row>
    <row r="276" spans="64:65" ht="15.75" customHeight="1">
      <c r="BL276" s="23"/>
      <c r="BM276" s="23"/>
    </row>
    <row r="277" spans="64:65" ht="15.75" customHeight="1">
      <c r="BL277" s="23"/>
      <c r="BM277" s="23"/>
    </row>
    <row r="278" spans="64:65" ht="15.75" customHeight="1">
      <c r="BL278" s="23"/>
      <c r="BM278" s="23"/>
    </row>
    <row r="279" spans="64:65" ht="15.75" customHeight="1">
      <c r="BL279" s="23"/>
      <c r="BM279" s="23"/>
    </row>
    <row r="280" spans="64:65" ht="15.75" customHeight="1">
      <c r="BL280" s="23"/>
      <c r="BM280" s="23"/>
    </row>
    <row r="281" spans="64:65" ht="15.75" customHeight="1">
      <c r="BL281" s="23"/>
      <c r="BM281" s="23"/>
    </row>
    <row r="282" spans="64:65" ht="15.75" customHeight="1">
      <c r="BL282" s="23"/>
      <c r="BM282" s="23"/>
    </row>
    <row r="283" spans="64:65" ht="15.75" customHeight="1">
      <c r="BL283" s="23"/>
      <c r="BM283" s="23"/>
    </row>
    <row r="284" spans="64:65" ht="15.75" customHeight="1">
      <c r="BL284" s="23"/>
      <c r="BM284" s="23"/>
    </row>
    <row r="285" spans="64:65" ht="15.75" customHeight="1">
      <c r="BL285" s="23"/>
      <c r="BM285" s="23"/>
    </row>
    <row r="286" spans="64:65" ht="15.75" customHeight="1">
      <c r="BL286" s="23"/>
      <c r="BM286" s="23"/>
    </row>
    <row r="287" spans="64:65" ht="15.75" customHeight="1">
      <c r="BL287" s="23"/>
      <c r="BM287" s="23"/>
    </row>
    <row r="288" spans="64:65" ht="15.75" customHeight="1">
      <c r="BL288" s="23"/>
      <c r="BM288" s="23"/>
    </row>
    <row r="289" spans="64:65" ht="15.75" customHeight="1">
      <c r="BL289" s="23"/>
      <c r="BM289" s="23"/>
    </row>
    <row r="290" spans="64:65" ht="15.75" customHeight="1">
      <c r="BL290" s="23"/>
      <c r="BM290" s="23"/>
    </row>
    <row r="291" spans="64:65" ht="15.75" customHeight="1">
      <c r="BL291" s="23"/>
      <c r="BM291" s="23"/>
    </row>
    <row r="292" spans="64:65" ht="15.75" customHeight="1">
      <c r="BL292" s="23"/>
      <c r="BM292" s="23"/>
    </row>
    <row r="293" spans="64:65" ht="15.75" customHeight="1">
      <c r="BL293" s="23"/>
      <c r="BM293" s="23"/>
    </row>
    <row r="294" spans="64:65" ht="15.75" customHeight="1">
      <c r="BL294" s="23"/>
      <c r="BM294" s="23"/>
    </row>
    <row r="295" spans="64:65" ht="15.75" customHeight="1">
      <c r="BL295" s="23"/>
      <c r="BM295" s="23"/>
    </row>
    <row r="296" spans="64:65" ht="15.75" customHeight="1">
      <c r="BL296" s="23"/>
      <c r="BM296" s="23"/>
    </row>
    <row r="297" spans="64:65" ht="15.75" customHeight="1">
      <c r="BL297" s="23"/>
      <c r="BM297" s="23"/>
    </row>
    <row r="298" spans="64:65" ht="15.75" customHeight="1">
      <c r="BL298" s="23"/>
      <c r="BM298" s="23"/>
    </row>
    <row r="299" spans="64:65" ht="15.75" customHeight="1">
      <c r="BL299" s="23"/>
      <c r="BM299" s="23"/>
    </row>
    <row r="300" spans="64:65" ht="15.75" customHeight="1">
      <c r="BL300" s="23"/>
      <c r="BM300" s="23"/>
    </row>
    <row r="301" spans="64:65" ht="15.75" customHeight="1">
      <c r="BL301" s="23"/>
      <c r="BM301" s="23"/>
    </row>
    <row r="302" spans="64:65" ht="15.75" customHeight="1">
      <c r="BL302" s="23"/>
      <c r="BM302" s="23"/>
    </row>
    <row r="303" spans="64:65" ht="15.75" customHeight="1">
      <c r="BL303" s="23"/>
      <c r="BM303" s="23"/>
    </row>
    <row r="304" spans="64:65" ht="15.75" customHeight="1">
      <c r="BL304" s="23"/>
      <c r="BM304" s="23"/>
    </row>
    <row r="305" spans="64:65" ht="15.75" customHeight="1">
      <c r="BL305" s="23"/>
      <c r="BM305" s="23"/>
    </row>
    <row r="306" spans="64:65" ht="15.75" customHeight="1">
      <c r="BL306" s="23"/>
      <c r="BM306" s="23"/>
    </row>
    <row r="307" spans="64:65" ht="15.75" customHeight="1">
      <c r="BL307" s="23"/>
      <c r="BM307" s="23"/>
    </row>
    <row r="308" spans="64:65" ht="15.75" customHeight="1">
      <c r="BL308" s="23"/>
      <c r="BM308" s="23"/>
    </row>
    <row r="309" spans="64:65" ht="15.75" customHeight="1">
      <c r="BL309" s="23"/>
      <c r="BM309" s="23"/>
    </row>
    <row r="310" spans="64:65" ht="15.75" customHeight="1">
      <c r="BL310" s="23"/>
      <c r="BM310" s="23"/>
    </row>
    <row r="311" spans="64:65" ht="15.75" customHeight="1">
      <c r="BL311" s="23"/>
      <c r="BM311" s="23"/>
    </row>
    <row r="312" spans="64:65" ht="15.75" customHeight="1">
      <c r="BL312" s="23"/>
      <c r="BM312" s="23"/>
    </row>
    <row r="313" spans="64:65" ht="15.75" customHeight="1">
      <c r="BL313" s="23"/>
      <c r="BM313" s="23"/>
    </row>
    <row r="314" spans="64:65" ht="15.75" customHeight="1">
      <c r="BL314" s="23"/>
      <c r="BM314" s="23"/>
    </row>
    <row r="315" spans="64:65" ht="15.75" customHeight="1">
      <c r="BL315" s="23"/>
      <c r="BM315" s="23"/>
    </row>
    <row r="316" spans="64:65" ht="15.75" customHeight="1">
      <c r="BL316" s="23"/>
      <c r="BM316" s="23"/>
    </row>
    <row r="317" spans="64:65" ht="15.75" customHeight="1">
      <c r="BL317" s="23"/>
      <c r="BM317" s="23"/>
    </row>
    <row r="318" spans="64:65" ht="15.75" customHeight="1">
      <c r="BL318" s="23"/>
      <c r="BM318" s="23"/>
    </row>
    <row r="319" spans="64:65" ht="15.75" customHeight="1">
      <c r="BL319" s="23"/>
      <c r="BM319" s="23"/>
    </row>
    <row r="320" spans="64:65" ht="15.75" customHeight="1">
      <c r="BL320" s="23"/>
      <c r="BM320" s="23"/>
    </row>
    <row r="321" spans="64:65" ht="15.75" customHeight="1">
      <c r="BL321" s="23"/>
      <c r="BM321" s="23"/>
    </row>
    <row r="322" spans="64:65" ht="15.75" customHeight="1">
      <c r="BL322" s="23"/>
      <c r="BM322" s="23"/>
    </row>
    <row r="323" spans="64:65" ht="15.75" customHeight="1">
      <c r="BL323" s="23"/>
      <c r="BM323" s="23"/>
    </row>
    <row r="324" spans="64:65" ht="15.75" customHeight="1">
      <c r="BL324" s="23"/>
      <c r="BM324" s="23"/>
    </row>
    <row r="325" spans="64:65" ht="15.75" customHeight="1">
      <c r="BL325" s="23"/>
      <c r="BM325" s="23"/>
    </row>
    <row r="326" spans="64:65" ht="15.75" customHeight="1">
      <c r="BL326" s="23"/>
      <c r="BM326" s="23"/>
    </row>
    <row r="327" spans="64:65" ht="15.75" customHeight="1">
      <c r="BL327" s="23"/>
      <c r="BM327" s="23"/>
    </row>
    <row r="328" spans="64:65" ht="15.75" customHeight="1">
      <c r="BL328" s="23"/>
      <c r="BM328" s="23"/>
    </row>
    <row r="329" spans="64:65" ht="15.75" customHeight="1">
      <c r="BL329" s="23"/>
      <c r="BM329" s="23"/>
    </row>
    <row r="330" spans="64:65" ht="15.75" customHeight="1">
      <c r="BL330" s="23"/>
      <c r="BM330" s="23"/>
    </row>
    <row r="331" spans="64:65" ht="15.75" customHeight="1">
      <c r="BL331" s="23"/>
      <c r="BM331" s="23"/>
    </row>
    <row r="332" spans="64:65" ht="15.75" customHeight="1">
      <c r="BL332" s="23"/>
      <c r="BM332" s="23"/>
    </row>
    <row r="333" spans="64:65" ht="15.75" customHeight="1">
      <c r="BL333" s="23"/>
      <c r="BM333" s="23"/>
    </row>
    <row r="334" spans="64:65" ht="15.75" customHeight="1">
      <c r="BL334" s="23"/>
      <c r="BM334" s="23"/>
    </row>
    <row r="335" spans="64:65" ht="15.75" customHeight="1">
      <c r="BL335" s="23"/>
      <c r="BM335" s="23"/>
    </row>
    <row r="336" spans="64:65" ht="15.75" customHeight="1">
      <c r="BL336" s="23"/>
      <c r="BM336" s="23"/>
    </row>
    <row r="337" spans="64:65" ht="15.75" customHeight="1">
      <c r="BL337" s="23"/>
      <c r="BM337" s="23"/>
    </row>
    <row r="338" spans="64:65" ht="15.75" customHeight="1">
      <c r="BL338" s="23"/>
      <c r="BM338" s="23"/>
    </row>
    <row r="339" spans="64:65" ht="15.75" customHeight="1">
      <c r="BL339" s="23"/>
      <c r="BM339" s="23"/>
    </row>
    <row r="340" spans="64:65" ht="15.75" customHeight="1">
      <c r="BL340" s="23"/>
      <c r="BM340" s="23"/>
    </row>
    <row r="341" spans="64:65" ht="15.75" customHeight="1">
      <c r="BL341" s="23"/>
      <c r="BM341" s="23"/>
    </row>
    <row r="342" spans="64:65" ht="15.75" customHeight="1">
      <c r="BL342" s="23"/>
      <c r="BM342" s="23"/>
    </row>
    <row r="343" spans="64:65" ht="15.75" customHeight="1">
      <c r="BL343" s="23"/>
      <c r="BM343" s="23"/>
    </row>
    <row r="344" spans="64:65" ht="15.75" customHeight="1">
      <c r="BL344" s="23"/>
      <c r="BM344" s="23"/>
    </row>
    <row r="345" spans="64:65" ht="15.75" customHeight="1">
      <c r="BL345" s="23"/>
      <c r="BM345" s="23"/>
    </row>
    <row r="346" spans="64:65" ht="15.75" customHeight="1">
      <c r="BL346" s="23"/>
      <c r="BM346" s="23"/>
    </row>
    <row r="347" spans="64:65" ht="15.75" customHeight="1">
      <c r="BL347" s="23"/>
      <c r="BM347" s="23"/>
    </row>
    <row r="348" spans="64:65" ht="15.75" customHeight="1">
      <c r="BL348" s="23"/>
      <c r="BM348" s="23"/>
    </row>
    <row r="349" spans="64:65" ht="15.75" customHeight="1">
      <c r="BL349" s="23"/>
      <c r="BM349" s="23"/>
    </row>
    <row r="350" spans="64:65" ht="15.75" customHeight="1">
      <c r="BL350" s="23"/>
      <c r="BM350" s="23"/>
    </row>
    <row r="351" spans="64:65" ht="15.75" customHeight="1">
      <c r="BL351" s="23"/>
      <c r="BM351" s="23"/>
    </row>
    <row r="352" spans="64:65" ht="15.75" customHeight="1">
      <c r="BL352" s="23"/>
      <c r="BM352" s="23"/>
    </row>
    <row r="353" spans="64:65" ht="15.75" customHeight="1">
      <c r="BL353" s="23"/>
      <c r="BM353" s="23"/>
    </row>
    <row r="354" spans="64:65" ht="15.75" customHeight="1">
      <c r="BL354" s="23"/>
      <c r="BM354" s="23"/>
    </row>
    <row r="355" spans="64:65" ht="15.75" customHeight="1">
      <c r="BL355" s="23"/>
      <c r="BM355" s="23"/>
    </row>
    <row r="356" spans="64:65" ht="15.75" customHeight="1">
      <c r="BL356" s="23"/>
      <c r="BM356" s="23"/>
    </row>
    <row r="357" spans="64:65" ht="15.75" customHeight="1">
      <c r="BL357" s="23"/>
      <c r="BM357" s="23"/>
    </row>
    <row r="358" spans="64:65" ht="15.75" customHeight="1">
      <c r="BL358" s="23"/>
      <c r="BM358" s="23"/>
    </row>
    <row r="359" spans="64:65" ht="15.75" customHeight="1">
      <c r="BL359" s="23"/>
      <c r="BM359" s="23"/>
    </row>
    <row r="360" spans="64:65" ht="15.75" customHeight="1">
      <c r="BL360" s="23"/>
      <c r="BM360" s="23"/>
    </row>
    <row r="361" spans="64:65" ht="15.75" customHeight="1">
      <c r="BL361" s="23"/>
      <c r="BM361" s="23"/>
    </row>
    <row r="362" spans="64:65" ht="15.75" customHeight="1">
      <c r="BL362" s="23"/>
      <c r="BM362" s="23"/>
    </row>
    <row r="363" spans="64:65" ht="15.75" customHeight="1">
      <c r="BL363" s="23"/>
      <c r="BM363" s="23"/>
    </row>
    <row r="364" spans="64:65" ht="15.75" customHeight="1">
      <c r="BL364" s="23"/>
      <c r="BM364" s="23"/>
    </row>
    <row r="365" spans="64:65" ht="15.75" customHeight="1">
      <c r="BL365" s="23"/>
      <c r="BM365" s="23"/>
    </row>
    <row r="366" spans="64:65" ht="15.75" customHeight="1">
      <c r="BL366" s="23"/>
      <c r="BM366" s="23"/>
    </row>
    <row r="367" spans="64:65" ht="15.75" customHeight="1">
      <c r="BL367" s="23"/>
      <c r="BM367" s="23"/>
    </row>
    <row r="368" spans="64:65" ht="15.75" customHeight="1">
      <c r="BL368" s="23"/>
      <c r="BM368" s="23"/>
    </row>
    <row r="369" spans="64:65" ht="15.75" customHeight="1">
      <c r="BL369" s="23"/>
      <c r="BM369" s="23"/>
    </row>
    <row r="370" spans="64:65" ht="15.75" customHeight="1">
      <c r="BL370" s="23"/>
      <c r="BM370" s="23"/>
    </row>
    <row r="371" spans="64:65" ht="15.75" customHeight="1">
      <c r="BL371" s="23"/>
      <c r="BM371" s="23"/>
    </row>
    <row r="372" spans="64:65" ht="15.75" customHeight="1">
      <c r="BL372" s="23"/>
      <c r="BM372" s="23"/>
    </row>
    <row r="373" spans="64:65" ht="15.75" customHeight="1">
      <c r="BL373" s="23"/>
      <c r="BM373" s="23"/>
    </row>
    <row r="374" spans="64:65" ht="15.75" customHeight="1">
      <c r="BL374" s="23"/>
      <c r="BM374" s="23"/>
    </row>
    <row r="375" spans="64:65" ht="15.75" customHeight="1">
      <c r="BL375" s="23"/>
      <c r="BM375" s="23"/>
    </row>
    <row r="376" spans="64:65" ht="15.75" customHeight="1">
      <c r="BL376" s="23"/>
      <c r="BM376" s="23"/>
    </row>
    <row r="377" spans="64:65" ht="15.75" customHeight="1">
      <c r="BL377" s="23"/>
      <c r="BM377" s="23"/>
    </row>
    <row r="378" spans="64:65" ht="15.75" customHeight="1">
      <c r="BL378" s="23"/>
      <c r="BM378" s="23"/>
    </row>
    <row r="379" spans="64:65" ht="15.75" customHeight="1">
      <c r="BL379" s="23"/>
      <c r="BM379" s="23"/>
    </row>
    <row r="380" spans="64:65" ht="15.75" customHeight="1">
      <c r="BL380" s="23"/>
      <c r="BM380" s="23"/>
    </row>
    <row r="381" spans="64:65" ht="15.75" customHeight="1">
      <c r="BL381" s="23"/>
      <c r="BM381" s="23"/>
    </row>
    <row r="382" spans="64:65" ht="15.75" customHeight="1">
      <c r="BL382" s="23"/>
      <c r="BM382" s="23"/>
    </row>
    <row r="383" spans="64:65" ht="15.75" customHeight="1">
      <c r="BL383" s="23"/>
      <c r="BM383" s="23"/>
    </row>
    <row r="384" spans="64:65" ht="15.75" customHeight="1">
      <c r="BL384" s="23"/>
      <c r="BM384" s="23"/>
    </row>
    <row r="385" spans="64:65" ht="15.75" customHeight="1">
      <c r="BL385" s="23"/>
      <c r="BM385" s="23"/>
    </row>
    <row r="386" spans="64:65" ht="15.75" customHeight="1">
      <c r="BL386" s="23"/>
      <c r="BM386" s="23"/>
    </row>
    <row r="387" spans="64:65" ht="15.75" customHeight="1">
      <c r="BL387" s="23"/>
      <c r="BM387" s="23"/>
    </row>
    <row r="388" spans="64:65" ht="15.75" customHeight="1">
      <c r="BL388" s="23"/>
      <c r="BM388" s="23"/>
    </row>
    <row r="389" spans="64:65" ht="15.75" customHeight="1">
      <c r="BL389" s="23"/>
      <c r="BM389" s="23"/>
    </row>
    <row r="390" spans="64:65" ht="15.75" customHeight="1">
      <c r="BL390" s="23"/>
      <c r="BM390" s="23"/>
    </row>
    <row r="391" spans="64:65" ht="15.75" customHeight="1">
      <c r="BL391" s="23"/>
      <c r="BM391" s="23"/>
    </row>
    <row r="392" spans="64:65" ht="15.75" customHeight="1">
      <c r="BL392" s="23"/>
      <c r="BM392" s="23"/>
    </row>
    <row r="393" spans="64:65" ht="15.75" customHeight="1">
      <c r="BL393" s="23"/>
      <c r="BM393" s="23"/>
    </row>
    <row r="394" spans="64:65" ht="15.75" customHeight="1">
      <c r="BL394" s="23"/>
      <c r="BM394" s="23"/>
    </row>
    <row r="395" spans="64:65" ht="15.75" customHeight="1">
      <c r="BL395" s="23"/>
      <c r="BM395" s="23"/>
    </row>
    <row r="396" spans="64:65" ht="15.75" customHeight="1">
      <c r="BL396" s="23"/>
      <c r="BM396" s="23"/>
    </row>
    <row r="397" spans="64:65" ht="15.75" customHeight="1">
      <c r="BL397" s="23"/>
      <c r="BM397" s="23"/>
    </row>
    <row r="398" spans="64:65" ht="15.75" customHeight="1">
      <c r="BL398" s="23"/>
      <c r="BM398" s="23"/>
    </row>
    <row r="399" spans="64:65" ht="15.75" customHeight="1">
      <c r="BL399" s="23"/>
      <c r="BM399" s="23"/>
    </row>
    <row r="400" spans="64:65" ht="15.75" customHeight="1">
      <c r="BL400" s="23"/>
      <c r="BM400" s="23"/>
    </row>
    <row r="401" spans="64:65" ht="15.75" customHeight="1">
      <c r="BL401" s="23"/>
      <c r="BM401" s="23"/>
    </row>
    <row r="402" spans="64:65" ht="15.75" customHeight="1">
      <c r="BL402" s="23"/>
      <c r="BM402" s="23"/>
    </row>
    <row r="403" spans="64:65" ht="15.75" customHeight="1">
      <c r="BL403" s="23"/>
      <c r="BM403" s="23"/>
    </row>
    <row r="404" spans="64:65" ht="15.75" customHeight="1">
      <c r="BL404" s="23"/>
      <c r="BM404" s="23"/>
    </row>
    <row r="405" spans="64:65" ht="15.75" customHeight="1">
      <c r="BL405" s="23"/>
      <c r="BM405" s="23"/>
    </row>
    <row r="406" spans="64:65" ht="15.75" customHeight="1">
      <c r="BL406" s="23"/>
      <c r="BM406" s="23"/>
    </row>
    <row r="407" spans="64:65" ht="15.75" customHeight="1">
      <c r="BL407" s="23"/>
      <c r="BM407" s="23"/>
    </row>
    <row r="408" spans="64:65" ht="15.75" customHeight="1">
      <c r="BL408" s="23"/>
      <c r="BM408" s="23"/>
    </row>
    <row r="409" spans="64:65" ht="15.75" customHeight="1">
      <c r="BL409" s="23"/>
      <c r="BM409" s="23"/>
    </row>
    <row r="410" spans="64:65" ht="15.75" customHeight="1">
      <c r="BL410" s="23"/>
      <c r="BM410" s="23"/>
    </row>
    <row r="411" spans="64:65" ht="15.75" customHeight="1">
      <c r="BL411" s="23"/>
      <c r="BM411" s="23"/>
    </row>
    <row r="412" spans="64:65" ht="15.75" customHeight="1">
      <c r="BL412" s="23"/>
      <c r="BM412" s="23"/>
    </row>
    <row r="413" spans="64:65" ht="15.75" customHeight="1">
      <c r="BL413" s="23"/>
      <c r="BM413" s="23"/>
    </row>
    <row r="414" spans="64:65" ht="15.75" customHeight="1">
      <c r="BL414" s="23"/>
      <c r="BM414" s="23"/>
    </row>
    <row r="415" spans="64:65" ht="15.75" customHeight="1">
      <c r="BL415" s="23"/>
      <c r="BM415" s="23"/>
    </row>
    <row r="416" spans="64:65" ht="15.75" customHeight="1">
      <c r="BL416" s="23"/>
      <c r="BM416" s="23"/>
    </row>
    <row r="417" spans="64:65" ht="15.75" customHeight="1">
      <c r="BL417" s="23"/>
      <c r="BM417" s="23"/>
    </row>
    <row r="418" spans="64:65" ht="15.75" customHeight="1">
      <c r="BL418" s="23"/>
      <c r="BM418" s="23"/>
    </row>
    <row r="419" spans="64:65" ht="15.75" customHeight="1">
      <c r="BL419" s="23"/>
      <c r="BM419" s="23"/>
    </row>
    <row r="420" spans="64:65" ht="15.75" customHeight="1">
      <c r="BL420" s="23"/>
      <c r="BM420" s="23"/>
    </row>
    <row r="421" spans="64:65" ht="15.75" customHeight="1">
      <c r="BL421" s="23"/>
      <c r="BM421" s="23"/>
    </row>
    <row r="422" spans="64:65" ht="15.75" customHeight="1">
      <c r="BL422" s="23"/>
      <c r="BM422" s="23"/>
    </row>
    <row r="423" spans="64:65" ht="15.75" customHeight="1">
      <c r="BL423" s="23"/>
      <c r="BM423" s="23"/>
    </row>
    <row r="424" spans="64:65" ht="15.75" customHeight="1">
      <c r="BL424" s="23"/>
      <c r="BM424" s="23"/>
    </row>
    <row r="425" spans="64:65" ht="15.75" customHeight="1">
      <c r="BL425" s="23"/>
      <c r="BM425" s="23"/>
    </row>
    <row r="426" spans="64:65" ht="15.75" customHeight="1">
      <c r="BL426" s="23"/>
      <c r="BM426" s="23"/>
    </row>
    <row r="427" spans="64:65" ht="15.75" customHeight="1">
      <c r="BL427" s="23"/>
      <c r="BM427" s="23"/>
    </row>
    <row r="428" spans="64:65" ht="15.75" customHeight="1">
      <c r="BL428" s="23"/>
      <c r="BM428" s="23"/>
    </row>
    <row r="429" spans="64:65" ht="15.75" customHeight="1">
      <c r="BL429" s="23"/>
      <c r="BM429" s="23"/>
    </row>
    <row r="430" spans="64:65" ht="15.75" customHeight="1">
      <c r="BL430" s="23"/>
      <c r="BM430" s="23"/>
    </row>
    <row r="431" spans="64:65" ht="15.75" customHeight="1">
      <c r="BL431" s="23"/>
      <c r="BM431" s="23"/>
    </row>
    <row r="432" spans="64:65" ht="15.75" customHeight="1">
      <c r="BL432" s="23"/>
      <c r="BM432" s="23"/>
    </row>
    <row r="433" spans="64:65" ht="15.75" customHeight="1">
      <c r="BL433" s="23"/>
      <c r="BM433" s="23"/>
    </row>
    <row r="434" spans="64:65" ht="15.75" customHeight="1">
      <c r="BL434" s="23"/>
      <c r="BM434" s="23"/>
    </row>
    <row r="435" spans="64:65" ht="15.75" customHeight="1">
      <c r="BL435" s="23"/>
      <c r="BM435" s="23"/>
    </row>
    <row r="436" spans="64:65" ht="15.75" customHeight="1">
      <c r="BL436" s="23"/>
      <c r="BM436" s="23"/>
    </row>
    <row r="437" spans="64:65" ht="15.75" customHeight="1">
      <c r="BL437" s="23"/>
      <c r="BM437" s="23"/>
    </row>
    <row r="438" spans="64:65" ht="15.75" customHeight="1">
      <c r="BL438" s="23"/>
      <c r="BM438" s="23"/>
    </row>
    <row r="439" spans="64:65" ht="15.75" customHeight="1">
      <c r="BL439" s="23"/>
      <c r="BM439" s="23"/>
    </row>
    <row r="440" spans="64:65" ht="15.75" customHeight="1">
      <c r="BL440" s="23"/>
      <c r="BM440" s="23"/>
    </row>
    <row r="441" spans="64:65" ht="15.75" customHeight="1">
      <c r="BL441" s="23"/>
      <c r="BM441" s="23"/>
    </row>
    <row r="442" spans="64:65" ht="15.75" customHeight="1">
      <c r="BL442" s="23"/>
      <c r="BM442" s="23"/>
    </row>
    <row r="443" spans="64:65" ht="15.75" customHeight="1">
      <c r="BL443" s="23"/>
      <c r="BM443" s="23"/>
    </row>
    <row r="444" spans="64:65" ht="15.75" customHeight="1">
      <c r="BL444" s="23"/>
      <c r="BM444" s="23"/>
    </row>
    <row r="445" spans="64:65" ht="15.75" customHeight="1">
      <c r="BL445" s="23"/>
      <c r="BM445" s="23"/>
    </row>
    <row r="446" spans="64:65" ht="15.75" customHeight="1">
      <c r="BL446" s="23"/>
      <c r="BM446" s="23"/>
    </row>
    <row r="447" spans="64:65" ht="15.75" customHeight="1">
      <c r="BL447" s="23"/>
      <c r="BM447" s="23"/>
    </row>
    <row r="448" spans="64:65" ht="15.75" customHeight="1">
      <c r="BL448" s="23"/>
      <c r="BM448" s="23"/>
    </row>
    <row r="449" spans="64:65" ht="15.75" customHeight="1">
      <c r="BL449" s="23"/>
      <c r="BM449" s="23"/>
    </row>
    <row r="450" spans="64:65" ht="15.75" customHeight="1">
      <c r="BL450" s="23"/>
      <c r="BM450" s="23"/>
    </row>
    <row r="451" spans="64:65" ht="15.75" customHeight="1">
      <c r="BL451" s="23"/>
      <c r="BM451" s="23"/>
    </row>
    <row r="452" spans="64:65" ht="15.75" customHeight="1">
      <c r="BL452" s="23"/>
      <c r="BM452" s="23"/>
    </row>
    <row r="453" spans="64:65" ht="15.75" customHeight="1">
      <c r="BL453" s="23"/>
      <c r="BM453" s="23"/>
    </row>
    <row r="454" spans="64:65" ht="15.75" customHeight="1">
      <c r="BL454" s="23"/>
      <c r="BM454" s="23"/>
    </row>
    <row r="455" spans="64:65" ht="15.75" customHeight="1">
      <c r="BL455" s="23"/>
      <c r="BM455" s="23"/>
    </row>
    <row r="456" spans="64:65" ht="15.75" customHeight="1">
      <c r="BL456" s="23"/>
      <c r="BM456" s="23"/>
    </row>
    <row r="457" spans="64:65" ht="15.75" customHeight="1">
      <c r="BL457" s="23"/>
      <c r="BM457" s="23"/>
    </row>
    <row r="458" spans="64:65" ht="15.75" customHeight="1">
      <c r="BL458" s="23"/>
      <c r="BM458" s="23"/>
    </row>
    <row r="459" spans="64:65" ht="15.75" customHeight="1">
      <c r="BL459" s="23"/>
      <c r="BM459" s="23"/>
    </row>
    <row r="460" spans="64:65" ht="15.75" customHeight="1">
      <c r="BL460" s="23"/>
      <c r="BM460" s="23"/>
    </row>
    <row r="461" spans="64:65" ht="15.75" customHeight="1">
      <c r="BL461" s="23"/>
      <c r="BM461" s="23"/>
    </row>
    <row r="462" spans="64:65" ht="15.75" customHeight="1">
      <c r="BL462" s="23"/>
      <c r="BM462" s="23"/>
    </row>
    <row r="463" spans="64:65" ht="15.75" customHeight="1">
      <c r="BL463" s="23"/>
      <c r="BM463" s="23"/>
    </row>
    <row r="464" spans="64:65" ht="15.75" customHeight="1">
      <c r="BL464" s="23"/>
      <c r="BM464" s="23"/>
    </row>
    <row r="465" spans="64:65" ht="15.75" customHeight="1">
      <c r="BL465" s="23"/>
      <c r="BM465" s="23"/>
    </row>
    <row r="466" spans="64:65" ht="15.75" customHeight="1">
      <c r="BL466" s="23"/>
      <c r="BM466" s="23"/>
    </row>
    <row r="467" spans="64:65" ht="15.75" customHeight="1">
      <c r="BL467" s="23"/>
      <c r="BM467" s="23"/>
    </row>
    <row r="468" spans="64:65" ht="15.75" customHeight="1">
      <c r="BL468" s="23"/>
      <c r="BM468" s="23"/>
    </row>
    <row r="469" spans="64:65" ht="15.75" customHeight="1">
      <c r="BL469" s="23"/>
      <c r="BM469" s="23"/>
    </row>
    <row r="470" spans="64:65" ht="15.75" customHeight="1">
      <c r="BL470" s="23"/>
      <c r="BM470" s="23"/>
    </row>
    <row r="471" spans="64:65" ht="15.75" customHeight="1">
      <c r="BL471" s="23"/>
      <c r="BM471" s="23"/>
    </row>
    <row r="472" spans="64:65" ht="15.75" customHeight="1">
      <c r="BL472" s="23"/>
      <c r="BM472" s="23"/>
    </row>
    <row r="473" spans="64:65" ht="15.75" customHeight="1">
      <c r="BL473" s="23"/>
      <c r="BM473" s="23"/>
    </row>
    <row r="474" spans="64:65" ht="15.75" customHeight="1">
      <c r="BL474" s="23"/>
      <c r="BM474" s="23"/>
    </row>
    <row r="475" spans="64:65" ht="15.75" customHeight="1">
      <c r="BL475" s="23"/>
      <c r="BM475" s="23"/>
    </row>
    <row r="476" spans="64:65" ht="15.75" customHeight="1">
      <c r="BL476" s="23"/>
      <c r="BM476" s="23"/>
    </row>
    <row r="477" spans="64:65" ht="15.75" customHeight="1">
      <c r="BL477" s="23"/>
      <c r="BM477" s="23"/>
    </row>
    <row r="478" spans="64:65" ht="15.75" customHeight="1">
      <c r="BL478" s="23"/>
      <c r="BM478" s="23"/>
    </row>
    <row r="479" spans="64:65" ht="15.75" customHeight="1">
      <c r="BL479" s="23"/>
      <c r="BM479" s="23"/>
    </row>
    <row r="480" spans="64:65" ht="15.75" customHeight="1">
      <c r="BL480" s="23"/>
      <c r="BM480" s="23"/>
    </row>
    <row r="481" spans="64:65" ht="15.75" customHeight="1">
      <c r="BL481" s="23"/>
      <c r="BM481" s="23"/>
    </row>
    <row r="482" spans="64:65" ht="15.75" customHeight="1">
      <c r="BL482" s="23"/>
      <c r="BM482" s="23"/>
    </row>
    <row r="483" spans="64:65" ht="15.75" customHeight="1">
      <c r="BL483" s="23"/>
      <c r="BM483" s="23"/>
    </row>
    <row r="484" spans="64:65" ht="15.75" customHeight="1">
      <c r="BL484" s="23"/>
      <c r="BM484" s="23"/>
    </row>
    <row r="485" spans="64:65" ht="15.75" customHeight="1">
      <c r="BL485" s="23"/>
      <c r="BM485" s="23"/>
    </row>
    <row r="486" spans="64:65" ht="15.75" customHeight="1">
      <c r="BL486" s="23"/>
      <c r="BM486" s="23"/>
    </row>
    <row r="487" spans="64:65" ht="15.75" customHeight="1">
      <c r="BL487" s="23"/>
      <c r="BM487" s="23"/>
    </row>
    <row r="488" spans="64:65" ht="15.75" customHeight="1">
      <c r="BL488" s="23"/>
      <c r="BM488" s="23"/>
    </row>
    <row r="489" spans="64:65" ht="15.75" customHeight="1">
      <c r="BL489" s="23"/>
      <c r="BM489" s="23"/>
    </row>
    <row r="490" spans="64:65" ht="15.75" customHeight="1">
      <c r="BL490" s="23"/>
      <c r="BM490" s="23"/>
    </row>
    <row r="491" spans="64:65" ht="15.75" customHeight="1">
      <c r="BL491" s="23"/>
      <c r="BM491" s="23"/>
    </row>
    <row r="492" spans="64:65" ht="15.75" customHeight="1">
      <c r="BL492" s="23"/>
      <c r="BM492" s="23"/>
    </row>
    <row r="493" spans="64:65" ht="15.75" customHeight="1">
      <c r="BL493" s="23"/>
      <c r="BM493" s="23"/>
    </row>
    <row r="494" spans="64:65" ht="15.75" customHeight="1">
      <c r="BL494" s="23"/>
      <c r="BM494" s="23"/>
    </row>
    <row r="495" spans="64:65" ht="15.75" customHeight="1">
      <c r="BL495" s="23"/>
      <c r="BM495" s="23"/>
    </row>
    <row r="496" spans="64:65" ht="15.75" customHeight="1">
      <c r="BL496" s="23"/>
      <c r="BM496" s="23"/>
    </row>
    <row r="497" spans="64:65" ht="15.75" customHeight="1">
      <c r="BL497" s="23"/>
      <c r="BM497" s="23"/>
    </row>
    <row r="498" spans="64:65" ht="15.75" customHeight="1">
      <c r="BL498" s="23"/>
      <c r="BM498" s="23"/>
    </row>
    <row r="499" spans="64:65" ht="15.75" customHeight="1">
      <c r="BL499" s="23"/>
      <c r="BM499" s="23"/>
    </row>
    <row r="500" spans="64:65" ht="15.75" customHeight="1">
      <c r="BL500" s="23"/>
      <c r="BM500" s="23"/>
    </row>
    <row r="501" spans="64:65" ht="15.75" customHeight="1">
      <c r="BL501" s="23"/>
      <c r="BM501" s="23"/>
    </row>
    <row r="502" spans="64:65" ht="15.75" customHeight="1">
      <c r="BL502" s="23"/>
      <c r="BM502" s="23"/>
    </row>
    <row r="503" spans="64:65" ht="15.75" customHeight="1">
      <c r="BL503" s="23"/>
      <c r="BM503" s="23"/>
    </row>
    <row r="504" spans="64:65" ht="15.75" customHeight="1">
      <c r="BL504" s="23"/>
      <c r="BM504" s="23"/>
    </row>
    <row r="505" spans="64:65" ht="15.75" customHeight="1">
      <c r="BL505" s="23"/>
      <c r="BM505" s="23"/>
    </row>
    <row r="506" spans="64:65" ht="15.75" customHeight="1">
      <c r="BL506" s="23"/>
      <c r="BM506" s="23"/>
    </row>
    <row r="507" spans="64:65" ht="15.75" customHeight="1">
      <c r="BL507" s="23"/>
      <c r="BM507" s="23"/>
    </row>
    <row r="508" spans="64:65" ht="15.75" customHeight="1">
      <c r="BL508" s="23"/>
      <c r="BM508" s="23"/>
    </row>
    <row r="509" spans="64:65" ht="15.75" customHeight="1">
      <c r="BL509" s="23"/>
      <c r="BM509" s="23"/>
    </row>
    <row r="510" spans="64:65" ht="15.75" customHeight="1">
      <c r="BL510" s="23"/>
      <c r="BM510" s="23"/>
    </row>
    <row r="511" spans="64:65" ht="15.75" customHeight="1">
      <c r="BL511" s="23"/>
      <c r="BM511" s="23"/>
    </row>
    <row r="512" spans="64:65" ht="15.75" customHeight="1">
      <c r="BL512" s="23"/>
      <c r="BM512" s="23"/>
    </row>
    <row r="513" spans="64:65" ht="15.75" customHeight="1">
      <c r="BL513" s="23"/>
      <c r="BM513" s="23"/>
    </row>
    <row r="514" spans="64:65" ht="15.75" customHeight="1">
      <c r="BL514" s="23"/>
      <c r="BM514" s="23"/>
    </row>
    <row r="515" spans="64:65" ht="15.75" customHeight="1">
      <c r="BL515" s="23"/>
      <c r="BM515" s="23"/>
    </row>
    <row r="516" spans="64:65" ht="15.75" customHeight="1">
      <c r="BL516" s="23"/>
      <c r="BM516" s="23"/>
    </row>
    <row r="517" spans="64:65" ht="15.75" customHeight="1">
      <c r="BL517" s="23"/>
      <c r="BM517" s="23"/>
    </row>
    <row r="518" spans="64:65" ht="15.75" customHeight="1">
      <c r="BL518" s="23"/>
      <c r="BM518" s="23"/>
    </row>
    <row r="519" spans="64:65" ht="15.75" customHeight="1">
      <c r="BL519" s="23"/>
      <c r="BM519" s="23"/>
    </row>
    <row r="520" spans="64:65" ht="15.75" customHeight="1">
      <c r="BL520" s="23"/>
      <c r="BM520" s="23"/>
    </row>
    <row r="521" spans="64:65" ht="15.75" customHeight="1">
      <c r="BL521" s="23"/>
      <c r="BM521" s="23"/>
    </row>
    <row r="522" spans="64:65" ht="15.75" customHeight="1">
      <c r="BL522" s="23"/>
      <c r="BM522" s="23"/>
    </row>
    <row r="523" spans="64:65" ht="15.75" customHeight="1">
      <c r="BL523" s="23"/>
      <c r="BM523" s="23"/>
    </row>
    <row r="524" spans="64:65" ht="15.75" customHeight="1">
      <c r="BL524" s="23"/>
      <c r="BM524" s="23"/>
    </row>
    <row r="525" spans="64:65" ht="15.75" customHeight="1">
      <c r="BL525" s="23"/>
      <c r="BM525" s="23"/>
    </row>
    <row r="526" spans="64:65" ht="15.75" customHeight="1">
      <c r="BL526" s="23"/>
      <c r="BM526" s="23"/>
    </row>
    <row r="527" spans="64:65" ht="15.75" customHeight="1">
      <c r="BL527" s="23"/>
      <c r="BM527" s="23"/>
    </row>
    <row r="528" spans="64:65" ht="15.75" customHeight="1">
      <c r="BL528" s="23"/>
      <c r="BM528" s="23"/>
    </row>
    <row r="529" spans="64:65" ht="15.75" customHeight="1">
      <c r="BL529" s="23"/>
      <c r="BM529" s="23"/>
    </row>
    <row r="530" spans="64:65" ht="15.75" customHeight="1">
      <c r="BL530" s="23"/>
      <c r="BM530" s="23"/>
    </row>
    <row r="531" spans="64:65" ht="15.75" customHeight="1">
      <c r="BL531" s="23"/>
      <c r="BM531" s="23"/>
    </row>
    <row r="532" spans="64:65" ht="15.75" customHeight="1">
      <c r="BL532" s="23"/>
      <c r="BM532" s="23"/>
    </row>
    <row r="533" spans="64:65" ht="15.75" customHeight="1">
      <c r="BL533" s="23"/>
      <c r="BM533" s="23"/>
    </row>
    <row r="534" spans="64:65" ht="15.75" customHeight="1">
      <c r="BL534" s="23"/>
      <c r="BM534" s="23"/>
    </row>
    <row r="535" spans="64:65" ht="15.75" customHeight="1">
      <c r="BL535" s="23"/>
      <c r="BM535" s="23"/>
    </row>
    <row r="536" spans="64:65" ht="15.75" customHeight="1">
      <c r="BL536" s="23"/>
      <c r="BM536" s="23"/>
    </row>
    <row r="537" spans="64:65" ht="15.75" customHeight="1">
      <c r="BL537" s="23"/>
      <c r="BM537" s="23"/>
    </row>
    <row r="538" spans="64:65" ht="15.75" customHeight="1">
      <c r="BL538" s="23"/>
      <c r="BM538" s="23"/>
    </row>
    <row r="539" spans="64:65" ht="15.75" customHeight="1">
      <c r="BL539" s="23"/>
      <c r="BM539" s="23"/>
    </row>
    <row r="540" spans="64:65" ht="15.75" customHeight="1">
      <c r="BL540" s="23"/>
      <c r="BM540" s="23"/>
    </row>
    <row r="541" spans="64:65" ht="15.75" customHeight="1">
      <c r="BL541" s="23"/>
      <c r="BM541" s="23"/>
    </row>
    <row r="542" spans="64:65" ht="15.75" customHeight="1">
      <c r="BL542" s="23"/>
      <c r="BM542" s="23"/>
    </row>
    <row r="543" spans="64:65" ht="15.75" customHeight="1">
      <c r="BL543" s="23"/>
      <c r="BM543" s="23"/>
    </row>
    <row r="544" spans="64:65" ht="15.75" customHeight="1">
      <c r="BL544" s="23"/>
      <c r="BM544" s="23"/>
    </row>
    <row r="545" spans="64:65" ht="15.75" customHeight="1">
      <c r="BL545" s="23"/>
      <c r="BM545" s="23"/>
    </row>
    <row r="546" spans="64:65" ht="15.75" customHeight="1">
      <c r="BL546" s="23"/>
      <c r="BM546" s="23"/>
    </row>
    <row r="547" spans="64:65" ht="15.75" customHeight="1">
      <c r="BL547" s="23"/>
      <c r="BM547" s="23"/>
    </row>
    <row r="548" spans="64:65" ht="15.75" customHeight="1">
      <c r="BL548" s="23"/>
      <c r="BM548" s="23"/>
    </row>
    <row r="549" spans="64:65" ht="15.75" customHeight="1">
      <c r="BL549" s="23"/>
      <c r="BM549" s="23"/>
    </row>
    <row r="550" spans="64:65" ht="15.75" customHeight="1">
      <c r="BL550" s="23"/>
      <c r="BM550" s="23"/>
    </row>
    <row r="551" spans="64:65" ht="15.75" customHeight="1">
      <c r="BL551" s="23"/>
      <c r="BM551" s="23"/>
    </row>
    <row r="552" spans="64:65" ht="15.75" customHeight="1">
      <c r="BL552" s="23"/>
      <c r="BM552" s="23"/>
    </row>
    <row r="553" spans="64:65" ht="15.75" customHeight="1">
      <c r="BL553" s="23"/>
      <c r="BM553" s="23"/>
    </row>
    <row r="554" spans="64:65" ht="15.75" customHeight="1">
      <c r="BL554" s="23"/>
      <c r="BM554" s="23"/>
    </row>
    <row r="555" spans="64:65" ht="15.75" customHeight="1">
      <c r="BL555" s="23"/>
      <c r="BM555" s="23"/>
    </row>
    <row r="556" spans="64:65" ht="15.75" customHeight="1">
      <c r="BL556" s="23"/>
      <c r="BM556" s="23"/>
    </row>
    <row r="557" spans="64:65" ht="15.75" customHeight="1">
      <c r="BL557" s="23"/>
      <c r="BM557" s="23"/>
    </row>
    <row r="558" spans="64:65" ht="15.75" customHeight="1">
      <c r="BL558" s="23"/>
      <c r="BM558" s="23"/>
    </row>
    <row r="559" spans="64:65" ht="15.75" customHeight="1">
      <c r="BL559" s="23"/>
      <c r="BM559" s="23"/>
    </row>
    <row r="560" spans="64:65" ht="15.75" customHeight="1">
      <c r="BL560" s="23"/>
      <c r="BM560" s="23"/>
    </row>
    <row r="561" spans="64:65" ht="15.75" customHeight="1">
      <c r="BL561" s="23"/>
      <c r="BM561" s="23"/>
    </row>
    <row r="562" spans="64:65" ht="15.75" customHeight="1">
      <c r="BL562" s="23"/>
      <c r="BM562" s="23"/>
    </row>
    <row r="563" spans="64:65" ht="15.75" customHeight="1">
      <c r="BL563" s="23"/>
      <c r="BM563" s="23"/>
    </row>
    <row r="564" spans="64:65" ht="15.75" customHeight="1">
      <c r="BL564" s="23"/>
      <c r="BM564" s="23"/>
    </row>
    <row r="565" spans="64:65" ht="15.75" customHeight="1">
      <c r="BL565" s="23"/>
      <c r="BM565" s="23"/>
    </row>
    <row r="566" spans="64:65" ht="15.75" customHeight="1">
      <c r="BL566" s="23"/>
      <c r="BM566" s="23"/>
    </row>
    <row r="567" spans="64:65" ht="15.75" customHeight="1">
      <c r="BL567" s="23"/>
      <c r="BM567" s="23"/>
    </row>
    <row r="568" spans="64:65" ht="15.75" customHeight="1">
      <c r="BL568" s="23"/>
      <c r="BM568" s="23"/>
    </row>
    <row r="569" spans="64:65" ht="15.75" customHeight="1">
      <c r="BL569" s="23"/>
      <c r="BM569" s="23"/>
    </row>
    <row r="570" spans="64:65" ht="15.75" customHeight="1">
      <c r="BL570" s="23"/>
      <c r="BM570" s="23"/>
    </row>
    <row r="571" spans="64:65" ht="15.75" customHeight="1">
      <c r="BL571" s="23"/>
      <c r="BM571" s="23"/>
    </row>
    <row r="572" spans="64:65" ht="15.75" customHeight="1">
      <c r="BL572" s="23"/>
      <c r="BM572" s="23"/>
    </row>
    <row r="573" spans="64:65" ht="15.75" customHeight="1">
      <c r="BL573" s="23"/>
      <c r="BM573" s="23"/>
    </row>
    <row r="574" spans="64:65" ht="15.75" customHeight="1">
      <c r="BL574" s="23"/>
      <c r="BM574" s="23"/>
    </row>
    <row r="575" spans="64:65" ht="15.75" customHeight="1">
      <c r="BL575" s="23"/>
      <c r="BM575" s="23"/>
    </row>
    <row r="576" spans="64:65" ht="15.75" customHeight="1">
      <c r="BL576" s="23"/>
      <c r="BM576" s="23"/>
    </row>
    <row r="577" spans="64:65" ht="15.75" customHeight="1">
      <c r="BL577" s="23"/>
      <c r="BM577" s="23"/>
    </row>
    <row r="578" spans="64:65" ht="15.75" customHeight="1">
      <c r="BL578" s="23"/>
      <c r="BM578" s="23"/>
    </row>
    <row r="579" spans="64:65" ht="15.75" customHeight="1">
      <c r="BL579" s="23"/>
      <c r="BM579" s="23"/>
    </row>
    <row r="580" spans="64:65" ht="15.75" customHeight="1">
      <c r="BL580" s="23"/>
      <c r="BM580" s="23"/>
    </row>
    <row r="581" spans="64:65" ht="15.75" customHeight="1">
      <c r="BL581" s="23"/>
      <c r="BM581" s="23"/>
    </row>
    <row r="582" spans="64:65" ht="15.75" customHeight="1">
      <c r="BL582" s="23"/>
      <c r="BM582" s="23"/>
    </row>
    <row r="583" spans="64:65" ht="15.75" customHeight="1">
      <c r="BL583" s="23"/>
      <c r="BM583" s="23"/>
    </row>
    <row r="584" spans="64:65" ht="15.75" customHeight="1">
      <c r="BL584" s="23"/>
      <c r="BM584" s="23"/>
    </row>
    <row r="585" spans="64:65" ht="15.75" customHeight="1">
      <c r="BL585" s="23"/>
      <c r="BM585" s="23"/>
    </row>
    <row r="586" spans="64:65" ht="15.75" customHeight="1">
      <c r="BL586" s="23"/>
      <c r="BM586" s="23"/>
    </row>
    <row r="587" spans="64:65" ht="15.75" customHeight="1">
      <c r="BL587" s="23"/>
      <c r="BM587" s="23"/>
    </row>
    <row r="588" spans="64:65" ht="15.75" customHeight="1">
      <c r="BL588" s="23"/>
      <c r="BM588" s="23"/>
    </row>
    <row r="589" spans="64:65" ht="15.75" customHeight="1">
      <c r="BL589" s="23"/>
      <c r="BM589" s="23"/>
    </row>
    <row r="590" spans="64:65" ht="15.75" customHeight="1">
      <c r="BL590" s="23"/>
      <c r="BM590" s="23"/>
    </row>
    <row r="591" spans="64:65" ht="15.75" customHeight="1">
      <c r="BL591" s="23"/>
      <c r="BM591" s="23"/>
    </row>
    <row r="592" spans="64:65" ht="15.75" customHeight="1">
      <c r="BL592" s="23"/>
      <c r="BM592" s="23"/>
    </row>
    <row r="593" spans="64:65" ht="15.75" customHeight="1">
      <c r="BL593" s="23"/>
      <c r="BM593" s="23"/>
    </row>
    <row r="594" spans="64:65" ht="15.75" customHeight="1">
      <c r="BL594" s="23"/>
      <c r="BM594" s="23"/>
    </row>
    <row r="595" spans="64:65" ht="15.75" customHeight="1">
      <c r="BL595" s="23"/>
      <c r="BM595" s="23"/>
    </row>
    <row r="596" spans="64:65" ht="15.75" customHeight="1">
      <c r="BL596" s="23"/>
      <c r="BM596" s="23"/>
    </row>
    <row r="597" spans="64:65" ht="15.75" customHeight="1">
      <c r="BL597" s="23"/>
      <c r="BM597" s="23"/>
    </row>
    <row r="598" spans="64:65" ht="15.75" customHeight="1">
      <c r="BL598" s="23"/>
      <c r="BM598" s="23"/>
    </row>
    <row r="599" spans="64:65" ht="15.75" customHeight="1">
      <c r="BL599" s="23"/>
      <c r="BM599" s="23"/>
    </row>
    <row r="600" spans="64:65" ht="15.75" customHeight="1">
      <c r="BL600" s="23"/>
      <c r="BM600" s="23"/>
    </row>
    <row r="601" spans="64:65" ht="15.75" customHeight="1">
      <c r="BL601" s="23"/>
      <c r="BM601" s="23"/>
    </row>
    <row r="602" spans="64:65" ht="15.75" customHeight="1">
      <c r="BL602" s="23"/>
      <c r="BM602" s="23"/>
    </row>
    <row r="603" spans="64:65" ht="15.75" customHeight="1">
      <c r="BL603" s="23"/>
      <c r="BM603" s="23"/>
    </row>
    <row r="604" spans="64:65" ht="15.75" customHeight="1">
      <c r="BL604" s="23"/>
      <c r="BM604" s="23"/>
    </row>
    <row r="605" spans="64:65" ht="15.75" customHeight="1">
      <c r="BL605" s="23"/>
      <c r="BM605" s="23"/>
    </row>
    <row r="606" spans="64:65" ht="15.75" customHeight="1">
      <c r="BL606" s="23"/>
      <c r="BM606" s="23"/>
    </row>
    <row r="607" spans="64:65" ht="15.75" customHeight="1">
      <c r="BL607" s="23"/>
      <c r="BM607" s="23"/>
    </row>
    <row r="608" spans="64:65" ht="15.75" customHeight="1">
      <c r="BL608" s="23"/>
      <c r="BM608" s="23"/>
    </row>
    <row r="609" spans="64:65" ht="15.75" customHeight="1">
      <c r="BL609" s="23"/>
      <c r="BM609" s="23"/>
    </row>
    <row r="610" spans="64:65" ht="15.75" customHeight="1">
      <c r="BL610" s="23"/>
      <c r="BM610" s="23"/>
    </row>
    <row r="611" spans="64:65" ht="15.75" customHeight="1">
      <c r="BL611" s="23"/>
      <c r="BM611" s="23"/>
    </row>
    <row r="612" spans="64:65" ht="15.75" customHeight="1">
      <c r="BL612" s="23"/>
      <c r="BM612" s="23"/>
    </row>
    <row r="613" spans="64:65" ht="15.75" customHeight="1">
      <c r="BL613" s="23"/>
      <c r="BM613" s="23"/>
    </row>
    <row r="614" spans="64:65" ht="15.75" customHeight="1">
      <c r="BL614" s="23"/>
      <c r="BM614" s="23"/>
    </row>
    <row r="615" spans="64:65" ht="15.75" customHeight="1">
      <c r="BL615" s="23"/>
      <c r="BM615" s="23"/>
    </row>
    <row r="616" spans="64:65" ht="15.75" customHeight="1">
      <c r="BL616" s="23"/>
      <c r="BM616" s="23"/>
    </row>
    <row r="617" spans="64:65" ht="15.75" customHeight="1">
      <c r="BL617" s="23"/>
      <c r="BM617" s="23"/>
    </row>
    <row r="618" spans="64:65" ht="15.75" customHeight="1">
      <c r="BL618" s="23"/>
      <c r="BM618" s="23"/>
    </row>
    <row r="619" spans="64:65" ht="15.75" customHeight="1">
      <c r="BL619" s="23"/>
      <c r="BM619" s="23"/>
    </row>
    <row r="620" spans="64:65" ht="15.75" customHeight="1">
      <c r="BL620" s="23"/>
      <c r="BM620" s="23"/>
    </row>
    <row r="621" spans="64:65" ht="15.75" customHeight="1">
      <c r="BL621" s="23"/>
      <c r="BM621" s="23"/>
    </row>
    <row r="622" spans="64:65" ht="15.75" customHeight="1">
      <c r="BL622" s="23"/>
      <c r="BM622" s="23"/>
    </row>
    <row r="623" spans="64:65" ht="15.75" customHeight="1">
      <c r="BL623" s="23"/>
      <c r="BM623" s="23"/>
    </row>
    <row r="624" spans="64:65" ht="15.75" customHeight="1">
      <c r="BL624" s="23"/>
      <c r="BM624" s="23"/>
    </row>
    <row r="625" spans="64:65" ht="15.75" customHeight="1">
      <c r="BL625" s="23"/>
      <c r="BM625" s="23"/>
    </row>
    <row r="626" spans="64:65" ht="15.75" customHeight="1">
      <c r="BL626" s="23"/>
      <c r="BM626" s="23"/>
    </row>
    <row r="627" spans="64:65" ht="15.75" customHeight="1">
      <c r="BL627" s="23"/>
      <c r="BM627" s="23"/>
    </row>
    <row r="628" spans="64:65" ht="15.75" customHeight="1">
      <c r="BL628" s="23"/>
      <c r="BM628" s="23"/>
    </row>
    <row r="629" spans="64:65" ht="15.75" customHeight="1">
      <c r="BL629" s="23"/>
      <c r="BM629" s="23"/>
    </row>
    <row r="630" spans="64:65" ht="15.75" customHeight="1">
      <c r="BL630" s="23"/>
      <c r="BM630" s="23"/>
    </row>
    <row r="631" spans="64:65" ht="15.75" customHeight="1">
      <c r="BL631" s="23"/>
      <c r="BM631" s="23"/>
    </row>
    <row r="632" spans="64:65" ht="15.75" customHeight="1">
      <c r="BL632" s="23"/>
      <c r="BM632" s="23"/>
    </row>
    <row r="633" spans="64:65" ht="15.75" customHeight="1">
      <c r="BL633" s="23"/>
      <c r="BM633" s="23"/>
    </row>
    <row r="634" spans="64:65" ht="15.75" customHeight="1">
      <c r="BL634" s="23"/>
      <c r="BM634" s="23"/>
    </row>
    <row r="635" spans="64:65" ht="15.75" customHeight="1">
      <c r="BL635" s="23"/>
      <c r="BM635" s="23"/>
    </row>
    <row r="636" spans="64:65" ht="15.75" customHeight="1">
      <c r="BL636" s="23"/>
      <c r="BM636" s="23"/>
    </row>
    <row r="637" spans="64:65" ht="15.75" customHeight="1">
      <c r="BL637" s="23"/>
      <c r="BM637" s="23"/>
    </row>
    <row r="638" spans="64:65" ht="15.75" customHeight="1">
      <c r="BL638" s="23"/>
      <c r="BM638" s="23"/>
    </row>
    <row r="639" spans="64:65" ht="15.75" customHeight="1">
      <c r="BL639" s="23"/>
      <c r="BM639" s="23"/>
    </row>
    <row r="640" spans="64:65" ht="15.75" customHeight="1">
      <c r="BL640" s="23"/>
      <c r="BM640" s="23"/>
    </row>
    <row r="641" spans="64:65" ht="15.75" customHeight="1">
      <c r="BL641" s="23"/>
      <c r="BM641" s="23"/>
    </row>
    <row r="642" spans="64:65" ht="15.75" customHeight="1">
      <c r="BL642" s="23"/>
      <c r="BM642" s="23"/>
    </row>
    <row r="643" spans="64:65" ht="15.75" customHeight="1">
      <c r="BL643" s="23"/>
      <c r="BM643" s="23"/>
    </row>
    <row r="644" spans="64:65" ht="15.75" customHeight="1">
      <c r="BL644" s="23"/>
      <c r="BM644" s="23"/>
    </row>
    <row r="645" spans="64:65" ht="15.75" customHeight="1">
      <c r="BL645" s="23"/>
      <c r="BM645" s="23"/>
    </row>
    <row r="646" spans="64:65" ht="15.75" customHeight="1">
      <c r="BL646" s="23"/>
      <c r="BM646" s="23"/>
    </row>
    <row r="647" spans="64:65" ht="15.75" customHeight="1">
      <c r="BL647" s="23"/>
      <c r="BM647" s="23"/>
    </row>
    <row r="648" spans="64:65" ht="15.75" customHeight="1">
      <c r="BL648" s="23"/>
      <c r="BM648" s="23"/>
    </row>
    <row r="649" spans="64:65" ht="15.75" customHeight="1">
      <c r="BL649" s="23"/>
      <c r="BM649" s="23"/>
    </row>
    <row r="650" spans="64:65" ht="15.75" customHeight="1">
      <c r="BL650" s="23"/>
      <c r="BM650" s="23"/>
    </row>
    <row r="651" spans="64:65" ht="15.75" customHeight="1">
      <c r="BL651" s="23"/>
      <c r="BM651" s="23"/>
    </row>
    <row r="652" spans="64:65" ht="15.75" customHeight="1">
      <c r="BL652" s="23"/>
      <c r="BM652" s="23"/>
    </row>
    <row r="653" spans="64:65" ht="15.75" customHeight="1">
      <c r="BL653" s="23"/>
      <c r="BM653" s="23"/>
    </row>
    <row r="654" spans="64:65" ht="15.75" customHeight="1">
      <c r="BL654" s="23"/>
      <c r="BM654" s="23"/>
    </row>
    <row r="655" spans="64:65" ht="15.75" customHeight="1">
      <c r="BL655" s="23"/>
      <c r="BM655" s="23"/>
    </row>
    <row r="656" spans="64:65" ht="15.75" customHeight="1">
      <c r="BL656" s="23"/>
      <c r="BM656" s="23"/>
    </row>
    <row r="657" spans="64:65" ht="15.75" customHeight="1">
      <c r="BL657" s="23"/>
      <c r="BM657" s="23"/>
    </row>
    <row r="658" spans="64:65" ht="15.75" customHeight="1">
      <c r="BL658" s="23"/>
      <c r="BM658" s="23"/>
    </row>
    <row r="659" spans="64:65" ht="15.75" customHeight="1">
      <c r="BL659" s="23"/>
      <c r="BM659" s="23"/>
    </row>
    <row r="660" spans="64:65" ht="15.75" customHeight="1">
      <c r="BL660" s="23"/>
      <c r="BM660" s="23"/>
    </row>
    <row r="661" spans="64:65" ht="15.75" customHeight="1">
      <c r="BL661" s="23"/>
      <c r="BM661" s="23"/>
    </row>
    <row r="662" spans="64:65" ht="15.75" customHeight="1">
      <c r="BL662" s="23"/>
      <c r="BM662" s="23"/>
    </row>
    <row r="663" spans="64:65" ht="15.75" customHeight="1">
      <c r="BL663" s="23"/>
      <c r="BM663" s="23"/>
    </row>
    <row r="664" spans="64:65" ht="15.75" customHeight="1">
      <c r="BL664" s="23"/>
      <c r="BM664" s="23"/>
    </row>
    <row r="665" spans="64:65" ht="15.75" customHeight="1">
      <c r="BL665" s="23"/>
      <c r="BM665" s="23"/>
    </row>
    <row r="666" spans="64:65" ht="15.75" customHeight="1">
      <c r="BL666" s="23"/>
      <c r="BM666" s="23"/>
    </row>
    <row r="667" spans="64:65" ht="15.75" customHeight="1">
      <c r="BL667" s="23"/>
      <c r="BM667" s="23"/>
    </row>
    <row r="668" spans="64:65" ht="15.75" customHeight="1">
      <c r="BL668" s="23"/>
      <c r="BM668" s="23"/>
    </row>
    <row r="669" spans="64:65" ht="15.75" customHeight="1">
      <c r="BL669" s="23"/>
      <c r="BM669" s="23"/>
    </row>
    <row r="670" spans="64:65" ht="15.75" customHeight="1">
      <c r="BL670" s="23"/>
      <c r="BM670" s="23"/>
    </row>
    <row r="671" spans="64:65" ht="15.75" customHeight="1">
      <c r="BL671" s="23"/>
      <c r="BM671" s="23"/>
    </row>
    <row r="672" spans="64:65" ht="15.75" customHeight="1">
      <c r="BL672" s="23"/>
      <c r="BM672" s="23"/>
    </row>
    <row r="673" spans="64:65" ht="15.75" customHeight="1">
      <c r="BL673" s="23"/>
      <c r="BM673" s="23"/>
    </row>
    <row r="674" spans="64:65" ht="15.75" customHeight="1">
      <c r="BL674" s="23"/>
      <c r="BM674" s="23"/>
    </row>
    <row r="675" spans="64:65" ht="15.75" customHeight="1">
      <c r="BL675" s="23"/>
      <c r="BM675" s="23"/>
    </row>
    <row r="676" spans="64:65" ht="15.75" customHeight="1">
      <c r="BL676" s="23"/>
      <c r="BM676" s="23"/>
    </row>
    <row r="677" spans="64:65" ht="15.75" customHeight="1">
      <c r="BL677" s="23"/>
      <c r="BM677" s="23"/>
    </row>
    <row r="678" spans="64:65" ht="15.75" customHeight="1">
      <c r="BL678" s="23"/>
      <c r="BM678" s="23"/>
    </row>
    <row r="679" spans="64:65" ht="15.75" customHeight="1">
      <c r="BL679" s="23"/>
      <c r="BM679" s="23"/>
    </row>
    <row r="680" spans="64:65" ht="15.75" customHeight="1">
      <c r="BL680" s="23"/>
      <c r="BM680" s="23"/>
    </row>
    <row r="681" spans="64:65" ht="15.75" customHeight="1">
      <c r="BL681" s="23"/>
      <c r="BM681" s="23"/>
    </row>
    <row r="682" spans="64:65" ht="15.75" customHeight="1">
      <c r="BL682" s="23"/>
      <c r="BM682" s="23"/>
    </row>
    <row r="683" spans="64:65" ht="15.75" customHeight="1">
      <c r="BL683" s="23"/>
      <c r="BM683" s="23"/>
    </row>
    <row r="684" spans="64:65" ht="15.75" customHeight="1">
      <c r="BL684" s="23"/>
      <c r="BM684" s="23"/>
    </row>
    <row r="685" spans="64:65" ht="15.75" customHeight="1">
      <c r="BL685" s="23"/>
      <c r="BM685" s="23"/>
    </row>
    <row r="686" spans="64:65" ht="15.75" customHeight="1">
      <c r="BL686" s="23"/>
      <c r="BM686" s="23"/>
    </row>
    <row r="687" spans="64:65" ht="15.75" customHeight="1">
      <c r="BL687" s="23"/>
      <c r="BM687" s="23"/>
    </row>
    <row r="688" spans="64:65" ht="15.75" customHeight="1">
      <c r="BL688" s="23"/>
      <c r="BM688" s="23"/>
    </row>
    <row r="689" spans="64:65" ht="15.75" customHeight="1">
      <c r="BL689" s="23"/>
      <c r="BM689" s="23"/>
    </row>
    <row r="690" spans="64:65" ht="15.75" customHeight="1">
      <c r="BL690" s="23"/>
      <c r="BM690" s="23"/>
    </row>
    <row r="691" spans="64:65" ht="15.75" customHeight="1">
      <c r="BL691" s="23"/>
      <c r="BM691" s="23"/>
    </row>
    <row r="692" spans="64:65" ht="15.75" customHeight="1">
      <c r="BL692" s="23"/>
      <c r="BM692" s="23"/>
    </row>
    <row r="693" spans="64:65" ht="15.75" customHeight="1">
      <c r="BL693" s="23"/>
      <c r="BM693" s="23"/>
    </row>
    <row r="694" spans="64:65" ht="15.75" customHeight="1">
      <c r="BL694" s="23"/>
      <c r="BM694" s="23"/>
    </row>
    <row r="695" spans="64:65" ht="15.75" customHeight="1">
      <c r="BL695" s="23"/>
      <c r="BM695" s="23"/>
    </row>
    <row r="696" spans="64:65" ht="15.75" customHeight="1">
      <c r="BL696" s="23"/>
      <c r="BM696" s="23"/>
    </row>
    <row r="697" spans="64:65" ht="15.75" customHeight="1">
      <c r="BL697" s="23"/>
      <c r="BM697" s="23"/>
    </row>
    <row r="698" spans="64:65" ht="15.75" customHeight="1">
      <c r="BL698" s="23"/>
      <c r="BM698" s="23"/>
    </row>
    <row r="699" spans="64:65" ht="15.75" customHeight="1">
      <c r="BL699" s="23"/>
      <c r="BM699" s="23"/>
    </row>
    <row r="700" spans="64:65" ht="15.75" customHeight="1">
      <c r="BL700" s="23"/>
      <c r="BM700" s="23"/>
    </row>
    <row r="701" spans="64:65" ht="15.75" customHeight="1">
      <c r="BL701" s="23"/>
      <c r="BM701" s="23"/>
    </row>
    <row r="702" spans="64:65" ht="15.75" customHeight="1">
      <c r="BL702" s="23"/>
      <c r="BM702" s="23"/>
    </row>
    <row r="703" spans="64:65" ht="15.75" customHeight="1">
      <c r="BL703" s="23"/>
      <c r="BM703" s="23"/>
    </row>
    <row r="704" spans="64:65" ht="15.75" customHeight="1">
      <c r="BL704" s="23"/>
      <c r="BM704" s="23"/>
    </row>
    <row r="705" spans="64:65" ht="15.75" customHeight="1">
      <c r="BL705" s="23"/>
      <c r="BM705" s="23"/>
    </row>
    <row r="706" spans="64:65" ht="15.75" customHeight="1">
      <c r="BL706" s="23"/>
      <c r="BM706" s="23"/>
    </row>
    <row r="707" spans="64:65" ht="15.75" customHeight="1">
      <c r="BL707" s="23"/>
      <c r="BM707" s="23"/>
    </row>
    <row r="708" spans="64:65" ht="15.75" customHeight="1">
      <c r="BL708" s="23"/>
      <c r="BM708" s="23"/>
    </row>
    <row r="709" spans="64:65" ht="15.75" customHeight="1">
      <c r="BL709" s="23"/>
      <c r="BM709" s="23"/>
    </row>
    <row r="710" spans="64:65" ht="15.75" customHeight="1">
      <c r="BL710" s="23"/>
      <c r="BM710" s="23"/>
    </row>
    <row r="711" spans="64:65" ht="15.75" customHeight="1">
      <c r="BL711" s="23"/>
      <c r="BM711" s="23"/>
    </row>
    <row r="712" spans="64:65" ht="15.75" customHeight="1">
      <c r="BL712" s="23"/>
      <c r="BM712" s="23"/>
    </row>
    <row r="713" spans="64:65" ht="15.75" customHeight="1">
      <c r="BL713" s="23"/>
      <c r="BM713" s="23"/>
    </row>
    <row r="714" spans="64:65" ht="15.75" customHeight="1">
      <c r="BL714" s="23"/>
      <c r="BM714" s="23"/>
    </row>
    <row r="715" spans="64:65" ht="15.75" customHeight="1">
      <c r="BL715" s="23"/>
      <c r="BM715" s="23"/>
    </row>
    <row r="716" spans="64:65" ht="15.75" customHeight="1">
      <c r="BL716" s="23"/>
      <c r="BM716" s="23"/>
    </row>
    <row r="717" spans="64:65" ht="15.75" customHeight="1">
      <c r="BL717" s="23"/>
      <c r="BM717" s="23"/>
    </row>
    <row r="718" spans="64:65" ht="15.75" customHeight="1">
      <c r="BL718" s="23"/>
      <c r="BM718" s="23"/>
    </row>
    <row r="719" spans="64:65" ht="15.75" customHeight="1">
      <c r="BL719" s="23"/>
      <c r="BM719" s="23"/>
    </row>
    <row r="720" spans="64:65" ht="15.75" customHeight="1">
      <c r="BL720" s="23"/>
      <c r="BM720" s="23"/>
    </row>
    <row r="721" spans="64:65" ht="15.75" customHeight="1">
      <c r="BL721" s="23"/>
      <c r="BM721" s="23"/>
    </row>
    <row r="722" spans="64:65" ht="15.75" customHeight="1">
      <c r="BL722" s="23"/>
      <c r="BM722" s="23"/>
    </row>
    <row r="723" spans="64:65" ht="15.75" customHeight="1">
      <c r="BL723" s="23"/>
      <c r="BM723" s="23"/>
    </row>
    <row r="724" spans="64:65" ht="15.75" customHeight="1">
      <c r="BL724" s="23"/>
      <c r="BM724" s="23"/>
    </row>
    <row r="725" spans="64:65" ht="15.75" customHeight="1">
      <c r="BL725" s="23"/>
      <c r="BM725" s="23"/>
    </row>
    <row r="726" spans="64:65" ht="15.75" customHeight="1">
      <c r="BL726" s="23"/>
      <c r="BM726" s="23"/>
    </row>
    <row r="727" spans="64:65" ht="15.75" customHeight="1">
      <c r="BL727" s="23"/>
      <c r="BM727" s="23"/>
    </row>
    <row r="728" spans="64:65" ht="15.75" customHeight="1">
      <c r="BL728" s="23"/>
      <c r="BM728" s="23"/>
    </row>
    <row r="729" spans="64:65" ht="15.75" customHeight="1">
      <c r="BL729" s="23"/>
      <c r="BM729" s="23"/>
    </row>
    <row r="730" spans="64:65" ht="15.75" customHeight="1">
      <c r="BL730" s="23"/>
      <c r="BM730" s="23"/>
    </row>
    <row r="731" spans="64:65" ht="15.75" customHeight="1">
      <c r="BL731" s="23"/>
      <c r="BM731" s="23"/>
    </row>
    <row r="732" spans="64:65" ht="15.75" customHeight="1">
      <c r="BL732" s="23"/>
      <c r="BM732" s="23"/>
    </row>
    <row r="733" spans="64:65" ht="15.75" customHeight="1">
      <c r="BL733" s="23"/>
      <c r="BM733" s="23"/>
    </row>
    <row r="734" spans="64:65" ht="15.75" customHeight="1">
      <c r="BL734" s="23"/>
      <c r="BM734" s="23"/>
    </row>
    <row r="735" spans="64:65" ht="15.75" customHeight="1">
      <c r="BL735" s="23"/>
      <c r="BM735" s="23"/>
    </row>
    <row r="736" spans="64:65" ht="15.75" customHeight="1">
      <c r="BL736" s="23"/>
      <c r="BM736" s="23"/>
    </row>
    <row r="737" spans="64:65" ht="15.75" customHeight="1">
      <c r="BL737" s="23"/>
      <c r="BM737" s="23"/>
    </row>
    <row r="738" spans="64:65" ht="15.75" customHeight="1">
      <c r="BL738" s="23"/>
      <c r="BM738" s="23"/>
    </row>
    <row r="739" spans="64:65" ht="15.75" customHeight="1">
      <c r="BL739" s="23"/>
      <c r="BM739" s="23"/>
    </row>
    <row r="740" spans="64:65" ht="15.75" customHeight="1">
      <c r="BL740" s="23"/>
      <c r="BM740" s="23"/>
    </row>
    <row r="741" spans="64:65" ht="15.75" customHeight="1">
      <c r="BL741" s="23"/>
      <c r="BM741" s="23"/>
    </row>
    <row r="742" spans="64:65" ht="15.75" customHeight="1">
      <c r="BL742" s="23"/>
      <c r="BM742" s="23"/>
    </row>
    <row r="743" spans="64:65" ht="15.75" customHeight="1">
      <c r="BL743" s="23"/>
      <c r="BM743" s="23"/>
    </row>
    <row r="744" spans="64:65" ht="15.75" customHeight="1">
      <c r="BL744" s="23"/>
      <c r="BM744" s="23"/>
    </row>
    <row r="745" spans="64:65" ht="15.75" customHeight="1">
      <c r="BL745" s="23"/>
      <c r="BM745" s="23"/>
    </row>
    <row r="746" spans="64:65" ht="15.75" customHeight="1">
      <c r="BL746" s="23"/>
      <c r="BM746" s="23"/>
    </row>
    <row r="747" spans="64:65" ht="15.75" customHeight="1">
      <c r="BL747" s="23"/>
      <c r="BM747" s="23"/>
    </row>
    <row r="748" spans="64:65" ht="15.75" customHeight="1">
      <c r="BL748" s="23"/>
      <c r="BM748" s="23"/>
    </row>
    <row r="749" spans="64:65" ht="15.75" customHeight="1">
      <c r="BL749" s="23"/>
      <c r="BM749" s="23"/>
    </row>
    <row r="750" spans="64:65" ht="15.75" customHeight="1">
      <c r="BL750" s="23"/>
      <c r="BM750" s="23"/>
    </row>
    <row r="751" spans="64:65" ht="15.75" customHeight="1">
      <c r="BL751" s="23"/>
      <c r="BM751" s="23"/>
    </row>
    <row r="752" spans="64:65" ht="15.75" customHeight="1">
      <c r="BL752" s="23"/>
      <c r="BM752" s="23"/>
    </row>
    <row r="753" spans="64:65" ht="15.75" customHeight="1">
      <c r="BL753" s="23"/>
      <c r="BM753" s="23"/>
    </row>
    <row r="754" spans="64:65" ht="15.75" customHeight="1">
      <c r="BL754" s="23"/>
      <c r="BM754" s="23"/>
    </row>
    <row r="755" spans="64:65" ht="15.75" customHeight="1">
      <c r="BL755" s="23"/>
      <c r="BM755" s="23"/>
    </row>
    <row r="756" spans="64:65" ht="15.75" customHeight="1">
      <c r="BL756" s="23"/>
      <c r="BM756" s="23"/>
    </row>
    <row r="757" spans="64:65" ht="15.75" customHeight="1">
      <c r="BL757" s="23"/>
      <c r="BM757" s="23"/>
    </row>
    <row r="758" spans="64:65" ht="15.75" customHeight="1">
      <c r="BL758" s="23"/>
      <c r="BM758" s="23"/>
    </row>
    <row r="759" spans="64:65" ht="15.75" customHeight="1">
      <c r="BL759" s="23"/>
      <c r="BM759" s="23"/>
    </row>
    <row r="760" spans="64:65" ht="15.75" customHeight="1">
      <c r="BL760" s="23"/>
      <c r="BM760" s="23"/>
    </row>
    <row r="761" spans="64:65" ht="15.75" customHeight="1">
      <c r="BL761" s="23"/>
      <c r="BM761" s="23"/>
    </row>
    <row r="762" spans="64:65" ht="15.75" customHeight="1">
      <c r="BL762" s="23"/>
      <c r="BM762" s="23"/>
    </row>
    <row r="763" spans="64:65" ht="15.75" customHeight="1">
      <c r="BL763" s="23"/>
      <c r="BM763" s="23"/>
    </row>
    <row r="764" spans="64:65" ht="15.75" customHeight="1">
      <c r="BL764" s="23"/>
      <c r="BM764" s="23"/>
    </row>
    <row r="765" spans="64:65" ht="15.75" customHeight="1">
      <c r="BL765" s="23"/>
      <c r="BM765" s="23"/>
    </row>
    <row r="766" spans="64:65" ht="15.75" customHeight="1">
      <c r="BL766" s="23"/>
      <c r="BM766" s="23"/>
    </row>
    <row r="767" spans="64:65" ht="15.75" customHeight="1">
      <c r="BL767" s="23"/>
      <c r="BM767" s="23"/>
    </row>
    <row r="768" spans="64:65" ht="15.75" customHeight="1">
      <c r="BL768" s="23"/>
      <c r="BM768" s="23"/>
    </row>
    <row r="769" spans="64:65" ht="15.75" customHeight="1">
      <c r="BL769" s="23"/>
      <c r="BM769" s="23"/>
    </row>
    <row r="770" spans="64:65" ht="15.75" customHeight="1">
      <c r="BL770" s="23"/>
      <c r="BM770" s="23"/>
    </row>
    <row r="771" spans="64:65" ht="15.75" customHeight="1">
      <c r="BL771" s="23"/>
      <c r="BM771" s="23"/>
    </row>
    <row r="772" spans="64:65" ht="15.75" customHeight="1">
      <c r="BL772" s="23"/>
      <c r="BM772" s="23"/>
    </row>
    <row r="773" spans="64:65" ht="15.75" customHeight="1">
      <c r="BL773" s="23"/>
      <c r="BM773" s="23"/>
    </row>
    <row r="774" spans="64:65" ht="15.75" customHeight="1">
      <c r="BL774" s="23"/>
      <c r="BM774" s="23"/>
    </row>
    <row r="775" spans="64:65" ht="15.75" customHeight="1">
      <c r="BL775" s="23"/>
      <c r="BM775" s="23"/>
    </row>
    <row r="776" spans="64:65" ht="15.75" customHeight="1">
      <c r="BL776" s="23"/>
      <c r="BM776" s="23"/>
    </row>
    <row r="777" spans="64:65" ht="15.75" customHeight="1">
      <c r="BL777" s="23"/>
      <c r="BM777" s="23"/>
    </row>
    <row r="778" spans="64:65" ht="15.75" customHeight="1">
      <c r="BL778" s="23"/>
      <c r="BM778" s="23"/>
    </row>
    <row r="779" spans="64:65" ht="15.75" customHeight="1">
      <c r="BL779" s="23"/>
      <c r="BM779" s="23"/>
    </row>
    <row r="780" spans="64:65" ht="15.75" customHeight="1">
      <c r="BL780" s="23"/>
      <c r="BM780" s="23"/>
    </row>
    <row r="781" spans="64:65" ht="15.75" customHeight="1">
      <c r="BL781" s="23"/>
      <c r="BM781" s="23"/>
    </row>
    <row r="782" spans="64:65" ht="15.75" customHeight="1">
      <c r="BL782" s="23"/>
      <c r="BM782" s="23"/>
    </row>
    <row r="783" spans="64:65" ht="15.75" customHeight="1">
      <c r="BL783" s="23"/>
      <c r="BM783" s="23"/>
    </row>
    <row r="784" spans="64:65" ht="15.75" customHeight="1">
      <c r="BL784" s="23"/>
      <c r="BM784" s="23"/>
    </row>
    <row r="785" spans="64:65" ht="15.75" customHeight="1">
      <c r="BL785" s="23"/>
      <c r="BM785" s="23"/>
    </row>
    <row r="786" spans="64:65" ht="15.75" customHeight="1">
      <c r="BL786" s="23"/>
      <c r="BM786" s="23"/>
    </row>
    <row r="787" spans="64:65" ht="15.75" customHeight="1">
      <c r="BL787" s="23"/>
      <c r="BM787" s="23"/>
    </row>
    <row r="788" spans="64:65" ht="15.75" customHeight="1">
      <c r="BL788" s="23"/>
      <c r="BM788" s="23"/>
    </row>
    <row r="789" spans="64:65" ht="15.75" customHeight="1">
      <c r="BL789" s="23"/>
      <c r="BM789" s="23"/>
    </row>
    <row r="790" spans="64:65" ht="15.75" customHeight="1">
      <c r="BL790" s="23"/>
      <c r="BM790" s="23"/>
    </row>
    <row r="791" spans="64:65" ht="15.75" customHeight="1">
      <c r="BL791" s="23"/>
      <c r="BM791" s="23"/>
    </row>
    <row r="792" spans="64:65" ht="15.75" customHeight="1">
      <c r="BL792" s="23"/>
      <c r="BM792" s="23"/>
    </row>
    <row r="793" spans="64:65" ht="15.75" customHeight="1">
      <c r="BL793" s="23"/>
      <c r="BM793" s="23"/>
    </row>
    <row r="794" spans="64:65" ht="15.75" customHeight="1">
      <c r="BL794" s="23"/>
      <c r="BM794" s="23"/>
    </row>
    <row r="795" spans="64:65" ht="15.75" customHeight="1">
      <c r="BL795" s="23"/>
      <c r="BM795" s="23"/>
    </row>
    <row r="796" spans="64:65" ht="15.75" customHeight="1">
      <c r="BL796" s="23"/>
      <c r="BM796" s="23"/>
    </row>
    <row r="797" spans="64:65" ht="15.75" customHeight="1">
      <c r="BL797" s="23"/>
      <c r="BM797" s="23"/>
    </row>
    <row r="798" spans="64:65" ht="15.75" customHeight="1">
      <c r="BL798" s="23"/>
      <c r="BM798" s="23"/>
    </row>
    <row r="799" spans="64:65" ht="15.75" customHeight="1">
      <c r="BL799" s="23"/>
      <c r="BM799" s="23"/>
    </row>
    <row r="800" spans="64:65" ht="15.75" customHeight="1">
      <c r="BL800" s="23"/>
      <c r="BM800" s="23"/>
    </row>
    <row r="801" spans="64:65" ht="15.75" customHeight="1">
      <c r="BL801" s="23"/>
      <c r="BM801" s="23"/>
    </row>
    <row r="802" spans="64:65" ht="15.75" customHeight="1">
      <c r="BL802" s="23"/>
      <c r="BM802" s="23"/>
    </row>
    <row r="803" spans="64:65" ht="15.75" customHeight="1">
      <c r="BL803" s="23"/>
      <c r="BM803" s="23"/>
    </row>
    <row r="804" spans="64:65" ht="15.75" customHeight="1">
      <c r="BL804" s="23"/>
      <c r="BM804" s="23"/>
    </row>
    <row r="805" spans="64:65" ht="15.75" customHeight="1">
      <c r="BL805" s="23"/>
      <c r="BM805" s="23"/>
    </row>
    <row r="806" spans="64:65" ht="15.75" customHeight="1">
      <c r="BL806" s="23"/>
      <c r="BM806" s="23"/>
    </row>
    <row r="807" spans="64:65" ht="15.75" customHeight="1">
      <c r="BL807" s="23"/>
      <c r="BM807" s="23"/>
    </row>
    <row r="808" spans="64:65" ht="15.75" customHeight="1">
      <c r="BL808" s="23"/>
      <c r="BM808" s="23"/>
    </row>
    <row r="809" spans="64:65" ht="15.75" customHeight="1">
      <c r="BL809" s="23"/>
      <c r="BM809" s="23"/>
    </row>
    <row r="810" spans="64:65" ht="15.75" customHeight="1">
      <c r="BL810" s="23"/>
      <c r="BM810" s="23"/>
    </row>
    <row r="811" spans="64:65" ht="15.75" customHeight="1">
      <c r="BL811" s="23"/>
      <c r="BM811" s="23"/>
    </row>
    <row r="812" spans="64:65" ht="15.75" customHeight="1">
      <c r="BL812" s="23"/>
      <c r="BM812" s="23"/>
    </row>
    <row r="813" spans="64:65" ht="15.75" customHeight="1">
      <c r="BL813" s="23"/>
      <c r="BM813" s="23"/>
    </row>
    <row r="814" spans="64:65" ht="15.75" customHeight="1">
      <c r="BL814" s="23"/>
      <c r="BM814" s="23"/>
    </row>
    <row r="815" spans="64:65" ht="15.75" customHeight="1">
      <c r="BL815" s="23"/>
      <c r="BM815" s="23"/>
    </row>
    <row r="816" spans="64:65" ht="15.75" customHeight="1">
      <c r="BL816" s="23"/>
      <c r="BM816" s="23"/>
    </row>
    <row r="817" spans="64:65" ht="15.75" customHeight="1">
      <c r="BL817" s="23"/>
      <c r="BM817" s="23"/>
    </row>
    <row r="818" spans="64:65" ht="15.75" customHeight="1">
      <c r="BL818" s="23"/>
      <c r="BM818" s="23"/>
    </row>
    <row r="819" spans="64:65" ht="15.75" customHeight="1">
      <c r="BL819" s="23"/>
      <c r="BM819" s="23"/>
    </row>
    <row r="820" spans="64:65" ht="15.75" customHeight="1">
      <c r="BL820" s="23"/>
      <c r="BM820" s="23"/>
    </row>
    <row r="821" spans="64:65" ht="15.75" customHeight="1">
      <c r="BL821" s="23"/>
      <c r="BM821" s="23"/>
    </row>
    <row r="822" spans="64:65" ht="15.75" customHeight="1">
      <c r="BL822" s="23"/>
      <c r="BM822" s="23"/>
    </row>
    <row r="823" spans="64:65" ht="15.75" customHeight="1">
      <c r="BL823" s="23"/>
      <c r="BM823" s="23"/>
    </row>
    <row r="824" spans="64:65" ht="15.75" customHeight="1">
      <c r="BL824" s="23"/>
      <c r="BM824" s="23"/>
    </row>
    <row r="825" spans="64:65" ht="15.75" customHeight="1">
      <c r="BL825" s="23"/>
      <c r="BM825" s="23"/>
    </row>
    <row r="826" spans="64:65" ht="15.75" customHeight="1">
      <c r="BL826" s="23"/>
      <c r="BM826" s="23"/>
    </row>
    <row r="827" spans="64:65" ht="15.75" customHeight="1">
      <c r="BL827" s="23"/>
      <c r="BM827" s="23"/>
    </row>
    <row r="828" spans="64:65" ht="15.75" customHeight="1">
      <c r="BL828" s="23"/>
      <c r="BM828" s="23"/>
    </row>
    <row r="829" spans="64:65" ht="15.75" customHeight="1">
      <c r="BL829" s="23"/>
      <c r="BM829" s="23"/>
    </row>
    <row r="830" spans="64:65" ht="15.75" customHeight="1">
      <c r="BL830" s="23"/>
      <c r="BM830" s="23"/>
    </row>
    <row r="831" spans="64:65" ht="15.75" customHeight="1">
      <c r="BL831" s="23"/>
      <c r="BM831" s="23"/>
    </row>
    <row r="832" spans="64:65" ht="15.75" customHeight="1">
      <c r="BL832" s="23"/>
      <c r="BM832" s="23"/>
    </row>
    <row r="833" spans="64:65" ht="15.75" customHeight="1">
      <c r="BL833" s="23"/>
      <c r="BM833" s="23"/>
    </row>
    <row r="834" spans="64:65" ht="15.75" customHeight="1">
      <c r="BL834" s="23"/>
      <c r="BM834" s="23"/>
    </row>
    <row r="835" spans="64:65" ht="15.75" customHeight="1">
      <c r="BL835" s="23"/>
      <c r="BM835" s="23"/>
    </row>
    <row r="836" spans="64:65" ht="15.75" customHeight="1">
      <c r="BL836" s="23"/>
      <c r="BM836" s="23"/>
    </row>
    <row r="837" spans="64:65" ht="15.75" customHeight="1">
      <c r="BL837" s="23"/>
      <c r="BM837" s="23"/>
    </row>
    <row r="838" spans="64:65" ht="15.75" customHeight="1">
      <c r="BL838" s="23"/>
      <c r="BM838" s="23"/>
    </row>
    <row r="839" spans="64:65" ht="15.75" customHeight="1">
      <c r="BL839" s="23"/>
      <c r="BM839" s="23"/>
    </row>
    <row r="840" spans="64:65" ht="15.75" customHeight="1">
      <c r="BL840" s="23"/>
      <c r="BM840" s="23"/>
    </row>
    <row r="841" spans="64:65" ht="15.75" customHeight="1">
      <c r="BL841" s="23"/>
      <c r="BM841" s="23"/>
    </row>
    <row r="842" spans="64:65" ht="15.75" customHeight="1">
      <c r="BL842" s="23"/>
      <c r="BM842" s="23"/>
    </row>
    <row r="843" spans="64:65" ht="15.75" customHeight="1">
      <c r="BL843" s="23"/>
      <c r="BM843" s="23"/>
    </row>
    <row r="844" spans="64:65" ht="15.75" customHeight="1">
      <c r="BL844" s="23"/>
      <c r="BM844" s="23"/>
    </row>
    <row r="845" spans="64:65" ht="15.75" customHeight="1">
      <c r="BL845" s="23"/>
      <c r="BM845" s="23"/>
    </row>
    <row r="846" spans="64:65" ht="15.75" customHeight="1">
      <c r="BL846" s="23"/>
      <c r="BM846" s="23"/>
    </row>
    <row r="847" spans="64:65" ht="15.75" customHeight="1">
      <c r="BL847" s="23"/>
      <c r="BM847" s="23"/>
    </row>
    <row r="848" spans="64:65" ht="15.75" customHeight="1">
      <c r="BL848" s="23"/>
      <c r="BM848" s="23"/>
    </row>
    <row r="849" spans="64:65" ht="15.75" customHeight="1">
      <c r="BL849" s="23"/>
      <c r="BM849" s="23"/>
    </row>
    <row r="850" spans="64:65" ht="15.75" customHeight="1">
      <c r="BL850" s="23"/>
      <c r="BM850" s="23"/>
    </row>
    <row r="851" spans="64:65" ht="15.75" customHeight="1">
      <c r="BL851" s="23"/>
      <c r="BM851" s="23"/>
    </row>
    <row r="852" spans="64:65" ht="15.75" customHeight="1">
      <c r="BL852" s="23"/>
      <c r="BM852" s="23"/>
    </row>
    <row r="853" spans="64:65" ht="15.75" customHeight="1">
      <c r="BL853" s="23"/>
      <c r="BM853" s="23"/>
    </row>
    <row r="854" spans="64:65" ht="15.75" customHeight="1">
      <c r="BL854" s="23"/>
      <c r="BM854" s="23"/>
    </row>
    <row r="855" spans="64:65" ht="15.75" customHeight="1">
      <c r="BL855" s="23"/>
      <c r="BM855" s="23"/>
    </row>
    <row r="856" spans="64:65" ht="15.75" customHeight="1">
      <c r="BL856" s="23"/>
      <c r="BM856" s="23"/>
    </row>
    <row r="857" spans="64:65" ht="15.75" customHeight="1">
      <c r="BL857" s="23"/>
      <c r="BM857" s="23"/>
    </row>
    <row r="858" spans="64:65" ht="15.75" customHeight="1">
      <c r="BL858" s="23"/>
      <c r="BM858" s="23"/>
    </row>
    <row r="859" spans="64:65" ht="15.75" customHeight="1">
      <c r="BL859" s="23"/>
      <c r="BM859" s="23"/>
    </row>
    <row r="860" spans="64:65" ht="15.75" customHeight="1">
      <c r="BL860" s="23"/>
      <c r="BM860" s="23"/>
    </row>
    <row r="861" spans="64:65" ht="15.75" customHeight="1">
      <c r="BL861" s="23"/>
      <c r="BM861" s="23"/>
    </row>
    <row r="862" spans="64:65" ht="15.75" customHeight="1">
      <c r="BL862" s="23"/>
      <c r="BM862" s="23"/>
    </row>
    <row r="863" spans="64:65" ht="15.75" customHeight="1">
      <c r="BL863" s="23"/>
      <c r="BM863" s="23"/>
    </row>
    <row r="864" spans="64:65" ht="15.75" customHeight="1">
      <c r="BL864" s="23"/>
      <c r="BM864" s="23"/>
    </row>
    <row r="865" spans="64:65" ht="15.75" customHeight="1">
      <c r="BL865" s="23"/>
      <c r="BM865" s="23"/>
    </row>
    <row r="866" spans="64:65" ht="15.75" customHeight="1">
      <c r="BL866" s="23"/>
      <c r="BM866" s="23"/>
    </row>
    <row r="867" spans="64:65" ht="15.75" customHeight="1">
      <c r="BL867" s="23"/>
      <c r="BM867" s="23"/>
    </row>
    <row r="868" spans="64:65" ht="15.75" customHeight="1">
      <c r="BL868" s="23"/>
      <c r="BM868" s="23"/>
    </row>
    <row r="869" spans="64:65" ht="15.75" customHeight="1">
      <c r="BL869" s="23"/>
      <c r="BM869" s="23"/>
    </row>
    <row r="870" spans="64:65" ht="15.75" customHeight="1">
      <c r="BL870" s="23"/>
      <c r="BM870" s="23"/>
    </row>
    <row r="871" spans="64:65" ht="15.75" customHeight="1">
      <c r="BL871" s="23"/>
      <c r="BM871" s="23"/>
    </row>
    <row r="872" spans="64:65" ht="15.75" customHeight="1">
      <c r="BL872" s="23"/>
      <c r="BM872" s="23"/>
    </row>
    <row r="873" spans="64:65" ht="15.75" customHeight="1">
      <c r="BL873" s="23"/>
      <c r="BM873" s="23"/>
    </row>
    <row r="874" spans="64:65" ht="15.75" customHeight="1">
      <c r="BL874" s="23"/>
      <c r="BM874" s="23"/>
    </row>
    <row r="875" spans="64:65" ht="15.75" customHeight="1">
      <c r="BL875" s="23"/>
      <c r="BM875" s="23"/>
    </row>
    <row r="876" spans="64:65" ht="15.75" customHeight="1">
      <c r="BL876" s="23"/>
      <c r="BM876" s="23"/>
    </row>
    <row r="877" spans="64:65" ht="15.75" customHeight="1">
      <c r="BL877" s="23"/>
      <c r="BM877" s="23"/>
    </row>
    <row r="878" spans="64:65" ht="15.75" customHeight="1">
      <c r="BL878" s="23"/>
      <c r="BM878" s="23"/>
    </row>
    <row r="879" spans="64:65" ht="15.75" customHeight="1">
      <c r="BL879" s="23"/>
      <c r="BM879" s="23"/>
    </row>
    <row r="880" spans="64:65" ht="15.75" customHeight="1">
      <c r="BL880" s="23"/>
      <c r="BM880" s="23"/>
    </row>
    <row r="881" spans="64:65" ht="15.75" customHeight="1">
      <c r="BL881" s="23"/>
      <c r="BM881" s="23"/>
    </row>
    <row r="882" spans="64:65" ht="15.75" customHeight="1">
      <c r="BL882" s="23"/>
      <c r="BM882" s="23"/>
    </row>
    <row r="883" spans="64:65" ht="15.75" customHeight="1">
      <c r="BL883" s="23"/>
      <c r="BM883" s="23"/>
    </row>
    <row r="884" spans="64:65" ht="15.75" customHeight="1">
      <c r="BL884" s="23"/>
      <c r="BM884" s="23"/>
    </row>
    <row r="885" spans="64:65" ht="15.75" customHeight="1">
      <c r="BL885" s="23"/>
      <c r="BM885" s="23"/>
    </row>
    <row r="886" spans="64:65" ht="15.75" customHeight="1">
      <c r="BL886" s="23"/>
      <c r="BM886" s="23"/>
    </row>
    <row r="887" spans="64:65" ht="15.75" customHeight="1">
      <c r="BL887" s="23"/>
      <c r="BM887" s="23"/>
    </row>
    <row r="888" spans="64:65" ht="15.75" customHeight="1">
      <c r="BL888" s="23"/>
      <c r="BM888" s="23"/>
    </row>
    <row r="889" spans="64:65" ht="15.75" customHeight="1">
      <c r="BL889" s="23"/>
      <c r="BM889" s="23"/>
    </row>
    <row r="890" spans="64:65" ht="15.75" customHeight="1">
      <c r="BL890" s="23"/>
      <c r="BM890" s="23"/>
    </row>
    <row r="891" spans="64:65" ht="15.75" customHeight="1">
      <c r="BL891" s="23"/>
      <c r="BM891" s="23"/>
    </row>
    <row r="892" spans="64:65" ht="15.75" customHeight="1">
      <c r="BL892" s="23"/>
      <c r="BM892" s="23"/>
    </row>
    <row r="893" spans="64:65" ht="15.75" customHeight="1">
      <c r="BL893" s="23"/>
      <c r="BM893" s="23"/>
    </row>
    <row r="894" spans="64:65" ht="15.75" customHeight="1">
      <c r="BL894" s="23"/>
      <c r="BM894" s="23"/>
    </row>
    <row r="895" spans="64:65" ht="15.75" customHeight="1">
      <c r="BL895" s="23"/>
      <c r="BM895" s="23"/>
    </row>
    <row r="896" spans="64:65" ht="15.75" customHeight="1">
      <c r="BL896" s="23"/>
      <c r="BM896" s="23"/>
    </row>
    <row r="897" spans="64:65" ht="15.75" customHeight="1">
      <c r="BL897" s="23"/>
      <c r="BM897" s="23"/>
    </row>
    <row r="898" spans="64:65" ht="15.75" customHeight="1">
      <c r="BL898" s="23"/>
      <c r="BM898" s="23"/>
    </row>
    <row r="899" spans="64:65" ht="15.75" customHeight="1">
      <c r="BL899" s="23"/>
      <c r="BM899" s="23"/>
    </row>
    <row r="900" spans="64:65" ht="15.75" customHeight="1">
      <c r="BL900" s="23"/>
      <c r="BM900" s="23"/>
    </row>
    <row r="901" spans="64:65" ht="15.75" customHeight="1">
      <c r="BL901" s="23"/>
      <c r="BM901" s="23"/>
    </row>
    <row r="902" spans="64:65" ht="15.75" customHeight="1">
      <c r="BL902" s="23"/>
      <c r="BM902" s="23"/>
    </row>
    <row r="903" spans="64:65" ht="15.75" customHeight="1">
      <c r="BL903" s="23"/>
      <c r="BM903" s="23"/>
    </row>
    <row r="904" spans="64:65" ht="15.75" customHeight="1">
      <c r="BL904" s="23"/>
      <c r="BM904" s="23"/>
    </row>
    <row r="905" spans="64:65" ht="15.75" customHeight="1">
      <c r="BL905" s="23"/>
      <c r="BM905" s="23"/>
    </row>
    <row r="906" spans="64:65" ht="15.75" customHeight="1">
      <c r="BL906" s="23"/>
      <c r="BM906" s="23"/>
    </row>
    <row r="907" spans="64:65" ht="15.75" customHeight="1">
      <c r="BL907" s="23"/>
      <c r="BM907" s="23"/>
    </row>
    <row r="908" spans="64:65" ht="15.75" customHeight="1">
      <c r="BL908" s="23"/>
      <c r="BM908" s="23"/>
    </row>
    <row r="909" spans="64:65" ht="15.75" customHeight="1">
      <c r="BL909" s="23"/>
      <c r="BM909" s="23"/>
    </row>
    <row r="910" spans="64:65" ht="15.75" customHeight="1">
      <c r="BL910" s="23"/>
      <c r="BM910" s="23"/>
    </row>
    <row r="911" spans="64:65" ht="15.75" customHeight="1">
      <c r="BL911" s="23"/>
      <c r="BM911" s="23"/>
    </row>
    <row r="912" spans="64:65" ht="15.75" customHeight="1">
      <c r="BL912" s="23"/>
      <c r="BM912" s="23"/>
    </row>
    <row r="913" spans="64:65" ht="15.75" customHeight="1">
      <c r="BL913" s="23"/>
      <c r="BM913" s="23"/>
    </row>
    <row r="914" spans="64:65" ht="15.75" customHeight="1">
      <c r="BL914" s="23"/>
      <c r="BM914" s="23"/>
    </row>
    <row r="915" spans="64:65" ht="15.75" customHeight="1">
      <c r="BL915" s="23"/>
      <c r="BM915" s="23"/>
    </row>
    <row r="916" spans="64:65" ht="15.75" customHeight="1">
      <c r="BL916" s="23"/>
      <c r="BM916" s="23"/>
    </row>
    <row r="917" spans="64:65" ht="15.75" customHeight="1">
      <c r="BL917" s="23"/>
      <c r="BM917" s="23"/>
    </row>
    <row r="918" spans="64:65" ht="15.75" customHeight="1">
      <c r="BL918" s="23"/>
      <c r="BM918" s="23"/>
    </row>
    <row r="919" spans="64:65" ht="15.75" customHeight="1">
      <c r="BL919" s="23"/>
      <c r="BM919" s="23"/>
    </row>
    <row r="920" spans="64:65" ht="15.75" customHeight="1">
      <c r="BL920" s="23"/>
      <c r="BM920" s="23"/>
    </row>
    <row r="921" spans="64:65" ht="15.75" customHeight="1">
      <c r="BL921" s="23"/>
      <c r="BM921" s="23"/>
    </row>
    <row r="922" spans="64:65" ht="15.75" customHeight="1">
      <c r="BL922" s="23"/>
      <c r="BM922" s="23"/>
    </row>
    <row r="923" spans="64:65" ht="15.75" customHeight="1">
      <c r="BL923" s="23"/>
      <c r="BM923" s="23"/>
    </row>
    <row r="924" spans="64:65" ht="15.75" customHeight="1">
      <c r="BL924" s="23"/>
      <c r="BM924" s="23"/>
    </row>
    <row r="925" spans="64:65" ht="15.75" customHeight="1">
      <c r="BL925" s="23"/>
      <c r="BM925" s="23"/>
    </row>
    <row r="926" spans="64:65" ht="15.75" customHeight="1">
      <c r="BL926" s="23"/>
      <c r="BM926" s="23"/>
    </row>
    <row r="927" spans="64:65" ht="15.75" customHeight="1">
      <c r="BL927" s="23"/>
      <c r="BM927" s="23"/>
    </row>
    <row r="928" spans="64:65" ht="15.75" customHeight="1">
      <c r="BL928" s="23"/>
      <c r="BM928" s="23"/>
    </row>
    <row r="929" spans="64:65" ht="15.75" customHeight="1">
      <c r="BL929" s="23"/>
      <c r="BM929" s="23"/>
    </row>
    <row r="930" spans="64:65" ht="15.75" customHeight="1">
      <c r="BL930" s="23"/>
      <c r="BM930" s="23"/>
    </row>
    <row r="931" spans="64:65" ht="15.75" customHeight="1">
      <c r="BL931" s="23"/>
      <c r="BM931" s="23"/>
    </row>
    <row r="932" spans="64:65" ht="15.75" customHeight="1">
      <c r="BL932" s="23"/>
      <c r="BM932" s="23"/>
    </row>
    <row r="933" spans="64:65" ht="15.75" customHeight="1">
      <c r="BL933" s="23"/>
      <c r="BM933" s="23"/>
    </row>
    <row r="934" spans="64:65" ht="15.75" customHeight="1">
      <c r="BL934" s="23"/>
      <c r="BM934" s="23"/>
    </row>
    <row r="935" spans="64:65" ht="15.75" customHeight="1">
      <c r="BL935" s="23"/>
      <c r="BM935" s="23"/>
    </row>
    <row r="936" spans="64:65" ht="15.75" customHeight="1">
      <c r="BL936" s="23"/>
      <c r="BM936" s="23"/>
    </row>
    <row r="937" spans="64:65" ht="15.75" customHeight="1">
      <c r="BL937" s="23"/>
      <c r="BM937" s="23"/>
    </row>
    <row r="938" spans="64:65" ht="15.75" customHeight="1">
      <c r="BL938" s="23"/>
      <c r="BM938" s="23"/>
    </row>
    <row r="939" spans="64:65" ht="15.75" customHeight="1">
      <c r="BL939" s="23"/>
      <c r="BM939" s="23"/>
    </row>
    <row r="940" spans="64:65" ht="15.75" customHeight="1">
      <c r="BL940" s="23"/>
      <c r="BM940" s="23"/>
    </row>
    <row r="941" spans="64:65" ht="15.75" customHeight="1">
      <c r="BL941" s="23"/>
      <c r="BM941" s="23"/>
    </row>
    <row r="942" spans="64:65" ht="15.75" customHeight="1">
      <c r="BL942" s="23"/>
      <c r="BM942" s="23"/>
    </row>
    <row r="943" spans="64:65" ht="15.75" customHeight="1">
      <c r="BL943" s="23"/>
      <c r="BM943" s="23"/>
    </row>
    <row r="944" spans="64:65" ht="15.75" customHeight="1">
      <c r="BL944" s="23"/>
      <c r="BM944" s="23"/>
    </row>
    <row r="945" spans="64:65" ht="15.75" customHeight="1">
      <c r="BL945" s="23"/>
      <c r="BM945" s="23"/>
    </row>
    <row r="946" spans="64:65" ht="15.75" customHeight="1">
      <c r="BL946" s="23"/>
      <c r="BM946" s="23"/>
    </row>
    <row r="947" spans="64:65" ht="15.75" customHeight="1">
      <c r="BL947" s="23"/>
      <c r="BM947" s="23"/>
    </row>
    <row r="948" spans="64:65" ht="15.75" customHeight="1">
      <c r="BL948" s="23"/>
      <c r="BM948" s="23"/>
    </row>
    <row r="949" spans="64:65" ht="15.75" customHeight="1">
      <c r="BL949" s="23"/>
      <c r="BM949" s="23"/>
    </row>
    <row r="950" spans="64:65" ht="15.75" customHeight="1">
      <c r="BL950" s="23"/>
      <c r="BM950" s="23"/>
    </row>
    <row r="951" spans="64:65" ht="15.75" customHeight="1">
      <c r="BL951" s="23"/>
      <c r="BM951" s="23"/>
    </row>
    <row r="952" spans="64:65" ht="15.75" customHeight="1">
      <c r="BL952" s="23"/>
      <c r="BM952" s="23"/>
    </row>
    <row r="953" spans="64:65" ht="15.75" customHeight="1">
      <c r="BL953" s="23"/>
      <c r="BM953" s="23"/>
    </row>
    <row r="954" spans="64:65" ht="15.75" customHeight="1">
      <c r="BL954" s="23"/>
      <c r="BM954" s="23"/>
    </row>
    <row r="955" spans="64:65" ht="15.75" customHeight="1">
      <c r="BL955" s="23"/>
      <c r="BM955" s="23"/>
    </row>
    <row r="956" spans="64:65" ht="15.75" customHeight="1">
      <c r="BL956" s="23"/>
      <c r="BM956" s="23"/>
    </row>
    <row r="957" spans="64:65" ht="15.75" customHeight="1">
      <c r="BL957" s="23"/>
      <c r="BM957" s="23"/>
    </row>
    <row r="958" spans="64:65" ht="15.75" customHeight="1">
      <c r="BL958" s="23"/>
      <c r="BM958" s="23"/>
    </row>
    <row r="959" spans="64:65" ht="15.75" customHeight="1">
      <c r="BL959" s="23"/>
      <c r="BM959" s="23"/>
    </row>
    <row r="960" spans="64:65" ht="15.75" customHeight="1">
      <c r="BL960" s="23"/>
      <c r="BM960" s="23"/>
    </row>
    <row r="961" spans="64:65" ht="15.75" customHeight="1">
      <c r="BL961" s="23"/>
      <c r="BM961" s="23"/>
    </row>
    <row r="962" spans="64:65" ht="15.75" customHeight="1">
      <c r="BL962" s="23"/>
      <c r="BM962" s="23"/>
    </row>
    <row r="963" spans="64:65" ht="15.75" customHeight="1">
      <c r="BL963" s="23"/>
      <c r="BM963" s="23"/>
    </row>
    <row r="964" spans="64:65" ht="15.75" customHeight="1">
      <c r="BL964" s="23"/>
      <c r="BM964" s="23"/>
    </row>
    <row r="965" spans="64:65" ht="15.75" customHeight="1">
      <c r="BL965" s="23"/>
      <c r="BM965" s="23"/>
    </row>
    <row r="966" spans="64:65" ht="15.75" customHeight="1">
      <c r="BL966" s="23"/>
      <c r="BM966" s="23"/>
    </row>
    <row r="967" spans="64:65" ht="15.75" customHeight="1">
      <c r="BL967" s="23"/>
      <c r="BM967" s="23"/>
    </row>
    <row r="968" spans="64:65" ht="15.75" customHeight="1">
      <c r="BL968" s="23"/>
      <c r="BM968" s="23"/>
    </row>
    <row r="969" spans="64:65" ht="15.75" customHeight="1">
      <c r="BL969" s="23"/>
      <c r="BM969" s="23"/>
    </row>
    <row r="970" spans="64:65" ht="15.75" customHeight="1">
      <c r="BL970" s="23"/>
      <c r="BM970" s="23"/>
    </row>
    <row r="971" spans="64:65" ht="15.75" customHeight="1">
      <c r="BL971" s="23"/>
      <c r="BM971" s="23"/>
    </row>
    <row r="972" spans="64:65" ht="15.75" customHeight="1">
      <c r="BL972" s="23"/>
      <c r="BM972" s="23"/>
    </row>
    <row r="973" spans="64:65" ht="15.75" customHeight="1">
      <c r="BL973" s="23"/>
      <c r="BM973" s="23"/>
    </row>
    <row r="974" spans="64:65" ht="15.75" customHeight="1">
      <c r="BL974" s="23"/>
      <c r="BM974" s="23"/>
    </row>
    <row r="975" spans="64:65" ht="15.75" customHeight="1">
      <c r="BL975" s="23"/>
      <c r="BM975" s="23"/>
    </row>
    <row r="976" spans="64:65" ht="15.75" customHeight="1">
      <c r="BL976" s="23"/>
      <c r="BM976" s="23"/>
    </row>
    <row r="977" spans="64:65" ht="15.75" customHeight="1">
      <c r="BL977" s="23"/>
      <c r="BM977" s="23"/>
    </row>
    <row r="978" spans="64:65" ht="15.75" customHeight="1">
      <c r="BL978" s="23"/>
      <c r="BM978" s="23"/>
    </row>
    <row r="979" spans="64:65" ht="15.75" customHeight="1">
      <c r="BL979" s="23"/>
      <c r="BM979" s="23"/>
    </row>
    <row r="980" spans="64:65" ht="15.75" customHeight="1">
      <c r="BL980" s="23"/>
      <c r="BM980" s="23"/>
    </row>
    <row r="981" spans="64:65" ht="15.75" customHeight="1">
      <c r="BL981" s="23"/>
      <c r="BM981" s="23"/>
    </row>
    <row r="982" spans="64:65" ht="15.75" customHeight="1">
      <c r="BL982" s="23"/>
      <c r="BM982" s="23"/>
    </row>
    <row r="983" spans="64:65" ht="15.75" customHeight="1">
      <c r="BL983" s="23"/>
      <c r="BM983" s="23"/>
    </row>
    <row r="984" spans="64:65" ht="15.75" customHeight="1">
      <c r="BL984" s="23"/>
      <c r="BM984" s="23"/>
    </row>
    <row r="985" spans="64:65" ht="15.75" customHeight="1">
      <c r="BL985" s="23"/>
      <c r="BM985" s="23"/>
    </row>
    <row r="986" spans="64:65" ht="15.75" customHeight="1">
      <c r="BL986" s="23"/>
      <c r="BM986" s="23"/>
    </row>
    <row r="987" spans="64:65" ht="15.75" customHeight="1">
      <c r="BL987" s="23"/>
      <c r="BM987" s="23"/>
    </row>
    <row r="988" spans="64:65" ht="15.75" customHeight="1">
      <c r="BL988" s="23"/>
      <c r="BM988" s="23"/>
    </row>
    <row r="989" spans="64:65" ht="15.75" customHeight="1">
      <c r="BL989" s="23"/>
      <c r="BM989" s="23"/>
    </row>
    <row r="990" spans="64:65" ht="15.75" customHeight="1">
      <c r="BL990" s="23"/>
      <c r="BM990" s="23"/>
    </row>
    <row r="991" spans="64:65" ht="15.75" customHeight="1">
      <c r="BL991" s="23"/>
      <c r="BM991" s="23"/>
    </row>
    <row r="992" spans="64:65" ht="15.75" customHeight="1">
      <c r="BL992" s="23"/>
      <c r="BM992" s="23"/>
    </row>
    <row r="993" spans="64:65" ht="15.75" customHeight="1">
      <c r="BL993" s="23"/>
      <c r="BM993" s="23"/>
    </row>
    <row r="994" spans="64:65" ht="15.75" customHeight="1">
      <c r="BL994" s="23"/>
      <c r="BM994" s="23"/>
    </row>
    <row r="995" spans="64:65" ht="15.75" customHeight="1">
      <c r="BL995" s="23"/>
      <c r="BM995" s="23"/>
    </row>
    <row r="996" spans="64:65" ht="15.75" customHeight="1">
      <c r="BL996" s="23"/>
      <c r="BM996" s="23"/>
    </row>
    <row r="997" spans="64:65" ht="15.75" customHeight="1">
      <c r="BL997" s="23"/>
      <c r="BM997" s="23"/>
    </row>
    <row r="998" spans="64:65" ht="15.75" customHeight="1">
      <c r="BL998" s="23"/>
      <c r="BM998" s="23"/>
    </row>
    <row r="999" spans="64:65" ht="15.75" customHeight="1">
      <c r="BL999" s="23"/>
      <c r="BM999" s="23"/>
    </row>
    <row r="1000" spans="64:65" ht="15.75" customHeight="1">
      <c r="BL1000" s="23"/>
      <c r="BM1000" s="23"/>
    </row>
    <row r="1001" spans="64:65" ht="15.75" customHeight="1">
      <c r="BL1001" s="23"/>
      <c r="BM1001" s="23"/>
    </row>
  </sheetData>
  <mergeCells count="28">
    <mergeCell ref="AM5:AR5"/>
    <mergeCell ref="AS5:AX5"/>
    <mergeCell ref="BB5:BI5"/>
    <mergeCell ref="BK5:BN5"/>
    <mergeCell ref="AY5:AY6"/>
    <mergeCell ref="AZ5:AZ6"/>
    <mergeCell ref="AK19:AW19"/>
    <mergeCell ref="AE20:AI26"/>
    <mergeCell ref="A1:O1"/>
    <mergeCell ref="AK4:AZ4"/>
    <mergeCell ref="A5:O6"/>
    <mergeCell ref="Q5:T5"/>
    <mergeCell ref="V5:AC5"/>
    <mergeCell ref="AK5:AK6"/>
    <mergeCell ref="AL5:AL6"/>
    <mergeCell ref="V20:AC20"/>
    <mergeCell ref="V21:AC21"/>
    <mergeCell ref="V22:AC22"/>
    <mergeCell ref="V23:AC23"/>
    <mergeCell ref="V24:AC24"/>
    <mergeCell ref="V25:AC25"/>
    <mergeCell ref="A7:A8"/>
    <mergeCell ref="V19:AC19"/>
    <mergeCell ref="B7:G7"/>
    <mergeCell ref="H7:M7"/>
    <mergeCell ref="N7:N8"/>
    <mergeCell ref="O7:O8"/>
    <mergeCell ref="Q9:T13"/>
  </mergeCells>
  <pageMargins left="0.511811024" right="0.511811024" top="0.78740157499999996" bottom="0.78740157499999996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26"/>
  <sheetViews>
    <sheetView showGridLines="0" workbookViewId="0">
      <selection activeCell="A2" sqref="A2"/>
    </sheetView>
  </sheetViews>
  <sheetFormatPr defaultColWidth="14.42578125" defaultRowHeight="15" customHeight="1"/>
  <cols>
    <col min="1" max="2" width="8.7109375" customWidth="1"/>
    <col min="3" max="3" width="22.5703125" customWidth="1"/>
    <col min="4" max="4" width="25.5703125" customWidth="1"/>
    <col min="5" max="5" width="31.28515625" customWidth="1"/>
    <col min="6" max="7" width="8.7109375" customWidth="1"/>
    <col min="8" max="8" width="9.7109375" customWidth="1"/>
    <col min="9" max="9" width="14.7109375" customWidth="1"/>
    <col min="10" max="10" width="13.7109375" customWidth="1"/>
    <col min="11" max="11" width="16.42578125" customWidth="1"/>
    <col min="12" max="12" width="15.7109375" customWidth="1"/>
    <col min="13" max="13" width="14.85546875" customWidth="1"/>
    <col min="14" max="14" width="13.7109375" customWidth="1"/>
    <col min="15" max="15" width="19.7109375" customWidth="1"/>
    <col min="16" max="16" width="14.7109375" customWidth="1"/>
    <col min="17" max="17" width="16.85546875" customWidth="1"/>
    <col min="18" max="19" width="13.7109375" customWidth="1"/>
    <col min="20" max="21" width="14.7109375" customWidth="1"/>
    <col min="22" max="23" width="13.7109375" customWidth="1"/>
    <col min="24" max="24" width="13" customWidth="1"/>
    <col min="25" max="25" width="14.7109375" customWidth="1"/>
    <col min="26" max="29" width="16.28515625" customWidth="1"/>
    <col min="30" max="32" width="12" customWidth="1"/>
    <col min="33" max="33" width="13.140625" customWidth="1"/>
    <col min="34" max="34" width="21.85546875" customWidth="1"/>
    <col min="35" max="67" width="13.140625" customWidth="1"/>
  </cols>
  <sheetData>
    <row r="1" spans="1:67" ht="21" customHeight="1">
      <c r="A1" s="280" t="s">
        <v>211</v>
      </c>
      <c r="B1" s="251"/>
      <c r="C1" s="251"/>
      <c r="D1" s="251"/>
      <c r="E1" s="251"/>
      <c r="F1" s="91"/>
      <c r="G1" s="91"/>
      <c r="H1" s="91"/>
      <c r="I1" s="91"/>
      <c r="J1" s="91"/>
      <c r="K1" s="91"/>
      <c r="L1" s="91"/>
      <c r="M1" s="91"/>
      <c r="N1" s="91"/>
      <c r="O1" s="289"/>
      <c r="P1" s="251"/>
      <c r="Q1" s="251"/>
      <c r="R1" s="251"/>
      <c r="S1" s="251"/>
      <c r="T1" s="251"/>
      <c r="U1" s="251"/>
      <c r="V1" s="249"/>
      <c r="BL1" s="23"/>
      <c r="BM1" s="23"/>
    </row>
    <row r="2" spans="1:67"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</row>
    <row r="3" spans="1:67">
      <c r="Y3" s="255" t="s">
        <v>212</v>
      </c>
      <c r="Z3" s="251"/>
      <c r="AA3" s="251"/>
      <c r="AB3" s="251"/>
      <c r="AC3" s="249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>
      <c r="A4" s="92"/>
      <c r="B4" s="276" t="s">
        <v>213</v>
      </c>
      <c r="C4" s="251"/>
      <c r="D4" s="251"/>
      <c r="E4" s="249"/>
      <c r="F4" s="92"/>
      <c r="G4" s="276" t="s">
        <v>214</v>
      </c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49"/>
      <c r="W4" s="23"/>
      <c r="X4" s="23"/>
      <c r="Y4" s="256" t="s">
        <v>151</v>
      </c>
      <c r="Z4" s="256" t="s">
        <v>215</v>
      </c>
      <c r="AA4" s="256" t="s">
        <v>216</v>
      </c>
      <c r="AB4" s="256" t="s">
        <v>217</v>
      </c>
      <c r="AC4" s="256" t="s">
        <v>218</v>
      </c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</row>
    <row r="5" spans="1:67">
      <c r="A5" s="92"/>
      <c r="B5" s="70" t="s">
        <v>151</v>
      </c>
      <c r="C5" s="70" t="s">
        <v>219</v>
      </c>
      <c r="D5" s="70" t="s">
        <v>220</v>
      </c>
      <c r="E5" s="70" t="s">
        <v>221</v>
      </c>
      <c r="F5" s="92"/>
      <c r="G5" s="70" t="s">
        <v>151</v>
      </c>
      <c r="H5" s="93" t="s">
        <v>222</v>
      </c>
      <c r="I5" s="94" t="s">
        <v>166</v>
      </c>
      <c r="J5" s="70" t="s">
        <v>223</v>
      </c>
      <c r="K5" s="94" t="s">
        <v>224</v>
      </c>
      <c r="L5" s="94" t="s">
        <v>225</v>
      </c>
      <c r="M5" s="94" t="s">
        <v>226</v>
      </c>
      <c r="N5" s="94" t="s">
        <v>155</v>
      </c>
      <c r="O5" s="94" t="s">
        <v>227</v>
      </c>
      <c r="P5" s="94" t="s">
        <v>228</v>
      </c>
      <c r="Q5" s="70" t="s">
        <v>229</v>
      </c>
      <c r="R5" s="70" t="s">
        <v>230</v>
      </c>
      <c r="S5" s="70" t="s">
        <v>231</v>
      </c>
      <c r="T5" s="70" t="s">
        <v>232</v>
      </c>
      <c r="U5" s="70" t="s">
        <v>233</v>
      </c>
      <c r="V5" s="70" t="s">
        <v>234</v>
      </c>
      <c r="W5" s="23"/>
      <c r="X5" s="23"/>
      <c r="Y5" s="257"/>
      <c r="Z5" s="257"/>
      <c r="AA5" s="257"/>
      <c r="AB5" s="257"/>
      <c r="AC5" s="257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1:67">
      <c r="A6" s="92"/>
      <c r="B6" s="7" t="s">
        <v>185</v>
      </c>
      <c r="C6" s="7">
        <v>1.5</v>
      </c>
      <c r="D6" s="95">
        <f>'Cargas Atuantes'!Z5</f>
        <v>3.71</v>
      </c>
      <c r="E6" s="7">
        <f>'Cargas Atuantes'!AA5</f>
        <v>5.21</v>
      </c>
      <c r="F6" s="92"/>
      <c r="G6" s="16" t="s">
        <v>185</v>
      </c>
      <c r="H6" s="96">
        <v>3</v>
      </c>
      <c r="I6" s="75">
        <f>'Pré-dimensionamento de Lajes'!AC7</f>
        <v>10</v>
      </c>
      <c r="J6" s="97">
        <f t="shared" ref="J6:J17" si="0">I6/2</f>
        <v>5</v>
      </c>
      <c r="K6" s="97">
        <f>'Pré-dimensionamento de Lajes'!BL7</f>
        <v>2.8099999999999996</v>
      </c>
      <c r="L6" s="97">
        <f>'Pré-dimensionamento de Lajes'!BM7</f>
        <v>2.8199999999999994</v>
      </c>
      <c r="M6" s="97">
        <f t="shared" ref="M6:M17" si="1">C6+D6</f>
        <v>5.21</v>
      </c>
      <c r="N6" s="97">
        <f>'Pré-dimensionamento de Lajes'!N9</f>
        <v>1.0034602076124568</v>
      </c>
      <c r="O6" s="17">
        <v>2.69</v>
      </c>
      <c r="P6" s="17">
        <v>6.99</v>
      </c>
      <c r="Q6" s="17">
        <v>2.69</v>
      </c>
      <c r="R6" s="17">
        <v>6.99</v>
      </c>
      <c r="S6" s="97">
        <f>(O6*M6*(K6)^2)/100</f>
        <v>1.1066305188999996</v>
      </c>
      <c r="T6" s="97">
        <f t="shared" ref="T6:T17" si="2">P6*M6*(K6^2)/100</f>
        <v>2.8755938018999996</v>
      </c>
      <c r="U6" s="97">
        <f t="shared" ref="U6:U17" si="3">Q6*M6*(K6^2)/100</f>
        <v>1.1066305188999996</v>
      </c>
      <c r="V6" s="97">
        <f t="shared" ref="V6:V17" si="4">R6*M6*(K6^2)/100</f>
        <v>2.8755938018999996</v>
      </c>
      <c r="W6" s="23"/>
      <c r="X6" s="23"/>
      <c r="Y6" s="16" t="s">
        <v>185</v>
      </c>
      <c r="Z6" s="95">
        <f t="shared" ref="Z6:AC6" si="5">(1.4*S6)</f>
        <v>1.5492827264599993</v>
      </c>
      <c r="AA6" s="95">
        <f t="shared" si="5"/>
        <v>4.0258313226599993</v>
      </c>
      <c r="AB6" s="95">
        <f t="shared" si="5"/>
        <v>1.5492827264599993</v>
      </c>
      <c r="AC6" s="95">
        <f t="shared" si="5"/>
        <v>4.0258313226599993</v>
      </c>
      <c r="AD6" s="92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1:67">
      <c r="A7" s="92"/>
      <c r="B7" s="7" t="s">
        <v>197</v>
      </c>
      <c r="C7" s="7">
        <v>1.5</v>
      </c>
      <c r="D7" s="95">
        <f>'Cargas Atuantes'!Z6</f>
        <v>3.71</v>
      </c>
      <c r="E7" s="7">
        <f>'Cargas Atuantes'!AA6</f>
        <v>5.21</v>
      </c>
      <c r="F7" s="92"/>
      <c r="G7" s="16" t="s">
        <v>197</v>
      </c>
      <c r="H7" s="96" t="s">
        <v>235</v>
      </c>
      <c r="I7" s="75">
        <f>'Pré-dimensionamento de Lajes'!AC8</f>
        <v>10</v>
      </c>
      <c r="J7" s="97">
        <f t="shared" si="0"/>
        <v>5</v>
      </c>
      <c r="K7" s="97">
        <f>'Pré-dimensionamento de Lajes'!BL8</f>
        <v>1.29</v>
      </c>
      <c r="L7" s="97">
        <f>'Pré-dimensionamento de Lajes'!BM8</f>
        <v>2.8199999999999994</v>
      </c>
      <c r="M7" s="97">
        <f t="shared" si="1"/>
        <v>5.21</v>
      </c>
      <c r="N7" s="97">
        <f>'Pré-dimensionamento de Lajes'!N10</f>
        <v>2.1167883211678831</v>
      </c>
      <c r="O7" s="17">
        <v>4.17</v>
      </c>
      <c r="P7" s="17">
        <v>8.33</v>
      </c>
      <c r="Q7" s="17">
        <v>0.88</v>
      </c>
      <c r="R7" s="17">
        <v>5.64</v>
      </c>
      <c r="S7" s="97">
        <f t="shared" ref="S7:S17" si="6">(O7*M7*((K7))^2)/100</f>
        <v>0.3615373737</v>
      </c>
      <c r="T7" s="97">
        <f t="shared" si="2"/>
        <v>0.72220775130000003</v>
      </c>
      <c r="U7" s="97">
        <f t="shared" si="3"/>
        <v>7.6295656800000014E-2</v>
      </c>
      <c r="V7" s="97">
        <f t="shared" si="4"/>
        <v>0.48898580040000006</v>
      </c>
      <c r="W7" s="23"/>
      <c r="X7" s="23"/>
      <c r="Y7" s="16" t="s">
        <v>197</v>
      </c>
      <c r="Z7" s="95">
        <f t="shared" ref="Z7:AC7" si="7">(1.4*S7)</f>
        <v>0.50615232317999992</v>
      </c>
      <c r="AA7" s="95">
        <f t="shared" si="7"/>
        <v>1.0110908518199999</v>
      </c>
      <c r="AB7" s="95">
        <f t="shared" si="7"/>
        <v>0.10681391952000001</v>
      </c>
      <c r="AC7" s="95">
        <f t="shared" si="7"/>
        <v>0.68458012056000006</v>
      </c>
      <c r="AD7" s="92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>
      <c r="A8" s="92"/>
      <c r="B8" s="7" t="s">
        <v>199</v>
      </c>
      <c r="C8" s="7">
        <v>1.5</v>
      </c>
      <c r="D8" s="95">
        <f>'Cargas Atuantes'!Z7</f>
        <v>4.8925042275560946</v>
      </c>
      <c r="E8" s="95">
        <f>'Cargas Atuantes'!AA7</f>
        <v>6.3925042275560946</v>
      </c>
      <c r="F8" s="92"/>
      <c r="G8" s="16" t="s">
        <v>199</v>
      </c>
      <c r="H8" s="96">
        <v>3</v>
      </c>
      <c r="I8" s="75">
        <f>'Pré-dimensionamento de Lajes'!AC9</f>
        <v>10</v>
      </c>
      <c r="J8" s="97">
        <f t="shared" si="0"/>
        <v>5</v>
      </c>
      <c r="K8" s="97">
        <f>'Pré-dimensionamento de Lajes'!BL9</f>
        <v>2.5099999999999998</v>
      </c>
      <c r="L8" s="97">
        <f>'Pré-dimensionamento de Lajes'!BM9</f>
        <v>4.08</v>
      </c>
      <c r="M8" s="97">
        <f t="shared" si="1"/>
        <v>6.3925042275560946</v>
      </c>
      <c r="N8" s="97">
        <f>'Pré-dimensionamento de Lajes'!N11</f>
        <v>1.6061776061776061</v>
      </c>
      <c r="O8" s="17">
        <v>4.99</v>
      </c>
      <c r="P8" s="17">
        <v>10.82</v>
      </c>
      <c r="Q8" s="17">
        <v>2.0699999999999998</v>
      </c>
      <c r="R8" s="17">
        <v>8.1199999999999992</v>
      </c>
      <c r="S8" s="97">
        <f t="shared" si="6"/>
        <v>2.0096434526129046</v>
      </c>
      <c r="T8" s="97">
        <f t="shared" si="2"/>
        <v>4.3575835986516287</v>
      </c>
      <c r="U8" s="97">
        <f t="shared" si="3"/>
        <v>0.83365970879934115</v>
      </c>
      <c r="V8" s="97">
        <f t="shared" si="4"/>
        <v>3.2702013697829226</v>
      </c>
      <c r="W8" s="23"/>
      <c r="X8" s="23"/>
      <c r="Y8" s="16" t="s">
        <v>199</v>
      </c>
      <c r="Z8" s="95">
        <f t="shared" ref="Z8:AC8" si="8">(1.4*S8)</f>
        <v>2.813500833658066</v>
      </c>
      <c r="AA8" s="95">
        <f t="shared" si="8"/>
        <v>6.1006170381122802</v>
      </c>
      <c r="AB8" s="95">
        <f t="shared" si="8"/>
        <v>1.1671235923190775</v>
      </c>
      <c r="AC8" s="95">
        <f t="shared" si="8"/>
        <v>4.5782819176960912</v>
      </c>
      <c r="AD8" s="92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1:67">
      <c r="A9" s="92"/>
      <c r="B9" s="7" t="s">
        <v>200</v>
      </c>
      <c r="C9" s="7">
        <v>1.5</v>
      </c>
      <c r="D9" s="95">
        <f>'Cargas Atuantes'!Z8</f>
        <v>3.71</v>
      </c>
      <c r="E9" s="7">
        <f>'Cargas Atuantes'!AA8</f>
        <v>5.21</v>
      </c>
      <c r="F9" s="92"/>
      <c r="G9" s="16" t="s">
        <v>200</v>
      </c>
      <c r="H9" s="98" t="s">
        <v>235</v>
      </c>
      <c r="I9" s="99">
        <f>'Pré-dimensionamento de Lajes'!AC10</f>
        <v>10</v>
      </c>
      <c r="J9" s="97">
        <f t="shared" si="0"/>
        <v>5</v>
      </c>
      <c r="K9" s="97">
        <f>'Pré-dimensionamento de Lajes'!BL10</f>
        <v>1.52</v>
      </c>
      <c r="L9" s="97">
        <f>'Pré-dimensionamento de Lajes'!BM10</f>
        <v>4.08</v>
      </c>
      <c r="M9" s="97">
        <f t="shared" si="1"/>
        <v>5.21</v>
      </c>
      <c r="N9" s="97">
        <f>'Pré-dimensionamento de Lajes'!N12</f>
        <v>2.6</v>
      </c>
      <c r="O9" s="17">
        <v>4.17</v>
      </c>
      <c r="P9" s="17">
        <v>8.33</v>
      </c>
      <c r="Q9" s="17">
        <v>0.88</v>
      </c>
      <c r="R9" s="17">
        <v>5.64</v>
      </c>
      <c r="S9" s="97">
        <f t="shared" si="6"/>
        <v>0.50195057279999999</v>
      </c>
      <c r="T9" s="97">
        <f t="shared" si="2"/>
        <v>1.0026974272</v>
      </c>
      <c r="U9" s="97">
        <f t="shared" si="3"/>
        <v>0.10592721920000001</v>
      </c>
      <c r="V9" s="97">
        <f t="shared" si="4"/>
        <v>0.67889717760000001</v>
      </c>
      <c r="W9" s="23"/>
      <c r="X9" s="23"/>
      <c r="Y9" s="16" t="s">
        <v>200</v>
      </c>
      <c r="Z9" s="95">
        <f t="shared" ref="Z9:AC9" si="9">(1.4*S9)</f>
        <v>0.70273080191999993</v>
      </c>
      <c r="AA9" s="95">
        <f t="shared" si="9"/>
        <v>1.40377639808</v>
      </c>
      <c r="AB9" s="95">
        <f t="shared" si="9"/>
        <v>0.14829810688</v>
      </c>
      <c r="AC9" s="95">
        <f t="shared" si="9"/>
        <v>0.95045604864</v>
      </c>
      <c r="AD9" s="92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1:67">
      <c r="A10" s="92"/>
      <c r="B10" s="7" t="s">
        <v>201</v>
      </c>
      <c r="C10" s="7">
        <v>1.5</v>
      </c>
      <c r="D10" s="95">
        <f>'Cargas Atuantes'!Z9</f>
        <v>3.71</v>
      </c>
      <c r="E10" s="7">
        <f>'Cargas Atuantes'!AA9</f>
        <v>5.21</v>
      </c>
      <c r="F10" s="92"/>
      <c r="G10" s="16" t="s">
        <v>201</v>
      </c>
      <c r="H10" s="98" t="s">
        <v>235</v>
      </c>
      <c r="I10" s="99">
        <f>'Pré-dimensionamento de Lajes'!AC11</f>
        <v>10</v>
      </c>
      <c r="J10" s="97">
        <f t="shared" si="0"/>
        <v>5</v>
      </c>
      <c r="K10" s="97">
        <f>'Pré-dimensionamento de Lajes'!BL11</f>
        <v>1.21</v>
      </c>
      <c r="L10" s="97">
        <f>'Pré-dimensionamento de Lajes'!BM11</f>
        <v>2.3099999999999996</v>
      </c>
      <c r="M10" s="97">
        <f t="shared" si="1"/>
        <v>5.21</v>
      </c>
      <c r="N10" s="97">
        <f>'Pré-dimensionamento de Lajes'!N13</f>
        <v>1.8527131782945736</v>
      </c>
      <c r="O10" s="17">
        <v>4.05</v>
      </c>
      <c r="P10" s="17">
        <v>8.3800000000000008</v>
      </c>
      <c r="Q10" s="17">
        <v>0.97</v>
      </c>
      <c r="R10" s="17">
        <v>5.55</v>
      </c>
      <c r="S10" s="97">
        <f t="shared" si="6"/>
        <v>0.30893242049999997</v>
      </c>
      <c r="T10" s="97">
        <f t="shared" si="2"/>
        <v>0.63922313180000001</v>
      </c>
      <c r="U10" s="97">
        <f t="shared" si="3"/>
        <v>7.3991221699999998E-2</v>
      </c>
      <c r="V10" s="97">
        <f t="shared" si="4"/>
        <v>0.42335183549999994</v>
      </c>
      <c r="W10" s="23"/>
      <c r="X10" s="23"/>
      <c r="Y10" s="16" t="s">
        <v>201</v>
      </c>
      <c r="Z10" s="95">
        <f t="shared" ref="Z10:AC10" si="10">(1.4*S10)</f>
        <v>0.43250538869999994</v>
      </c>
      <c r="AA10" s="95">
        <f t="shared" si="10"/>
        <v>0.89491238451999999</v>
      </c>
      <c r="AB10" s="95">
        <f t="shared" si="10"/>
        <v>0.10358771037999999</v>
      </c>
      <c r="AC10" s="95">
        <f t="shared" si="10"/>
        <v>0.59269256969999984</v>
      </c>
      <c r="AD10" s="92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1:67">
      <c r="A11" s="92"/>
      <c r="B11" s="7" t="s">
        <v>184</v>
      </c>
      <c r="C11" s="7">
        <v>1.5</v>
      </c>
      <c r="D11" s="95">
        <f>'Cargas Atuantes'!Z10</f>
        <v>3.71</v>
      </c>
      <c r="E11" s="7">
        <f>'Cargas Atuantes'!AA10</f>
        <v>5.21</v>
      </c>
      <c r="F11" s="92"/>
      <c r="G11" s="16" t="s">
        <v>184</v>
      </c>
      <c r="H11" s="96">
        <v>6</v>
      </c>
      <c r="I11" s="75">
        <f>'Pré-dimensionamento de Lajes'!AC12</f>
        <v>10</v>
      </c>
      <c r="J11" s="97">
        <f t="shared" si="0"/>
        <v>5</v>
      </c>
      <c r="K11" s="97">
        <f>'Pré-dimensionamento de Lajes'!BL12</f>
        <v>1.29</v>
      </c>
      <c r="L11" s="97">
        <f>'Pré-dimensionamento de Lajes'!BM12</f>
        <v>6.1400000000000006</v>
      </c>
      <c r="M11" s="97">
        <f t="shared" si="1"/>
        <v>5.21</v>
      </c>
      <c r="N11" s="97">
        <f>'Pré-dimensionamento de Lajes'!N14</f>
        <v>4.5401459854014599</v>
      </c>
      <c r="O11" s="17">
        <v>4.17</v>
      </c>
      <c r="P11" s="17">
        <v>8.33</v>
      </c>
      <c r="Q11" s="17">
        <v>0.96</v>
      </c>
      <c r="R11" s="17">
        <v>5.72</v>
      </c>
      <c r="S11" s="97">
        <f t="shared" si="6"/>
        <v>0.3615373737</v>
      </c>
      <c r="T11" s="97">
        <f t="shared" si="2"/>
        <v>0.72220775130000003</v>
      </c>
      <c r="U11" s="97">
        <f t="shared" si="3"/>
        <v>8.3231625599999998E-2</v>
      </c>
      <c r="V11" s="97">
        <f t="shared" si="4"/>
        <v>0.49592176919999997</v>
      </c>
      <c r="W11" s="23"/>
      <c r="X11" s="23"/>
      <c r="Y11" s="16" t="s">
        <v>184</v>
      </c>
      <c r="Z11" s="95">
        <f t="shared" ref="Z11:AC11" si="11">(1.4*S11)</f>
        <v>0.50615232317999992</v>
      </c>
      <c r="AA11" s="95">
        <f t="shared" si="11"/>
        <v>1.0110908518199999</v>
      </c>
      <c r="AB11" s="95">
        <f t="shared" si="11"/>
        <v>0.11652427583999998</v>
      </c>
      <c r="AC11" s="95">
        <f t="shared" si="11"/>
        <v>0.6942904768799999</v>
      </c>
      <c r="AD11" s="92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1:67">
      <c r="A12" s="92"/>
      <c r="B12" s="7" t="s">
        <v>202</v>
      </c>
      <c r="C12" s="7">
        <v>1.5</v>
      </c>
      <c r="D12" s="95">
        <f>'Cargas Atuantes'!Z11</f>
        <v>3.71</v>
      </c>
      <c r="E12" s="7">
        <f>'Cargas Atuantes'!AA11</f>
        <v>5.21</v>
      </c>
      <c r="F12" s="92"/>
      <c r="G12" s="16" t="s">
        <v>202</v>
      </c>
      <c r="H12" s="96">
        <v>3</v>
      </c>
      <c r="I12" s="75">
        <f>'Pré-dimensionamento de Lajes'!AC13</f>
        <v>10</v>
      </c>
      <c r="J12" s="97">
        <f t="shared" si="0"/>
        <v>5</v>
      </c>
      <c r="K12" s="97">
        <f>'Pré-dimensionamento de Lajes'!BL13</f>
        <v>2.8099999999999996</v>
      </c>
      <c r="L12" s="97">
        <f>'Pré-dimensionamento de Lajes'!BM13</f>
        <v>4.7900000000000009</v>
      </c>
      <c r="M12" s="97">
        <f t="shared" si="1"/>
        <v>5.21</v>
      </c>
      <c r="N12" s="97">
        <f>'Pré-dimensionamento de Lajes'!N15</f>
        <v>1.685121107266436</v>
      </c>
      <c r="O12" s="17">
        <v>5.21</v>
      </c>
      <c r="P12" s="17">
        <v>11.16</v>
      </c>
      <c r="Q12" s="17">
        <v>1.91</v>
      </c>
      <c r="R12" s="17">
        <v>8.15</v>
      </c>
      <c r="S12" s="97">
        <f t="shared" si="6"/>
        <v>2.1433252800999991</v>
      </c>
      <c r="T12" s="97">
        <f t="shared" si="2"/>
        <v>4.5910767995999988</v>
      </c>
      <c r="U12" s="97">
        <f t="shared" si="3"/>
        <v>0.78574880709999984</v>
      </c>
      <c r="V12" s="97">
        <f t="shared" si="4"/>
        <v>3.3528025014999994</v>
      </c>
      <c r="W12" s="23"/>
      <c r="X12" s="23"/>
      <c r="Y12" s="16" t="s">
        <v>202</v>
      </c>
      <c r="Z12" s="95">
        <f t="shared" ref="Z12:AC12" si="12">(1.4*S12)</f>
        <v>3.0006553921399988</v>
      </c>
      <c r="AA12" s="95">
        <f t="shared" si="12"/>
        <v>6.427507519439998</v>
      </c>
      <c r="AB12" s="95">
        <f t="shared" si="12"/>
        <v>1.1000483299399997</v>
      </c>
      <c r="AC12" s="95">
        <f t="shared" si="12"/>
        <v>4.6939235020999988</v>
      </c>
      <c r="AD12" s="92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1:67">
      <c r="A13" s="92"/>
      <c r="B13" s="7" t="s">
        <v>203</v>
      </c>
      <c r="C13" s="7">
        <v>1.5</v>
      </c>
      <c r="D13" s="95">
        <f>'Cargas Atuantes'!Z12</f>
        <v>3.71</v>
      </c>
      <c r="E13" s="7">
        <f>'Cargas Atuantes'!AA12</f>
        <v>5.21</v>
      </c>
      <c r="F13" s="92"/>
      <c r="G13" s="16" t="s">
        <v>203</v>
      </c>
      <c r="H13" s="96" t="s">
        <v>235</v>
      </c>
      <c r="I13" s="75">
        <f>'Pré-dimensionamento de Lajes'!AC14</f>
        <v>10</v>
      </c>
      <c r="J13" s="97">
        <f t="shared" si="0"/>
        <v>5</v>
      </c>
      <c r="K13" s="97">
        <f>'Pré-dimensionamento de Lajes'!BL14</f>
        <v>2.8299999999999996</v>
      </c>
      <c r="L13" s="97">
        <f>'Pré-dimensionamento de Lajes'!BM14</f>
        <v>4.08</v>
      </c>
      <c r="M13" s="97">
        <f t="shared" si="1"/>
        <v>5.21</v>
      </c>
      <c r="N13" s="97">
        <f>'Pré-dimensionamento de Lajes'!N16</f>
        <v>1.429553264604811</v>
      </c>
      <c r="O13" s="17">
        <v>3.67</v>
      </c>
      <c r="P13" s="17">
        <v>7.91</v>
      </c>
      <c r="Q13" s="17">
        <v>1.41</v>
      </c>
      <c r="R13" s="17">
        <v>5.73</v>
      </c>
      <c r="S13" s="97">
        <f t="shared" si="6"/>
        <v>1.5313577422999993</v>
      </c>
      <c r="T13" s="97">
        <f t="shared" si="2"/>
        <v>3.3005557878999991</v>
      </c>
      <c r="U13" s="97">
        <f t="shared" si="3"/>
        <v>0.58834180289999982</v>
      </c>
      <c r="V13" s="97">
        <f t="shared" si="4"/>
        <v>2.3909209436999994</v>
      </c>
      <c r="W13" s="23"/>
      <c r="X13" s="23"/>
      <c r="Y13" s="16" t="s">
        <v>203</v>
      </c>
      <c r="Z13" s="95">
        <f t="shared" ref="Z13:AC13" si="13">(1.4*S13)</f>
        <v>2.1439008392199987</v>
      </c>
      <c r="AA13" s="95">
        <f t="shared" si="13"/>
        <v>4.6207781030599984</v>
      </c>
      <c r="AB13" s="95">
        <f t="shared" si="13"/>
        <v>0.82367852405999975</v>
      </c>
      <c r="AC13" s="95">
        <f t="shared" si="13"/>
        <v>3.347289321179999</v>
      </c>
      <c r="AD13" s="92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1:67">
      <c r="A14" s="92"/>
      <c r="B14" s="7" t="s">
        <v>204</v>
      </c>
      <c r="C14" s="7">
        <v>1.5</v>
      </c>
      <c r="D14" s="95">
        <f>'Cargas Atuantes'!Z13</f>
        <v>3.71</v>
      </c>
      <c r="E14" s="7">
        <f>'Cargas Atuantes'!AA13</f>
        <v>5.21</v>
      </c>
      <c r="F14" s="92"/>
      <c r="G14" s="16" t="s">
        <v>204</v>
      </c>
      <c r="H14" s="96" t="s">
        <v>235</v>
      </c>
      <c r="I14" s="75">
        <f>'Pré-dimensionamento de Lajes'!AC15</f>
        <v>10</v>
      </c>
      <c r="J14" s="97">
        <f t="shared" si="0"/>
        <v>5</v>
      </c>
      <c r="K14" s="97">
        <f>'Pré-dimensionamento de Lajes'!BL15</f>
        <v>1.95</v>
      </c>
      <c r="L14" s="97">
        <f>'Pré-dimensionamento de Lajes'!BM15</f>
        <v>3.1299999999999994</v>
      </c>
      <c r="M14" s="97">
        <f t="shared" si="1"/>
        <v>5.21</v>
      </c>
      <c r="N14" s="97">
        <f>'Pré-dimensionamento de Lajes'!N17</f>
        <v>1.5812807881773399</v>
      </c>
      <c r="O14" s="17">
        <v>3.86</v>
      </c>
      <c r="P14" s="17">
        <v>8.14</v>
      </c>
      <c r="Q14" s="17">
        <v>1.23</v>
      </c>
      <c r="R14" s="17">
        <v>5.66</v>
      </c>
      <c r="S14" s="97">
        <f t="shared" si="6"/>
        <v>0.76470556499999986</v>
      </c>
      <c r="T14" s="97">
        <f t="shared" si="2"/>
        <v>1.6126174350000002</v>
      </c>
      <c r="U14" s="97">
        <f t="shared" si="3"/>
        <v>0.24367560749999995</v>
      </c>
      <c r="V14" s="97">
        <f t="shared" si="4"/>
        <v>1.121304015</v>
      </c>
      <c r="W14" s="23"/>
      <c r="X14" s="23"/>
      <c r="Y14" s="16" t="s">
        <v>204</v>
      </c>
      <c r="Z14" s="95">
        <f t="shared" ref="Z14:AC14" si="14">(1.4*S14)</f>
        <v>1.0705877909999997</v>
      </c>
      <c r="AA14" s="95">
        <f t="shared" si="14"/>
        <v>2.2576644090000002</v>
      </c>
      <c r="AB14" s="95">
        <f t="shared" si="14"/>
        <v>0.3411458504999999</v>
      </c>
      <c r="AC14" s="95">
        <f t="shared" si="14"/>
        <v>1.5698256209999999</v>
      </c>
      <c r="AD14" s="92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1:67">
      <c r="A15" s="92"/>
      <c r="B15" s="7" t="s">
        <v>196</v>
      </c>
      <c r="C15" s="7">
        <v>1.5</v>
      </c>
      <c r="D15" s="95">
        <f>'Cargas Atuantes'!Z14</f>
        <v>4.46</v>
      </c>
      <c r="E15" s="7">
        <f>'Cargas Atuantes'!AA14</f>
        <v>5.96</v>
      </c>
      <c r="F15" s="92"/>
      <c r="G15" s="16" t="s">
        <v>196</v>
      </c>
      <c r="H15" s="96">
        <v>1</v>
      </c>
      <c r="I15" s="75">
        <f>'Pré-dimensionamento de Lajes'!AC16</f>
        <v>13</v>
      </c>
      <c r="J15" s="97">
        <f t="shared" si="0"/>
        <v>6.5</v>
      </c>
      <c r="K15" s="97">
        <f>'Pré-dimensionamento de Lajes'!BL16</f>
        <v>4.1979999999999995</v>
      </c>
      <c r="L15" s="97">
        <f>'Pré-dimensionamento de Lajes'!BM16</f>
        <v>5.7179999999999991</v>
      </c>
      <c r="M15" s="97">
        <f t="shared" si="1"/>
        <v>5.96</v>
      </c>
      <c r="N15" s="97">
        <f>'Pré-dimensionamento de Lajes'!N18</f>
        <v>1.3568075117370892</v>
      </c>
      <c r="O15" s="17">
        <v>6.77</v>
      </c>
      <c r="P15" s="17">
        <v>0</v>
      </c>
      <c r="Q15" s="17">
        <v>4.0599999999999996</v>
      </c>
      <c r="R15" s="17">
        <v>0</v>
      </c>
      <c r="S15" s="97">
        <f t="shared" si="6"/>
        <v>7.1108218283679978</v>
      </c>
      <c r="T15" s="97">
        <f t="shared" si="2"/>
        <v>0</v>
      </c>
      <c r="U15" s="97">
        <f t="shared" si="3"/>
        <v>4.2643924111039988</v>
      </c>
      <c r="V15" s="97">
        <f t="shared" si="4"/>
        <v>0</v>
      </c>
      <c r="W15" s="23"/>
      <c r="X15" s="23"/>
      <c r="Y15" s="16" t="s">
        <v>196</v>
      </c>
      <c r="Z15" s="95">
        <f t="shared" ref="Z15:AC15" si="15">(1.4*S15)</f>
        <v>9.9551505597151966</v>
      </c>
      <c r="AA15" s="95">
        <f t="shared" si="15"/>
        <v>0</v>
      </c>
      <c r="AB15" s="95">
        <f t="shared" si="15"/>
        <v>5.9701493755455983</v>
      </c>
      <c r="AC15" s="95">
        <f t="shared" si="15"/>
        <v>0</v>
      </c>
      <c r="AD15" s="92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1:67">
      <c r="A16" s="92"/>
      <c r="B16" s="7" t="s">
        <v>205</v>
      </c>
      <c r="C16" s="7">
        <v>1.5</v>
      </c>
      <c r="D16" s="95">
        <f>'Cargas Atuantes'!Z15</f>
        <v>3.71</v>
      </c>
      <c r="E16" s="7">
        <f>'Cargas Atuantes'!AA15</f>
        <v>5.21</v>
      </c>
      <c r="F16" s="92"/>
      <c r="G16" s="16" t="s">
        <v>205</v>
      </c>
      <c r="H16" s="96" t="s">
        <v>235</v>
      </c>
      <c r="I16" s="75">
        <f>'Pré-dimensionamento de Lajes'!AC17</f>
        <v>10</v>
      </c>
      <c r="J16" s="97">
        <f t="shared" si="0"/>
        <v>5</v>
      </c>
      <c r="K16" s="97">
        <f>'Pré-dimensionamento de Lajes'!BL17</f>
        <v>1.23</v>
      </c>
      <c r="L16" s="97">
        <f>'Pré-dimensionamento de Lajes'!BM17</f>
        <v>4.08</v>
      </c>
      <c r="M16" s="97">
        <f t="shared" si="1"/>
        <v>5.21</v>
      </c>
      <c r="N16" s="97">
        <f>'Pré-dimensionamento de Lajes'!N19</f>
        <v>3.1755725190839694</v>
      </c>
      <c r="O16" s="17">
        <v>4.17</v>
      </c>
      <c r="P16" s="17">
        <v>8.33</v>
      </c>
      <c r="Q16" s="17">
        <v>0.88</v>
      </c>
      <c r="R16" s="17">
        <v>5.64</v>
      </c>
      <c r="S16" s="97">
        <f t="shared" si="6"/>
        <v>0.32868811529999997</v>
      </c>
      <c r="T16" s="97">
        <f t="shared" si="2"/>
        <v>0.65658800969999986</v>
      </c>
      <c r="U16" s="97">
        <f t="shared" si="3"/>
        <v>6.9363439200000002E-2</v>
      </c>
      <c r="V16" s="97">
        <f t="shared" si="4"/>
        <v>0.4445565876</v>
      </c>
      <c r="W16" s="23"/>
      <c r="X16" s="23"/>
      <c r="Y16" s="16" t="s">
        <v>205</v>
      </c>
      <c r="Z16" s="95">
        <f t="shared" ref="Z16:AC16" si="16">(1.4*S16)</f>
        <v>0.46016336141999992</v>
      </c>
      <c r="AA16" s="95">
        <f t="shared" si="16"/>
        <v>0.9192232135799997</v>
      </c>
      <c r="AB16" s="95">
        <f t="shared" si="16"/>
        <v>9.7108814879999991E-2</v>
      </c>
      <c r="AC16" s="95">
        <f t="shared" si="16"/>
        <v>0.62237922264000001</v>
      </c>
      <c r="AD16" s="92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67">
      <c r="A17" s="92"/>
      <c r="B17" s="7" t="s">
        <v>206</v>
      </c>
      <c r="C17" s="7">
        <v>1.5</v>
      </c>
      <c r="D17" s="95">
        <f>'Cargas Atuantes'!Z16</f>
        <v>3.71</v>
      </c>
      <c r="E17" s="7">
        <f>'Cargas Atuantes'!AA16</f>
        <v>5.21</v>
      </c>
      <c r="F17" s="92"/>
      <c r="G17" s="16" t="s">
        <v>206</v>
      </c>
      <c r="H17" s="96">
        <v>3</v>
      </c>
      <c r="I17" s="75">
        <f>'Pré-dimensionamento de Lajes'!AC18</f>
        <v>10</v>
      </c>
      <c r="J17" s="97">
        <f t="shared" si="0"/>
        <v>5</v>
      </c>
      <c r="K17" s="97">
        <f>'Pré-dimensionamento de Lajes'!BL18</f>
        <v>3.4399999999999995</v>
      </c>
      <c r="L17" s="97">
        <f>'Pré-dimensionamento de Lajes'!BM18</f>
        <v>4.0900000000000007</v>
      </c>
      <c r="M17" s="97">
        <f t="shared" si="1"/>
        <v>5.21</v>
      </c>
      <c r="N17" s="97">
        <f>'Pré-dimensionamento de Lajes'!N20</f>
        <v>1.1846590909090908</v>
      </c>
      <c r="O17" s="17">
        <v>3.65</v>
      </c>
      <c r="P17" s="17">
        <v>8.69</v>
      </c>
      <c r="Q17" s="17">
        <v>2.62</v>
      </c>
      <c r="R17" s="17">
        <v>7.63</v>
      </c>
      <c r="S17" s="97">
        <f t="shared" si="6"/>
        <v>2.2503365439999996</v>
      </c>
      <c r="T17" s="97">
        <f t="shared" si="2"/>
        <v>5.3576505663999976</v>
      </c>
      <c r="U17" s="97">
        <f t="shared" si="3"/>
        <v>1.6153100671999996</v>
      </c>
      <c r="V17" s="97">
        <f t="shared" si="4"/>
        <v>4.7041281727999982</v>
      </c>
      <c r="W17" s="23"/>
      <c r="X17" s="23"/>
      <c r="Y17" s="16" t="s">
        <v>206</v>
      </c>
      <c r="Z17" s="95">
        <f t="shared" ref="Z17:AC17" si="17">(1.4*S17)</f>
        <v>3.1504711615999992</v>
      </c>
      <c r="AA17" s="95">
        <f t="shared" si="17"/>
        <v>7.5007107929599961</v>
      </c>
      <c r="AB17" s="95">
        <f t="shared" si="17"/>
        <v>2.2614340940799993</v>
      </c>
      <c r="AC17" s="95">
        <f t="shared" si="17"/>
        <v>6.5857794419199971</v>
      </c>
      <c r="AD17" s="92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67">
      <c r="A18" s="92"/>
      <c r="B18" s="288" t="s">
        <v>236</v>
      </c>
      <c r="C18" s="259"/>
      <c r="D18" s="259"/>
      <c r="E18" s="259"/>
      <c r="F18" s="92"/>
      <c r="G18" s="92"/>
      <c r="H18" s="92"/>
      <c r="I18" s="92"/>
      <c r="J18" s="100" t="s">
        <v>237</v>
      </c>
      <c r="K18" s="92"/>
      <c r="L18" s="92"/>
      <c r="M18" s="92"/>
      <c r="N18" s="100" t="s">
        <v>238</v>
      </c>
      <c r="O18" s="92"/>
      <c r="P18" s="92"/>
      <c r="Q18" s="23"/>
      <c r="R18" s="23"/>
      <c r="S18" s="23"/>
      <c r="T18" s="23"/>
      <c r="U18" s="23"/>
      <c r="V18" s="92"/>
      <c r="W18" s="23"/>
      <c r="X18" s="23"/>
      <c r="Y18" s="92"/>
      <c r="Z18" s="92"/>
      <c r="AA18" s="92"/>
      <c r="AB18" s="92"/>
      <c r="AC18" s="92"/>
      <c r="AD18" s="92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spans="1:67">
      <c r="M19" s="101" t="s">
        <v>239</v>
      </c>
      <c r="Q19" s="23"/>
      <c r="R19" s="23"/>
      <c r="S19" s="23"/>
      <c r="T19" s="23"/>
      <c r="U19" s="23"/>
      <c r="W19" s="23"/>
      <c r="X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>
      <c r="W20" s="23"/>
      <c r="X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spans="1:67">
      <c r="W21" s="23"/>
      <c r="X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spans="1:67" ht="15.75" customHeight="1">
      <c r="W22" s="23"/>
      <c r="X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spans="1:67" ht="15.75" customHeight="1">
      <c r="W23" s="23"/>
      <c r="X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spans="1:67" ht="15.75" customHeight="1">
      <c r="W24" s="23"/>
      <c r="X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spans="1:67" ht="15.75" customHeight="1">
      <c r="W25" s="23"/>
      <c r="X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67" ht="15.75" customHeight="1">
      <c r="W26" s="23"/>
      <c r="X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</sheetData>
  <mergeCells count="11">
    <mergeCell ref="AA4:AA5"/>
    <mergeCell ref="AB4:AB5"/>
    <mergeCell ref="B4:E4"/>
    <mergeCell ref="B18:E18"/>
    <mergeCell ref="A1:E1"/>
    <mergeCell ref="O1:V1"/>
    <mergeCell ref="Y3:AC3"/>
    <mergeCell ref="G4:V4"/>
    <mergeCell ref="Y4:Y5"/>
    <mergeCell ref="Z4:Z5"/>
    <mergeCell ref="AC4:AC5"/>
  </mergeCells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6"/>
  <sheetViews>
    <sheetView showGridLines="0" workbookViewId="0">
      <selection activeCell="A2" sqref="A2"/>
    </sheetView>
  </sheetViews>
  <sheetFormatPr defaultColWidth="14.42578125" defaultRowHeight="15" customHeight="1"/>
  <cols>
    <col min="1" max="1" width="7.85546875" customWidth="1"/>
    <col min="2" max="2" width="6.140625" customWidth="1"/>
    <col min="3" max="3" width="16.140625" customWidth="1"/>
    <col min="4" max="4" width="17" customWidth="1"/>
    <col min="5" max="5" width="19.42578125" customWidth="1"/>
    <col min="6" max="6" width="16.85546875" customWidth="1"/>
    <col min="7" max="7" width="19" customWidth="1"/>
    <col min="8" max="8" width="22.42578125" customWidth="1"/>
    <col min="9" max="9" width="27.5703125" customWidth="1"/>
    <col min="10" max="10" width="35.7109375" customWidth="1"/>
    <col min="11" max="11" width="12.140625" customWidth="1"/>
    <col min="12" max="12" width="8.7109375" customWidth="1"/>
    <col min="13" max="14" width="13.85546875" customWidth="1"/>
    <col min="15" max="15" width="20" customWidth="1"/>
    <col min="16" max="16" width="8.140625" customWidth="1"/>
    <col min="17" max="19" width="8.7109375" customWidth="1"/>
    <col min="20" max="20" width="17.5703125" customWidth="1"/>
    <col min="21" max="21" width="19.140625" customWidth="1"/>
    <col min="22" max="24" width="8.7109375" customWidth="1"/>
    <col min="25" max="25" width="24.5703125" customWidth="1"/>
    <col min="26" max="26" width="27.85546875" customWidth="1"/>
    <col min="27" max="27" width="31.7109375" customWidth="1"/>
  </cols>
  <sheetData>
    <row r="1" spans="1:27" ht="21" customHeight="1">
      <c r="A1" s="280" t="s">
        <v>240</v>
      </c>
      <c r="B1" s="251"/>
      <c r="C1" s="251"/>
      <c r="D1" s="251"/>
      <c r="E1" s="251"/>
      <c r="F1" s="251"/>
      <c r="G1" s="251"/>
      <c r="H1" s="251"/>
      <c r="I1" s="251"/>
      <c r="J1" s="251"/>
      <c r="K1" s="91"/>
      <c r="L1" s="91"/>
      <c r="M1" s="91"/>
      <c r="N1" s="91"/>
      <c r="O1" s="289"/>
      <c r="P1" s="251"/>
      <c r="Q1" s="251"/>
      <c r="R1" s="251"/>
      <c r="S1" s="251"/>
      <c r="T1" s="251"/>
      <c r="U1" s="251"/>
      <c r="V1" s="249"/>
    </row>
    <row r="2" spans="1:27" ht="30.75" customHeight="1"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7">
      <c r="B3" s="255" t="s">
        <v>241</v>
      </c>
      <c r="C3" s="251"/>
      <c r="D3" s="251"/>
      <c r="E3" s="251"/>
      <c r="F3" s="251"/>
      <c r="G3" s="251"/>
      <c r="H3" s="251"/>
      <c r="I3" s="251"/>
      <c r="J3" s="249"/>
      <c r="L3" s="255" t="s">
        <v>242</v>
      </c>
      <c r="M3" s="251"/>
      <c r="N3" s="251"/>
      <c r="O3" s="251"/>
      <c r="P3" s="251"/>
      <c r="Q3" s="251"/>
      <c r="R3" s="251"/>
      <c r="S3" s="251"/>
      <c r="T3" s="251"/>
      <c r="U3" s="249"/>
    </row>
    <row r="4" spans="1:27" ht="15.75">
      <c r="B4" s="70" t="s">
        <v>151</v>
      </c>
      <c r="C4" s="103" t="s">
        <v>166</v>
      </c>
      <c r="D4" s="70" t="s">
        <v>243</v>
      </c>
      <c r="E4" s="70" t="s">
        <v>244</v>
      </c>
      <c r="F4" s="70" t="s">
        <v>245</v>
      </c>
      <c r="G4" s="70" t="s">
        <v>246</v>
      </c>
      <c r="H4" s="70" t="s">
        <v>247</v>
      </c>
      <c r="I4" s="70" t="s">
        <v>248</v>
      </c>
      <c r="J4" s="70" t="s">
        <v>249</v>
      </c>
      <c r="L4" s="70" t="s">
        <v>151</v>
      </c>
      <c r="M4" s="70" t="s">
        <v>156</v>
      </c>
      <c r="N4" s="70" t="s">
        <v>250</v>
      </c>
      <c r="O4" s="70" t="s">
        <v>251</v>
      </c>
      <c r="P4" s="70" t="s">
        <v>252</v>
      </c>
      <c r="Q4" s="70" t="s">
        <v>104</v>
      </c>
      <c r="R4" s="70" t="s">
        <v>35</v>
      </c>
      <c r="S4" s="70" t="s">
        <v>253</v>
      </c>
      <c r="T4" s="70" t="s">
        <v>254</v>
      </c>
      <c r="U4" s="70" t="s">
        <v>255</v>
      </c>
      <c r="X4" s="70" t="s">
        <v>151</v>
      </c>
      <c r="Y4" s="70" t="s">
        <v>219</v>
      </c>
      <c r="Z4" s="70" t="s">
        <v>220</v>
      </c>
      <c r="AA4" s="70" t="s">
        <v>221</v>
      </c>
    </row>
    <row r="5" spans="1:27">
      <c r="A5" s="83"/>
      <c r="B5" s="7" t="s">
        <v>185</v>
      </c>
      <c r="C5" s="16">
        <f>'Pré-dimensionamento de Lajes'!BI7</f>
        <v>10</v>
      </c>
      <c r="D5" s="7">
        <v>25</v>
      </c>
      <c r="E5" s="7">
        <f t="shared" ref="E5:E16" si="0">(D5*C5/100)</f>
        <v>2.5</v>
      </c>
      <c r="F5" s="7">
        <v>0.2</v>
      </c>
      <c r="G5" s="7">
        <v>21</v>
      </c>
      <c r="H5" s="7">
        <f t="shared" ref="H5:H16" si="1">(G5*3/100)</f>
        <v>0.63</v>
      </c>
      <c r="I5" s="7">
        <v>19</v>
      </c>
      <c r="J5" s="7">
        <f t="shared" ref="J5:J16" si="2">(I5*2/100)</f>
        <v>0.38</v>
      </c>
      <c r="L5" s="25" t="s">
        <v>199</v>
      </c>
      <c r="M5" s="16">
        <f>'Pré-dimensionamento de Lajes'!O9</f>
        <v>2</v>
      </c>
      <c r="N5" s="7">
        <f>'Pré-dimensionamento de Lajes'!BN7</f>
        <v>7.9241999999999972</v>
      </c>
      <c r="O5" s="16">
        <v>13</v>
      </c>
      <c r="P5" s="7" t="s">
        <v>256</v>
      </c>
      <c r="Q5" s="7">
        <v>2.65</v>
      </c>
      <c r="R5" s="7">
        <v>2.72</v>
      </c>
      <c r="S5" s="7">
        <v>0.1</v>
      </c>
      <c r="T5" s="9">
        <f>(O5*S5*Q5*R5/N5)</f>
        <v>1.1825042275560944</v>
      </c>
      <c r="U5" s="9">
        <f>SUM(T5)</f>
        <v>1.1825042275560944</v>
      </c>
      <c r="X5" s="7" t="s">
        <v>185</v>
      </c>
      <c r="Y5" s="7">
        <v>1.5</v>
      </c>
      <c r="Z5" s="95">
        <f t="shared" ref="Z5:Z6" si="3">SUM(E5,F5,H5,J5)</f>
        <v>3.71</v>
      </c>
      <c r="AA5" s="7">
        <f t="shared" ref="AA5:AA16" si="4">SUM(Y5:Z5)</f>
        <v>5.21</v>
      </c>
    </row>
    <row r="6" spans="1:27">
      <c r="A6" s="83"/>
      <c r="B6" s="7" t="s">
        <v>197</v>
      </c>
      <c r="C6" s="16">
        <f>'Pré-dimensionamento de Lajes'!BI8</f>
        <v>10</v>
      </c>
      <c r="D6" s="7">
        <v>25</v>
      </c>
      <c r="E6" s="7">
        <f t="shared" si="0"/>
        <v>2.5</v>
      </c>
      <c r="F6" s="7">
        <v>0.2</v>
      </c>
      <c r="G6" s="7">
        <v>21</v>
      </c>
      <c r="H6" s="7">
        <f t="shared" si="1"/>
        <v>0.63</v>
      </c>
      <c r="I6" s="7">
        <v>19</v>
      </c>
      <c r="J6" s="7">
        <f t="shared" si="2"/>
        <v>0.38</v>
      </c>
      <c r="L6" s="291" t="s">
        <v>257</v>
      </c>
      <c r="M6" s="259"/>
      <c r="N6" s="259"/>
      <c r="O6" s="259"/>
      <c r="P6" s="259"/>
      <c r="Q6" s="259"/>
      <c r="R6" s="259"/>
      <c r="S6" s="259"/>
      <c r="T6" s="259"/>
      <c r="U6" s="259"/>
      <c r="X6" s="7" t="s">
        <v>197</v>
      </c>
      <c r="Y6" s="7">
        <v>1.5</v>
      </c>
      <c r="Z6" s="95">
        <f t="shared" si="3"/>
        <v>3.71</v>
      </c>
      <c r="AA6" s="7">
        <f t="shared" si="4"/>
        <v>5.21</v>
      </c>
    </row>
    <row r="7" spans="1:27">
      <c r="A7" s="83"/>
      <c r="B7" s="7" t="s">
        <v>199</v>
      </c>
      <c r="C7" s="16">
        <f>'Pré-dimensionamento de Lajes'!BI9</f>
        <v>10</v>
      </c>
      <c r="D7" s="7">
        <v>25</v>
      </c>
      <c r="E7" s="7">
        <f t="shared" si="0"/>
        <v>2.5</v>
      </c>
      <c r="F7" s="7">
        <v>0.2</v>
      </c>
      <c r="G7" s="7">
        <v>21</v>
      </c>
      <c r="H7" s="7">
        <f t="shared" si="1"/>
        <v>0.63</v>
      </c>
      <c r="I7" s="7">
        <v>19</v>
      </c>
      <c r="J7" s="7">
        <f t="shared" si="2"/>
        <v>0.38</v>
      </c>
      <c r="N7" s="82"/>
      <c r="V7" s="104"/>
      <c r="X7" s="7" t="s">
        <v>199</v>
      </c>
      <c r="Y7" s="7">
        <v>1.5</v>
      </c>
      <c r="Z7" s="95">
        <f>SUM(E7,F7,H7,J7)+U5</f>
        <v>4.8925042275560946</v>
      </c>
      <c r="AA7" s="95">
        <f t="shared" si="4"/>
        <v>6.3925042275560946</v>
      </c>
    </row>
    <row r="8" spans="1:27">
      <c r="A8" s="105"/>
      <c r="B8" s="7" t="s">
        <v>200</v>
      </c>
      <c r="C8" s="16">
        <f>'Pré-dimensionamento de Lajes'!BI10</f>
        <v>10</v>
      </c>
      <c r="D8" s="7">
        <v>25</v>
      </c>
      <c r="E8" s="7">
        <f t="shared" si="0"/>
        <v>2.5</v>
      </c>
      <c r="F8" s="7">
        <v>0.2</v>
      </c>
      <c r="G8" s="7">
        <v>21</v>
      </c>
      <c r="H8" s="7">
        <f t="shared" si="1"/>
        <v>0.63</v>
      </c>
      <c r="I8" s="7">
        <v>19</v>
      </c>
      <c r="J8" s="7">
        <f t="shared" si="2"/>
        <v>0.38</v>
      </c>
      <c r="N8" s="82"/>
      <c r="V8" s="104"/>
      <c r="X8" s="7" t="s">
        <v>200</v>
      </c>
      <c r="Y8" s="7">
        <v>1.5</v>
      </c>
      <c r="Z8" s="95">
        <f t="shared" ref="Z8:Z16" si="5">SUM(E8,F8,H8,J8)</f>
        <v>3.71</v>
      </c>
      <c r="AA8" s="7">
        <f t="shared" si="4"/>
        <v>5.21</v>
      </c>
    </row>
    <row r="9" spans="1:27">
      <c r="A9" s="83"/>
      <c r="B9" s="7" t="s">
        <v>201</v>
      </c>
      <c r="C9" s="16">
        <f>'Pré-dimensionamento de Lajes'!BI11</f>
        <v>10</v>
      </c>
      <c r="D9" s="7">
        <v>25</v>
      </c>
      <c r="E9" s="7">
        <f t="shared" si="0"/>
        <v>2.5</v>
      </c>
      <c r="F9" s="7">
        <v>0.2</v>
      </c>
      <c r="G9" s="7">
        <v>21</v>
      </c>
      <c r="H9" s="7">
        <f t="shared" si="1"/>
        <v>0.63</v>
      </c>
      <c r="I9" s="7">
        <v>19</v>
      </c>
      <c r="J9" s="7">
        <f t="shared" si="2"/>
        <v>0.38</v>
      </c>
      <c r="N9" s="82"/>
      <c r="V9" s="104"/>
      <c r="X9" s="7" t="s">
        <v>201</v>
      </c>
      <c r="Y9" s="7">
        <v>1.5</v>
      </c>
      <c r="Z9" s="95">
        <f t="shared" si="5"/>
        <v>3.71</v>
      </c>
      <c r="AA9" s="7">
        <f t="shared" si="4"/>
        <v>5.21</v>
      </c>
    </row>
    <row r="10" spans="1:27">
      <c r="A10" s="83"/>
      <c r="B10" s="7" t="s">
        <v>184</v>
      </c>
      <c r="C10" s="16">
        <f>'Pré-dimensionamento de Lajes'!BI12</f>
        <v>10</v>
      </c>
      <c r="D10" s="7">
        <v>25</v>
      </c>
      <c r="E10" s="7">
        <f t="shared" si="0"/>
        <v>2.5</v>
      </c>
      <c r="F10" s="7">
        <v>0.2</v>
      </c>
      <c r="G10" s="7">
        <v>21</v>
      </c>
      <c r="H10" s="7">
        <f t="shared" si="1"/>
        <v>0.63</v>
      </c>
      <c r="I10" s="7">
        <v>19</v>
      </c>
      <c r="J10" s="7">
        <f t="shared" si="2"/>
        <v>0.38</v>
      </c>
      <c r="N10" s="82"/>
      <c r="V10" s="104"/>
      <c r="X10" s="7" t="s">
        <v>184</v>
      </c>
      <c r="Y10" s="7">
        <v>1.5</v>
      </c>
      <c r="Z10" s="95">
        <f t="shared" si="5"/>
        <v>3.71</v>
      </c>
      <c r="AA10" s="7">
        <f t="shared" si="4"/>
        <v>5.21</v>
      </c>
    </row>
    <row r="11" spans="1:27">
      <c r="A11" s="83"/>
      <c r="B11" s="7" t="s">
        <v>202</v>
      </c>
      <c r="C11" s="16">
        <f>'Pré-dimensionamento de Lajes'!BI13</f>
        <v>10</v>
      </c>
      <c r="D11" s="7">
        <v>25</v>
      </c>
      <c r="E11" s="7">
        <f t="shared" si="0"/>
        <v>2.5</v>
      </c>
      <c r="F11" s="7">
        <v>0.2</v>
      </c>
      <c r="G11" s="7">
        <v>21</v>
      </c>
      <c r="H11" s="7">
        <f t="shared" si="1"/>
        <v>0.63</v>
      </c>
      <c r="I11" s="7">
        <v>19</v>
      </c>
      <c r="J11" s="7">
        <f t="shared" si="2"/>
        <v>0.38</v>
      </c>
      <c r="N11" s="82"/>
      <c r="V11" s="104"/>
      <c r="X11" s="7" t="s">
        <v>202</v>
      </c>
      <c r="Y11" s="7">
        <v>1.5</v>
      </c>
      <c r="Z11" s="95">
        <f t="shared" si="5"/>
        <v>3.71</v>
      </c>
      <c r="AA11" s="7">
        <f t="shared" si="4"/>
        <v>5.21</v>
      </c>
    </row>
    <row r="12" spans="1:27">
      <c r="B12" s="7" t="s">
        <v>203</v>
      </c>
      <c r="C12" s="16">
        <f>'Pré-dimensionamento de Lajes'!BI14</f>
        <v>10</v>
      </c>
      <c r="D12" s="7">
        <v>25</v>
      </c>
      <c r="E12" s="7">
        <f t="shared" si="0"/>
        <v>2.5</v>
      </c>
      <c r="F12" s="7">
        <v>0.2</v>
      </c>
      <c r="G12" s="7">
        <v>21</v>
      </c>
      <c r="H12" s="7">
        <f t="shared" si="1"/>
        <v>0.63</v>
      </c>
      <c r="I12" s="7">
        <v>19</v>
      </c>
      <c r="J12" s="7">
        <f t="shared" si="2"/>
        <v>0.38</v>
      </c>
      <c r="N12" s="82"/>
      <c r="V12" s="104"/>
      <c r="X12" s="7" t="s">
        <v>203</v>
      </c>
      <c r="Y12" s="7">
        <v>1.5</v>
      </c>
      <c r="Z12" s="95">
        <f t="shared" si="5"/>
        <v>3.71</v>
      </c>
      <c r="AA12" s="7">
        <f t="shared" si="4"/>
        <v>5.21</v>
      </c>
    </row>
    <row r="13" spans="1:27">
      <c r="B13" s="7" t="s">
        <v>204</v>
      </c>
      <c r="C13" s="16">
        <f>'Pré-dimensionamento de Lajes'!BI15</f>
        <v>10</v>
      </c>
      <c r="D13" s="7">
        <v>25</v>
      </c>
      <c r="E13" s="7">
        <f t="shared" si="0"/>
        <v>2.5</v>
      </c>
      <c r="F13" s="7">
        <v>0.2</v>
      </c>
      <c r="G13" s="7">
        <v>21</v>
      </c>
      <c r="H13" s="7">
        <f t="shared" si="1"/>
        <v>0.63</v>
      </c>
      <c r="I13" s="7">
        <v>19</v>
      </c>
      <c r="J13" s="7">
        <f t="shared" si="2"/>
        <v>0.38</v>
      </c>
      <c r="N13" s="82"/>
      <c r="V13" s="104"/>
      <c r="X13" s="7" t="s">
        <v>204</v>
      </c>
      <c r="Y13" s="7">
        <v>1.5</v>
      </c>
      <c r="Z13" s="95">
        <f t="shared" si="5"/>
        <v>3.71</v>
      </c>
      <c r="AA13" s="7">
        <f t="shared" si="4"/>
        <v>5.21</v>
      </c>
    </row>
    <row r="14" spans="1:27">
      <c r="B14" s="7" t="s">
        <v>196</v>
      </c>
      <c r="C14" s="16">
        <f>'Pré-dimensionamento de Lajes'!BI16</f>
        <v>13</v>
      </c>
      <c r="D14" s="7">
        <v>25</v>
      </c>
      <c r="E14" s="7">
        <f t="shared" si="0"/>
        <v>3.25</v>
      </c>
      <c r="F14" s="7">
        <v>0.2</v>
      </c>
      <c r="G14" s="7">
        <v>21</v>
      </c>
      <c r="H14" s="7">
        <f t="shared" si="1"/>
        <v>0.63</v>
      </c>
      <c r="I14" s="7">
        <v>19</v>
      </c>
      <c r="J14" s="7">
        <f t="shared" si="2"/>
        <v>0.38</v>
      </c>
      <c r="N14" s="82"/>
      <c r="V14" s="104"/>
      <c r="X14" s="7" t="s">
        <v>196</v>
      </c>
      <c r="Y14" s="7">
        <v>1.5</v>
      </c>
      <c r="Z14" s="95">
        <f t="shared" si="5"/>
        <v>4.46</v>
      </c>
      <c r="AA14" s="7">
        <f t="shared" si="4"/>
        <v>5.96</v>
      </c>
    </row>
    <row r="15" spans="1:27">
      <c r="B15" s="7" t="s">
        <v>205</v>
      </c>
      <c r="C15" s="16">
        <f>'Pré-dimensionamento de Lajes'!BI17</f>
        <v>10</v>
      </c>
      <c r="D15" s="7">
        <v>25</v>
      </c>
      <c r="E15" s="7">
        <f t="shared" si="0"/>
        <v>2.5</v>
      </c>
      <c r="F15" s="7">
        <v>0.2</v>
      </c>
      <c r="G15" s="7">
        <v>21</v>
      </c>
      <c r="H15" s="7">
        <f t="shared" si="1"/>
        <v>0.63</v>
      </c>
      <c r="I15" s="7">
        <v>19</v>
      </c>
      <c r="J15" s="7">
        <f t="shared" si="2"/>
        <v>0.38</v>
      </c>
      <c r="N15" s="82"/>
      <c r="V15" s="104"/>
      <c r="X15" s="7" t="s">
        <v>205</v>
      </c>
      <c r="Y15" s="7">
        <v>1.5</v>
      </c>
      <c r="Z15" s="95">
        <f t="shared" si="5"/>
        <v>3.71</v>
      </c>
      <c r="AA15" s="7">
        <f t="shared" si="4"/>
        <v>5.21</v>
      </c>
    </row>
    <row r="16" spans="1:27">
      <c r="B16" s="7" t="s">
        <v>206</v>
      </c>
      <c r="C16" s="16">
        <f>'Pré-dimensionamento de Lajes'!BI18</f>
        <v>10</v>
      </c>
      <c r="D16" s="7">
        <v>25</v>
      </c>
      <c r="E16" s="7">
        <f t="shared" si="0"/>
        <v>2.5</v>
      </c>
      <c r="F16" s="7">
        <v>0.2</v>
      </c>
      <c r="G16" s="7">
        <v>21</v>
      </c>
      <c r="H16" s="7">
        <f t="shared" si="1"/>
        <v>0.63</v>
      </c>
      <c r="I16" s="7">
        <v>19</v>
      </c>
      <c r="J16" s="7">
        <f t="shared" si="2"/>
        <v>0.38</v>
      </c>
      <c r="N16" s="82"/>
      <c r="V16" s="104"/>
      <c r="X16" s="7" t="s">
        <v>206</v>
      </c>
      <c r="Y16" s="7">
        <v>1.5</v>
      </c>
      <c r="Z16" s="95">
        <f t="shared" si="5"/>
        <v>3.71</v>
      </c>
      <c r="AA16" s="7">
        <f t="shared" si="4"/>
        <v>5.21</v>
      </c>
    </row>
    <row r="17" spans="2:27">
      <c r="N17" s="82"/>
      <c r="V17" s="104"/>
    </row>
    <row r="18" spans="2:27">
      <c r="B18" s="106" t="s">
        <v>258</v>
      </c>
      <c r="N18" s="82"/>
      <c r="V18" s="104"/>
      <c r="X18" s="290" t="s">
        <v>236</v>
      </c>
      <c r="Y18" s="259"/>
      <c r="Z18" s="259"/>
      <c r="AA18" s="259"/>
    </row>
    <row r="19" spans="2:27">
      <c r="B19" s="106" t="s">
        <v>259</v>
      </c>
      <c r="N19" s="82"/>
      <c r="V19" s="104"/>
      <c r="X19" s="259"/>
      <c r="Y19" s="259"/>
      <c r="Z19" s="259"/>
      <c r="AA19" s="259"/>
    </row>
    <row r="20" spans="2:27">
      <c r="B20" s="106" t="s">
        <v>260</v>
      </c>
      <c r="N20" s="82"/>
      <c r="V20" s="104"/>
    </row>
    <row r="21" spans="2:27">
      <c r="B21" s="106" t="s">
        <v>261</v>
      </c>
      <c r="N21" s="82"/>
      <c r="V21" s="104"/>
    </row>
    <row r="22" spans="2:27">
      <c r="N22" s="82"/>
      <c r="V22" s="104"/>
    </row>
    <row r="23" spans="2:27">
      <c r="N23" s="82"/>
      <c r="V23" s="104"/>
    </row>
    <row r="24" spans="2:27">
      <c r="N24" s="82"/>
      <c r="V24" s="104"/>
    </row>
    <row r="25" spans="2:27">
      <c r="N25" s="82"/>
      <c r="V25" s="104"/>
    </row>
    <row r="26" spans="2:27">
      <c r="N26" s="82"/>
      <c r="V26" s="104"/>
    </row>
    <row r="27" spans="2:27" ht="15.75" customHeight="1">
      <c r="N27" s="82"/>
      <c r="V27" s="104"/>
    </row>
    <row r="28" spans="2:27" ht="15.75" customHeight="1">
      <c r="N28" s="82"/>
      <c r="V28" s="104"/>
    </row>
    <row r="29" spans="2:27" ht="15.75" customHeight="1">
      <c r="N29" s="82"/>
      <c r="V29" s="104"/>
    </row>
    <row r="30" spans="2:27" ht="15.75" customHeight="1">
      <c r="N30" s="82"/>
      <c r="V30" s="104"/>
    </row>
    <row r="31" spans="2:27" ht="15.75" customHeight="1">
      <c r="N31" s="82"/>
      <c r="V31" s="104"/>
    </row>
    <row r="32" spans="2:27" ht="15.75" customHeight="1">
      <c r="N32" s="82"/>
      <c r="V32" s="104"/>
    </row>
    <row r="33" spans="14:22" ht="15.75" customHeight="1">
      <c r="N33" s="82"/>
      <c r="V33" s="104"/>
    </row>
    <row r="34" spans="14:22" ht="15.75" customHeight="1">
      <c r="N34" s="82"/>
    </row>
    <row r="35" spans="14:22" ht="15.75" customHeight="1">
      <c r="N35" s="82"/>
    </row>
    <row r="36" spans="14:22" ht="15.75" customHeight="1">
      <c r="N36" s="23"/>
    </row>
    <row r="37" spans="14:22" ht="15.75" customHeight="1"/>
    <row r="38" spans="14:22" ht="15.75" customHeight="1"/>
    <row r="39" spans="14:22" ht="15.75" customHeight="1"/>
    <row r="40" spans="14:22" ht="15.75" customHeight="1"/>
    <row r="41" spans="14:22" ht="15.75" customHeight="1"/>
    <row r="42" spans="14:22" ht="15.75" customHeight="1"/>
    <row r="43" spans="14:22" ht="15.75" customHeight="1"/>
    <row r="44" spans="14:22" ht="15.75" customHeight="1"/>
    <row r="45" spans="14:22" ht="15.75" customHeight="1"/>
    <row r="46" spans="14:22" ht="15.75" customHeight="1"/>
    <row r="47" spans="14:22" ht="15.75" customHeight="1"/>
    <row r="48" spans="14:2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6">
    <mergeCell ref="X18:AA19"/>
    <mergeCell ref="A1:J1"/>
    <mergeCell ref="O1:V1"/>
    <mergeCell ref="B3:J3"/>
    <mergeCell ref="L3:U3"/>
    <mergeCell ref="L6:U6"/>
  </mergeCells>
  <pageMargins left="0.511811024" right="0.511811024" top="0.78740157499999996" bottom="0.78740157499999996" header="0" footer="0"/>
  <pageSetup paperSize="9" orientation="portrait"/>
  <ignoredErrors>
    <ignoredError sqref="Z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showGridLines="0" workbookViewId="0">
      <selection activeCell="A2" sqref="A2"/>
    </sheetView>
  </sheetViews>
  <sheetFormatPr defaultColWidth="14.42578125" defaultRowHeight="15" customHeight="1"/>
  <cols>
    <col min="1" max="1" width="27.42578125" customWidth="1"/>
    <col min="2" max="2" width="41" customWidth="1"/>
    <col min="3" max="3" width="16.85546875" customWidth="1"/>
    <col min="4" max="4" width="37.5703125" customWidth="1"/>
    <col min="5" max="5" width="13.42578125" customWidth="1"/>
    <col min="6" max="6" width="16.85546875" customWidth="1"/>
    <col min="7" max="7" width="11.7109375" customWidth="1"/>
    <col min="8" max="8" width="16.85546875" customWidth="1"/>
    <col min="9" max="9" width="11.7109375" customWidth="1"/>
    <col min="10" max="27" width="8.7109375" customWidth="1"/>
  </cols>
  <sheetData>
    <row r="1" spans="1:27" ht="21" customHeight="1">
      <c r="A1" s="280" t="s">
        <v>262</v>
      </c>
      <c r="B1" s="251"/>
      <c r="C1" s="251"/>
      <c r="D1" s="251"/>
      <c r="E1" s="251"/>
      <c r="F1" s="251"/>
      <c r="G1" s="91"/>
      <c r="H1" s="91"/>
      <c r="I1" s="91"/>
      <c r="J1" s="91"/>
      <c r="K1" s="91"/>
      <c r="L1" s="91"/>
      <c r="M1" s="91"/>
      <c r="N1" s="91"/>
      <c r="O1" s="289"/>
      <c r="P1" s="251"/>
      <c r="Q1" s="251"/>
      <c r="R1" s="251"/>
      <c r="S1" s="251"/>
      <c r="T1" s="251"/>
      <c r="U1" s="251"/>
      <c r="V1" s="249"/>
    </row>
    <row r="2" spans="1:27">
      <c r="B2" s="28"/>
    </row>
    <row r="3" spans="1:27">
      <c r="B3" s="28"/>
    </row>
    <row r="4" spans="1:27">
      <c r="A4" s="255" t="s">
        <v>263</v>
      </c>
      <c r="B4" s="249"/>
      <c r="C4" s="107"/>
      <c r="D4" s="108"/>
      <c r="E4" s="108"/>
      <c r="F4" s="108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spans="1:27" ht="15" customHeight="1">
      <c r="A5" s="70" t="s">
        <v>264</v>
      </c>
      <c r="B5" s="70" t="s">
        <v>265</v>
      </c>
      <c r="C5" s="92"/>
      <c r="D5" s="292" t="s">
        <v>266</v>
      </c>
      <c r="E5" s="282"/>
      <c r="F5" s="283"/>
      <c r="G5" s="92"/>
      <c r="H5" s="92"/>
      <c r="I5" s="23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7">
      <c r="A6" s="25" t="s">
        <v>267</v>
      </c>
      <c r="B6" s="97">
        <f>MAX('Momentos Fletores'!AC6,'Momentos Fletores'!AC7)</f>
        <v>4.0258313226599993</v>
      </c>
      <c r="D6" s="293"/>
      <c r="E6" s="294"/>
      <c r="F6" s="295"/>
      <c r="I6" s="23"/>
    </row>
    <row r="7" spans="1:27">
      <c r="A7" s="25" t="s">
        <v>268</v>
      </c>
      <c r="B7" s="97">
        <f>MAX('Momentos Fletores'!AA6,'Momentos Fletores'!AC10)</f>
        <v>4.0258313226599993</v>
      </c>
      <c r="D7" s="293"/>
      <c r="E7" s="294"/>
      <c r="F7" s="295"/>
      <c r="I7" s="23"/>
    </row>
    <row r="8" spans="1:27">
      <c r="A8" s="25" t="s">
        <v>269</v>
      </c>
      <c r="B8" s="97">
        <f>MAX('Momentos Fletores'!AC7,'Momentos Fletores'!AA8)</f>
        <v>6.1006170381122802</v>
      </c>
      <c r="D8" s="293"/>
      <c r="E8" s="294"/>
      <c r="F8" s="295"/>
      <c r="I8" s="23"/>
    </row>
    <row r="9" spans="1:27">
      <c r="A9" s="25" t="s">
        <v>270</v>
      </c>
      <c r="B9" s="97">
        <f>MAX('Momentos Fletores'!AA7,'Momentos Fletores'!AA11)</f>
        <v>1.0110908518199999</v>
      </c>
      <c r="D9" s="293"/>
      <c r="E9" s="294"/>
      <c r="F9" s="295"/>
      <c r="I9" s="23"/>
    </row>
    <row r="10" spans="1:27">
      <c r="A10" s="25" t="s">
        <v>271</v>
      </c>
      <c r="B10" s="97">
        <f>MAX('Momentos Fletores'!AC8,'Momentos Fletores'!AC9)</f>
        <v>4.5782819176960912</v>
      </c>
      <c r="D10" s="293"/>
      <c r="E10" s="294"/>
      <c r="F10" s="295"/>
      <c r="I10" s="23"/>
    </row>
    <row r="11" spans="1:27">
      <c r="A11" s="25" t="s">
        <v>272</v>
      </c>
      <c r="B11" s="97">
        <f>MAX('Momentos Fletores'!AA9,'Momentos Fletores'!AC11)</f>
        <v>1.40377639808</v>
      </c>
      <c r="D11" s="293"/>
      <c r="E11" s="294"/>
      <c r="F11" s="295"/>
      <c r="I11" s="23"/>
    </row>
    <row r="12" spans="1:27">
      <c r="A12" s="25" t="s">
        <v>273</v>
      </c>
      <c r="B12" s="97">
        <f>MAX('Momentos Fletores'!AC9,'Momentos Fletores'!AC13)</f>
        <v>3.347289321179999</v>
      </c>
      <c r="D12" s="296"/>
      <c r="E12" s="297"/>
      <c r="F12" s="298"/>
      <c r="I12" s="23"/>
    </row>
    <row r="13" spans="1:27">
      <c r="A13" s="25" t="s">
        <v>274</v>
      </c>
      <c r="B13" s="97">
        <f>MAX('Momentos Fletores'!AA10,'Momentos Fletores'!AC11)</f>
        <v>0.89491238451999999</v>
      </c>
      <c r="F13" s="23"/>
      <c r="G13" s="23"/>
      <c r="H13" s="23"/>
      <c r="I13" s="23"/>
    </row>
    <row r="14" spans="1:27">
      <c r="A14" s="109" t="s">
        <v>275</v>
      </c>
      <c r="B14" s="110">
        <f>MAX('Momentos Fletores'!AC10,'Momentos Fletores'!AA12)</f>
        <v>6.427507519439998</v>
      </c>
      <c r="F14" s="23"/>
      <c r="G14" s="23"/>
      <c r="H14" s="23"/>
      <c r="I14" s="23"/>
    </row>
    <row r="15" spans="1:27">
      <c r="A15" s="109" t="s">
        <v>276</v>
      </c>
      <c r="B15" s="110">
        <f>MAX('Momentos Fletores'!AC11,'Momentos Fletores'!AC12)</f>
        <v>4.6939235020999988</v>
      </c>
      <c r="F15" s="23"/>
      <c r="G15" s="23"/>
      <c r="H15" s="23"/>
      <c r="I15" s="23"/>
    </row>
    <row r="16" spans="1:27">
      <c r="A16" s="109" t="s">
        <v>277</v>
      </c>
      <c r="B16" s="110">
        <f>MAX('Momentos Fletores'!AC11,'Momentos Fletores'!AA13)</f>
        <v>4.6207781030599984</v>
      </c>
      <c r="F16" s="23"/>
      <c r="G16" s="23"/>
      <c r="H16" s="23"/>
      <c r="I16" s="23"/>
    </row>
    <row r="17" spans="1:9">
      <c r="A17" s="109" t="s">
        <v>278</v>
      </c>
      <c r="B17" s="110">
        <f>MAX('Momentos Fletores'!AC11,'Momentos Fletores'!AA14)</f>
        <v>2.2576644090000002</v>
      </c>
      <c r="F17" s="23"/>
      <c r="G17" s="23"/>
      <c r="H17" s="23"/>
      <c r="I17" s="23"/>
    </row>
    <row r="18" spans="1:9">
      <c r="A18" s="109" t="s">
        <v>279</v>
      </c>
      <c r="B18" s="110">
        <f>MAX('Momentos Fletores'!AA11)</f>
        <v>1.0110908518199999</v>
      </c>
      <c r="F18" s="23"/>
      <c r="G18" s="23"/>
      <c r="H18" s="23"/>
      <c r="I18" s="23"/>
    </row>
    <row r="19" spans="1:9">
      <c r="A19" s="109" t="s">
        <v>280</v>
      </c>
      <c r="B19" s="110">
        <f>MAX('Momentos Fletores'!AC13,'Momentos Fletores'!AC14)</f>
        <v>3.347289321179999</v>
      </c>
      <c r="F19" s="23"/>
      <c r="G19" s="23"/>
      <c r="H19" s="23"/>
      <c r="I19" s="23"/>
    </row>
    <row r="20" spans="1:9">
      <c r="A20" s="109" t="s">
        <v>281</v>
      </c>
      <c r="B20" s="110">
        <f>MAX('Momentos Fletores'!AC14,'Momentos Fletores'!AC16)</f>
        <v>1.5698256209999999</v>
      </c>
      <c r="F20" s="23"/>
      <c r="G20" s="23"/>
      <c r="H20" s="23"/>
      <c r="I20" s="23"/>
    </row>
    <row r="21" spans="1:9" ht="15.75" customHeight="1">
      <c r="A21" s="109" t="s">
        <v>282</v>
      </c>
      <c r="B21" s="110">
        <f>MAX('Momentos Fletores'!AA16)</f>
        <v>0.9192232135799997</v>
      </c>
      <c r="F21" s="23"/>
      <c r="G21" s="23"/>
      <c r="H21" s="23"/>
      <c r="I21" s="23"/>
    </row>
    <row r="22" spans="1:9" ht="15.75" customHeight="1">
      <c r="A22" s="109" t="s">
        <v>283</v>
      </c>
      <c r="B22" s="110">
        <f>MAX('Momentos Fletores'!AC16,'Momentos Fletores'!AC17)</f>
        <v>6.5857794419199971</v>
      </c>
      <c r="F22" s="23"/>
      <c r="G22" s="23"/>
      <c r="H22" s="23"/>
      <c r="I22" s="23"/>
    </row>
    <row r="23" spans="1:9" ht="15.75" customHeight="1">
      <c r="B23" s="28"/>
      <c r="F23" s="23"/>
      <c r="G23" s="23"/>
      <c r="H23" s="23"/>
      <c r="I23" s="23"/>
    </row>
    <row r="24" spans="1:9" ht="15.75" customHeight="1">
      <c r="B24" s="28"/>
      <c r="F24" s="23"/>
      <c r="G24" s="23"/>
      <c r="H24" s="23"/>
      <c r="I24" s="23"/>
    </row>
    <row r="25" spans="1:9" ht="15.75" customHeight="1">
      <c r="B25" s="28"/>
      <c r="F25" s="23"/>
      <c r="G25" s="23"/>
      <c r="H25" s="23"/>
      <c r="I25" s="23"/>
    </row>
    <row r="26" spans="1:9" ht="15.75" customHeight="1">
      <c r="B26" s="28"/>
      <c r="F26" s="23"/>
      <c r="G26" s="23"/>
      <c r="H26" s="23"/>
      <c r="I26" s="23"/>
    </row>
    <row r="27" spans="1:9" ht="15.75" customHeight="1">
      <c r="B27" s="28"/>
      <c r="F27" s="23"/>
      <c r="G27" s="23"/>
      <c r="H27" s="23"/>
      <c r="I27" s="23"/>
    </row>
    <row r="28" spans="1:9" ht="15.75" customHeight="1">
      <c r="B28" s="28"/>
      <c r="F28" s="23"/>
      <c r="G28" s="23"/>
      <c r="H28" s="23"/>
      <c r="I28" s="23"/>
    </row>
    <row r="29" spans="1:9" ht="15.75" customHeight="1">
      <c r="B29" s="28"/>
      <c r="F29" s="23"/>
      <c r="G29" s="23"/>
      <c r="H29" s="23"/>
      <c r="I29" s="23"/>
    </row>
    <row r="30" spans="1:9" ht="15.75" customHeight="1">
      <c r="B30" s="28"/>
    </row>
    <row r="31" spans="1:9" ht="15.75" customHeight="1">
      <c r="B31" s="28"/>
    </row>
    <row r="32" spans="1:9" ht="15.75" customHeight="1">
      <c r="B32" s="28"/>
    </row>
    <row r="33" spans="2:2" ht="15.75" customHeight="1">
      <c r="B33" s="28"/>
    </row>
    <row r="34" spans="2:2" ht="15.75" customHeight="1">
      <c r="B34" s="28"/>
    </row>
    <row r="35" spans="2:2" ht="15.75" customHeight="1">
      <c r="B35" s="28"/>
    </row>
    <row r="36" spans="2:2" ht="15.75" customHeight="1">
      <c r="B36" s="28"/>
    </row>
    <row r="37" spans="2:2" ht="15.75" customHeight="1">
      <c r="B37" s="28"/>
    </row>
    <row r="38" spans="2:2" ht="15.75" customHeight="1">
      <c r="B38" s="28"/>
    </row>
    <row r="39" spans="2:2" ht="15.75" customHeight="1">
      <c r="B39" s="28"/>
    </row>
    <row r="40" spans="2:2" ht="15.75" customHeight="1">
      <c r="B40" s="28"/>
    </row>
    <row r="41" spans="2:2" ht="15.75" customHeight="1">
      <c r="B41" s="28"/>
    </row>
    <row r="42" spans="2:2" ht="15.75" customHeight="1">
      <c r="B42" s="28"/>
    </row>
    <row r="43" spans="2:2" ht="15.75" customHeight="1">
      <c r="B43" s="28"/>
    </row>
    <row r="44" spans="2:2" ht="15.75" customHeight="1">
      <c r="B44" s="28"/>
    </row>
    <row r="45" spans="2:2" ht="15.75" customHeight="1">
      <c r="B45" s="28"/>
    </row>
    <row r="46" spans="2:2" ht="15.75" customHeight="1">
      <c r="B46" s="28"/>
    </row>
    <row r="47" spans="2:2" ht="15.75" customHeight="1">
      <c r="B47" s="28"/>
    </row>
    <row r="48" spans="2:2" ht="15.75" customHeight="1">
      <c r="B48" s="28"/>
    </row>
    <row r="49" spans="2:2" ht="15.75" customHeight="1">
      <c r="B49" s="28"/>
    </row>
    <row r="50" spans="2:2" ht="15.75" customHeight="1">
      <c r="B50" s="28"/>
    </row>
    <row r="51" spans="2:2" ht="15.75" customHeight="1">
      <c r="B51" s="28"/>
    </row>
    <row r="52" spans="2:2" ht="15.75" customHeight="1">
      <c r="B52" s="28"/>
    </row>
    <row r="53" spans="2:2" ht="15.75" customHeight="1">
      <c r="B53" s="28"/>
    </row>
    <row r="54" spans="2:2" ht="15.75" customHeight="1">
      <c r="B54" s="28"/>
    </row>
    <row r="55" spans="2:2" ht="15.75" customHeight="1">
      <c r="B55" s="28"/>
    </row>
    <row r="56" spans="2:2" ht="15.75" customHeight="1">
      <c r="B56" s="28"/>
    </row>
    <row r="57" spans="2:2" ht="15.75" customHeight="1">
      <c r="B57" s="28"/>
    </row>
    <row r="58" spans="2:2" ht="15.75" customHeight="1">
      <c r="B58" s="28"/>
    </row>
    <row r="59" spans="2:2" ht="15.75" customHeight="1">
      <c r="B59" s="28"/>
    </row>
    <row r="60" spans="2:2" ht="15.75" customHeight="1">
      <c r="B60" s="28"/>
    </row>
    <row r="61" spans="2:2" ht="15.75" customHeight="1">
      <c r="B61" s="28"/>
    </row>
    <row r="62" spans="2:2" ht="15.75" customHeight="1">
      <c r="B62" s="28"/>
    </row>
    <row r="63" spans="2:2" ht="15.75" customHeight="1">
      <c r="B63" s="28"/>
    </row>
    <row r="64" spans="2:2" ht="15.75" customHeight="1">
      <c r="B64" s="28"/>
    </row>
    <row r="65" spans="2:2" ht="15.75" customHeight="1">
      <c r="B65" s="28"/>
    </row>
    <row r="66" spans="2:2" ht="15.75" customHeight="1">
      <c r="B66" s="28"/>
    </row>
    <row r="67" spans="2:2" ht="15.75" customHeight="1">
      <c r="B67" s="28"/>
    </row>
    <row r="68" spans="2:2" ht="15.75" customHeight="1">
      <c r="B68" s="28"/>
    </row>
    <row r="69" spans="2:2" ht="15.75" customHeight="1">
      <c r="B69" s="28"/>
    </row>
    <row r="70" spans="2:2" ht="15.75" customHeight="1">
      <c r="B70" s="28"/>
    </row>
    <row r="71" spans="2:2" ht="15.75" customHeight="1">
      <c r="B71" s="28"/>
    </row>
    <row r="72" spans="2:2" ht="15.75" customHeight="1">
      <c r="B72" s="28"/>
    </row>
    <row r="73" spans="2:2" ht="15.75" customHeight="1">
      <c r="B73" s="28"/>
    </row>
    <row r="74" spans="2:2" ht="15.75" customHeight="1">
      <c r="B74" s="28"/>
    </row>
    <row r="75" spans="2:2" ht="15.75" customHeight="1">
      <c r="B75" s="28"/>
    </row>
    <row r="76" spans="2:2" ht="15.75" customHeight="1">
      <c r="B76" s="28"/>
    </row>
    <row r="77" spans="2:2" ht="15.75" customHeight="1">
      <c r="B77" s="28"/>
    </row>
    <row r="78" spans="2:2" ht="15.75" customHeight="1">
      <c r="B78" s="28"/>
    </row>
    <row r="79" spans="2:2" ht="15.75" customHeight="1">
      <c r="B79" s="28"/>
    </row>
    <row r="80" spans="2:2" ht="15.75" customHeight="1">
      <c r="B80" s="28"/>
    </row>
    <row r="81" spans="2:2" ht="15.75" customHeight="1">
      <c r="B81" s="28"/>
    </row>
    <row r="82" spans="2:2" ht="15.75" customHeight="1">
      <c r="B82" s="28"/>
    </row>
    <row r="83" spans="2:2" ht="15.75" customHeight="1">
      <c r="B83" s="28"/>
    </row>
    <row r="84" spans="2:2" ht="15.75" customHeight="1">
      <c r="B84" s="28"/>
    </row>
    <row r="85" spans="2:2" ht="15.75" customHeight="1">
      <c r="B85" s="28"/>
    </row>
    <row r="86" spans="2:2" ht="15.75" customHeight="1">
      <c r="B86" s="28"/>
    </row>
    <row r="87" spans="2:2" ht="15.75" customHeight="1">
      <c r="B87" s="28"/>
    </row>
    <row r="88" spans="2:2" ht="15.75" customHeight="1">
      <c r="B88" s="28"/>
    </row>
    <row r="89" spans="2:2" ht="15.75" customHeight="1">
      <c r="B89" s="28"/>
    </row>
    <row r="90" spans="2:2" ht="15.75" customHeight="1">
      <c r="B90" s="28"/>
    </row>
    <row r="91" spans="2:2" ht="15.75" customHeight="1">
      <c r="B91" s="28"/>
    </row>
    <row r="92" spans="2:2" ht="15.75" customHeight="1">
      <c r="B92" s="28"/>
    </row>
    <row r="93" spans="2:2" ht="15.75" customHeight="1">
      <c r="B93" s="28"/>
    </row>
    <row r="94" spans="2:2" ht="15.75" customHeight="1">
      <c r="B94" s="28"/>
    </row>
    <row r="95" spans="2:2" ht="15.75" customHeight="1">
      <c r="B95" s="28"/>
    </row>
    <row r="96" spans="2:2" ht="15.75" customHeight="1">
      <c r="B96" s="28"/>
    </row>
    <row r="97" spans="2:2" ht="15.75" customHeight="1">
      <c r="B97" s="28"/>
    </row>
    <row r="98" spans="2:2" ht="15.75" customHeight="1">
      <c r="B98" s="28"/>
    </row>
    <row r="99" spans="2:2" ht="15.75" customHeight="1">
      <c r="B99" s="28"/>
    </row>
    <row r="100" spans="2:2" ht="15.75" customHeight="1">
      <c r="B100" s="28"/>
    </row>
    <row r="101" spans="2:2" ht="15.75" customHeight="1">
      <c r="B101" s="28"/>
    </row>
    <row r="102" spans="2:2" ht="15.75" customHeight="1">
      <c r="B102" s="28"/>
    </row>
    <row r="103" spans="2:2" ht="15.75" customHeight="1">
      <c r="B103" s="28"/>
    </row>
    <row r="104" spans="2:2" ht="15.75" customHeight="1">
      <c r="B104" s="28"/>
    </row>
    <row r="105" spans="2:2" ht="15.75" customHeight="1">
      <c r="B105" s="28"/>
    </row>
    <row r="106" spans="2:2" ht="15.75" customHeight="1">
      <c r="B106" s="28"/>
    </row>
    <row r="107" spans="2:2" ht="15.75" customHeight="1">
      <c r="B107" s="28"/>
    </row>
    <row r="108" spans="2:2" ht="15.75" customHeight="1">
      <c r="B108" s="28"/>
    </row>
    <row r="109" spans="2:2" ht="15.75" customHeight="1">
      <c r="B109" s="28"/>
    </row>
    <row r="110" spans="2:2" ht="15.75" customHeight="1">
      <c r="B110" s="28"/>
    </row>
    <row r="111" spans="2:2" ht="15.75" customHeight="1">
      <c r="B111" s="28"/>
    </row>
    <row r="112" spans="2:2" ht="15.75" customHeight="1">
      <c r="B112" s="28"/>
    </row>
    <row r="113" spans="2:2" ht="15.75" customHeight="1">
      <c r="B113" s="28"/>
    </row>
    <row r="114" spans="2:2" ht="15.75" customHeight="1">
      <c r="B114" s="28"/>
    </row>
    <row r="115" spans="2:2" ht="15.75" customHeight="1">
      <c r="B115" s="28"/>
    </row>
    <row r="116" spans="2:2" ht="15.75" customHeight="1">
      <c r="B116" s="28"/>
    </row>
    <row r="117" spans="2:2" ht="15.75" customHeight="1">
      <c r="B117" s="28"/>
    </row>
    <row r="118" spans="2:2" ht="15.75" customHeight="1">
      <c r="B118" s="28"/>
    </row>
    <row r="119" spans="2:2" ht="15.75" customHeight="1">
      <c r="B119" s="28"/>
    </row>
    <row r="120" spans="2:2" ht="15.75" customHeight="1">
      <c r="B120" s="28"/>
    </row>
    <row r="121" spans="2:2" ht="15.75" customHeight="1">
      <c r="B121" s="28"/>
    </row>
    <row r="122" spans="2:2" ht="15.75" customHeight="1">
      <c r="B122" s="28"/>
    </row>
    <row r="123" spans="2:2" ht="15.75" customHeight="1">
      <c r="B123" s="28"/>
    </row>
    <row r="124" spans="2:2" ht="15.75" customHeight="1">
      <c r="B124" s="28"/>
    </row>
    <row r="125" spans="2:2" ht="15.75" customHeight="1">
      <c r="B125" s="28"/>
    </row>
    <row r="126" spans="2:2" ht="15.75" customHeight="1">
      <c r="B126" s="28"/>
    </row>
    <row r="127" spans="2:2" ht="15.75" customHeight="1">
      <c r="B127" s="28"/>
    </row>
    <row r="128" spans="2:2" ht="15.75" customHeight="1">
      <c r="B128" s="28"/>
    </row>
    <row r="129" spans="2:2" ht="15.75" customHeight="1">
      <c r="B129" s="28"/>
    </row>
    <row r="130" spans="2:2" ht="15.75" customHeight="1">
      <c r="B130" s="28"/>
    </row>
    <row r="131" spans="2:2" ht="15.75" customHeight="1">
      <c r="B131" s="28"/>
    </row>
    <row r="132" spans="2:2" ht="15.75" customHeight="1">
      <c r="B132" s="28"/>
    </row>
    <row r="133" spans="2:2" ht="15.75" customHeight="1">
      <c r="B133" s="28"/>
    </row>
    <row r="134" spans="2:2" ht="15.75" customHeight="1">
      <c r="B134" s="28"/>
    </row>
    <row r="135" spans="2:2" ht="15.75" customHeight="1">
      <c r="B135" s="28"/>
    </row>
    <row r="136" spans="2:2" ht="15.75" customHeight="1">
      <c r="B136" s="28"/>
    </row>
    <row r="137" spans="2:2" ht="15.75" customHeight="1">
      <c r="B137" s="28"/>
    </row>
    <row r="138" spans="2:2" ht="15.75" customHeight="1">
      <c r="B138" s="28"/>
    </row>
    <row r="139" spans="2:2" ht="15.75" customHeight="1">
      <c r="B139" s="28"/>
    </row>
    <row r="140" spans="2:2" ht="15.75" customHeight="1">
      <c r="B140" s="28"/>
    </row>
    <row r="141" spans="2:2" ht="15.75" customHeight="1">
      <c r="B141" s="28"/>
    </row>
    <row r="142" spans="2:2" ht="15.75" customHeight="1">
      <c r="B142" s="28"/>
    </row>
    <row r="143" spans="2:2" ht="15.75" customHeight="1">
      <c r="B143" s="28"/>
    </row>
    <row r="144" spans="2:2" ht="15.75" customHeight="1">
      <c r="B144" s="28"/>
    </row>
    <row r="145" spans="2:2" ht="15.75" customHeight="1">
      <c r="B145" s="28"/>
    </row>
    <row r="146" spans="2:2" ht="15.75" customHeight="1">
      <c r="B146" s="28"/>
    </row>
    <row r="147" spans="2:2" ht="15.75" customHeight="1">
      <c r="B147" s="28"/>
    </row>
    <row r="148" spans="2:2" ht="15.75" customHeight="1">
      <c r="B148" s="28"/>
    </row>
    <row r="149" spans="2:2" ht="15.75" customHeight="1">
      <c r="B149" s="28"/>
    </row>
    <row r="150" spans="2:2" ht="15.75" customHeight="1">
      <c r="B150" s="28"/>
    </row>
    <row r="151" spans="2:2" ht="15.75" customHeight="1">
      <c r="B151" s="28"/>
    </row>
    <row r="152" spans="2:2" ht="15.75" customHeight="1">
      <c r="B152" s="28"/>
    </row>
    <row r="153" spans="2:2" ht="15.75" customHeight="1">
      <c r="B153" s="28"/>
    </row>
    <row r="154" spans="2:2" ht="15.75" customHeight="1">
      <c r="B154" s="28"/>
    </row>
    <row r="155" spans="2:2" ht="15.75" customHeight="1">
      <c r="B155" s="28"/>
    </row>
    <row r="156" spans="2:2" ht="15.75" customHeight="1">
      <c r="B156" s="28"/>
    </row>
    <row r="157" spans="2:2" ht="15.75" customHeight="1">
      <c r="B157" s="28"/>
    </row>
    <row r="158" spans="2:2" ht="15.75" customHeight="1">
      <c r="B158" s="28"/>
    </row>
    <row r="159" spans="2:2" ht="15.75" customHeight="1">
      <c r="B159" s="28"/>
    </row>
    <row r="160" spans="2:2" ht="15.75" customHeight="1">
      <c r="B160" s="28"/>
    </row>
    <row r="161" spans="2:2" ht="15.75" customHeight="1">
      <c r="B161" s="28"/>
    </row>
    <row r="162" spans="2:2" ht="15.75" customHeight="1">
      <c r="B162" s="28"/>
    </row>
    <row r="163" spans="2:2" ht="15.75" customHeight="1">
      <c r="B163" s="28"/>
    </row>
    <row r="164" spans="2:2" ht="15.75" customHeight="1">
      <c r="B164" s="28"/>
    </row>
    <row r="165" spans="2:2" ht="15.75" customHeight="1">
      <c r="B165" s="28"/>
    </row>
    <row r="166" spans="2:2" ht="15.75" customHeight="1">
      <c r="B166" s="28"/>
    </row>
    <row r="167" spans="2:2" ht="15.75" customHeight="1">
      <c r="B167" s="28"/>
    </row>
    <row r="168" spans="2:2" ht="15.75" customHeight="1">
      <c r="B168" s="28"/>
    </row>
    <row r="169" spans="2:2" ht="15.75" customHeight="1">
      <c r="B169" s="28"/>
    </row>
    <row r="170" spans="2:2" ht="15.75" customHeight="1">
      <c r="B170" s="28"/>
    </row>
    <row r="171" spans="2:2" ht="15.75" customHeight="1">
      <c r="B171" s="28"/>
    </row>
    <row r="172" spans="2:2" ht="15.75" customHeight="1">
      <c r="B172" s="28"/>
    </row>
    <row r="173" spans="2:2" ht="15.75" customHeight="1">
      <c r="B173" s="28"/>
    </row>
    <row r="174" spans="2:2" ht="15.75" customHeight="1">
      <c r="B174" s="28"/>
    </row>
    <row r="175" spans="2:2" ht="15.75" customHeight="1">
      <c r="B175" s="28"/>
    </row>
    <row r="176" spans="2:2" ht="15.75" customHeight="1">
      <c r="B176" s="28"/>
    </row>
    <row r="177" spans="2:2" ht="15.75" customHeight="1">
      <c r="B177" s="28"/>
    </row>
    <row r="178" spans="2:2" ht="15.75" customHeight="1">
      <c r="B178" s="28"/>
    </row>
    <row r="179" spans="2:2" ht="15.75" customHeight="1">
      <c r="B179" s="28"/>
    </row>
    <row r="180" spans="2:2" ht="15.75" customHeight="1">
      <c r="B180" s="28"/>
    </row>
    <row r="181" spans="2:2" ht="15.75" customHeight="1">
      <c r="B181" s="28"/>
    </row>
    <row r="182" spans="2:2" ht="15.75" customHeight="1">
      <c r="B182" s="28"/>
    </row>
    <row r="183" spans="2:2" ht="15.75" customHeight="1">
      <c r="B183" s="28"/>
    </row>
    <row r="184" spans="2:2" ht="15.75" customHeight="1">
      <c r="B184" s="28"/>
    </row>
    <row r="185" spans="2:2" ht="15.75" customHeight="1">
      <c r="B185" s="28"/>
    </row>
    <row r="186" spans="2:2" ht="15.75" customHeight="1">
      <c r="B186" s="28"/>
    </row>
    <row r="187" spans="2:2" ht="15.75" customHeight="1">
      <c r="B187" s="28"/>
    </row>
    <row r="188" spans="2:2" ht="15.75" customHeight="1">
      <c r="B188" s="28"/>
    </row>
    <row r="189" spans="2:2" ht="15.75" customHeight="1">
      <c r="B189" s="28"/>
    </row>
    <row r="190" spans="2:2" ht="15.75" customHeight="1">
      <c r="B190" s="28"/>
    </row>
    <row r="191" spans="2:2" ht="15.75" customHeight="1">
      <c r="B191" s="28"/>
    </row>
    <row r="192" spans="2:2" ht="15.75" customHeight="1">
      <c r="B192" s="28"/>
    </row>
    <row r="193" spans="2:2" ht="15.75" customHeight="1">
      <c r="B193" s="28"/>
    </row>
    <row r="194" spans="2:2" ht="15.75" customHeight="1">
      <c r="B194" s="28"/>
    </row>
    <row r="195" spans="2:2" ht="15.75" customHeight="1">
      <c r="B195" s="28"/>
    </row>
    <row r="196" spans="2:2" ht="15.75" customHeight="1">
      <c r="B196" s="28"/>
    </row>
    <row r="197" spans="2:2" ht="15.75" customHeight="1">
      <c r="B197" s="28"/>
    </row>
    <row r="198" spans="2:2" ht="15.75" customHeight="1">
      <c r="B198" s="28"/>
    </row>
    <row r="199" spans="2:2" ht="15.75" customHeight="1">
      <c r="B199" s="28"/>
    </row>
    <row r="200" spans="2:2" ht="15.75" customHeight="1">
      <c r="B200" s="28"/>
    </row>
    <row r="201" spans="2:2" ht="15.75" customHeight="1">
      <c r="B201" s="28"/>
    </row>
    <row r="202" spans="2:2" ht="15.75" customHeight="1">
      <c r="B202" s="28"/>
    </row>
    <row r="203" spans="2:2" ht="15.75" customHeight="1">
      <c r="B203" s="28"/>
    </row>
    <row r="204" spans="2:2" ht="15.75" customHeight="1">
      <c r="B204" s="28"/>
    </row>
    <row r="205" spans="2:2" ht="15.75" customHeight="1">
      <c r="B205" s="28"/>
    </row>
    <row r="206" spans="2:2" ht="15.75" customHeight="1">
      <c r="B206" s="28"/>
    </row>
    <row r="207" spans="2:2" ht="15.75" customHeight="1">
      <c r="B207" s="28"/>
    </row>
    <row r="208" spans="2:2" ht="15.75" customHeight="1">
      <c r="B208" s="28"/>
    </row>
    <row r="209" spans="2:2" ht="15.75" customHeight="1">
      <c r="B209" s="28"/>
    </row>
    <row r="210" spans="2:2" ht="15.75" customHeight="1">
      <c r="B210" s="28"/>
    </row>
    <row r="211" spans="2:2" ht="15.75" customHeight="1">
      <c r="B211" s="28"/>
    </row>
    <row r="212" spans="2:2" ht="15.75" customHeight="1">
      <c r="B212" s="28"/>
    </row>
    <row r="213" spans="2:2" ht="15.75" customHeight="1">
      <c r="B213" s="28"/>
    </row>
    <row r="214" spans="2:2" ht="15.75" customHeight="1">
      <c r="B214" s="28"/>
    </row>
    <row r="215" spans="2:2" ht="15.75" customHeight="1">
      <c r="B215" s="28"/>
    </row>
    <row r="216" spans="2:2" ht="15.75" customHeight="1">
      <c r="B216" s="28"/>
    </row>
    <row r="217" spans="2:2" ht="15.75" customHeight="1">
      <c r="B217" s="28"/>
    </row>
    <row r="218" spans="2:2" ht="15.75" customHeight="1">
      <c r="B218" s="28"/>
    </row>
    <row r="219" spans="2:2" ht="15.75" customHeight="1">
      <c r="B219" s="28"/>
    </row>
    <row r="220" spans="2:2" ht="15.75" customHeight="1">
      <c r="B220" s="28"/>
    </row>
    <row r="221" spans="2:2" ht="15.75" customHeight="1">
      <c r="B221" s="28"/>
    </row>
    <row r="222" spans="2:2" ht="15.75" customHeight="1">
      <c r="B222" s="28"/>
    </row>
    <row r="223" spans="2:2" ht="15.75" customHeight="1">
      <c r="B223" s="28"/>
    </row>
    <row r="224" spans="2:2" ht="15.75" customHeight="1">
      <c r="B224" s="28"/>
    </row>
    <row r="225" spans="2:2" ht="15.75" customHeight="1">
      <c r="B225" s="28"/>
    </row>
    <row r="226" spans="2:2" ht="15.75" customHeight="1">
      <c r="B226" s="28"/>
    </row>
    <row r="227" spans="2:2" ht="15.75" customHeight="1">
      <c r="B227" s="28"/>
    </row>
    <row r="228" spans="2:2" ht="15.75" customHeight="1">
      <c r="B228" s="28"/>
    </row>
    <row r="229" spans="2:2" ht="15.75" customHeight="1">
      <c r="B229" s="28"/>
    </row>
    <row r="230" spans="2:2" ht="15.75" customHeight="1">
      <c r="B230" s="28"/>
    </row>
    <row r="231" spans="2:2" ht="15.75" customHeight="1">
      <c r="B231" s="28"/>
    </row>
    <row r="232" spans="2:2" ht="15.75" customHeight="1">
      <c r="B232" s="28"/>
    </row>
    <row r="233" spans="2:2" ht="15.75" customHeight="1">
      <c r="B233" s="28"/>
    </row>
    <row r="234" spans="2:2" ht="15.75" customHeight="1">
      <c r="B234" s="28"/>
    </row>
    <row r="235" spans="2:2" ht="15.75" customHeight="1">
      <c r="B235" s="28"/>
    </row>
    <row r="236" spans="2:2" ht="15.75" customHeight="1">
      <c r="B236" s="28"/>
    </row>
    <row r="237" spans="2:2" ht="15.75" customHeight="1">
      <c r="B237" s="28"/>
    </row>
    <row r="238" spans="2:2" ht="15.75" customHeight="1">
      <c r="B238" s="28"/>
    </row>
    <row r="239" spans="2:2" ht="15.75" customHeight="1">
      <c r="B239" s="28"/>
    </row>
    <row r="240" spans="2:2" ht="15.75" customHeight="1">
      <c r="B240" s="28"/>
    </row>
    <row r="241" spans="2:2" ht="15.75" customHeight="1">
      <c r="B241" s="28"/>
    </row>
    <row r="242" spans="2:2" ht="15.75" customHeight="1">
      <c r="B242" s="28"/>
    </row>
    <row r="243" spans="2:2" ht="15.75" customHeight="1">
      <c r="B243" s="28"/>
    </row>
    <row r="244" spans="2:2" ht="15.75" customHeight="1">
      <c r="B244" s="28"/>
    </row>
    <row r="245" spans="2:2" ht="15.75" customHeight="1">
      <c r="B245" s="28"/>
    </row>
    <row r="246" spans="2:2" ht="15.75" customHeight="1">
      <c r="B246" s="28"/>
    </row>
    <row r="247" spans="2:2" ht="15.75" customHeight="1">
      <c r="B247" s="28"/>
    </row>
    <row r="248" spans="2:2" ht="15.75" customHeight="1">
      <c r="B248" s="28"/>
    </row>
    <row r="249" spans="2:2" ht="15.75" customHeight="1">
      <c r="B249" s="28"/>
    </row>
    <row r="250" spans="2:2" ht="15.75" customHeight="1">
      <c r="B250" s="28"/>
    </row>
    <row r="251" spans="2:2" ht="15.75" customHeight="1">
      <c r="B251" s="28"/>
    </row>
    <row r="252" spans="2:2" ht="15.75" customHeight="1">
      <c r="B252" s="28"/>
    </row>
    <row r="253" spans="2:2" ht="15.75" customHeight="1">
      <c r="B253" s="28"/>
    </row>
    <row r="254" spans="2:2" ht="15.75" customHeight="1">
      <c r="B254" s="28"/>
    </row>
    <row r="255" spans="2:2" ht="15.75" customHeight="1">
      <c r="B255" s="28"/>
    </row>
    <row r="256" spans="2:2" ht="15.75" customHeight="1">
      <c r="B256" s="28"/>
    </row>
    <row r="257" spans="2:2" ht="15.75" customHeight="1">
      <c r="B257" s="28"/>
    </row>
    <row r="258" spans="2:2" ht="15.75" customHeight="1">
      <c r="B258" s="28"/>
    </row>
    <row r="259" spans="2:2" ht="15.75" customHeight="1">
      <c r="B259" s="28"/>
    </row>
    <row r="260" spans="2:2" ht="15.75" customHeight="1">
      <c r="B260" s="28"/>
    </row>
    <row r="261" spans="2:2" ht="15.75" customHeight="1">
      <c r="B261" s="28"/>
    </row>
    <row r="262" spans="2:2" ht="15.75" customHeight="1">
      <c r="B262" s="28"/>
    </row>
    <row r="263" spans="2:2" ht="15.75" customHeight="1">
      <c r="B263" s="28"/>
    </row>
    <row r="264" spans="2:2" ht="15.75" customHeight="1">
      <c r="B264" s="28"/>
    </row>
    <row r="265" spans="2:2" ht="15.75" customHeight="1">
      <c r="B265" s="28"/>
    </row>
    <row r="266" spans="2:2" ht="15.75" customHeight="1">
      <c r="B266" s="28"/>
    </row>
    <row r="267" spans="2:2" ht="15.75" customHeight="1">
      <c r="B267" s="28"/>
    </row>
    <row r="268" spans="2:2" ht="15.75" customHeight="1">
      <c r="B268" s="28"/>
    </row>
    <row r="269" spans="2:2" ht="15.75" customHeight="1">
      <c r="B269" s="28"/>
    </row>
    <row r="270" spans="2:2" ht="15.75" customHeight="1">
      <c r="B270" s="28"/>
    </row>
    <row r="271" spans="2:2" ht="15.75" customHeight="1">
      <c r="B271" s="28"/>
    </row>
    <row r="272" spans="2:2" ht="15.75" customHeight="1">
      <c r="B272" s="28"/>
    </row>
    <row r="273" spans="2:2" ht="15.75" customHeight="1">
      <c r="B273" s="28"/>
    </row>
    <row r="274" spans="2:2" ht="15.75" customHeight="1">
      <c r="B274" s="28"/>
    </row>
    <row r="275" spans="2:2" ht="15.75" customHeight="1">
      <c r="B275" s="28"/>
    </row>
    <row r="276" spans="2:2" ht="15.75" customHeight="1">
      <c r="B276" s="28"/>
    </row>
    <row r="277" spans="2:2" ht="15.75" customHeight="1">
      <c r="B277" s="28"/>
    </row>
    <row r="278" spans="2:2" ht="15.75" customHeight="1">
      <c r="B278" s="28"/>
    </row>
    <row r="279" spans="2:2" ht="15.75" customHeight="1">
      <c r="B279" s="28"/>
    </row>
    <row r="280" spans="2:2" ht="15.75" customHeight="1">
      <c r="B280" s="28"/>
    </row>
    <row r="281" spans="2:2" ht="15.75" customHeight="1">
      <c r="B281" s="28"/>
    </row>
    <row r="282" spans="2:2" ht="15.75" customHeight="1">
      <c r="B282" s="28"/>
    </row>
    <row r="283" spans="2:2" ht="15.75" customHeight="1">
      <c r="B283" s="28"/>
    </row>
    <row r="284" spans="2:2" ht="15.75" customHeight="1">
      <c r="B284" s="28"/>
    </row>
    <row r="285" spans="2:2" ht="15.75" customHeight="1">
      <c r="B285" s="28"/>
    </row>
    <row r="286" spans="2:2" ht="15.75" customHeight="1">
      <c r="B286" s="28"/>
    </row>
    <row r="287" spans="2:2" ht="15.75" customHeight="1">
      <c r="B287" s="28"/>
    </row>
    <row r="288" spans="2:2" ht="15.75" customHeight="1">
      <c r="B288" s="28"/>
    </row>
    <row r="289" spans="2:2" ht="15.75" customHeight="1">
      <c r="B289" s="28"/>
    </row>
    <row r="290" spans="2:2" ht="15.75" customHeight="1">
      <c r="B290" s="28"/>
    </row>
    <row r="291" spans="2:2" ht="15.75" customHeight="1">
      <c r="B291" s="28"/>
    </row>
    <row r="292" spans="2:2" ht="15.75" customHeight="1">
      <c r="B292" s="28"/>
    </row>
    <row r="293" spans="2:2" ht="15.75" customHeight="1">
      <c r="B293" s="28"/>
    </row>
    <row r="294" spans="2:2" ht="15.75" customHeight="1">
      <c r="B294" s="28"/>
    </row>
    <row r="295" spans="2:2" ht="15.75" customHeight="1">
      <c r="B295" s="28"/>
    </row>
    <row r="296" spans="2:2" ht="15.75" customHeight="1">
      <c r="B296" s="28"/>
    </row>
    <row r="297" spans="2:2" ht="15.75" customHeight="1">
      <c r="B297" s="28"/>
    </row>
    <row r="298" spans="2:2" ht="15.75" customHeight="1">
      <c r="B298" s="28"/>
    </row>
    <row r="299" spans="2:2" ht="15.75" customHeight="1">
      <c r="B299" s="28"/>
    </row>
    <row r="300" spans="2:2" ht="15.75" customHeight="1">
      <c r="B300" s="28"/>
    </row>
    <row r="301" spans="2:2" ht="15.75" customHeight="1">
      <c r="B301" s="28"/>
    </row>
    <row r="302" spans="2:2" ht="15.75" customHeight="1">
      <c r="B302" s="28"/>
    </row>
    <row r="303" spans="2:2" ht="15.75" customHeight="1">
      <c r="B303" s="28"/>
    </row>
    <row r="304" spans="2:2" ht="15.75" customHeight="1">
      <c r="B304" s="28"/>
    </row>
    <row r="305" spans="2:2" ht="15.75" customHeight="1">
      <c r="B305" s="28"/>
    </row>
    <row r="306" spans="2:2" ht="15.75" customHeight="1">
      <c r="B306" s="28"/>
    </row>
    <row r="307" spans="2:2" ht="15.75" customHeight="1">
      <c r="B307" s="28"/>
    </row>
    <row r="308" spans="2:2" ht="15.75" customHeight="1">
      <c r="B308" s="28"/>
    </row>
    <row r="309" spans="2:2" ht="15.75" customHeight="1">
      <c r="B309" s="28"/>
    </row>
    <row r="310" spans="2:2" ht="15.75" customHeight="1">
      <c r="B310" s="28"/>
    </row>
    <row r="311" spans="2:2" ht="15.75" customHeight="1">
      <c r="B311" s="28"/>
    </row>
    <row r="312" spans="2:2" ht="15.75" customHeight="1">
      <c r="B312" s="28"/>
    </row>
    <row r="313" spans="2:2" ht="15.75" customHeight="1">
      <c r="B313" s="28"/>
    </row>
    <row r="314" spans="2:2" ht="15.75" customHeight="1">
      <c r="B314" s="28"/>
    </row>
    <row r="315" spans="2:2" ht="15.75" customHeight="1">
      <c r="B315" s="28"/>
    </row>
    <row r="316" spans="2:2" ht="15.75" customHeight="1">
      <c r="B316" s="28"/>
    </row>
    <row r="317" spans="2:2" ht="15.75" customHeight="1">
      <c r="B317" s="28"/>
    </row>
    <row r="318" spans="2:2" ht="15.75" customHeight="1">
      <c r="B318" s="28"/>
    </row>
    <row r="319" spans="2:2" ht="15.75" customHeight="1">
      <c r="B319" s="28"/>
    </row>
    <row r="320" spans="2:2" ht="15.75" customHeight="1">
      <c r="B320" s="28"/>
    </row>
    <row r="321" spans="2:2" ht="15.75" customHeight="1">
      <c r="B321" s="28"/>
    </row>
    <row r="322" spans="2:2" ht="15.75" customHeight="1">
      <c r="B322" s="28"/>
    </row>
    <row r="323" spans="2:2" ht="15.75" customHeight="1">
      <c r="B323" s="28"/>
    </row>
    <row r="324" spans="2:2" ht="15.75" customHeight="1">
      <c r="B324" s="28"/>
    </row>
    <row r="325" spans="2:2" ht="15.75" customHeight="1">
      <c r="B325" s="28"/>
    </row>
    <row r="326" spans="2:2" ht="15.75" customHeight="1">
      <c r="B326" s="28"/>
    </row>
    <row r="327" spans="2:2" ht="15.75" customHeight="1">
      <c r="B327" s="28"/>
    </row>
    <row r="328" spans="2:2" ht="15.75" customHeight="1">
      <c r="B328" s="28"/>
    </row>
    <row r="329" spans="2:2" ht="15.75" customHeight="1">
      <c r="B329" s="28"/>
    </row>
    <row r="330" spans="2:2" ht="15.75" customHeight="1">
      <c r="B330" s="28"/>
    </row>
    <row r="331" spans="2:2" ht="15.75" customHeight="1">
      <c r="B331" s="28"/>
    </row>
    <row r="332" spans="2:2" ht="15.75" customHeight="1">
      <c r="B332" s="28"/>
    </row>
    <row r="333" spans="2:2" ht="15.75" customHeight="1">
      <c r="B333" s="28"/>
    </row>
    <row r="334" spans="2:2" ht="15.75" customHeight="1">
      <c r="B334" s="28"/>
    </row>
    <row r="335" spans="2:2" ht="15.75" customHeight="1">
      <c r="B335" s="28"/>
    </row>
    <row r="336" spans="2:2" ht="15.75" customHeight="1">
      <c r="B336" s="28"/>
    </row>
    <row r="337" spans="2:2" ht="15.75" customHeight="1">
      <c r="B337" s="28"/>
    </row>
    <row r="338" spans="2:2" ht="15.75" customHeight="1">
      <c r="B338" s="28"/>
    </row>
    <row r="339" spans="2:2" ht="15.75" customHeight="1">
      <c r="B339" s="28"/>
    </row>
    <row r="340" spans="2:2" ht="15.75" customHeight="1">
      <c r="B340" s="28"/>
    </row>
    <row r="341" spans="2:2" ht="15.75" customHeight="1">
      <c r="B341" s="28"/>
    </row>
    <row r="342" spans="2:2" ht="15.75" customHeight="1">
      <c r="B342" s="28"/>
    </row>
    <row r="343" spans="2:2" ht="15.75" customHeight="1">
      <c r="B343" s="28"/>
    </row>
    <row r="344" spans="2:2" ht="15.75" customHeight="1">
      <c r="B344" s="28"/>
    </row>
    <row r="345" spans="2:2" ht="15.75" customHeight="1">
      <c r="B345" s="28"/>
    </row>
    <row r="346" spans="2:2" ht="15.75" customHeight="1">
      <c r="B346" s="28"/>
    </row>
    <row r="347" spans="2:2" ht="15.75" customHeight="1">
      <c r="B347" s="28"/>
    </row>
    <row r="348" spans="2:2" ht="15.75" customHeight="1">
      <c r="B348" s="28"/>
    </row>
    <row r="349" spans="2:2" ht="15.75" customHeight="1">
      <c r="B349" s="28"/>
    </row>
    <row r="350" spans="2:2" ht="15.75" customHeight="1">
      <c r="B350" s="28"/>
    </row>
    <row r="351" spans="2:2" ht="15.75" customHeight="1">
      <c r="B351" s="28"/>
    </row>
    <row r="352" spans="2:2" ht="15.75" customHeight="1">
      <c r="B352" s="28"/>
    </row>
    <row r="353" spans="2:2" ht="15.75" customHeight="1">
      <c r="B353" s="28"/>
    </row>
    <row r="354" spans="2:2" ht="15.75" customHeight="1">
      <c r="B354" s="28"/>
    </row>
    <row r="355" spans="2:2" ht="15.75" customHeight="1">
      <c r="B355" s="28"/>
    </row>
    <row r="356" spans="2:2" ht="15.75" customHeight="1">
      <c r="B356" s="28"/>
    </row>
    <row r="357" spans="2:2" ht="15.75" customHeight="1">
      <c r="B357" s="28"/>
    </row>
    <row r="358" spans="2:2" ht="15.75" customHeight="1">
      <c r="B358" s="28"/>
    </row>
    <row r="359" spans="2:2" ht="15.75" customHeight="1">
      <c r="B359" s="28"/>
    </row>
    <row r="360" spans="2:2" ht="15.75" customHeight="1">
      <c r="B360" s="28"/>
    </row>
    <row r="361" spans="2:2" ht="15.75" customHeight="1">
      <c r="B361" s="28"/>
    </row>
    <row r="362" spans="2:2" ht="15.75" customHeight="1">
      <c r="B362" s="28"/>
    </row>
    <row r="363" spans="2:2" ht="15.75" customHeight="1">
      <c r="B363" s="28"/>
    </row>
    <row r="364" spans="2:2" ht="15.75" customHeight="1">
      <c r="B364" s="28"/>
    </row>
    <row r="365" spans="2:2" ht="15.75" customHeight="1">
      <c r="B365" s="28"/>
    </row>
    <row r="366" spans="2:2" ht="15.75" customHeight="1">
      <c r="B366" s="28"/>
    </row>
    <row r="367" spans="2:2" ht="15.75" customHeight="1">
      <c r="B367" s="28"/>
    </row>
    <row r="368" spans="2:2" ht="15.75" customHeight="1">
      <c r="B368" s="28"/>
    </row>
    <row r="369" spans="2:2" ht="15.75" customHeight="1">
      <c r="B369" s="28"/>
    </row>
    <row r="370" spans="2:2" ht="15.75" customHeight="1">
      <c r="B370" s="28"/>
    </row>
    <row r="371" spans="2:2" ht="15.75" customHeight="1">
      <c r="B371" s="28"/>
    </row>
    <row r="372" spans="2:2" ht="15.75" customHeight="1">
      <c r="B372" s="28"/>
    </row>
    <row r="373" spans="2:2" ht="15.75" customHeight="1">
      <c r="B373" s="28"/>
    </row>
    <row r="374" spans="2:2" ht="15.75" customHeight="1">
      <c r="B374" s="28"/>
    </row>
    <row r="375" spans="2:2" ht="15.75" customHeight="1">
      <c r="B375" s="28"/>
    </row>
    <row r="376" spans="2:2" ht="15.75" customHeight="1">
      <c r="B376" s="28"/>
    </row>
    <row r="377" spans="2:2" ht="15.75" customHeight="1">
      <c r="B377" s="28"/>
    </row>
    <row r="378" spans="2:2" ht="15.75" customHeight="1">
      <c r="B378" s="28"/>
    </row>
    <row r="379" spans="2:2" ht="15.75" customHeight="1">
      <c r="B379" s="28"/>
    </row>
    <row r="380" spans="2:2" ht="15.75" customHeight="1">
      <c r="B380" s="28"/>
    </row>
    <row r="381" spans="2:2" ht="15.75" customHeight="1">
      <c r="B381" s="28"/>
    </row>
    <row r="382" spans="2:2" ht="15.75" customHeight="1">
      <c r="B382" s="28"/>
    </row>
    <row r="383" spans="2:2" ht="15.75" customHeight="1">
      <c r="B383" s="28"/>
    </row>
    <row r="384" spans="2:2" ht="15.75" customHeight="1">
      <c r="B384" s="28"/>
    </row>
    <row r="385" spans="2:2" ht="15.75" customHeight="1">
      <c r="B385" s="28"/>
    </row>
    <row r="386" spans="2:2" ht="15.75" customHeight="1">
      <c r="B386" s="28"/>
    </row>
    <row r="387" spans="2:2" ht="15.75" customHeight="1">
      <c r="B387" s="28"/>
    </row>
    <row r="388" spans="2:2" ht="15.75" customHeight="1">
      <c r="B388" s="28"/>
    </row>
    <row r="389" spans="2:2" ht="15.75" customHeight="1">
      <c r="B389" s="28"/>
    </row>
    <row r="390" spans="2:2" ht="15.75" customHeight="1">
      <c r="B390" s="28"/>
    </row>
    <row r="391" spans="2:2" ht="15.75" customHeight="1">
      <c r="B391" s="28"/>
    </row>
    <row r="392" spans="2:2" ht="15.75" customHeight="1">
      <c r="B392" s="28"/>
    </row>
    <row r="393" spans="2:2" ht="15.75" customHeight="1">
      <c r="B393" s="28"/>
    </row>
    <row r="394" spans="2:2" ht="15.75" customHeight="1">
      <c r="B394" s="28"/>
    </row>
    <row r="395" spans="2:2" ht="15.75" customHeight="1">
      <c r="B395" s="28"/>
    </row>
    <row r="396" spans="2:2" ht="15.75" customHeight="1">
      <c r="B396" s="28"/>
    </row>
    <row r="397" spans="2:2" ht="15.75" customHeight="1">
      <c r="B397" s="28"/>
    </row>
    <row r="398" spans="2:2" ht="15.75" customHeight="1">
      <c r="B398" s="28"/>
    </row>
    <row r="399" spans="2:2" ht="15.75" customHeight="1">
      <c r="B399" s="28"/>
    </row>
    <row r="400" spans="2:2" ht="15.75" customHeight="1">
      <c r="B400" s="28"/>
    </row>
    <row r="401" spans="2:2" ht="15.75" customHeight="1">
      <c r="B401" s="28"/>
    </row>
    <row r="402" spans="2:2" ht="15.75" customHeight="1">
      <c r="B402" s="28"/>
    </row>
    <row r="403" spans="2:2" ht="15.75" customHeight="1">
      <c r="B403" s="28"/>
    </row>
    <row r="404" spans="2:2" ht="15.75" customHeight="1">
      <c r="B404" s="28"/>
    </row>
    <row r="405" spans="2:2" ht="15.75" customHeight="1">
      <c r="B405" s="28"/>
    </row>
    <row r="406" spans="2:2" ht="15.75" customHeight="1">
      <c r="B406" s="28"/>
    </row>
    <row r="407" spans="2:2" ht="15.75" customHeight="1">
      <c r="B407" s="28"/>
    </row>
    <row r="408" spans="2:2" ht="15.75" customHeight="1">
      <c r="B408" s="28"/>
    </row>
    <row r="409" spans="2:2" ht="15.75" customHeight="1">
      <c r="B409" s="28"/>
    </row>
    <row r="410" spans="2:2" ht="15.75" customHeight="1">
      <c r="B410" s="28"/>
    </row>
    <row r="411" spans="2:2" ht="15.75" customHeight="1">
      <c r="B411" s="28"/>
    </row>
    <row r="412" spans="2:2" ht="15.75" customHeight="1">
      <c r="B412" s="28"/>
    </row>
    <row r="413" spans="2:2" ht="15.75" customHeight="1">
      <c r="B413" s="28"/>
    </row>
    <row r="414" spans="2:2" ht="15.75" customHeight="1">
      <c r="B414" s="28"/>
    </row>
    <row r="415" spans="2:2" ht="15.75" customHeight="1">
      <c r="B415" s="28"/>
    </row>
    <row r="416" spans="2:2" ht="15.75" customHeight="1">
      <c r="B416" s="28"/>
    </row>
    <row r="417" spans="2:2" ht="15.75" customHeight="1">
      <c r="B417" s="28"/>
    </row>
    <row r="418" spans="2:2" ht="15.75" customHeight="1">
      <c r="B418" s="28"/>
    </row>
    <row r="419" spans="2:2" ht="15.75" customHeight="1">
      <c r="B419" s="28"/>
    </row>
    <row r="420" spans="2:2" ht="15.75" customHeight="1">
      <c r="B420" s="28"/>
    </row>
    <row r="421" spans="2:2" ht="15.75" customHeight="1">
      <c r="B421" s="28"/>
    </row>
    <row r="422" spans="2:2" ht="15.75" customHeight="1">
      <c r="B422" s="28"/>
    </row>
    <row r="423" spans="2:2" ht="15.75" customHeight="1">
      <c r="B423" s="28"/>
    </row>
    <row r="424" spans="2:2" ht="15.75" customHeight="1">
      <c r="B424" s="28"/>
    </row>
    <row r="425" spans="2:2" ht="15.75" customHeight="1">
      <c r="B425" s="28"/>
    </row>
    <row r="426" spans="2:2" ht="15.75" customHeight="1">
      <c r="B426" s="28"/>
    </row>
    <row r="427" spans="2:2" ht="15.75" customHeight="1">
      <c r="B427" s="28"/>
    </row>
    <row r="428" spans="2:2" ht="15.75" customHeight="1">
      <c r="B428" s="28"/>
    </row>
    <row r="429" spans="2:2" ht="15.75" customHeight="1">
      <c r="B429" s="28"/>
    </row>
    <row r="430" spans="2:2" ht="15.75" customHeight="1">
      <c r="B430" s="28"/>
    </row>
    <row r="431" spans="2:2" ht="15.75" customHeight="1">
      <c r="B431" s="28"/>
    </row>
    <row r="432" spans="2:2" ht="15.75" customHeight="1">
      <c r="B432" s="28"/>
    </row>
    <row r="433" spans="2:2" ht="15.75" customHeight="1">
      <c r="B433" s="28"/>
    </row>
    <row r="434" spans="2:2" ht="15.75" customHeight="1">
      <c r="B434" s="28"/>
    </row>
    <row r="435" spans="2:2" ht="15.75" customHeight="1">
      <c r="B435" s="28"/>
    </row>
    <row r="436" spans="2:2" ht="15.75" customHeight="1">
      <c r="B436" s="28"/>
    </row>
    <row r="437" spans="2:2" ht="15.75" customHeight="1">
      <c r="B437" s="28"/>
    </row>
    <row r="438" spans="2:2" ht="15.75" customHeight="1">
      <c r="B438" s="28"/>
    </row>
    <row r="439" spans="2:2" ht="15.75" customHeight="1">
      <c r="B439" s="28"/>
    </row>
    <row r="440" spans="2:2" ht="15.75" customHeight="1">
      <c r="B440" s="28"/>
    </row>
    <row r="441" spans="2:2" ht="15.75" customHeight="1">
      <c r="B441" s="28"/>
    </row>
    <row r="442" spans="2:2" ht="15.75" customHeight="1">
      <c r="B442" s="28"/>
    </row>
    <row r="443" spans="2:2" ht="15.75" customHeight="1">
      <c r="B443" s="28"/>
    </row>
    <row r="444" spans="2:2" ht="15.75" customHeight="1">
      <c r="B444" s="28"/>
    </row>
    <row r="445" spans="2:2" ht="15.75" customHeight="1">
      <c r="B445" s="28"/>
    </row>
    <row r="446" spans="2:2" ht="15.75" customHeight="1">
      <c r="B446" s="28"/>
    </row>
    <row r="447" spans="2:2" ht="15.75" customHeight="1">
      <c r="B447" s="28"/>
    </row>
    <row r="448" spans="2:2" ht="15.75" customHeight="1">
      <c r="B448" s="28"/>
    </row>
    <row r="449" spans="2:2" ht="15.75" customHeight="1">
      <c r="B449" s="28"/>
    </row>
    <row r="450" spans="2:2" ht="15.75" customHeight="1">
      <c r="B450" s="28"/>
    </row>
    <row r="451" spans="2:2" ht="15.75" customHeight="1">
      <c r="B451" s="28"/>
    </row>
    <row r="452" spans="2:2" ht="15.75" customHeight="1">
      <c r="B452" s="28"/>
    </row>
    <row r="453" spans="2:2" ht="15.75" customHeight="1">
      <c r="B453" s="28"/>
    </row>
    <row r="454" spans="2:2" ht="15.75" customHeight="1">
      <c r="B454" s="28"/>
    </row>
    <row r="455" spans="2:2" ht="15.75" customHeight="1">
      <c r="B455" s="28"/>
    </row>
    <row r="456" spans="2:2" ht="15.75" customHeight="1">
      <c r="B456" s="28"/>
    </row>
    <row r="457" spans="2:2" ht="15.75" customHeight="1">
      <c r="B457" s="28"/>
    </row>
    <row r="458" spans="2:2" ht="15.75" customHeight="1">
      <c r="B458" s="28"/>
    </row>
    <row r="459" spans="2:2" ht="15.75" customHeight="1">
      <c r="B459" s="28"/>
    </row>
    <row r="460" spans="2:2" ht="15.75" customHeight="1">
      <c r="B460" s="28"/>
    </row>
    <row r="461" spans="2:2" ht="15.75" customHeight="1">
      <c r="B461" s="28"/>
    </row>
    <row r="462" spans="2:2" ht="15.75" customHeight="1">
      <c r="B462" s="28"/>
    </row>
    <row r="463" spans="2:2" ht="15.75" customHeight="1">
      <c r="B463" s="28"/>
    </row>
    <row r="464" spans="2:2" ht="15.75" customHeight="1">
      <c r="B464" s="28"/>
    </row>
    <row r="465" spans="2:2" ht="15.75" customHeight="1">
      <c r="B465" s="28"/>
    </row>
    <row r="466" spans="2:2" ht="15.75" customHeight="1">
      <c r="B466" s="28"/>
    </row>
    <row r="467" spans="2:2" ht="15.75" customHeight="1">
      <c r="B467" s="28"/>
    </row>
    <row r="468" spans="2:2" ht="15.75" customHeight="1">
      <c r="B468" s="28"/>
    </row>
    <row r="469" spans="2:2" ht="15.75" customHeight="1">
      <c r="B469" s="28"/>
    </row>
    <row r="470" spans="2:2" ht="15.75" customHeight="1">
      <c r="B470" s="28"/>
    </row>
    <row r="471" spans="2:2" ht="15.75" customHeight="1">
      <c r="B471" s="28"/>
    </row>
    <row r="472" spans="2:2" ht="15.75" customHeight="1">
      <c r="B472" s="28"/>
    </row>
    <row r="473" spans="2:2" ht="15.75" customHeight="1">
      <c r="B473" s="28"/>
    </row>
    <row r="474" spans="2:2" ht="15.75" customHeight="1">
      <c r="B474" s="28"/>
    </row>
    <row r="475" spans="2:2" ht="15.75" customHeight="1">
      <c r="B475" s="28"/>
    </row>
    <row r="476" spans="2:2" ht="15.75" customHeight="1">
      <c r="B476" s="28"/>
    </row>
    <row r="477" spans="2:2" ht="15.75" customHeight="1">
      <c r="B477" s="28"/>
    </row>
    <row r="478" spans="2:2" ht="15.75" customHeight="1">
      <c r="B478" s="28"/>
    </row>
    <row r="479" spans="2:2" ht="15.75" customHeight="1">
      <c r="B479" s="28"/>
    </row>
    <row r="480" spans="2:2" ht="15.75" customHeight="1">
      <c r="B480" s="28"/>
    </row>
    <row r="481" spans="2:2" ht="15.75" customHeight="1">
      <c r="B481" s="28"/>
    </row>
    <row r="482" spans="2:2" ht="15.75" customHeight="1">
      <c r="B482" s="28"/>
    </row>
    <row r="483" spans="2:2" ht="15.75" customHeight="1">
      <c r="B483" s="28"/>
    </row>
    <row r="484" spans="2:2" ht="15.75" customHeight="1">
      <c r="B484" s="28"/>
    </row>
    <row r="485" spans="2:2" ht="15.75" customHeight="1">
      <c r="B485" s="28"/>
    </row>
    <row r="486" spans="2:2" ht="15.75" customHeight="1">
      <c r="B486" s="28"/>
    </row>
    <row r="487" spans="2:2" ht="15.75" customHeight="1">
      <c r="B487" s="28"/>
    </row>
    <row r="488" spans="2:2" ht="15.75" customHeight="1">
      <c r="B488" s="28"/>
    </row>
    <row r="489" spans="2:2" ht="15.75" customHeight="1">
      <c r="B489" s="28"/>
    </row>
    <row r="490" spans="2:2" ht="15.75" customHeight="1">
      <c r="B490" s="28"/>
    </row>
    <row r="491" spans="2:2" ht="15.75" customHeight="1">
      <c r="B491" s="28"/>
    </row>
    <row r="492" spans="2:2" ht="15.75" customHeight="1">
      <c r="B492" s="28"/>
    </row>
    <row r="493" spans="2:2" ht="15.75" customHeight="1">
      <c r="B493" s="28"/>
    </row>
    <row r="494" spans="2:2" ht="15.75" customHeight="1">
      <c r="B494" s="28"/>
    </row>
    <row r="495" spans="2:2" ht="15.75" customHeight="1">
      <c r="B495" s="28"/>
    </row>
    <row r="496" spans="2:2" ht="15.75" customHeight="1">
      <c r="B496" s="28"/>
    </row>
    <row r="497" spans="2:2" ht="15.75" customHeight="1">
      <c r="B497" s="28"/>
    </row>
    <row r="498" spans="2:2" ht="15.75" customHeight="1">
      <c r="B498" s="28"/>
    </row>
    <row r="499" spans="2:2" ht="15.75" customHeight="1">
      <c r="B499" s="28"/>
    </row>
    <row r="500" spans="2:2" ht="15.75" customHeight="1">
      <c r="B500" s="28"/>
    </row>
    <row r="501" spans="2:2" ht="15.75" customHeight="1">
      <c r="B501" s="28"/>
    </row>
    <row r="502" spans="2:2" ht="15.75" customHeight="1">
      <c r="B502" s="28"/>
    </row>
    <row r="503" spans="2:2" ht="15.75" customHeight="1">
      <c r="B503" s="28"/>
    </row>
    <row r="504" spans="2:2" ht="15.75" customHeight="1">
      <c r="B504" s="28"/>
    </row>
    <row r="505" spans="2:2" ht="15.75" customHeight="1">
      <c r="B505" s="28"/>
    </row>
    <row r="506" spans="2:2" ht="15.75" customHeight="1">
      <c r="B506" s="28"/>
    </row>
    <row r="507" spans="2:2" ht="15.75" customHeight="1">
      <c r="B507" s="28"/>
    </row>
    <row r="508" spans="2:2" ht="15.75" customHeight="1">
      <c r="B508" s="28"/>
    </row>
    <row r="509" spans="2:2" ht="15.75" customHeight="1">
      <c r="B509" s="28"/>
    </row>
    <row r="510" spans="2:2" ht="15.75" customHeight="1">
      <c r="B510" s="28"/>
    </row>
    <row r="511" spans="2:2" ht="15.75" customHeight="1">
      <c r="B511" s="28"/>
    </row>
    <row r="512" spans="2:2" ht="15.75" customHeight="1">
      <c r="B512" s="28"/>
    </row>
    <row r="513" spans="2:2" ht="15.75" customHeight="1">
      <c r="B513" s="28"/>
    </row>
    <row r="514" spans="2:2" ht="15.75" customHeight="1">
      <c r="B514" s="28"/>
    </row>
    <row r="515" spans="2:2" ht="15.75" customHeight="1">
      <c r="B515" s="28"/>
    </row>
    <row r="516" spans="2:2" ht="15.75" customHeight="1">
      <c r="B516" s="28"/>
    </row>
    <row r="517" spans="2:2" ht="15.75" customHeight="1">
      <c r="B517" s="28"/>
    </row>
    <row r="518" spans="2:2" ht="15.75" customHeight="1">
      <c r="B518" s="28"/>
    </row>
    <row r="519" spans="2:2" ht="15.75" customHeight="1">
      <c r="B519" s="28"/>
    </row>
    <row r="520" spans="2:2" ht="15.75" customHeight="1">
      <c r="B520" s="28"/>
    </row>
    <row r="521" spans="2:2" ht="15.75" customHeight="1">
      <c r="B521" s="28"/>
    </row>
    <row r="522" spans="2:2" ht="15.75" customHeight="1">
      <c r="B522" s="28"/>
    </row>
    <row r="523" spans="2:2" ht="15.75" customHeight="1">
      <c r="B523" s="28"/>
    </row>
    <row r="524" spans="2:2" ht="15.75" customHeight="1">
      <c r="B524" s="28"/>
    </row>
    <row r="525" spans="2:2" ht="15.75" customHeight="1">
      <c r="B525" s="28"/>
    </row>
    <row r="526" spans="2:2" ht="15.75" customHeight="1">
      <c r="B526" s="28"/>
    </row>
    <row r="527" spans="2:2" ht="15.75" customHeight="1">
      <c r="B527" s="28"/>
    </row>
    <row r="528" spans="2:2" ht="15.75" customHeight="1">
      <c r="B528" s="28"/>
    </row>
    <row r="529" spans="2:2" ht="15.75" customHeight="1">
      <c r="B529" s="28"/>
    </row>
    <row r="530" spans="2:2" ht="15.75" customHeight="1">
      <c r="B530" s="28"/>
    </row>
    <row r="531" spans="2:2" ht="15.75" customHeight="1">
      <c r="B531" s="28"/>
    </row>
    <row r="532" spans="2:2" ht="15.75" customHeight="1">
      <c r="B532" s="28"/>
    </row>
    <row r="533" spans="2:2" ht="15.75" customHeight="1">
      <c r="B533" s="28"/>
    </row>
    <row r="534" spans="2:2" ht="15.75" customHeight="1">
      <c r="B534" s="28"/>
    </row>
    <row r="535" spans="2:2" ht="15.75" customHeight="1">
      <c r="B535" s="28"/>
    </row>
    <row r="536" spans="2:2" ht="15.75" customHeight="1">
      <c r="B536" s="28"/>
    </row>
    <row r="537" spans="2:2" ht="15.75" customHeight="1">
      <c r="B537" s="28"/>
    </row>
    <row r="538" spans="2:2" ht="15.75" customHeight="1">
      <c r="B538" s="28"/>
    </row>
    <row r="539" spans="2:2" ht="15.75" customHeight="1">
      <c r="B539" s="28"/>
    </row>
    <row r="540" spans="2:2" ht="15.75" customHeight="1">
      <c r="B540" s="28"/>
    </row>
    <row r="541" spans="2:2" ht="15.75" customHeight="1">
      <c r="B541" s="28"/>
    </row>
    <row r="542" spans="2:2" ht="15.75" customHeight="1">
      <c r="B542" s="28"/>
    </row>
    <row r="543" spans="2:2" ht="15.75" customHeight="1">
      <c r="B543" s="28"/>
    </row>
    <row r="544" spans="2:2" ht="15.75" customHeight="1">
      <c r="B544" s="28"/>
    </row>
    <row r="545" spans="2:2" ht="15.75" customHeight="1">
      <c r="B545" s="28"/>
    </row>
    <row r="546" spans="2:2" ht="15.75" customHeight="1">
      <c r="B546" s="28"/>
    </row>
    <row r="547" spans="2:2" ht="15.75" customHeight="1">
      <c r="B547" s="28"/>
    </row>
    <row r="548" spans="2:2" ht="15.75" customHeight="1">
      <c r="B548" s="28"/>
    </row>
    <row r="549" spans="2:2" ht="15.75" customHeight="1">
      <c r="B549" s="28"/>
    </row>
    <row r="550" spans="2:2" ht="15.75" customHeight="1">
      <c r="B550" s="28"/>
    </row>
    <row r="551" spans="2:2" ht="15.75" customHeight="1">
      <c r="B551" s="28"/>
    </row>
    <row r="552" spans="2:2" ht="15.75" customHeight="1">
      <c r="B552" s="28"/>
    </row>
    <row r="553" spans="2:2" ht="15.75" customHeight="1">
      <c r="B553" s="28"/>
    </row>
    <row r="554" spans="2:2" ht="15.75" customHeight="1">
      <c r="B554" s="28"/>
    </row>
    <row r="555" spans="2:2" ht="15.75" customHeight="1">
      <c r="B555" s="28"/>
    </row>
    <row r="556" spans="2:2" ht="15.75" customHeight="1">
      <c r="B556" s="28"/>
    </row>
    <row r="557" spans="2:2" ht="15.75" customHeight="1">
      <c r="B557" s="28"/>
    </row>
    <row r="558" spans="2:2" ht="15.75" customHeight="1">
      <c r="B558" s="28"/>
    </row>
    <row r="559" spans="2:2" ht="15.75" customHeight="1">
      <c r="B559" s="28"/>
    </row>
    <row r="560" spans="2:2" ht="15.75" customHeight="1">
      <c r="B560" s="28"/>
    </row>
    <row r="561" spans="2:2" ht="15.75" customHeight="1">
      <c r="B561" s="28"/>
    </row>
    <row r="562" spans="2:2" ht="15.75" customHeight="1">
      <c r="B562" s="28"/>
    </row>
    <row r="563" spans="2:2" ht="15.75" customHeight="1">
      <c r="B563" s="28"/>
    </row>
    <row r="564" spans="2:2" ht="15.75" customHeight="1">
      <c r="B564" s="28"/>
    </row>
    <row r="565" spans="2:2" ht="15.75" customHeight="1">
      <c r="B565" s="28"/>
    </row>
    <row r="566" spans="2:2" ht="15.75" customHeight="1">
      <c r="B566" s="28"/>
    </row>
    <row r="567" spans="2:2" ht="15.75" customHeight="1">
      <c r="B567" s="28"/>
    </row>
    <row r="568" spans="2:2" ht="15.75" customHeight="1">
      <c r="B568" s="28"/>
    </row>
    <row r="569" spans="2:2" ht="15.75" customHeight="1">
      <c r="B569" s="28"/>
    </row>
    <row r="570" spans="2:2" ht="15.75" customHeight="1">
      <c r="B570" s="28"/>
    </row>
    <row r="571" spans="2:2" ht="15.75" customHeight="1">
      <c r="B571" s="28"/>
    </row>
    <row r="572" spans="2:2" ht="15.75" customHeight="1">
      <c r="B572" s="28"/>
    </row>
    <row r="573" spans="2:2" ht="15.75" customHeight="1">
      <c r="B573" s="28"/>
    </row>
    <row r="574" spans="2:2" ht="15.75" customHeight="1">
      <c r="B574" s="28"/>
    </row>
    <row r="575" spans="2:2" ht="15.75" customHeight="1">
      <c r="B575" s="28"/>
    </row>
    <row r="576" spans="2:2" ht="15.75" customHeight="1">
      <c r="B576" s="28"/>
    </row>
    <row r="577" spans="2:2" ht="15.75" customHeight="1">
      <c r="B577" s="28"/>
    </row>
    <row r="578" spans="2:2" ht="15.75" customHeight="1">
      <c r="B578" s="28"/>
    </row>
    <row r="579" spans="2:2" ht="15.75" customHeight="1">
      <c r="B579" s="28"/>
    </row>
    <row r="580" spans="2:2" ht="15.75" customHeight="1">
      <c r="B580" s="28"/>
    </row>
    <row r="581" spans="2:2" ht="15.75" customHeight="1">
      <c r="B581" s="28"/>
    </row>
    <row r="582" spans="2:2" ht="15.75" customHeight="1">
      <c r="B582" s="28"/>
    </row>
    <row r="583" spans="2:2" ht="15.75" customHeight="1">
      <c r="B583" s="28"/>
    </row>
    <row r="584" spans="2:2" ht="15.75" customHeight="1">
      <c r="B584" s="28"/>
    </row>
    <row r="585" spans="2:2" ht="15.75" customHeight="1">
      <c r="B585" s="28"/>
    </row>
    <row r="586" spans="2:2" ht="15.75" customHeight="1">
      <c r="B586" s="28"/>
    </row>
    <row r="587" spans="2:2" ht="15.75" customHeight="1">
      <c r="B587" s="28"/>
    </row>
    <row r="588" spans="2:2" ht="15.75" customHeight="1">
      <c r="B588" s="28"/>
    </row>
    <row r="589" spans="2:2" ht="15.75" customHeight="1">
      <c r="B589" s="28"/>
    </row>
    <row r="590" spans="2:2" ht="15.75" customHeight="1">
      <c r="B590" s="28"/>
    </row>
    <row r="591" spans="2:2" ht="15.75" customHeight="1">
      <c r="B591" s="28"/>
    </row>
    <row r="592" spans="2:2" ht="15.75" customHeight="1">
      <c r="B592" s="28"/>
    </row>
    <row r="593" spans="2:2" ht="15.75" customHeight="1">
      <c r="B593" s="28"/>
    </row>
    <row r="594" spans="2:2" ht="15.75" customHeight="1">
      <c r="B594" s="28"/>
    </row>
    <row r="595" spans="2:2" ht="15.75" customHeight="1">
      <c r="B595" s="28"/>
    </row>
    <row r="596" spans="2:2" ht="15.75" customHeight="1">
      <c r="B596" s="28"/>
    </row>
    <row r="597" spans="2:2" ht="15.75" customHeight="1">
      <c r="B597" s="28"/>
    </row>
    <row r="598" spans="2:2" ht="15.75" customHeight="1">
      <c r="B598" s="28"/>
    </row>
    <row r="599" spans="2:2" ht="15.75" customHeight="1">
      <c r="B599" s="28"/>
    </row>
    <row r="600" spans="2:2" ht="15.75" customHeight="1">
      <c r="B600" s="28"/>
    </row>
    <row r="601" spans="2:2" ht="15.75" customHeight="1">
      <c r="B601" s="28"/>
    </row>
    <row r="602" spans="2:2" ht="15.75" customHeight="1">
      <c r="B602" s="28"/>
    </row>
    <row r="603" spans="2:2" ht="15.75" customHeight="1">
      <c r="B603" s="28"/>
    </row>
    <row r="604" spans="2:2" ht="15.75" customHeight="1">
      <c r="B604" s="28"/>
    </row>
    <row r="605" spans="2:2" ht="15.75" customHeight="1">
      <c r="B605" s="28"/>
    </row>
    <row r="606" spans="2:2" ht="15.75" customHeight="1">
      <c r="B606" s="28"/>
    </row>
    <row r="607" spans="2:2" ht="15.75" customHeight="1">
      <c r="B607" s="28"/>
    </row>
    <row r="608" spans="2:2" ht="15.75" customHeight="1">
      <c r="B608" s="28"/>
    </row>
    <row r="609" spans="2:2" ht="15.75" customHeight="1">
      <c r="B609" s="28"/>
    </row>
    <row r="610" spans="2:2" ht="15.75" customHeight="1">
      <c r="B610" s="28"/>
    </row>
    <row r="611" spans="2:2" ht="15.75" customHeight="1">
      <c r="B611" s="28"/>
    </row>
    <row r="612" spans="2:2" ht="15.75" customHeight="1">
      <c r="B612" s="28"/>
    </row>
    <row r="613" spans="2:2" ht="15.75" customHeight="1">
      <c r="B613" s="28"/>
    </row>
    <row r="614" spans="2:2" ht="15.75" customHeight="1">
      <c r="B614" s="28"/>
    </row>
    <row r="615" spans="2:2" ht="15.75" customHeight="1">
      <c r="B615" s="28"/>
    </row>
    <row r="616" spans="2:2" ht="15.75" customHeight="1">
      <c r="B616" s="28"/>
    </row>
    <row r="617" spans="2:2" ht="15.75" customHeight="1">
      <c r="B617" s="28"/>
    </row>
    <row r="618" spans="2:2" ht="15.75" customHeight="1">
      <c r="B618" s="28"/>
    </row>
    <row r="619" spans="2:2" ht="15.75" customHeight="1">
      <c r="B619" s="28"/>
    </row>
    <row r="620" spans="2:2" ht="15.75" customHeight="1">
      <c r="B620" s="28"/>
    </row>
    <row r="621" spans="2:2" ht="15.75" customHeight="1">
      <c r="B621" s="28"/>
    </row>
    <row r="622" spans="2:2" ht="15.75" customHeight="1">
      <c r="B622" s="28"/>
    </row>
    <row r="623" spans="2:2" ht="15.75" customHeight="1">
      <c r="B623" s="28"/>
    </row>
    <row r="624" spans="2:2" ht="15.75" customHeight="1">
      <c r="B624" s="28"/>
    </row>
    <row r="625" spans="2:2" ht="15.75" customHeight="1">
      <c r="B625" s="28"/>
    </row>
    <row r="626" spans="2:2" ht="15.75" customHeight="1">
      <c r="B626" s="28"/>
    </row>
    <row r="627" spans="2:2" ht="15.75" customHeight="1">
      <c r="B627" s="28"/>
    </row>
    <row r="628" spans="2:2" ht="15.75" customHeight="1">
      <c r="B628" s="28"/>
    </row>
    <row r="629" spans="2:2" ht="15.75" customHeight="1">
      <c r="B629" s="28"/>
    </row>
    <row r="630" spans="2:2" ht="15.75" customHeight="1">
      <c r="B630" s="28"/>
    </row>
    <row r="631" spans="2:2" ht="15.75" customHeight="1">
      <c r="B631" s="28"/>
    </row>
    <row r="632" spans="2:2" ht="15.75" customHeight="1">
      <c r="B632" s="28"/>
    </row>
    <row r="633" spans="2:2" ht="15.75" customHeight="1">
      <c r="B633" s="28"/>
    </row>
    <row r="634" spans="2:2" ht="15.75" customHeight="1">
      <c r="B634" s="28"/>
    </row>
    <row r="635" spans="2:2" ht="15.75" customHeight="1">
      <c r="B635" s="28"/>
    </row>
    <row r="636" spans="2:2" ht="15.75" customHeight="1">
      <c r="B636" s="28"/>
    </row>
    <row r="637" spans="2:2" ht="15.75" customHeight="1">
      <c r="B637" s="28"/>
    </row>
    <row r="638" spans="2:2" ht="15.75" customHeight="1">
      <c r="B638" s="28"/>
    </row>
    <row r="639" spans="2:2" ht="15.75" customHeight="1">
      <c r="B639" s="28"/>
    </row>
    <row r="640" spans="2:2" ht="15.75" customHeight="1">
      <c r="B640" s="28"/>
    </row>
    <row r="641" spans="2:2" ht="15.75" customHeight="1">
      <c r="B641" s="28"/>
    </row>
    <row r="642" spans="2:2" ht="15.75" customHeight="1">
      <c r="B642" s="28"/>
    </row>
    <row r="643" spans="2:2" ht="15.75" customHeight="1">
      <c r="B643" s="28"/>
    </row>
    <row r="644" spans="2:2" ht="15.75" customHeight="1">
      <c r="B644" s="28"/>
    </row>
    <row r="645" spans="2:2" ht="15.75" customHeight="1">
      <c r="B645" s="28"/>
    </row>
    <row r="646" spans="2:2" ht="15.75" customHeight="1">
      <c r="B646" s="28"/>
    </row>
    <row r="647" spans="2:2" ht="15.75" customHeight="1">
      <c r="B647" s="28"/>
    </row>
    <row r="648" spans="2:2" ht="15.75" customHeight="1">
      <c r="B648" s="28"/>
    </row>
    <row r="649" spans="2:2" ht="15.75" customHeight="1">
      <c r="B649" s="28"/>
    </row>
    <row r="650" spans="2:2" ht="15.75" customHeight="1">
      <c r="B650" s="28"/>
    </row>
    <row r="651" spans="2:2" ht="15.75" customHeight="1">
      <c r="B651" s="28"/>
    </row>
    <row r="652" spans="2:2" ht="15.75" customHeight="1">
      <c r="B652" s="28"/>
    </row>
    <row r="653" spans="2:2" ht="15.75" customHeight="1">
      <c r="B653" s="28"/>
    </row>
    <row r="654" spans="2:2" ht="15.75" customHeight="1">
      <c r="B654" s="28"/>
    </row>
    <row r="655" spans="2:2" ht="15.75" customHeight="1">
      <c r="B655" s="28"/>
    </row>
    <row r="656" spans="2:2" ht="15.75" customHeight="1">
      <c r="B656" s="28"/>
    </row>
    <row r="657" spans="2:2" ht="15.75" customHeight="1">
      <c r="B657" s="28"/>
    </row>
    <row r="658" spans="2:2" ht="15.75" customHeight="1">
      <c r="B658" s="28"/>
    </row>
    <row r="659" spans="2:2" ht="15.75" customHeight="1">
      <c r="B659" s="28"/>
    </row>
    <row r="660" spans="2:2" ht="15.75" customHeight="1">
      <c r="B660" s="28"/>
    </row>
    <row r="661" spans="2:2" ht="15.75" customHeight="1">
      <c r="B661" s="28"/>
    </row>
    <row r="662" spans="2:2" ht="15.75" customHeight="1">
      <c r="B662" s="28"/>
    </row>
    <row r="663" spans="2:2" ht="15.75" customHeight="1">
      <c r="B663" s="28"/>
    </row>
    <row r="664" spans="2:2" ht="15.75" customHeight="1">
      <c r="B664" s="28"/>
    </row>
    <row r="665" spans="2:2" ht="15.75" customHeight="1">
      <c r="B665" s="28"/>
    </row>
    <row r="666" spans="2:2" ht="15.75" customHeight="1">
      <c r="B666" s="28"/>
    </row>
    <row r="667" spans="2:2" ht="15.75" customHeight="1">
      <c r="B667" s="28"/>
    </row>
    <row r="668" spans="2:2" ht="15.75" customHeight="1">
      <c r="B668" s="28"/>
    </row>
    <row r="669" spans="2:2" ht="15.75" customHeight="1">
      <c r="B669" s="28"/>
    </row>
    <row r="670" spans="2:2" ht="15.75" customHeight="1">
      <c r="B670" s="28"/>
    </row>
    <row r="671" spans="2:2" ht="15.75" customHeight="1">
      <c r="B671" s="28"/>
    </row>
    <row r="672" spans="2:2" ht="15.75" customHeight="1">
      <c r="B672" s="28"/>
    </row>
    <row r="673" spans="2:2" ht="15.75" customHeight="1">
      <c r="B673" s="28"/>
    </row>
    <row r="674" spans="2:2" ht="15.75" customHeight="1">
      <c r="B674" s="28"/>
    </row>
    <row r="675" spans="2:2" ht="15.75" customHeight="1">
      <c r="B675" s="28"/>
    </row>
    <row r="676" spans="2:2" ht="15.75" customHeight="1">
      <c r="B676" s="28"/>
    </row>
    <row r="677" spans="2:2" ht="15.75" customHeight="1">
      <c r="B677" s="28"/>
    </row>
    <row r="678" spans="2:2" ht="15.75" customHeight="1">
      <c r="B678" s="28"/>
    </row>
    <row r="679" spans="2:2" ht="15.75" customHeight="1">
      <c r="B679" s="28"/>
    </row>
    <row r="680" spans="2:2" ht="15.75" customHeight="1">
      <c r="B680" s="28"/>
    </row>
    <row r="681" spans="2:2" ht="15.75" customHeight="1">
      <c r="B681" s="28"/>
    </row>
    <row r="682" spans="2:2" ht="15.75" customHeight="1">
      <c r="B682" s="28"/>
    </row>
    <row r="683" spans="2:2" ht="15.75" customHeight="1">
      <c r="B683" s="28"/>
    </row>
    <row r="684" spans="2:2" ht="15.75" customHeight="1">
      <c r="B684" s="28"/>
    </row>
    <row r="685" spans="2:2" ht="15.75" customHeight="1">
      <c r="B685" s="28"/>
    </row>
    <row r="686" spans="2:2" ht="15.75" customHeight="1">
      <c r="B686" s="28"/>
    </row>
    <row r="687" spans="2:2" ht="15.75" customHeight="1">
      <c r="B687" s="28"/>
    </row>
    <row r="688" spans="2:2" ht="15.75" customHeight="1">
      <c r="B688" s="28"/>
    </row>
    <row r="689" spans="2:2" ht="15.75" customHeight="1">
      <c r="B689" s="28"/>
    </row>
    <row r="690" spans="2:2" ht="15.75" customHeight="1">
      <c r="B690" s="28"/>
    </row>
    <row r="691" spans="2:2" ht="15.75" customHeight="1">
      <c r="B691" s="28"/>
    </row>
    <row r="692" spans="2:2" ht="15.75" customHeight="1">
      <c r="B692" s="28"/>
    </row>
    <row r="693" spans="2:2" ht="15.75" customHeight="1">
      <c r="B693" s="28"/>
    </row>
    <row r="694" spans="2:2" ht="15.75" customHeight="1">
      <c r="B694" s="28"/>
    </row>
    <row r="695" spans="2:2" ht="15.75" customHeight="1">
      <c r="B695" s="28"/>
    </row>
    <row r="696" spans="2:2" ht="15.75" customHeight="1">
      <c r="B696" s="28"/>
    </row>
    <row r="697" spans="2:2" ht="15.75" customHeight="1">
      <c r="B697" s="28"/>
    </row>
    <row r="698" spans="2:2" ht="15.75" customHeight="1">
      <c r="B698" s="28"/>
    </row>
    <row r="699" spans="2:2" ht="15.75" customHeight="1">
      <c r="B699" s="28"/>
    </row>
    <row r="700" spans="2:2" ht="15.75" customHeight="1">
      <c r="B700" s="28"/>
    </row>
    <row r="701" spans="2:2" ht="15.75" customHeight="1">
      <c r="B701" s="28"/>
    </row>
    <row r="702" spans="2:2" ht="15.75" customHeight="1">
      <c r="B702" s="28"/>
    </row>
    <row r="703" spans="2:2" ht="15.75" customHeight="1">
      <c r="B703" s="28"/>
    </row>
    <row r="704" spans="2:2" ht="15.75" customHeight="1">
      <c r="B704" s="28"/>
    </row>
    <row r="705" spans="2:2" ht="15.75" customHeight="1">
      <c r="B705" s="28"/>
    </row>
    <row r="706" spans="2:2" ht="15.75" customHeight="1">
      <c r="B706" s="28"/>
    </row>
    <row r="707" spans="2:2" ht="15.75" customHeight="1">
      <c r="B707" s="28"/>
    </row>
    <row r="708" spans="2:2" ht="15.75" customHeight="1">
      <c r="B708" s="28"/>
    </row>
    <row r="709" spans="2:2" ht="15.75" customHeight="1">
      <c r="B709" s="28"/>
    </row>
    <row r="710" spans="2:2" ht="15.75" customHeight="1">
      <c r="B710" s="28"/>
    </row>
    <row r="711" spans="2:2" ht="15.75" customHeight="1">
      <c r="B711" s="28"/>
    </row>
    <row r="712" spans="2:2" ht="15.75" customHeight="1">
      <c r="B712" s="28"/>
    </row>
    <row r="713" spans="2:2" ht="15.75" customHeight="1">
      <c r="B713" s="28"/>
    </row>
    <row r="714" spans="2:2" ht="15.75" customHeight="1">
      <c r="B714" s="28"/>
    </row>
    <row r="715" spans="2:2" ht="15.75" customHeight="1">
      <c r="B715" s="28"/>
    </row>
    <row r="716" spans="2:2" ht="15.75" customHeight="1">
      <c r="B716" s="28"/>
    </row>
    <row r="717" spans="2:2" ht="15.75" customHeight="1">
      <c r="B717" s="28"/>
    </row>
    <row r="718" spans="2:2" ht="15.75" customHeight="1">
      <c r="B718" s="28"/>
    </row>
    <row r="719" spans="2:2" ht="15.75" customHeight="1">
      <c r="B719" s="28"/>
    </row>
    <row r="720" spans="2:2" ht="15.75" customHeight="1">
      <c r="B720" s="28"/>
    </row>
    <row r="721" spans="2:2" ht="15.75" customHeight="1">
      <c r="B721" s="28"/>
    </row>
    <row r="722" spans="2:2" ht="15.75" customHeight="1">
      <c r="B722" s="28"/>
    </row>
    <row r="723" spans="2:2" ht="15.75" customHeight="1">
      <c r="B723" s="28"/>
    </row>
    <row r="724" spans="2:2" ht="15.75" customHeight="1">
      <c r="B724" s="28"/>
    </row>
    <row r="725" spans="2:2" ht="15.75" customHeight="1">
      <c r="B725" s="28"/>
    </row>
    <row r="726" spans="2:2" ht="15.75" customHeight="1">
      <c r="B726" s="28"/>
    </row>
    <row r="727" spans="2:2" ht="15.75" customHeight="1">
      <c r="B727" s="28"/>
    </row>
    <row r="728" spans="2:2" ht="15.75" customHeight="1">
      <c r="B728" s="28"/>
    </row>
    <row r="729" spans="2:2" ht="15.75" customHeight="1">
      <c r="B729" s="28"/>
    </row>
    <row r="730" spans="2:2" ht="15.75" customHeight="1">
      <c r="B730" s="28"/>
    </row>
    <row r="731" spans="2:2" ht="15.75" customHeight="1">
      <c r="B731" s="28"/>
    </row>
    <row r="732" spans="2:2" ht="15.75" customHeight="1">
      <c r="B732" s="28"/>
    </row>
    <row r="733" spans="2:2" ht="15.75" customHeight="1">
      <c r="B733" s="28"/>
    </row>
    <row r="734" spans="2:2" ht="15.75" customHeight="1">
      <c r="B734" s="28"/>
    </row>
    <row r="735" spans="2:2" ht="15.75" customHeight="1">
      <c r="B735" s="28"/>
    </row>
    <row r="736" spans="2:2" ht="15.75" customHeight="1">
      <c r="B736" s="28"/>
    </row>
    <row r="737" spans="2:2" ht="15.75" customHeight="1">
      <c r="B737" s="28"/>
    </row>
    <row r="738" spans="2:2" ht="15.75" customHeight="1">
      <c r="B738" s="28"/>
    </row>
    <row r="739" spans="2:2" ht="15.75" customHeight="1">
      <c r="B739" s="28"/>
    </row>
    <row r="740" spans="2:2" ht="15.75" customHeight="1">
      <c r="B740" s="28"/>
    </row>
    <row r="741" spans="2:2" ht="15.75" customHeight="1">
      <c r="B741" s="28"/>
    </row>
    <row r="742" spans="2:2" ht="15.75" customHeight="1">
      <c r="B742" s="28"/>
    </row>
    <row r="743" spans="2:2" ht="15.75" customHeight="1">
      <c r="B743" s="28"/>
    </row>
    <row r="744" spans="2:2" ht="15.75" customHeight="1">
      <c r="B744" s="28"/>
    </row>
    <row r="745" spans="2:2" ht="15.75" customHeight="1">
      <c r="B745" s="28"/>
    </row>
    <row r="746" spans="2:2" ht="15.75" customHeight="1">
      <c r="B746" s="28"/>
    </row>
    <row r="747" spans="2:2" ht="15.75" customHeight="1">
      <c r="B747" s="28"/>
    </row>
    <row r="748" spans="2:2" ht="15.75" customHeight="1">
      <c r="B748" s="28"/>
    </row>
    <row r="749" spans="2:2" ht="15.75" customHeight="1">
      <c r="B749" s="28"/>
    </row>
    <row r="750" spans="2:2" ht="15.75" customHeight="1">
      <c r="B750" s="28"/>
    </row>
    <row r="751" spans="2:2" ht="15.75" customHeight="1">
      <c r="B751" s="28"/>
    </row>
    <row r="752" spans="2:2" ht="15.75" customHeight="1">
      <c r="B752" s="28"/>
    </row>
    <row r="753" spans="2:2" ht="15.75" customHeight="1">
      <c r="B753" s="28"/>
    </row>
    <row r="754" spans="2:2" ht="15.75" customHeight="1">
      <c r="B754" s="28"/>
    </row>
    <row r="755" spans="2:2" ht="15.75" customHeight="1">
      <c r="B755" s="28"/>
    </row>
    <row r="756" spans="2:2" ht="15.75" customHeight="1">
      <c r="B756" s="28"/>
    </row>
    <row r="757" spans="2:2" ht="15.75" customHeight="1">
      <c r="B757" s="28"/>
    </row>
    <row r="758" spans="2:2" ht="15.75" customHeight="1">
      <c r="B758" s="28"/>
    </row>
    <row r="759" spans="2:2" ht="15.75" customHeight="1">
      <c r="B759" s="28"/>
    </row>
    <row r="760" spans="2:2" ht="15.75" customHeight="1">
      <c r="B760" s="28"/>
    </row>
    <row r="761" spans="2:2" ht="15.75" customHeight="1">
      <c r="B761" s="28"/>
    </row>
    <row r="762" spans="2:2" ht="15.75" customHeight="1">
      <c r="B762" s="28"/>
    </row>
    <row r="763" spans="2:2" ht="15.75" customHeight="1">
      <c r="B763" s="28"/>
    </row>
    <row r="764" spans="2:2" ht="15.75" customHeight="1">
      <c r="B764" s="28"/>
    </row>
    <row r="765" spans="2:2" ht="15.75" customHeight="1">
      <c r="B765" s="28"/>
    </row>
    <row r="766" spans="2:2" ht="15.75" customHeight="1">
      <c r="B766" s="28"/>
    </row>
    <row r="767" spans="2:2" ht="15.75" customHeight="1">
      <c r="B767" s="28"/>
    </row>
    <row r="768" spans="2:2" ht="15.75" customHeight="1">
      <c r="B768" s="28"/>
    </row>
    <row r="769" spans="2:2" ht="15.75" customHeight="1">
      <c r="B769" s="28"/>
    </row>
    <row r="770" spans="2:2" ht="15.75" customHeight="1">
      <c r="B770" s="28"/>
    </row>
    <row r="771" spans="2:2" ht="15.75" customHeight="1">
      <c r="B771" s="28"/>
    </row>
    <row r="772" spans="2:2" ht="15.75" customHeight="1">
      <c r="B772" s="28"/>
    </row>
    <row r="773" spans="2:2" ht="15.75" customHeight="1">
      <c r="B773" s="28"/>
    </row>
    <row r="774" spans="2:2" ht="15.75" customHeight="1">
      <c r="B774" s="28"/>
    </row>
    <row r="775" spans="2:2" ht="15.75" customHeight="1">
      <c r="B775" s="28"/>
    </row>
    <row r="776" spans="2:2" ht="15.75" customHeight="1">
      <c r="B776" s="28"/>
    </row>
    <row r="777" spans="2:2" ht="15.75" customHeight="1">
      <c r="B777" s="28"/>
    </row>
    <row r="778" spans="2:2" ht="15.75" customHeight="1">
      <c r="B778" s="28"/>
    </row>
    <row r="779" spans="2:2" ht="15.75" customHeight="1">
      <c r="B779" s="28"/>
    </row>
    <row r="780" spans="2:2" ht="15.75" customHeight="1">
      <c r="B780" s="28"/>
    </row>
    <row r="781" spans="2:2" ht="15.75" customHeight="1">
      <c r="B781" s="28"/>
    </row>
    <row r="782" spans="2:2" ht="15.75" customHeight="1">
      <c r="B782" s="28"/>
    </row>
    <row r="783" spans="2:2" ht="15.75" customHeight="1">
      <c r="B783" s="28"/>
    </row>
    <row r="784" spans="2:2" ht="15.75" customHeight="1">
      <c r="B784" s="28"/>
    </row>
    <row r="785" spans="2:2" ht="15.75" customHeight="1">
      <c r="B785" s="28"/>
    </row>
    <row r="786" spans="2:2" ht="15.75" customHeight="1">
      <c r="B786" s="28"/>
    </row>
    <row r="787" spans="2:2" ht="15.75" customHeight="1">
      <c r="B787" s="28"/>
    </row>
    <row r="788" spans="2:2" ht="15.75" customHeight="1">
      <c r="B788" s="28"/>
    </row>
    <row r="789" spans="2:2" ht="15.75" customHeight="1">
      <c r="B789" s="28"/>
    </row>
    <row r="790" spans="2:2" ht="15.75" customHeight="1">
      <c r="B790" s="28"/>
    </row>
    <row r="791" spans="2:2" ht="15.75" customHeight="1">
      <c r="B791" s="28"/>
    </row>
    <row r="792" spans="2:2" ht="15.75" customHeight="1">
      <c r="B792" s="28"/>
    </row>
    <row r="793" spans="2:2" ht="15.75" customHeight="1">
      <c r="B793" s="28"/>
    </row>
    <row r="794" spans="2:2" ht="15.75" customHeight="1">
      <c r="B794" s="28"/>
    </row>
    <row r="795" spans="2:2" ht="15.75" customHeight="1">
      <c r="B795" s="28"/>
    </row>
    <row r="796" spans="2:2" ht="15.75" customHeight="1">
      <c r="B796" s="28"/>
    </row>
    <row r="797" spans="2:2" ht="15.75" customHeight="1">
      <c r="B797" s="28"/>
    </row>
    <row r="798" spans="2:2" ht="15.75" customHeight="1">
      <c r="B798" s="28"/>
    </row>
    <row r="799" spans="2:2" ht="15.75" customHeight="1">
      <c r="B799" s="28"/>
    </row>
    <row r="800" spans="2:2" ht="15.75" customHeight="1">
      <c r="B800" s="28"/>
    </row>
    <row r="801" spans="2:2" ht="15.75" customHeight="1">
      <c r="B801" s="28"/>
    </row>
    <row r="802" spans="2:2" ht="15.75" customHeight="1">
      <c r="B802" s="28"/>
    </row>
    <row r="803" spans="2:2" ht="15.75" customHeight="1">
      <c r="B803" s="28"/>
    </row>
    <row r="804" spans="2:2" ht="15.75" customHeight="1">
      <c r="B804" s="28"/>
    </row>
    <row r="805" spans="2:2" ht="15.75" customHeight="1">
      <c r="B805" s="28"/>
    </row>
    <row r="806" spans="2:2" ht="15.75" customHeight="1">
      <c r="B806" s="28"/>
    </row>
    <row r="807" spans="2:2" ht="15.75" customHeight="1">
      <c r="B807" s="28"/>
    </row>
    <row r="808" spans="2:2" ht="15.75" customHeight="1">
      <c r="B808" s="28"/>
    </row>
    <row r="809" spans="2:2" ht="15.75" customHeight="1">
      <c r="B809" s="28"/>
    </row>
    <row r="810" spans="2:2" ht="15.75" customHeight="1">
      <c r="B810" s="28"/>
    </row>
    <row r="811" spans="2:2" ht="15.75" customHeight="1">
      <c r="B811" s="28"/>
    </row>
    <row r="812" spans="2:2" ht="15.75" customHeight="1">
      <c r="B812" s="28"/>
    </row>
    <row r="813" spans="2:2" ht="15.75" customHeight="1">
      <c r="B813" s="28"/>
    </row>
    <row r="814" spans="2:2" ht="15.75" customHeight="1">
      <c r="B814" s="28"/>
    </row>
    <row r="815" spans="2:2" ht="15.75" customHeight="1">
      <c r="B815" s="28"/>
    </row>
    <row r="816" spans="2:2" ht="15.75" customHeight="1">
      <c r="B816" s="28"/>
    </row>
    <row r="817" spans="2:2" ht="15.75" customHeight="1">
      <c r="B817" s="28"/>
    </row>
    <row r="818" spans="2:2" ht="15.75" customHeight="1">
      <c r="B818" s="28"/>
    </row>
    <row r="819" spans="2:2" ht="15.75" customHeight="1">
      <c r="B819" s="28"/>
    </row>
    <row r="820" spans="2:2" ht="15.75" customHeight="1">
      <c r="B820" s="28"/>
    </row>
    <row r="821" spans="2:2" ht="15.75" customHeight="1">
      <c r="B821" s="28"/>
    </row>
    <row r="822" spans="2:2" ht="15.75" customHeight="1">
      <c r="B822" s="28"/>
    </row>
    <row r="823" spans="2:2" ht="15.75" customHeight="1">
      <c r="B823" s="28"/>
    </row>
    <row r="824" spans="2:2" ht="15.75" customHeight="1">
      <c r="B824" s="28"/>
    </row>
    <row r="825" spans="2:2" ht="15.75" customHeight="1">
      <c r="B825" s="28"/>
    </row>
    <row r="826" spans="2:2" ht="15.75" customHeight="1">
      <c r="B826" s="28"/>
    </row>
    <row r="827" spans="2:2" ht="15.75" customHeight="1">
      <c r="B827" s="28"/>
    </row>
    <row r="828" spans="2:2" ht="15.75" customHeight="1">
      <c r="B828" s="28"/>
    </row>
    <row r="829" spans="2:2" ht="15.75" customHeight="1">
      <c r="B829" s="28"/>
    </row>
    <row r="830" spans="2:2" ht="15.75" customHeight="1">
      <c r="B830" s="28"/>
    </row>
    <row r="831" spans="2:2" ht="15.75" customHeight="1">
      <c r="B831" s="28"/>
    </row>
    <row r="832" spans="2:2" ht="15.75" customHeight="1">
      <c r="B832" s="28"/>
    </row>
    <row r="833" spans="2:2" ht="15.75" customHeight="1">
      <c r="B833" s="28"/>
    </row>
    <row r="834" spans="2:2" ht="15.75" customHeight="1">
      <c r="B834" s="28"/>
    </row>
    <row r="835" spans="2:2" ht="15.75" customHeight="1">
      <c r="B835" s="28"/>
    </row>
    <row r="836" spans="2:2" ht="15.75" customHeight="1">
      <c r="B836" s="28"/>
    </row>
    <row r="837" spans="2:2" ht="15.75" customHeight="1">
      <c r="B837" s="28"/>
    </row>
    <row r="838" spans="2:2" ht="15.75" customHeight="1">
      <c r="B838" s="28"/>
    </row>
    <row r="839" spans="2:2" ht="15.75" customHeight="1">
      <c r="B839" s="28"/>
    </row>
    <row r="840" spans="2:2" ht="15.75" customHeight="1">
      <c r="B840" s="28"/>
    </row>
    <row r="841" spans="2:2" ht="15.75" customHeight="1">
      <c r="B841" s="28"/>
    </row>
    <row r="842" spans="2:2" ht="15.75" customHeight="1">
      <c r="B842" s="28"/>
    </row>
    <row r="843" spans="2:2" ht="15.75" customHeight="1">
      <c r="B843" s="28"/>
    </row>
    <row r="844" spans="2:2" ht="15.75" customHeight="1">
      <c r="B844" s="28"/>
    </row>
    <row r="845" spans="2:2" ht="15.75" customHeight="1">
      <c r="B845" s="28"/>
    </row>
    <row r="846" spans="2:2" ht="15.75" customHeight="1">
      <c r="B846" s="28"/>
    </row>
    <row r="847" spans="2:2" ht="15.75" customHeight="1">
      <c r="B847" s="28"/>
    </row>
    <row r="848" spans="2:2" ht="15.75" customHeight="1">
      <c r="B848" s="28"/>
    </row>
    <row r="849" spans="2:2" ht="15.75" customHeight="1">
      <c r="B849" s="28"/>
    </row>
    <row r="850" spans="2:2" ht="15.75" customHeight="1">
      <c r="B850" s="28"/>
    </row>
    <row r="851" spans="2:2" ht="15.75" customHeight="1">
      <c r="B851" s="28"/>
    </row>
    <row r="852" spans="2:2" ht="15.75" customHeight="1">
      <c r="B852" s="28"/>
    </row>
    <row r="853" spans="2:2" ht="15.75" customHeight="1">
      <c r="B853" s="28"/>
    </row>
    <row r="854" spans="2:2" ht="15.75" customHeight="1">
      <c r="B854" s="28"/>
    </row>
    <row r="855" spans="2:2" ht="15.75" customHeight="1">
      <c r="B855" s="28"/>
    </row>
    <row r="856" spans="2:2" ht="15.75" customHeight="1">
      <c r="B856" s="28"/>
    </row>
    <row r="857" spans="2:2" ht="15.75" customHeight="1">
      <c r="B857" s="28"/>
    </row>
    <row r="858" spans="2:2" ht="15.75" customHeight="1">
      <c r="B858" s="28"/>
    </row>
    <row r="859" spans="2:2" ht="15.75" customHeight="1">
      <c r="B859" s="28"/>
    </row>
    <row r="860" spans="2:2" ht="15.75" customHeight="1">
      <c r="B860" s="28"/>
    </row>
    <row r="861" spans="2:2" ht="15.75" customHeight="1">
      <c r="B861" s="28"/>
    </row>
    <row r="862" spans="2:2" ht="15.75" customHeight="1">
      <c r="B862" s="28"/>
    </row>
    <row r="863" spans="2:2" ht="15.75" customHeight="1">
      <c r="B863" s="28"/>
    </row>
    <row r="864" spans="2:2" ht="15.75" customHeight="1">
      <c r="B864" s="28"/>
    </row>
    <row r="865" spans="2:2" ht="15.75" customHeight="1">
      <c r="B865" s="28"/>
    </row>
    <row r="866" spans="2:2" ht="15.75" customHeight="1">
      <c r="B866" s="28"/>
    </row>
    <row r="867" spans="2:2" ht="15.75" customHeight="1">
      <c r="B867" s="28"/>
    </row>
    <row r="868" spans="2:2" ht="15.75" customHeight="1">
      <c r="B868" s="28"/>
    </row>
    <row r="869" spans="2:2" ht="15.75" customHeight="1">
      <c r="B869" s="28"/>
    </row>
    <row r="870" spans="2:2" ht="15.75" customHeight="1">
      <c r="B870" s="28"/>
    </row>
    <row r="871" spans="2:2" ht="15.75" customHeight="1">
      <c r="B871" s="28"/>
    </row>
    <row r="872" spans="2:2" ht="15.75" customHeight="1">
      <c r="B872" s="28"/>
    </row>
    <row r="873" spans="2:2" ht="15.75" customHeight="1">
      <c r="B873" s="28"/>
    </row>
    <row r="874" spans="2:2" ht="15.75" customHeight="1">
      <c r="B874" s="28"/>
    </row>
    <row r="875" spans="2:2" ht="15.75" customHeight="1">
      <c r="B875" s="28"/>
    </row>
    <row r="876" spans="2:2" ht="15.75" customHeight="1">
      <c r="B876" s="28"/>
    </row>
    <row r="877" spans="2:2" ht="15.75" customHeight="1">
      <c r="B877" s="28"/>
    </row>
    <row r="878" spans="2:2" ht="15.75" customHeight="1">
      <c r="B878" s="28"/>
    </row>
    <row r="879" spans="2:2" ht="15.75" customHeight="1">
      <c r="B879" s="28"/>
    </row>
    <row r="880" spans="2:2" ht="15.75" customHeight="1">
      <c r="B880" s="28"/>
    </row>
    <row r="881" spans="2:2" ht="15.75" customHeight="1">
      <c r="B881" s="28"/>
    </row>
    <row r="882" spans="2:2" ht="15.75" customHeight="1">
      <c r="B882" s="28"/>
    </row>
    <row r="883" spans="2:2" ht="15.75" customHeight="1">
      <c r="B883" s="28"/>
    </row>
    <row r="884" spans="2:2" ht="15.75" customHeight="1">
      <c r="B884" s="28"/>
    </row>
    <row r="885" spans="2:2" ht="15.75" customHeight="1">
      <c r="B885" s="28"/>
    </row>
    <row r="886" spans="2:2" ht="15.75" customHeight="1">
      <c r="B886" s="28"/>
    </row>
    <row r="887" spans="2:2" ht="15.75" customHeight="1">
      <c r="B887" s="28"/>
    </row>
    <row r="888" spans="2:2" ht="15.75" customHeight="1">
      <c r="B888" s="28"/>
    </row>
    <row r="889" spans="2:2" ht="15.75" customHeight="1">
      <c r="B889" s="28"/>
    </row>
    <row r="890" spans="2:2" ht="15.75" customHeight="1">
      <c r="B890" s="28"/>
    </row>
    <row r="891" spans="2:2" ht="15.75" customHeight="1">
      <c r="B891" s="28"/>
    </row>
    <row r="892" spans="2:2" ht="15.75" customHeight="1">
      <c r="B892" s="28"/>
    </row>
    <row r="893" spans="2:2" ht="15.75" customHeight="1">
      <c r="B893" s="28"/>
    </row>
    <row r="894" spans="2:2" ht="15.75" customHeight="1">
      <c r="B894" s="28"/>
    </row>
    <row r="895" spans="2:2" ht="15.75" customHeight="1">
      <c r="B895" s="28"/>
    </row>
    <row r="896" spans="2:2" ht="15.75" customHeight="1">
      <c r="B896" s="28"/>
    </row>
    <row r="897" spans="2:2" ht="15.75" customHeight="1">
      <c r="B897" s="28"/>
    </row>
    <row r="898" spans="2:2" ht="15.75" customHeight="1">
      <c r="B898" s="28"/>
    </row>
    <row r="899" spans="2:2" ht="15.75" customHeight="1">
      <c r="B899" s="28"/>
    </row>
    <row r="900" spans="2:2" ht="15.75" customHeight="1">
      <c r="B900" s="28"/>
    </row>
    <row r="901" spans="2:2" ht="15.75" customHeight="1">
      <c r="B901" s="28"/>
    </row>
    <row r="902" spans="2:2" ht="15.75" customHeight="1">
      <c r="B902" s="28"/>
    </row>
    <row r="903" spans="2:2" ht="15.75" customHeight="1">
      <c r="B903" s="28"/>
    </row>
    <row r="904" spans="2:2" ht="15.75" customHeight="1">
      <c r="B904" s="28"/>
    </row>
    <row r="905" spans="2:2" ht="15.75" customHeight="1">
      <c r="B905" s="28"/>
    </row>
    <row r="906" spans="2:2" ht="15.75" customHeight="1">
      <c r="B906" s="28"/>
    </row>
    <row r="907" spans="2:2" ht="15.75" customHeight="1">
      <c r="B907" s="28"/>
    </row>
    <row r="908" spans="2:2" ht="15.75" customHeight="1">
      <c r="B908" s="28"/>
    </row>
    <row r="909" spans="2:2" ht="15.75" customHeight="1">
      <c r="B909" s="28"/>
    </row>
    <row r="910" spans="2:2" ht="15.75" customHeight="1">
      <c r="B910" s="28"/>
    </row>
    <row r="911" spans="2:2" ht="15.75" customHeight="1">
      <c r="B911" s="28"/>
    </row>
    <row r="912" spans="2:2" ht="15.75" customHeight="1">
      <c r="B912" s="28"/>
    </row>
    <row r="913" spans="2:2" ht="15.75" customHeight="1">
      <c r="B913" s="28"/>
    </row>
    <row r="914" spans="2:2" ht="15.75" customHeight="1">
      <c r="B914" s="28"/>
    </row>
    <row r="915" spans="2:2" ht="15.75" customHeight="1">
      <c r="B915" s="28"/>
    </row>
    <row r="916" spans="2:2" ht="15.75" customHeight="1">
      <c r="B916" s="28"/>
    </row>
    <row r="917" spans="2:2" ht="15.75" customHeight="1">
      <c r="B917" s="28"/>
    </row>
    <row r="918" spans="2:2" ht="15.75" customHeight="1">
      <c r="B918" s="28"/>
    </row>
    <row r="919" spans="2:2" ht="15.75" customHeight="1">
      <c r="B919" s="28"/>
    </row>
    <row r="920" spans="2:2" ht="15.75" customHeight="1">
      <c r="B920" s="28"/>
    </row>
    <row r="921" spans="2:2" ht="15.75" customHeight="1">
      <c r="B921" s="28"/>
    </row>
    <row r="922" spans="2:2" ht="15.75" customHeight="1">
      <c r="B922" s="28"/>
    </row>
    <row r="923" spans="2:2" ht="15.75" customHeight="1">
      <c r="B923" s="28"/>
    </row>
    <row r="924" spans="2:2" ht="15.75" customHeight="1">
      <c r="B924" s="28"/>
    </row>
    <row r="925" spans="2:2" ht="15.75" customHeight="1">
      <c r="B925" s="28"/>
    </row>
    <row r="926" spans="2:2" ht="15.75" customHeight="1">
      <c r="B926" s="28"/>
    </row>
    <row r="927" spans="2:2" ht="15.75" customHeight="1">
      <c r="B927" s="28"/>
    </row>
    <row r="928" spans="2:2" ht="15.75" customHeight="1">
      <c r="B928" s="28"/>
    </row>
    <row r="929" spans="2:2" ht="15.75" customHeight="1">
      <c r="B929" s="28"/>
    </row>
    <row r="930" spans="2:2" ht="15.75" customHeight="1">
      <c r="B930" s="28"/>
    </row>
    <row r="931" spans="2:2" ht="15.75" customHeight="1">
      <c r="B931" s="28"/>
    </row>
    <row r="932" spans="2:2" ht="15.75" customHeight="1">
      <c r="B932" s="28"/>
    </row>
    <row r="933" spans="2:2" ht="15.75" customHeight="1">
      <c r="B933" s="28"/>
    </row>
    <row r="934" spans="2:2" ht="15.75" customHeight="1">
      <c r="B934" s="28"/>
    </row>
    <row r="935" spans="2:2" ht="15.75" customHeight="1">
      <c r="B935" s="28"/>
    </row>
    <row r="936" spans="2:2" ht="15.75" customHeight="1">
      <c r="B936" s="28"/>
    </row>
    <row r="937" spans="2:2" ht="15.75" customHeight="1">
      <c r="B937" s="28"/>
    </row>
    <row r="938" spans="2:2" ht="15.75" customHeight="1">
      <c r="B938" s="28"/>
    </row>
    <row r="939" spans="2:2" ht="15.75" customHeight="1">
      <c r="B939" s="28"/>
    </row>
    <row r="940" spans="2:2" ht="15.75" customHeight="1">
      <c r="B940" s="28"/>
    </row>
    <row r="941" spans="2:2" ht="15.75" customHeight="1">
      <c r="B941" s="28"/>
    </row>
    <row r="942" spans="2:2" ht="15.75" customHeight="1">
      <c r="B942" s="28"/>
    </row>
    <row r="943" spans="2:2" ht="15.75" customHeight="1">
      <c r="B943" s="28"/>
    </row>
    <row r="944" spans="2:2" ht="15.75" customHeight="1">
      <c r="B944" s="28"/>
    </row>
    <row r="945" spans="2:2" ht="15.75" customHeight="1">
      <c r="B945" s="28"/>
    </row>
    <row r="946" spans="2:2" ht="15.75" customHeight="1">
      <c r="B946" s="28"/>
    </row>
    <row r="947" spans="2:2" ht="15.75" customHeight="1">
      <c r="B947" s="28"/>
    </row>
    <row r="948" spans="2:2" ht="15.75" customHeight="1">
      <c r="B948" s="28"/>
    </row>
    <row r="949" spans="2:2" ht="15.75" customHeight="1">
      <c r="B949" s="28"/>
    </row>
    <row r="950" spans="2:2" ht="15.75" customHeight="1">
      <c r="B950" s="28"/>
    </row>
    <row r="951" spans="2:2" ht="15.75" customHeight="1">
      <c r="B951" s="28"/>
    </row>
    <row r="952" spans="2:2" ht="15.75" customHeight="1">
      <c r="B952" s="28"/>
    </row>
    <row r="953" spans="2:2" ht="15.75" customHeight="1">
      <c r="B953" s="28"/>
    </row>
    <row r="954" spans="2:2" ht="15.75" customHeight="1">
      <c r="B954" s="28"/>
    </row>
    <row r="955" spans="2:2" ht="15.75" customHeight="1">
      <c r="B955" s="28"/>
    </row>
    <row r="956" spans="2:2" ht="15.75" customHeight="1">
      <c r="B956" s="28"/>
    </row>
    <row r="957" spans="2:2" ht="15.75" customHeight="1">
      <c r="B957" s="28"/>
    </row>
    <row r="958" spans="2:2" ht="15.75" customHeight="1">
      <c r="B958" s="28"/>
    </row>
    <row r="959" spans="2:2" ht="15.75" customHeight="1">
      <c r="B959" s="28"/>
    </row>
    <row r="960" spans="2:2" ht="15.75" customHeight="1">
      <c r="B960" s="28"/>
    </row>
    <row r="961" spans="2:2" ht="15.75" customHeight="1">
      <c r="B961" s="28"/>
    </row>
    <row r="962" spans="2:2" ht="15.75" customHeight="1">
      <c r="B962" s="28"/>
    </row>
    <row r="963" spans="2:2" ht="15.75" customHeight="1">
      <c r="B963" s="28"/>
    </row>
    <row r="964" spans="2:2" ht="15.75" customHeight="1">
      <c r="B964" s="28"/>
    </row>
    <row r="965" spans="2:2" ht="15.75" customHeight="1">
      <c r="B965" s="28"/>
    </row>
    <row r="966" spans="2:2" ht="15.75" customHeight="1">
      <c r="B966" s="28"/>
    </row>
    <row r="967" spans="2:2" ht="15.75" customHeight="1">
      <c r="B967" s="28"/>
    </row>
    <row r="968" spans="2:2" ht="15.75" customHeight="1">
      <c r="B968" s="28"/>
    </row>
    <row r="969" spans="2:2" ht="15.75" customHeight="1">
      <c r="B969" s="28"/>
    </row>
    <row r="970" spans="2:2" ht="15.75" customHeight="1">
      <c r="B970" s="28"/>
    </row>
    <row r="971" spans="2:2" ht="15.75" customHeight="1">
      <c r="B971" s="28"/>
    </row>
    <row r="972" spans="2:2" ht="15.75" customHeight="1">
      <c r="B972" s="28"/>
    </row>
    <row r="973" spans="2:2" ht="15.75" customHeight="1">
      <c r="B973" s="28"/>
    </row>
    <row r="974" spans="2:2" ht="15.75" customHeight="1">
      <c r="B974" s="28"/>
    </row>
    <row r="975" spans="2:2" ht="15.75" customHeight="1">
      <c r="B975" s="28"/>
    </row>
    <row r="976" spans="2:2" ht="15.75" customHeight="1">
      <c r="B976" s="28"/>
    </row>
    <row r="977" spans="2:2" ht="15.75" customHeight="1">
      <c r="B977" s="28"/>
    </row>
    <row r="978" spans="2:2" ht="15.75" customHeight="1">
      <c r="B978" s="28"/>
    </row>
    <row r="979" spans="2:2" ht="15.75" customHeight="1">
      <c r="B979" s="28"/>
    </row>
    <row r="980" spans="2:2" ht="15.75" customHeight="1">
      <c r="B980" s="28"/>
    </row>
    <row r="981" spans="2:2" ht="15.75" customHeight="1">
      <c r="B981" s="28"/>
    </row>
    <row r="982" spans="2:2" ht="15.75" customHeight="1">
      <c r="B982" s="28"/>
    </row>
    <row r="983" spans="2:2" ht="15.75" customHeight="1">
      <c r="B983" s="28"/>
    </row>
    <row r="984" spans="2:2" ht="15.75" customHeight="1">
      <c r="B984" s="28"/>
    </row>
    <row r="985" spans="2:2" ht="15.75" customHeight="1">
      <c r="B985" s="28"/>
    </row>
    <row r="986" spans="2:2" ht="15.75" customHeight="1">
      <c r="B986" s="28"/>
    </row>
    <row r="987" spans="2:2" ht="15.75" customHeight="1">
      <c r="B987" s="28"/>
    </row>
    <row r="988" spans="2:2" ht="15.75" customHeight="1">
      <c r="B988" s="28"/>
    </row>
    <row r="989" spans="2:2" ht="15.75" customHeight="1">
      <c r="B989" s="28"/>
    </row>
    <row r="990" spans="2:2" ht="15.75" customHeight="1">
      <c r="B990" s="28"/>
    </row>
    <row r="991" spans="2:2" ht="15.75" customHeight="1">
      <c r="B991" s="28"/>
    </row>
    <row r="992" spans="2:2" ht="15.75" customHeight="1">
      <c r="B992" s="28"/>
    </row>
    <row r="993" spans="2:2" ht="15.75" customHeight="1">
      <c r="B993" s="28"/>
    </row>
    <row r="994" spans="2:2" ht="15.75" customHeight="1">
      <c r="B994" s="28"/>
    </row>
    <row r="995" spans="2:2" ht="15.75" customHeight="1">
      <c r="B995" s="28"/>
    </row>
    <row r="996" spans="2:2" ht="15.75" customHeight="1">
      <c r="B996" s="28"/>
    </row>
    <row r="997" spans="2:2" ht="15.75" customHeight="1">
      <c r="B997" s="28"/>
    </row>
    <row r="998" spans="2:2" ht="15.75" customHeight="1">
      <c r="B998" s="28"/>
    </row>
    <row r="999" spans="2:2" ht="15.75" customHeight="1">
      <c r="B999" s="28"/>
    </row>
    <row r="1000" spans="2:2" ht="15.75" customHeight="1">
      <c r="B1000" s="28"/>
    </row>
  </sheetData>
  <mergeCells count="4">
    <mergeCell ref="A1:F1"/>
    <mergeCell ref="O1:V1"/>
    <mergeCell ref="A4:B4"/>
    <mergeCell ref="D5:F12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6"/>
  <sheetViews>
    <sheetView showGridLines="0" workbookViewId="0">
      <selection sqref="A1:N1"/>
    </sheetView>
  </sheetViews>
  <sheetFormatPr defaultColWidth="14.42578125" defaultRowHeight="15" customHeight="1"/>
  <cols>
    <col min="1" max="1" width="8.7109375" customWidth="1"/>
    <col min="2" max="2" width="15.28515625" customWidth="1"/>
    <col min="3" max="3" width="8.7109375" customWidth="1"/>
    <col min="4" max="5" width="12.140625" customWidth="1"/>
    <col min="6" max="7" width="12.28515625" customWidth="1"/>
    <col min="8" max="8" width="12" customWidth="1"/>
    <col min="9" max="9" width="14.42578125" customWidth="1"/>
    <col min="10" max="10" width="14.28515625" customWidth="1"/>
    <col min="11" max="11" width="12.28515625" customWidth="1"/>
    <col min="12" max="12" width="12" customWidth="1"/>
    <col min="13" max="13" width="14.42578125" customWidth="1"/>
    <col min="14" max="14" width="13.140625" customWidth="1"/>
    <col min="15" max="15" width="15.140625" customWidth="1"/>
    <col min="16" max="16" width="12" customWidth="1"/>
    <col min="17" max="17" width="14.28515625" customWidth="1"/>
    <col min="18" max="19" width="8.7109375" customWidth="1"/>
    <col min="20" max="20" width="16.7109375" customWidth="1"/>
    <col min="21" max="22" width="8.7109375" customWidth="1"/>
    <col min="23" max="23" width="15.28515625" customWidth="1"/>
    <col min="24" max="24" width="24.5703125" customWidth="1"/>
    <col min="25" max="26" width="11.7109375" customWidth="1"/>
    <col min="27" max="27" width="18.7109375" customWidth="1"/>
    <col min="28" max="29" width="8.7109375" customWidth="1"/>
    <col min="30" max="30" width="15.140625" customWidth="1"/>
    <col min="31" max="31" width="16.42578125" customWidth="1"/>
    <col min="32" max="32" width="14.140625" customWidth="1"/>
    <col min="33" max="33" width="15.5703125" customWidth="1"/>
    <col min="34" max="34" width="14.42578125" customWidth="1"/>
    <col min="35" max="36" width="11.85546875" customWidth="1"/>
    <col min="37" max="37" width="12.85546875" customWidth="1"/>
    <col min="38" max="38" width="15.5703125" customWidth="1"/>
    <col min="39" max="39" width="14.42578125" customWidth="1"/>
    <col min="40" max="41" width="8.7109375" customWidth="1"/>
    <col min="42" max="42" width="11.28515625" customWidth="1"/>
    <col min="43" max="48" width="8.7109375" customWidth="1"/>
    <col min="49" max="49" width="19.85546875" customWidth="1"/>
    <col min="50" max="50" width="17.28515625" bestFit="1" customWidth="1"/>
    <col min="51" max="51" width="8.7109375" customWidth="1"/>
    <col min="52" max="52" width="15.140625" customWidth="1"/>
    <col min="53" max="53" width="14.85546875" customWidth="1"/>
    <col min="54" max="54" width="12" customWidth="1"/>
    <col min="55" max="55" width="14.42578125" customWidth="1"/>
    <col min="56" max="56" width="8.7109375" customWidth="1"/>
    <col min="57" max="57" width="13.42578125" customWidth="1"/>
    <col min="58" max="58" width="12" customWidth="1"/>
    <col min="59" max="59" width="11.5703125" customWidth="1"/>
    <col min="60" max="60" width="10.28515625" customWidth="1"/>
    <col min="61" max="61" width="11.42578125" customWidth="1"/>
    <col min="62" max="62" width="10.28515625" customWidth="1"/>
  </cols>
  <sheetData>
    <row r="1" spans="1:62" s="197" customFormat="1" ht="21" customHeight="1">
      <c r="A1" s="318" t="s">
        <v>284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9"/>
      <c r="P1" s="314"/>
      <c r="Q1" s="314"/>
      <c r="R1" s="314"/>
      <c r="S1" s="314"/>
      <c r="T1" s="314"/>
      <c r="U1" s="314"/>
      <c r="V1" s="314"/>
      <c r="W1" s="195"/>
      <c r="X1" s="195"/>
      <c r="Y1" s="195"/>
      <c r="Z1" s="195"/>
      <c r="AA1" s="195"/>
      <c r="AB1" s="319" t="s">
        <v>284</v>
      </c>
      <c r="AC1" s="314"/>
      <c r="AD1" s="314"/>
      <c r="AE1" s="314"/>
      <c r="AF1" s="314"/>
      <c r="AG1" s="314"/>
      <c r="AH1" s="196"/>
      <c r="AI1" s="196"/>
      <c r="AJ1" s="196"/>
      <c r="AK1" s="196"/>
      <c r="AL1" s="196"/>
      <c r="AM1" s="196"/>
      <c r="AN1" s="196"/>
      <c r="AO1" s="196"/>
      <c r="AP1" s="319"/>
      <c r="AQ1" s="314"/>
      <c r="AR1" s="314"/>
      <c r="AS1" s="314"/>
      <c r="AT1" s="314"/>
      <c r="AU1" s="314"/>
      <c r="AV1" s="314"/>
      <c r="AW1" s="314"/>
      <c r="AX1" s="195"/>
      <c r="AY1" s="195"/>
      <c r="AZ1" s="195"/>
      <c r="BA1" s="195"/>
      <c r="BB1" s="195"/>
      <c r="BC1" s="320" t="s">
        <v>284</v>
      </c>
      <c r="BD1" s="314"/>
      <c r="BE1" s="314"/>
      <c r="BF1" s="314"/>
      <c r="BG1" s="314"/>
      <c r="BH1" s="314"/>
      <c r="BI1" s="196"/>
      <c r="BJ1" s="196"/>
    </row>
    <row r="2" spans="1:62" s="197" customFormat="1" ht="33" customHeight="1">
      <c r="A2" s="198"/>
      <c r="B2" s="198"/>
      <c r="C2" s="198"/>
      <c r="D2" s="198"/>
      <c r="E2" s="198"/>
      <c r="F2" s="198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E2" s="199"/>
      <c r="BF2" s="199"/>
      <c r="BG2" s="199"/>
      <c r="BH2" s="199"/>
      <c r="BI2" s="199"/>
      <c r="BJ2" s="199"/>
    </row>
    <row r="3" spans="1:62" s="197" customFormat="1">
      <c r="A3" s="307"/>
      <c r="B3" s="308"/>
      <c r="C3" s="308"/>
      <c r="D3" s="308"/>
      <c r="E3" s="308"/>
      <c r="F3" s="309"/>
      <c r="G3" s="313" t="s">
        <v>285</v>
      </c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314"/>
      <c r="X3" s="314"/>
      <c r="Y3" s="314"/>
      <c r="Z3" s="314"/>
      <c r="AA3" s="315"/>
      <c r="AC3" s="321" t="s">
        <v>286</v>
      </c>
      <c r="AD3" s="308"/>
      <c r="AE3" s="308"/>
      <c r="AF3" s="308"/>
      <c r="AG3" s="308"/>
      <c r="AH3" s="308"/>
      <c r="AI3" s="308"/>
      <c r="AJ3" s="308"/>
      <c r="AK3" s="308"/>
      <c r="AL3" s="308"/>
      <c r="AM3" s="309"/>
      <c r="AO3" s="313" t="s">
        <v>287</v>
      </c>
      <c r="AP3" s="314"/>
      <c r="AQ3" s="314"/>
      <c r="AR3" s="314"/>
      <c r="AS3" s="314"/>
      <c r="AT3" s="314"/>
      <c r="AU3" s="314"/>
      <c r="AV3" s="314"/>
      <c r="AW3" s="314"/>
      <c r="AX3" s="314"/>
      <c r="AY3" s="314"/>
      <c r="AZ3" s="314"/>
      <c r="BA3" s="314"/>
      <c r="BB3" s="314"/>
      <c r="BC3" s="315"/>
      <c r="BE3" s="313" t="s">
        <v>288</v>
      </c>
      <c r="BF3" s="314"/>
      <c r="BG3" s="314"/>
      <c r="BH3" s="314"/>
      <c r="BI3" s="314"/>
      <c r="BJ3" s="315"/>
    </row>
    <row r="4" spans="1:62" s="197" customFormat="1">
      <c r="A4" s="310"/>
      <c r="B4" s="311"/>
      <c r="C4" s="311"/>
      <c r="D4" s="311"/>
      <c r="E4" s="311"/>
      <c r="F4" s="312"/>
      <c r="G4" s="313" t="s">
        <v>289</v>
      </c>
      <c r="H4" s="314"/>
      <c r="I4" s="314"/>
      <c r="J4" s="315"/>
      <c r="K4" s="313" t="s">
        <v>290</v>
      </c>
      <c r="L4" s="314"/>
      <c r="M4" s="314"/>
      <c r="N4" s="315"/>
      <c r="O4" s="316" t="s">
        <v>291</v>
      </c>
      <c r="P4" s="316" t="s">
        <v>292</v>
      </c>
      <c r="Q4" s="316" t="s">
        <v>293</v>
      </c>
      <c r="R4" s="316" t="s">
        <v>156</v>
      </c>
      <c r="S4" s="316" t="s">
        <v>294</v>
      </c>
      <c r="T4" s="316" t="s">
        <v>295</v>
      </c>
      <c r="U4" s="200" t="s">
        <v>296</v>
      </c>
      <c r="V4" s="200" t="s">
        <v>297</v>
      </c>
      <c r="W4" s="316" t="s">
        <v>298</v>
      </c>
      <c r="X4" s="313" t="s">
        <v>299</v>
      </c>
      <c r="Y4" s="314"/>
      <c r="Z4" s="315"/>
      <c r="AA4" s="316" t="s">
        <v>300</v>
      </c>
      <c r="AC4" s="310"/>
      <c r="AD4" s="311"/>
      <c r="AE4" s="311"/>
      <c r="AF4" s="311"/>
      <c r="AG4" s="311"/>
      <c r="AH4" s="311"/>
      <c r="AI4" s="311"/>
      <c r="AJ4" s="311"/>
      <c r="AK4" s="311"/>
      <c r="AL4" s="311"/>
      <c r="AM4" s="312"/>
      <c r="AO4" s="201" t="s">
        <v>151</v>
      </c>
      <c r="AP4" s="202" t="s">
        <v>117</v>
      </c>
      <c r="AQ4" s="313" t="s">
        <v>119</v>
      </c>
      <c r="AR4" s="315"/>
      <c r="AS4" s="313" t="s">
        <v>123</v>
      </c>
      <c r="AT4" s="315"/>
      <c r="AU4" s="313" t="s">
        <v>301</v>
      </c>
      <c r="AV4" s="315"/>
      <c r="AW4" s="201" t="s">
        <v>302</v>
      </c>
      <c r="AX4" s="201" t="s">
        <v>303</v>
      </c>
      <c r="AY4" s="313" t="s">
        <v>304</v>
      </c>
      <c r="AZ4" s="315"/>
      <c r="BA4" s="201" t="s">
        <v>166</v>
      </c>
      <c r="BB4" s="203" t="s">
        <v>305</v>
      </c>
      <c r="BC4" s="201" t="s">
        <v>306</v>
      </c>
      <c r="BE4" s="201" t="s">
        <v>151</v>
      </c>
      <c r="BF4" s="204" t="s">
        <v>307</v>
      </c>
      <c r="BG4" s="201" t="s">
        <v>308</v>
      </c>
      <c r="BH4" s="201" t="s">
        <v>309</v>
      </c>
      <c r="BI4" s="201" t="s">
        <v>310</v>
      </c>
      <c r="BJ4" s="201" t="s">
        <v>311</v>
      </c>
    </row>
    <row r="5" spans="1:62" s="197" customFormat="1">
      <c r="A5" s="201" t="s">
        <v>151</v>
      </c>
      <c r="B5" s="205" t="s">
        <v>166</v>
      </c>
      <c r="C5" s="201" t="s">
        <v>119</v>
      </c>
      <c r="D5" s="201" t="s">
        <v>312</v>
      </c>
      <c r="E5" s="201" t="s">
        <v>313</v>
      </c>
      <c r="F5" s="201" t="s">
        <v>314</v>
      </c>
      <c r="G5" s="201" t="s">
        <v>315</v>
      </c>
      <c r="H5" s="201" t="s">
        <v>123</v>
      </c>
      <c r="I5" s="201" t="s">
        <v>316</v>
      </c>
      <c r="J5" s="201" t="s">
        <v>317</v>
      </c>
      <c r="K5" s="201" t="s">
        <v>318</v>
      </c>
      <c r="L5" s="201" t="s">
        <v>123</v>
      </c>
      <c r="M5" s="201" t="s">
        <v>316</v>
      </c>
      <c r="N5" s="201" t="s">
        <v>319</v>
      </c>
      <c r="O5" s="317"/>
      <c r="P5" s="317"/>
      <c r="Q5" s="317"/>
      <c r="R5" s="317"/>
      <c r="S5" s="317"/>
      <c r="T5" s="317"/>
      <c r="U5" s="201" t="s">
        <v>320</v>
      </c>
      <c r="V5" s="201" t="s">
        <v>321</v>
      </c>
      <c r="W5" s="317"/>
      <c r="X5" s="201" t="s">
        <v>322</v>
      </c>
      <c r="Y5" s="200" t="s">
        <v>323</v>
      </c>
      <c r="Z5" s="200" t="s">
        <v>324</v>
      </c>
      <c r="AA5" s="317"/>
      <c r="AC5" s="201" t="s">
        <v>151</v>
      </c>
      <c r="AD5" s="202" t="s">
        <v>307</v>
      </c>
      <c r="AE5" s="201" t="s">
        <v>325</v>
      </c>
      <c r="AF5" s="201" t="s">
        <v>309</v>
      </c>
      <c r="AG5" s="201" t="s">
        <v>326</v>
      </c>
      <c r="AH5" s="201" t="s">
        <v>327</v>
      </c>
      <c r="AI5" s="202" t="s">
        <v>328</v>
      </c>
      <c r="AJ5" s="201" t="s">
        <v>329</v>
      </c>
      <c r="AK5" s="201" t="s">
        <v>309</v>
      </c>
      <c r="AL5" s="201" t="s">
        <v>326</v>
      </c>
      <c r="AM5" s="201" t="s">
        <v>327</v>
      </c>
      <c r="AO5" s="206" t="s">
        <v>267</v>
      </c>
      <c r="AP5" s="207">
        <f>('Compatibilização de Momentos'!B6)*100</f>
        <v>402.58313226599995</v>
      </c>
      <c r="AQ5" s="206">
        <v>7.5</v>
      </c>
      <c r="AR5" s="206">
        <v>7.5</v>
      </c>
      <c r="AS5" s="208">
        <f t="shared" ref="AS5:AS21" si="0">AQ5/0.8*(1-(1-2*AP5/(0.85*1.428571429*100*(AQ5)^2))^(1/2))</f>
        <v>0.56988616272117332</v>
      </c>
      <c r="AT5" s="208">
        <f t="shared" ref="AT5:AT21" si="1">AR5/0.8*(1-(1-2*AP5/(0.85*1.428571429*100*(AR5)^2))^0.5)</f>
        <v>0.56988616272117332</v>
      </c>
      <c r="AU5" s="208">
        <f t="shared" ref="AU5:AV5" si="2">0.85*1.428571429*100*0.8*AS5/43.4782609</f>
        <v>1.273288511627706</v>
      </c>
      <c r="AV5" s="208">
        <f t="shared" si="2"/>
        <v>1.273288511627706</v>
      </c>
      <c r="AW5" s="208">
        <f t="shared" ref="AW5:AW21" si="3">MAXA(AU5:AV5)</f>
        <v>1.273288511627706</v>
      </c>
      <c r="AX5" s="206">
        <v>0.15</v>
      </c>
      <c r="AY5" s="206">
        <v>10</v>
      </c>
      <c r="AZ5" s="206">
        <v>10</v>
      </c>
      <c r="BA5" s="206">
        <v>10</v>
      </c>
      <c r="BB5" s="208">
        <f t="shared" ref="BB5:BB21" si="4">(AW5/100/BA5)*100</f>
        <v>0.1273288511627706</v>
      </c>
      <c r="BC5" s="206">
        <f t="shared" ref="BC5:BC21" si="5">IF(BB5&gt;AX5,BB5,AX5)</f>
        <v>0.15</v>
      </c>
      <c r="BE5" s="206" t="s">
        <v>267</v>
      </c>
      <c r="BF5" s="209">
        <f t="shared" ref="BF5:BF21" si="6">BC5*100*BA5/100</f>
        <v>1.5</v>
      </c>
      <c r="BG5" s="210">
        <f t="shared" ref="BG5:BG21" si="7">BA5*10/8</f>
        <v>12.5</v>
      </c>
      <c r="BH5" s="210">
        <f t="shared" ref="BH5:BH21" si="8">IF(2*BA5&lt;20,2*BA5,20)</f>
        <v>20</v>
      </c>
      <c r="BI5" s="210">
        <v>8</v>
      </c>
      <c r="BJ5" s="210">
        <v>20</v>
      </c>
    </row>
    <row r="6" spans="1:62" s="197" customFormat="1">
      <c r="A6" s="211" t="s">
        <v>185</v>
      </c>
      <c r="B6" s="206">
        <f>'Pré-dimensionamento de Lajes'!BI7</f>
        <v>10</v>
      </c>
      <c r="C6" s="211">
        <f t="shared" ref="C6:C17" si="9">B6-2.5</f>
        <v>7.5</v>
      </c>
      <c r="D6" s="211">
        <v>2</v>
      </c>
      <c r="E6" s="212">
        <f t="shared" ref="E6:E17" si="10">D6/1.4</f>
        <v>1.4285714285714286</v>
      </c>
      <c r="F6" s="212">
        <f t="shared" ref="F6:F17" si="11">(50/1.15)</f>
        <v>43.478260869565219</v>
      </c>
      <c r="G6" s="212">
        <f>('Momentos Fletores'!Z6)*100</f>
        <v>154.92827264599993</v>
      </c>
      <c r="H6" s="213">
        <f t="shared" ref="H6:H17" si="12">C6/0.8*(1-(1-2*G6/(0.85*E6*100*(C6)^2))^0.5)</f>
        <v>0.21511461118010611</v>
      </c>
      <c r="I6" s="213">
        <f t="shared" ref="I6:I17" si="13">H6/C6</f>
        <v>2.8681948157347481E-2</v>
      </c>
      <c r="J6" s="213">
        <f t="shared" ref="J6:J17" si="14">0.85*E6*100*0.8*H6/F6</f>
        <v>0.48062750269383708</v>
      </c>
      <c r="K6" s="214">
        <f>('Momentos Fletores'!AB6)*100</f>
        <v>154.92827264599993</v>
      </c>
      <c r="L6" s="215">
        <f t="shared" ref="L6:L17" si="15">C6/0.8*(1-(1-2*K6/(0.85*E6*100*(C6)^2))^0.5)</f>
        <v>0.21511461118010611</v>
      </c>
      <c r="M6" s="215">
        <f t="shared" ref="M6:M17" si="16">(L6/C6)</f>
        <v>2.8681948157347481E-2</v>
      </c>
      <c r="N6" s="215">
        <f t="shared" ref="N6:N17" si="17">0.85*E6*100*0.8*L6/F6</f>
        <v>0.48062750269383708</v>
      </c>
      <c r="O6" s="216">
        <f t="shared" ref="O6:O17" si="18">(0.8*100*(B6^2)/6*(1.3*0.3*20^(2/3)/10))</f>
        <v>383.13927585860012</v>
      </c>
      <c r="P6" s="216">
        <f t="shared" ref="P6:P17" si="19">C6/0.8*(1-(1-2*O6/(0.85*E6*100*(C6)^2))^0.5)</f>
        <v>0.54151693567273429</v>
      </c>
      <c r="Q6" s="216">
        <f t="shared" ref="Q6:Q17" si="20">0.85*E6*100*0.8*P6/F6</f>
        <v>1.2099035534173661</v>
      </c>
      <c r="R6" s="206">
        <v>2</v>
      </c>
      <c r="S6" s="217">
        <f t="shared" ref="S6:S17" si="21">Q6/(100*B6)*100</f>
        <v>0.12099035534173662</v>
      </c>
      <c r="T6" s="210">
        <f t="shared" ref="T6:T17" si="22">IF(S6&gt;0.15,S6,0.15)</f>
        <v>0.15</v>
      </c>
      <c r="U6" s="209">
        <f t="shared" ref="U6:U17" si="23">(J6/(100*B6)*100)</f>
        <v>4.8062750269383711E-2</v>
      </c>
      <c r="V6" s="209">
        <f t="shared" ref="V6:V17" si="24">N6/(100*B6)*100</f>
        <v>4.8062750269383711E-2</v>
      </c>
      <c r="W6" s="218">
        <f t="shared" ref="W6:W17" si="25">IF(R6=1,IF(U6&gt;T6,U6,T6),IF(U6&gt;(0.67*T6),U6,0.67*T6))</f>
        <v>0.10050000000000001</v>
      </c>
      <c r="X6" s="210" t="str">
        <f t="shared" ref="X6:X17" si="26">IF(R6=1,0.2*W6,"-")</f>
        <v>-</v>
      </c>
      <c r="Y6" s="210" t="str">
        <f t="shared" ref="Y6:Y17" si="27">IF(R6=1,0.5*T6,"-")</f>
        <v>-</v>
      </c>
      <c r="Z6" s="210" t="str">
        <f t="shared" ref="Z6:Z17" si="28">IF(R6=1,0.9,"-")</f>
        <v>-</v>
      </c>
      <c r="AA6" s="210">
        <f t="shared" ref="AA6:AA17" si="29">IF(R6=1,MAXA(X6,Y6),IF(V6&gt;(0.67*T6),V6,0.67*T6))</f>
        <v>0.10050000000000001</v>
      </c>
      <c r="AC6" s="211" t="s">
        <v>185</v>
      </c>
      <c r="AD6" s="216">
        <f t="shared" ref="AD6:AD17" si="30">W6/100*100*B6</f>
        <v>1.0050000000000001</v>
      </c>
      <c r="AE6" s="210">
        <f t="shared" ref="AE6:AE17" si="31">B6/8*10</f>
        <v>12.5</v>
      </c>
      <c r="AF6" s="210">
        <f t="shared" ref="AF6:AF17" si="32">IF(2*B6&lt;20,2*B6,20)</f>
        <v>20</v>
      </c>
      <c r="AG6" s="210">
        <v>6.3</v>
      </c>
      <c r="AH6" s="210">
        <v>20</v>
      </c>
      <c r="AI6" s="216">
        <f t="shared" ref="AI6:AI17" si="33">IF(R6=2,AA6/100*100*B6,IF(AA6/100*100*B6 &gt; 0.9,AA6/100*100*B6,0.9))</f>
        <v>1.0050000000000001</v>
      </c>
      <c r="AJ6" s="210">
        <f t="shared" ref="AJ6:AJ17" si="34">B6/8*10</f>
        <v>12.5</v>
      </c>
      <c r="AK6" s="210">
        <f t="shared" ref="AK6:AK17" si="35">IF(R6=2,IF(2*B6&lt;20,2*B6,20),33)</f>
        <v>20</v>
      </c>
      <c r="AL6" s="210">
        <v>6.3</v>
      </c>
      <c r="AM6" s="210">
        <v>20</v>
      </c>
      <c r="AO6" s="206" t="s">
        <v>268</v>
      </c>
      <c r="AP6" s="207">
        <f>('Compatibilização de Momentos'!B7)*100</f>
        <v>402.58313226599995</v>
      </c>
      <c r="AQ6" s="206">
        <v>7.5</v>
      </c>
      <c r="AR6" s="206">
        <v>7.5</v>
      </c>
      <c r="AS6" s="208">
        <f t="shared" si="0"/>
        <v>0.56988616272117332</v>
      </c>
      <c r="AT6" s="208">
        <f t="shared" si="1"/>
        <v>0.56988616272117332</v>
      </c>
      <c r="AU6" s="208">
        <f t="shared" ref="AU6:AV6" si="36">0.85*1.428571429*100*0.8*AS6/43.4782609</f>
        <v>1.273288511627706</v>
      </c>
      <c r="AV6" s="208">
        <f t="shared" si="36"/>
        <v>1.273288511627706</v>
      </c>
      <c r="AW6" s="208">
        <f t="shared" si="3"/>
        <v>1.273288511627706</v>
      </c>
      <c r="AX6" s="206">
        <v>0.15</v>
      </c>
      <c r="AY6" s="206">
        <v>10</v>
      </c>
      <c r="AZ6" s="206">
        <v>10</v>
      </c>
      <c r="BA6" s="206">
        <v>10</v>
      </c>
      <c r="BB6" s="208">
        <f t="shared" si="4"/>
        <v>0.1273288511627706</v>
      </c>
      <c r="BC6" s="206">
        <f t="shared" si="5"/>
        <v>0.15</v>
      </c>
      <c r="BE6" s="206" t="s">
        <v>268</v>
      </c>
      <c r="BF6" s="209">
        <f t="shared" si="6"/>
        <v>1.5</v>
      </c>
      <c r="BG6" s="210">
        <f t="shared" si="7"/>
        <v>12.5</v>
      </c>
      <c r="BH6" s="210">
        <f t="shared" si="8"/>
        <v>20</v>
      </c>
      <c r="BI6" s="210">
        <v>8</v>
      </c>
      <c r="BJ6" s="210">
        <v>20</v>
      </c>
    </row>
    <row r="7" spans="1:62" s="197" customFormat="1">
      <c r="A7" s="211" t="s">
        <v>197</v>
      </c>
      <c r="B7" s="206">
        <f>'Pré-dimensionamento de Lajes'!BI8</f>
        <v>10</v>
      </c>
      <c r="C7" s="211">
        <f t="shared" si="9"/>
        <v>7.5</v>
      </c>
      <c r="D7" s="211">
        <v>2</v>
      </c>
      <c r="E7" s="212">
        <f t="shared" si="10"/>
        <v>1.4285714285714286</v>
      </c>
      <c r="F7" s="212">
        <f t="shared" si="11"/>
        <v>43.478260869565219</v>
      </c>
      <c r="G7" s="212">
        <f>('Momentos Fletores'!Z7)*100</f>
        <v>50.61523231799999</v>
      </c>
      <c r="H7" s="213">
        <f t="shared" si="12"/>
        <v>6.9731217774349208E-2</v>
      </c>
      <c r="I7" s="213">
        <f t="shared" si="13"/>
        <v>9.297495703246561E-3</v>
      </c>
      <c r="J7" s="213">
        <f t="shared" si="14"/>
        <v>0.15579946371297451</v>
      </c>
      <c r="K7" s="214">
        <f>('Momentos Fletores'!AB7)*100</f>
        <v>10.681391952</v>
      </c>
      <c r="L7" s="215">
        <f t="shared" si="15"/>
        <v>1.4672215326569371E-2</v>
      </c>
      <c r="M7" s="215">
        <f t="shared" si="16"/>
        <v>1.9562953768759161E-3</v>
      </c>
      <c r="N7" s="215">
        <f t="shared" si="17"/>
        <v>3.2781921101077853E-2</v>
      </c>
      <c r="O7" s="216">
        <f t="shared" si="18"/>
        <v>383.13927585860012</v>
      </c>
      <c r="P7" s="216">
        <f t="shared" si="19"/>
        <v>0.54151693567273429</v>
      </c>
      <c r="Q7" s="216">
        <f t="shared" si="20"/>
        <v>1.2099035534173661</v>
      </c>
      <c r="R7" s="206">
        <v>1</v>
      </c>
      <c r="S7" s="217">
        <f t="shared" si="21"/>
        <v>0.12099035534173662</v>
      </c>
      <c r="T7" s="210">
        <f t="shared" si="22"/>
        <v>0.15</v>
      </c>
      <c r="U7" s="209">
        <f t="shared" si="23"/>
        <v>1.5579946371297452E-2</v>
      </c>
      <c r="V7" s="209">
        <f t="shared" si="24"/>
        <v>3.2781921101077854E-3</v>
      </c>
      <c r="W7" s="218">
        <f t="shared" si="25"/>
        <v>0.15</v>
      </c>
      <c r="X7" s="210">
        <f t="shared" si="26"/>
        <v>0.03</v>
      </c>
      <c r="Y7" s="210">
        <f t="shared" si="27"/>
        <v>7.4999999999999997E-2</v>
      </c>
      <c r="Z7" s="210">
        <f t="shared" si="28"/>
        <v>0.9</v>
      </c>
      <c r="AA7" s="210">
        <f t="shared" si="29"/>
        <v>7.4999999999999997E-2</v>
      </c>
      <c r="AC7" s="211" t="s">
        <v>197</v>
      </c>
      <c r="AD7" s="216">
        <f t="shared" si="30"/>
        <v>1.5</v>
      </c>
      <c r="AE7" s="210">
        <f t="shared" si="31"/>
        <v>12.5</v>
      </c>
      <c r="AF7" s="210">
        <f t="shared" si="32"/>
        <v>20</v>
      </c>
      <c r="AG7" s="210">
        <v>6.3</v>
      </c>
      <c r="AH7" s="210">
        <v>16</v>
      </c>
      <c r="AI7" s="216">
        <f t="shared" si="33"/>
        <v>0.9</v>
      </c>
      <c r="AJ7" s="210">
        <f t="shared" si="34"/>
        <v>12.5</v>
      </c>
      <c r="AK7" s="210">
        <f t="shared" si="35"/>
        <v>33</v>
      </c>
      <c r="AL7" s="210">
        <v>6.3</v>
      </c>
      <c r="AM7" s="210">
        <v>20</v>
      </c>
      <c r="AO7" s="206" t="s">
        <v>269</v>
      </c>
      <c r="AP7" s="207">
        <f>('Compatibilização de Momentos'!B8)*100</f>
        <v>610.06170381122797</v>
      </c>
      <c r="AQ7" s="206">
        <v>7.5</v>
      </c>
      <c r="AR7" s="206">
        <v>7.5</v>
      </c>
      <c r="AS7" s="208">
        <f t="shared" si="0"/>
        <v>0.87850027204053849</v>
      </c>
      <c r="AT7" s="208">
        <f t="shared" si="1"/>
        <v>0.87850027204053849</v>
      </c>
      <c r="AU7" s="208">
        <f t="shared" ref="AU7:AV7" si="37">0.85*1.428571429*100*0.8*AS7/43.4782609</f>
        <v>1.9628206070311605</v>
      </c>
      <c r="AV7" s="208">
        <f t="shared" si="37"/>
        <v>1.9628206070311605</v>
      </c>
      <c r="AW7" s="208">
        <f t="shared" si="3"/>
        <v>1.9628206070311605</v>
      </c>
      <c r="AX7" s="206">
        <v>0.15</v>
      </c>
      <c r="AY7" s="206">
        <v>10</v>
      </c>
      <c r="AZ7" s="206">
        <v>10</v>
      </c>
      <c r="BA7" s="206">
        <v>10</v>
      </c>
      <c r="BB7" s="208">
        <f t="shared" si="4"/>
        <v>0.19628206070311607</v>
      </c>
      <c r="BC7" s="208">
        <f t="shared" si="5"/>
        <v>0.19628206070311607</v>
      </c>
      <c r="BE7" s="206" t="s">
        <v>269</v>
      </c>
      <c r="BF7" s="209">
        <f t="shared" si="6"/>
        <v>1.9628206070311607</v>
      </c>
      <c r="BG7" s="210">
        <f t="shared" si="7"/>
        <v>12.5</v>
      </c>
      <c r="BH7" s="210">
        <f t="shared" si="8"/>
        <v>20</v>
      </c>
      <c r="BI7" s="210">
        <v>8</v>
      </c>
      <c r="BJ7" s="210">
        <v>20</v>
      </c>
    </row>
    <row r="8" spans="1:62" s="197" customFormat="1">
      <c r="A8" s="211" t="s">
        <v>199</v>
      </c>
      <c r="B8" s="206">
        <f>'Pré-dimensionamento de Lajes'!BI9</f>
        <v>10</v>
      </c>
      <c r="C8" s="211">
        <f t="shared" si="9"/>
        <v>7.5</v>
      </c>
      <c r="D8" s="211">
        <v>2</v>
      </c>
      <c r="E8" s="212">
        <f t="shared" si="10"/>
        <v>1.4285714285714286</v>
      </c>
      <c r="F8" s="212">
        <f t="shared" si="11"/>
        <v>43.478260869565219</v>
      </c>
      <c r="G8" s="212">
        <f>('Momentos Fletores'!Z8)*100</f>
        <v>281.3500833658066</v>
      </c>
      <c r="H8" s="213">
        <f t="shared" si="12"/>
        <v>0.39446561419887172</v>
      </c>
      <c r="I8" s="213">
        <f t="shared" si="13"/>
        <v>5.2595415226516229E-2</v>
      </c>
      <c r="J8" s="213">
        <f t="shared" si="14"/>
        <v>0.88134888658147903</v>
      </c>
      <c r="K8" s="214">
        <f>('Momentos Fletores'!AB8)*100</f>
        <v>116.71235923190775</v>
      </c>
      <c r="L8" s="215">
        <f t="shared" si="15"/>
        <v>0.16158596892539673</v>
      </c>
      <c r="M8" s="215">
        <f t="shared" si="16"/>
        <v>2.1544795856719565E-2</v>
      </c>
      <c r="N8" s="215">
        <f t="shared" si="17"/>
        <v>0.3610292219990292</v>
      </c>
      <c r="O8" s="216">
        <f t="shared" si="18"/>
        <v>383.13927585860012</v>
      </c>
      <c r="P8" s="216">
        <f t="shared" si="19"/>
        <v>0.54151693567273429</v>
      </c>
      <c r="Q8" s="216">
        <f t="shared" si="20"/>
        <v>1.2099035534173661</v>
      </c>
      <c r="R8" s="206">
        <v>1</v>
      </c>
      <c r="S8" s="217">
        <f t="shared" si="21"/>
        <v>0.12099035534173662</v>
      </c>
      <c r="T8" s="210">
        <f t="shared" si="22"/>
        <v>0.15</v>
      </c>
      <c r="U8" s="209">
        <f t="shared" si="23"/>
        <v>8.8134888658147906E-2</v>
      </c>
      <c r="V8" s="209">
        <f t="shared" si="24"/>
        <v>3.6102922199902923E-2</v>
      </c>
      <c r="W8" s="218">
        <f t="shared" si="25"/>
        <v>0.15</v>
      </c>
      <c r="X8" s="210">
        <f t="shared" si="26"/>
        <v>0.03</v>
      </c>
      <c r="Y8" s="210">
        <f t="shared" si="27"/>
        <v>7.4999999999999997E-2</v>
      </c>
      <c r="Z8" s="210">
        <f t="shared" si="28"/>
        <v>0.9</v>
      </c>
      <c r="AA8" s="210">
        <f t="shared" si="29"/>
        <v>7.4999999999999997E-2</v>
      </c>
      <c r="AC8" s="211" t="s">
        <v>199</v>
      </c>
      <c r="AD8" s="216">
        <f t="shared" si="30"/>
        <v>1.5</v>
      </c>
      <c r="AE8" s="210">
        <f t="shared" si="31"/>
        <v>12.5</v>
      </c>
      <c r="AF8" s="210">
        <f t="shared" si="32"/>
        <v>20</v>
      </c>
      <c r="AG8" s="210">
        <v>6.3</v>
      </c>
      <c r="AH8" s="210">
        <v>16</v>
      </c>
      <c r="AI8" s="216">
        <f t="shared" si="33"/>
        <v>0.9</v>
      </c>
      <c r="AJ8" s="210">
        <f t="shared" si="34"/>
        <v>12.5</v>
      </c>
      <c r="AK8" s="210">
        <f t="shared" si="35"/>
        <v>33</v>
      </c>
      <c r="AL8" s="210">
        <v>6.3</v>
      </c>
      <c r="AM8" s="210">
        <v>20</v>
      </c>
      <c r="AO8" s="206" t="s">
        <v>270</v>
      </c>
      <c r="AP8" s="207">
        <f>('Compatibilização de Momentos'!B9)*100</f>
        <v>101.10908518199999</v>
      </c>
      <c r="AQ8" s="206">
        <v>7.5</v>
      </c>
      <c r="AR8" s="206">
        <v>7.5</v>
      </c>
      <c r="AS8" s="208">
        <f t="shared" si="0"/>
        <v>0.13981982007629618</v>
      </c>
      <c r="AT8" s="208">
        <f t="shared" si="1"/>
        <v>0.13981982007629618</v>
      </c>
      <c r="AU8" s="208">
        <f t="shared" ref="AU8:AV8" si="38">0.85*1.428571429*100*0.8*AS8/43.4782609</f>
        <v>0.31239742644550844</v>
      </c>
      <c r="AV8" s="208">
        <f t="shared" si="38"/>
        <v>0.31239742644550844</v>
      </c>
      <c r="AW8" s="208">
        <f t="shared" si="3"/>
        <v>0.31239742644550844</v>
      </c>
      <c r="AX8" s="206">
        <v>0.15</v>
      </c>
      <c r="AY8" s="206">
        <v>10</v>
      </c>
      <c r="AZ8" s="206">
        <v>10</v>
      </c>
      <c r="BA8" s="206">
        <v>10</v>
      </c>
      <c r="BB8" s="208">
        <f t="shared" si="4"/>
        <v>3.1239742644550841E-2</v>
      </c>
      <c r="BC8" s="206">
        <f t="shared" si="5"/>
        <v>0.15</v>
      </c>
      <c r="BE8" s="206" t="s">
        <v>270</v>
      </c>
      <c r="BF8" s="209">
        <f t="shared" si="6"/>
        <v>1.5</v>
      </c>
      <c r="BG8" s="210">
        <f t="shared" si="7"/>
        <v>12.5</v>
      </c>
      <c r="BH8" s="210">
        <f t="shared" si="8"/>
        <v>20</v>
      </c>
      <c r="BI8" s="210">
        <v>8</v>
      </c>
      <c r="BJ8" s="210">
        <v>20</v>
      </c>
    </row>
    <row r="9" spans="1:62" s="197" customFormat="1">
      <c r="A9" s="211" t="s">
        <v>200</v>
      </c>
      <c r="B9" s="219">
        <f>'Pré-dimensionamento de Lajes'!BI10</f>
        <v>10</v>
      </c>
      <c r="C9" s="211">
        <f t="shared" si="9"/>
        <v>7.5</v>
      </c>
      <c r="D9" s="211">
        <v>2</v>
      </c>
      <c r="E9" s="212">
        <f t="shared" si="10"/>
        <v>1.4285714285714286</v>
      </c>
      <c r="F9" s="212">
        <f t="shared" si="11"/>
        <v>43.478260869565219</v>
      </c>
      <c r="G9" s="212">
        <f>('Momentos Fletores'!Z9)*100</f>
        <v>70.273080191999995</v>
      </c>
      <c r="H9" s="213">
        <f t="shared" si="12"/>
        <v>9.6954590933180304E-2</v>
      </c>
      <c r="I9" s="213">
        <f t="shared" si="13"/>
        <v>1.2927278791090707E-2</v>
      </c>
      <c r="J9" s="213">
        <f t="shared" si="14"/>
        <v>0.21662425745642</v>
      </c>
      <c r="K9" s="214">
        <f>('Momentos Fletores'!AB9)*100</f>
        <v>14.829810688</v>
      </c>
      <c r="L9" s="215">
        <f t="shared" si="15"/>
        <v>2.0376786837682237E-2</v>
      </c>
      <c r="M9" s="215">
        <f t="shared" si="16"/>
        <v>2.7169049116909649E-3</v>
      </c>
      <c r="N9" s="215">
        <f t="shared" si="17"/>
        <v>4.5527563734478596E-2</v>
      </c>
      <c r="O9" s="216">
        <f t="shared" si="18"/>
        <v>383.13927585860012</v>
      </c>
      <c r="P9" s="216">
        <f t="shared" si="19"/>
        <v>0.54151693567273429</v>
      </c>
      <c r="Q9" s="216">
        <f t="shared" si="20"/>
        <v>1.2099035534173661</v>
      </c>
      <c r="R9" s="206">
        <v>2</v>
      </c>
      <c r="S9" s="217">
        <f t="shared" si="21"/>
        <v>0.12099035534173662</v>
      </c>
      <c r="T9" s="210">
        <f t="shared" si="22"/>
        <v>0.15</v>
      </c>
      <c r="U9" s="209">
        <f t="shared" si="23"/>
        <v>2.1662425745642002E-2</v>
      </c>
      <c r="V9" s="209">
        <f t="shared" si="24"/>
        <v>4.5527563734478601E-3</v>
      </c>
      <c r="W9" s="218">
        <f t="shared" si="25"/>
        <v>0.10050000000000001</v>
      </c>
      <c r="X9" s="210" t="str">
        <f t="shared" si="26"/>
        <v>-</v>
      </c>
      <c r="Y9" s="210" t="str">
        <f t="shared" si="27"/>
        <v>-</v>
      </c>
      <c r="Z9" s="210" t="str">
        <f t="shared" si="28"/>
        <v>-</v>
      </c>
      <c r="AA9" s="210">
        <f t="shared" si="29"/>
        <v>0.10050000000000001</v>
      </c>
      <c r="AC9" s="211" t="s">
        <v>200</v>
      </c>
      <c r="AD9" s="216">
        <f t="shared" si="30"/>
        <v>1.0050000000000001</v>
      </c>
      <c r="AE9" s="210">
        <f t="shared" si="31"/>
        <v>12.5</v>
      </c>
      <c r="AF9" s="210">
        <f t="shared" si="32"/>
        <v>20</v>
      </c>
      <c r="AG9" s="210">
        <v>6.3</v>
      </c>
      <c r="AH9" s="210">
        <v>16</v>
      </c>
      <c r="AI9" s="216">
        <f t="shared" si="33"/>
        <v>1.0050000000000001</v>
      </c>
      <c r="AJ9" s="210">
        <f t="shared" si="34"/>
        <v>12.5</v>
      </c>
      <c r="AK9" s="210">
        <f t="shared" si="35"/>
        <v>20</v>
      </c>
      <c r="AL9" s="210">
        <v>6.3</v>
      </c>
      <c r="AM9" s="210">
        <v>20</v>
      </c>
      <c r="AO9" s="206" t="s">
        <v>271</v>
      </c>
      <c r="AP9" s="207">
        <f>('Compatibilização de Momentos'!B10)*100</f>
        <v>457.82819176960913</v>
      </c>
      <c r="AQ9" s="206">
        <v>7.5</v>
      </c>
      <c r="AR9" s="206">
        <v>7.5</v>
      </c>
      <c r="AS9" s="208">
        <f t="shared" si="0"/>
        <v>0.65099393437892639</v>
      </c>
      <c r="AT9" s="208">
        <f t="shared" si="1"/>
        <v>0.65099393437892639</v>
      </c>
      <c r="AU9" s="208">
        <f t="shared" ref="AU9:AV9" si="39">0.85*1.428571429*100*0.8*AS9/43.4782609</f>
        <v>1.4545064470876843</v>
      </c>
      <c r="AV9" s="208">
        <f t="shared" si="39"/>
        <v>1.4545064470876843</v>
      </c>
      <c r="AW9" s="208">
        <f t="shared" si="3"/>
        <v>1.4545064470876843</v>
      </c>
      <c r="AX9" s="206">
        <v>0.15</v>
      </c>
      <c r="AY9" s="206">
        <v>10</v>
      </c>
      <c r="AZ9" s="206">
        <v>10</v>
      </c>
      <c r="BA9" s="206">
        <v>10</v>
      </c>
      <c r="BB9" s="208">
        <f t="shared" si="4"/>
        <v>0.14545064470876842</v>
      </c>
      <c r="BC9" s="206">
        <f t="shared" si="5"/>
        <v>0.15</v>
      </c>
      <c r="BE9" s="206" t="s">
        <v>271</v>
      </c>
      <c r="BF9" s="209">
        <f t="shared" si="6"/>
        <v>1.5</v>
      </c>
      <c r="BG9" s="210">
        <f t="shared" si="7"/>
        <v>12.5</v>
      </c>
      <c r="BH9" s="210">
        <f t="shared" si="8"/>
        <v>20</v>
      </c>
      <c r="BI9" s="210">
        <v>8</v>
      </c>
      <c r="BJ9" s="210">
        <v>20</v>
      </c>
    </row>
    <row r="10" spans="1:62" s="197" customFormat="1">
      <c r="A10" s="211" t="s">
        <v>201</v>
      </c>
      <c r="B10" s="219">
        <f>'Pré-dimensionamento de Lajes'!BI11</f>
        <v>10</v>
      </c>
      <c r="C10" s="211">
        <f t="shared" si="9"/>
        <v>7.5</v>
      </c>
      <c r="D10" s="211">
        <v>2</v>
      </c>
      <c r="E10" s="212">
        <f t="shared" si="10"/>
        <v>1.4285714285714286</v>
      </c>
      <c r="F10" s="212">
        <f t="shared" si="11"/>
        <v>43.478260869565219</v>
      </c>
      <c r="G10" s="212">
        <f>('Momentos Fletores'!Z10)*100</f>
        <v>43.250538869999993</v>
      </c>
      <c r="H10" s="213">
        <f t="shared" si="12"/>
        <v>5.9552632243912648E-2</v>
      </c>
      <c r="I10" s="213">
        <f t="shared" si="13"/>
        <v>7.9403509658550198E-3</v>
      </c>
      <c r="J10" s="213">
        <f t="shared" si="14"/>
        <v>0.13305759547068483</v>
      </c>
      <c r="K10" s="214">
        <f>('Momentos Fletores'!AB10)*100</f>
        <v>10.358771037999999</v>
      </c>
      <c r="L10" s="215">
        <f t="shared" si="15"/>
        <v>1.4228718709140969E-2</v>
      </c>
      <c r="M10" s="215">
        <f t="shared" si="16"/>
        <v>1.8971624945521293E-3</v>
      </c>
      <c r="N10" s="215">
        <f t="shared" si="17"/>
        <v>3.1791022944423535E-2</v>
      </c>
      <c r="O10" s="216">
        <f t="shared" si="18"/>
        <v>383.13927585860012</v>
      </c>
      <c r="P10" s="216">
        <f t="shared" si="19"/>
        <v>0.54151693567273429</v>
      </c>
      <c r="Q10" s="216">
        <f t="shared" si="20"/>
        <v>1.2099035534173661</v>
      </c>
      <c r="R10" s="206">
        <v>2</v>
      </c>
      <c r="S10" s="217">
        <f t="shared" si="21"/>
        <v>0.12099035534173662</v>
      </c>
      <c r="T10" s="210">
        <f t="shared" si="22"/>
        <v>0.15</v>
      </c>
      <c r="U10" s="209">
        <f t="shared" si="23"/>
        <v>1.3305759547068481E-2</v>
      </c>
      <c r="V10" s="209">
        <f t="shared" si="24"/>
        <v>3.1791022944423538E-3</v>
      </c>
      <c r="W10" s="218">
        <f t="shared" si="25"/>
        <v>0.10050000000000001</v>
      </c>
      <c r="X10" s="210" t="str">
        <f t="shared" si="26"/>
        <v>-</v>
      </c>
      <c r="Y10" s="210" t="str">
        <f t="shared" si="27"/>
        <v>-</v>
      </c>
      <c r="Z10" s="210" t="str">
        <f t="shared" si="28"/>
        <v>-</v>
      </c>
      <c r="AA10" s="210">
        <f t="shared" si="29"/>
        <v>0.10050000000000001</v>
      </c>
      <c r="AC10" s="211" t="s">
        <v>201</v>
      </c>
      <c r="AD10" s="216">
        <f t="shared" si="30"/>
        <v>1.0050000000000001</v>
      </c>
      <c r="AE10" s="210">
        <f t="shared" si="31"/>
        <v>12.5</v>
      </c>
      <c r="AF10" s="210">
        <f t="shared" si="32"/>
        <v>20</v>
      </c>
      <c r="AG10" s="210">
        <v>6.3</v>
      </c>
      <c r="AH10" s="210">
        <v>16</v>
      </c>
      <c r="AI10" s="216">
        <f t="shared" si="33"/>
        <v>1.0050000000000001</v>
      </c>
      <c r="AJ10" s="210">
        <f t="shared" si="34"/>
        <v>12.5</v>
      </c>
      <c r="AK10" s="210">
        <f t="shared" si="35"/>
        <v>20</v>
      </c>
      <c r="AL10" s="210">
        <v>6.3</v>
      </c>
      <c r="AM10" s="210">
        <v>20</v>
      </c>
      <c r="AO10" s="206" t="s">
        <v>272</v>
      </c>
      <c r="AP10" s="207">
        <f>('Compatibilização de Momentos'!B11)*100</f>
        <v>140.377639808</v>
      </c>
      <c r="AQ10" s="206">
        <v>7.5</v>
      </c>
      <c r="AR10" s="206">
        <v>7.5</v>
      </c>
      <c r="AS10" s="208">
        <f t="shared" si="0"/>
        <v>0.19469689209099181</v>
      </c>
      <c r="AT10" s="208">
        <f t="shared" si="1"/>
        <v>0.19469689209099181</v>
      </c>
      <c r="AU10" s="208">
        <f t="shared" ref="AU10:AV10" si="40">0.85*1.428571429*100*0.8*AS10/43.4782609</f>
        <v>0.43500848444072682</v>
      </c>
      <c r="AV10" s="208">
        <f t="shared" si="40"/>
        <v>0.43500848444072682</v>
      </c>
      <c r="AW10" s="208">
        <f t="shared" si="3"/>
        <v>0.43500848444072682</v>
      </c>
      <c r="AX10" s="206">
        <v>0.15</v>
      </c>
      <c r="AY10" s="206">
        <v>10</v>
      </c>
      <c r="AZ10" s="206">
        <v>10</v>
      </c>
      <c r="BA10" s="206">
        <v>10</v>
      </c>
      <c r="BB10" s="208">
        <f t="shared" si="4"/>
        <v>4.3500848444072676E-2</v>
      </c>
      <c r="BC10" s="206">
        <f t="shared" si="5"/>
        <v>0.15</v>
      </c>
      <c r="BE10" s="206" t="s">
        <v>272</v>
      </c>
      <c r="BF10" s="209">
        <f t="shared" si="6"/>
        <v>1.5</v>
      </c>
      <c r="BG10" s="210">
        <f t="shared" si="7"/>
        <v>12.5</v>
      </c>
      <c r="BH10" s="210">
        <f t="shared" si="8"/>
        <v>20</v>
      </c>
      <c r="BI10" s="210">
        <v>8</v>
      </c>
      <c r="BJ10" s="210">
        <v>20</v>
      </c>
    </row>
    <row r="11" spans="1:62" s="197" customFormat="1">
      <c r="A11" s="211" t="s">
        <v>184</v>
      </c>
      <c r="B11" s="206">
        <f>'Pré-dimensionamento de Lajes'!BI12</f>
        <v>10</v>
      </c>
      <c r="C11" s="211">
        <f t="shared" si="9"/>
        <v>7.5</v>
      </c>
      <c r="D11" s="211">
        <v>2</v>
      </c>
      <c r="E11" s="212">
        <f t="shared" si="10"/>
        <v>1.4285714285714286</v>
      </c>
      <c r="F11" s="212">
        <f t="shared" si="11"/>
        <v>43.478260869565219</v>
      </c>
      <c r="G11" s="212">
        <f>('Momentos Fletores'!Z11)*100</f>
        <v>50.61523231799999</v>
      </c>
      <c r="H11" s="213">
        <f t="shared" si="12"/>
        <v>6.9731217774349208E-2</v>
      </c>
      <c r="I11" s="213">
        <f t="shared" si="13"/>
        <v>9.297495703246561E-3</v>
      </c>
      <c r="J11" s="213">
        <f t="shared" si="14"/>
        <v>0.15579946371297451</v>
      </c>
      <c r="K11" s="214">
        <f>('Momentos Fletores'!AB11)*100</f>
        <v>11.652427583999998</v>
      </c>
      <c r="L11" s="215">
        <f t="shared" si="15"/>
        <v>1.6007193669760611E-2</v>
      </c>
      <c r="M11" s="215">
        <f t="shared" si="16"/>
        <v>2.1342924893014148E-3</v>
      </c>
      <c r="N11" s="215">
        <f t="shared" si="17"/>
        <v>3.5764644142150852E-2</v>
      </c>
      <c r="O11" s="216">
        <f t="shared" si="18"/>
        <v>383.13927585860012</v>
      </c>
      <c r="P11" s="216">
        <f t="shared" si="19"/>
        <v>0.54151693567273429</v>
      </c>
      <c r="Q11" s="216">
        <f t="shared" si="20"/>
        <v>1.2099035534173661</v>
      </c>
      <c r="R11" s="206">
        <v>2</v>
      </c>
      <c r="S11" s="217">
        <f t="shared" si="21"/>
        <v>0.12099035534173662</v>
      </c>
      <c r="T11" s="210">
        <f t="shared" si="22"/>
        <v>0.15</v>
      </c>
      <c r="U11" s="209">
        <f t="shared" si="23"/>
        <v>1.5579946371297452E-2</v>
      </c>
      <c r="V11" s="209">
        <f t="shared" si="24"/>
        <v>3.5764644142150851E-3</v>
      </c>
      <c r="W11" s="218">
        <f t="shared" si="25"/>
        <v>0.10050000000000001</v>
      </c>
      <c r="X11" s="210" t="str">
        <f t="shared" si="26"/>
        <v>-</v>
      </c>
      <c r="Y11" s="210" t="str">
        <f t="shared" si="27"/>
        <v>-</v>
      </c>
      <c r="Z11" s="210" t="str">
        <f t="shared" si="28"/>
        <v>-</v>
      </c>
      <c r="AA11" s="210">
        <f t="shared" si="29"/>
        <v>0.10050000000000001</v>
      </c>
      <c r="AC11" s="211" t="s">
        <v>184</v>
      </c>
      <c r="AD11" s="216">
        <f t="shared" si="30"/>
        <v>1.0050000000000001</v>
      </c>
      <c r="AE11" s="210">
        <f t="shared" si="31"/>
        <v>12.5</v>
      </c>
      <c r="AF11" s="210">
        <f t="shared" si="32"/>
        <v>20</v>
      </c>
      <c r="AG11" s="210">
        <v>6.3</v>
      </c>
      <c r="AH11" s="210">
        <v>16</v>
      </c>
      <c r="AI11" s="216">
        <f t="shared" si="33"/>
        <v>1.0050000000000001</v>
      </c>
      <c r="AJ11" s="210">
        <f t="shared" si="34"/>
        <v>12.5</v>
      </c>
      <c r="AK11" s="210">
        <f t="shared" si="35"/>
        <v>20</v>
      </c>
      <c r="AL11" s="210">
        <v>6.3</v>
      </c>
      <c r="AM11" s="210">
        <v>20</v>
      </c>
      <c r="AO11" s="206" t="s">
        <v>273</v>
      </c>
      <c r="AP11" s="207">
        <f>('Compatibilização de Momentos'!B12)*100</f>
        <v>334.72893211799988</v>
      </c>
      <c r="AQ11" s="206">
        <v>7.5</v>
      </c>
      <c r="AR11" s="206">
        <v>7.5</v>
      </c>
      <c r="AS11" s="208">
        <f t="shared" si="0"/>
        <v>0.47127732435237774</v>
      </c>
      <c r="AT11" s="208">
        <f t="shared" si="1"/>
        <v>0.47127732435237774</v>
      </c>
      <c r="AU11" s="208">
        <f t="shared" ref="AU11:AV11" si="41">0.85*1.428571429*100*0.8*AS11/43.4782609</f>
        <v>1.052968192846125</v>
      </c>
      <c r="AV11" s="208">
        <f t="shared" si="41"/>
        <v>1.052968192846125</v>
      </c>
      <c r="AW11" s="208">
        <f t="shared" si="3"/>
        <v>1.052968192846125</v>
      </c>
      <c r="AX11" s="206">
        <v>0.15</v>
      </c>
      <c r="AY11" s="206">
        <v>10</v>
      </c>
      <c r="AZ11" s="206">
        <v>10</v>
      </c>
      <c r="BA11" s="206">
        <v>10</v>
      </c>
      <c r="BB11" s="208">
        <f t="shared" si="4"/>
        <v>0.1052968192846125</v>
      </c>
      <c r="BC11" s="206">
        <f t="shared" si="5"/>
        <v>0.15</v>
      </c>
      <c r="BE11" s="206" t="s">
        <v>273</v>
      </c>
      <c r="BF11" s="209">
        <f t="shared" si="6"/>
        <v>1.5</v>
      </c>
      <c r="BG11" s="210">
        <f t="shared" si="7"/>
        <v>12.5</v>
      </c>
      <c r="BH11" s="210">
        <f t="shared" si="8"/>
        <v>20</v>
      </c>
      <c r="BI11" s="210">
        <v>8</v>
      </c>
      <c r="BJ11" s="210">
        <v>20</v>
      </c>
    </row>
    <row r="12" spans="1:62" s="197" customFormat="1">
      <c r="A12" s="211" t="s">
        <v>202</v>
      </c>
      <c r="B12" s="206">
        <f>'Pré-dimensionamento de Lajes'!BI13</f>
        <v>10</v>
      </c>
      <c r="C12" s="211">
        <f t="shared" si="9"/>
        <v>7.5</v>
      </c>
      <c r="D12" s="211">
        <v>2</v>
      </c>
      <c r="E12" s="212">
        <f t="shared" si="10"/>
        <v>1.4285714285714286</v>
      </c>
      <c r="F12" s="212">
        <f t="shared" si="11"/>
        <v>43.478260869565219</v>
      </c>
      <c r="G12" s="212">
        <f>('Momentos Fletores'!Z12)*100</f>
        <v>300.0655392139999</v>
      </c>
      <c r="H12" s="213">
        <f t="shared" si="12"/>
        <v>0.42132197955737533</v>
      </c>
      <c r="I12" s="213">
        <f t="shared" si="13"/>
        <v>5.6176263940983379E-2</v>
      </c>
      <c r="J12" s="213">
        <f t="shared" si="14"/>
        <v>0.94135368003962128</v>
      </c>
      <c r="K12" s="214">
        <f>('Momentos Fletores'!AB12)*100</f>
        <v>110.00483299399997</v>
      </c>
      <c r="L12" s="215">
        <f t="shared" si="15"/>
        <v>0.15222285488059906</v>
      </c>
      <c r="M12" s="215">
        <f t="shared" si="16"/>
        <v>2.0296380650746539E-2</v>
      </c>
      <c r="N12" s="215">
        <f t="shared" si="17"/>
        <v>0.34010935004750986</v>
      </c>
      <c r="O12" s="216">
        <f t="shared" si="18"/>
        <v>383.13927585860012</v>
      </c>
      <c r="P12" s="216">
        <f t="shared" si="19"/>
        <v>0.54151693567273429</v>
      </c>
      <c r="Q12" s="216">
        <f t="shared" si="20"/>
        <v>1.2099035534173661</v>
      </c>
      <c r="R12" s="206">
        <v>2</v>
      </c>
      <c r="S12" s="217">
        <f t="shared" si="21"/>
        <v>0.12099035534173662</v>
      </c>
      <c r="T12" s="210">
        <f t="shared" si="22"/>
        <v>0.15</v>
      </c>
      <c r="U12" s="209">
        <f t="shared" si="23"/>
        <v>9.4135368003962133E-2</v>
      </c>
      <c r="V12" s="209">
        <f t="shared" si="24"/>
        <v>3.4010935004750983E-2</v>
      </c>
      <c r="W12" s="218">
        <f t="shared" si="25"/>
        <v>0.10050000000000001</v>
      </c>
      <c r="X12" s="210" t="str">
        <f t="shared" si="26"/>
        <v>-</v>
      </c>
      <c r="Y12" s="210" t="str">
        <f t="shared" si="27"/>
        <v>-</v>
      </c>
      <c r="Z12" s="210" t="str">
        <f t="shared" si="28"/>
        <v>-</v>
      </c>
      <c r="AA12" s="210">
        <f t="shared" si="29"/>
        <v>0.10050000000000001</v>
      </c>
      <c r="AC12" s="211" t="s">
        <v>202</v>
      </c>
      <c r="AD12" s="216">
        <f t="shared" si="30"/>
        <v>1.0050000000000001</v>
      </c>
      <c r="AE12" s="210">
        <f t="shared" si="31"/>
        <v>12.5</v>
      </c>
      <c r="AF12" s="210">
        <f t="shared" si="32"/>
        <v>20</v>
      </c>
      <c r="AG12" s="210">
        <v>6.3</v>
      </c>
      <c r="AH12" s="210">
        <v>20</v>
      </c>
      <c r="AI12" s="216">
        <f t="shared" si="33"/>
        <v>1.0050000000000001</v>
      </c>
      <c r="AJ12" s="210">
        <f t="shared" si="34"/>
        <v>12.5</v>
      </c>
      <c r="AK12" s="210">
        <f t="shared" si="35"/>
        <v>20</v>
      </c>
      <c r="AL12" s="210">
        <v>6.3</v>
      </c>
      <c r="AM12" s="210">
        <v>20</v>
      </c>
      <c r="AO12" s="206" t="s">
        <v>274</v>
      </c>
      <c r="AP12" s="207">
        <f>('Compatibilização de Momentos'!B13)*100</f>
        <v>89.491238452000005</v>
      </c>
      <c r="AQ12" s="206">
        <v>7.5</v>
      </c>
      <c r="AR12" s="206">
        <v>7.5</v>
      </c>
      <c r="AS12" s="208">
        <f t="shared" si="0"/>
        <v>0.12364649588092851</v>
      </c>
      <c r="AT12" s="208">
        <f t="shared" si="1"/>
        <v>0.12364649588092851</v>
      </c>
      <c r="AU12" s="208">
        <f t="shared" ref="AU12:AV12" si="42">0.85*1.428571429*100*0.8*AS12/43.4782609</f>
        <v>0.2762615992577413</v>
      </c>
      <c r="AV12" s="208">
        <f t="shared" si="42"/>
        <v>0.2762615992577413</v>
      </c>
      <c r="AW12" s="208">
        <f t="shared" si="3"/>
        <v>0.2762615992577413</v>
      </c>
      <c r="AX12" s="206">
        <v>0.15</v>
      </c>
      <c r="AY12" s="206">
        <v>10</v>
      </c>
      <c r="AZ12" s="206">
        <v>10</v>
      </c>
      <c r="BA12" s="206">
        <v>10</v>
      </c>
      <c r="BB12" s="208">
        <f t="shared" si="4"/>
        <v>2.7626159925774128E-2</v>
      </c>
      <c r="BC12" s="206">
        <f t="shared" si="5"/>
        <v>0.15</v>
      </c>
      <c r="BE12" s="206" t="s">
        <v>274</v>
      </c>
      <c r="BF12" s="209">
        <f t="shared" si="6"/>
        <v>1.5</v>
      </c>
      <c r="BG12" s="210">
        <f t="shared" si="7"/>
        <v>12.5</v>
      </c>
      <c r="BH12" s="210">
        <f t="shared" si="8"/>
        <v>20</v>
      </c>
      <c r="BI12" s="210">
        <v>8</v>
      </c>
      <c r="BJ12" s="210">
        <v>20</v>
      </c>
    </row>
    <row r="13" spans="1:62" s="197" customFormat="1">
      <c r="A13" s="211" t="s">
        <v>203</v>
      </c>
      <c r="B13" s="206">
        <f>'Pré-dimensionamento de Lajes'!BI14</f>
        <v>10</v>
      </c>
      <c r="C13" s="211">
        <f t="shared" si="9"/>
        <v>7.5</v>
      </c>
      <c r="D13" s="211">
        <v>2</v>
      </c>
      <c r="E13" s="212">
        <f t="shared" si="10"/>
        <v>1.4285714285714286</v>
      </c>
      <c r="F13" s="212">
        <f t="shared" si="11"/>
        <v>43.478260869565219</v>
      </c>
      <c r="G13" s="212">
        <f>('Momentos Fletores'!Z13)*100</f>
        <v>214.39008392199986</v>
      </c>
      <c r="H13" s="213">
        <f t="shared" si="12"/>
        <v>0.29902990670637486</v>
      </c>
      <c r="I13" s="213">
        <f t="shared" si="13"/>
        <v>3.987065422751665E-2</v>
      </c>
      <c r="J13" s="213">
        <f t="shared" si="14"/>
        <v>0.66811824869824321</v>
      </c>
      <c r="K13" s="214">
        <f>('Momentos Fletores'!AB13)*100</f>
        <v>82.367852405999969</v>
      </c>
      <c r="L13" s="215">
        <f t="shared" si="15"/>
        <v>0.11374392468858248</v>
      </c>
      <c r="M13" s="215">
        <f t="shared" si="16"/>
        <v>1.5165856625144331E-2</v>
      </c>
      <c r="N13" s="215">
        <f t="shared" si="17"/>
        <v>0.25413642601849001</v>
      </c>
      <c r="O13" s="216">
        <f t="shared" si="18"/>
        <v>383.13927585860012</v>
      </c>
      <c r="P13" s="216">
        <f t="shared" si="19"/>
        <v>0.54151693567273429</v>
      </c>
      <c r="Q13" s="216">
        <f t="shared" si="20"/>
        <v>1.2099035534173661</v>
      </c>
      <c r="R13" s="206">
        <v>2</v>
      </c>
      <c r="S13" s="217">
        <f t="shared" si="21"/>
        <v>0.12099035534173662</v>
      </c>
      <c r="T13" s="210">
        <f t="shared" si="22"/>
        <v>0.15</v>
      </c>
      <c r="U13" s="209">
        <f t="shared" si="23"/>
        <v>6.6811824869824316E-2</v>
      </c>
      <c r="V13" s="209">
        <f t="shared" si="24"/>
        <v>2.5413642601849005E-2</v>
      </c>
      <c r="W13" s="218">
        <f t="shared" si="25"/>
        <v>0.10050000000000001</v>
      </c>
      <c r="X13" s="210" t="str">
        <f t="shared" si="26"/>
        <v>-</v>
      </c>
      <c r="Y13" s="210" t="str">
        <f t="shared" si="27"/>
        <v>-</v>
      </c>
      <c r="Z13" s="210" t="str">
        <f t="shared" si="28"/>
        <v>-</v>
      </c>
      <c r="AA13" s="210">
        <f t="shared" si="29"/>
        <v>0.10050000000000001</v>
      </c>
      <c r="AC13" s="211" t="s">
        <v>203</v>
      </c>
      <c r="AD13" s="216">
        <f t="shared" si="30"/>
        <v>1.0050000000000001</v>
      </c>
      <c r="AE13" s="210">
        <f t="shared" si="31"/>
        <v>12.5</v>
      </c>
      <c r="AF13" s="210">
        <f t="shared" si="32"/>
        <v>20</v>
      </c>
      <c r="AG13" s="210">
        <v>6.3</v>
      </c>
      <c r="AH13" s="210">
        <v>20</v>
      </c>
      <c r="AI13" s="216">
        <f t="shared" si="33"/>
        <v>1.0050000000000001</v>
      </c>
      <c r="AJ13" s="210">
        <f t="shared" si="34"/>
        <v>12.5</v>
      </c>
      <c r="AK13" s="210">
        <f t="shared" si="35"/>
        <v>20</v>
      </c>
      <c r="AL13" s="210">
        <v>6.3</v>
      </c>
      <c r="AM13" s="210">
        <v>20</v>
      </c>
      <c r="AO13" s="220" t="s">
        <v>275</v>
      </c>
      <c r="AP13" s="207">
        <f>('Compatibilização de Momentos'!B14)*100</f>
        <v>642.75075194399983</v>
      </c>
      <c r="AQ13" s="206">
        <v>7.5</v>
      </c>
      <c r="AR13" s="206">
        <v>7.5</v>
      </c>
      <c r="AS13" s="208">
        <f t="shared" si="0"/>
        <v>0.92815174995165561</v>
      </c>
      <c r="AT13" s="208">
        <f t="shared" si="1"/>
        <v>0.92815174995165561</v>
      </c>
      <c r="AU13" s="208">
        <f t="shared" ref="AU13:AV13" si="43">0.85*1.428571429*100*0.8*AS13/43.4782609</f>
        <v>2.073756194776768</v>
      </c>
      <c r="AV13" s="208">
        <f t="shared" si="43"/>
        <v>2.073756194776768</v>
      </c>
      <c r="AW13" s="208">
        <f t="shared" si="3"/>
        <v>2.073756194776768</v>
      </c>
      <c r="AX13" s="206">
        <v>0.15</v>
      </c>
      <c r="AY13" s="206">
        <v>10</v>
      </c>
      <c r="AZ13" s="206">
        <v>10</v>
      </c>
      <c r="BA13" s="206">
        <v>10</v>
      </c>
      <c r="BB13" s="208">
        <f t="shared" si="4"/>
        <v>0.2073756194776768</v>
      </c>
      <c r="BC13" s="208">
        <f t="shared" si="5"/>
        <v>0.2073756194776768</v>
      </c>
      <c r="BE13" s="220" t="s">
        <v>275</v>
      </c>
      <c r="BF13" s="209">
        <f t="shared" si="6"/>
        <v>2.0737561947767684</v>
      </c>
      <c r="BG13" s="210">
        <f t="shared" si="7"/>
        <v>12.5</v>
      </c>
      <c r="BH13" s="210">
        <f t="shared" si="8"/>
        <v>20</v>
      </c>
      <c r="BI13" s="210">
        <v>8</v>
      </c>
      <c r="BJ13" s="210">
        <v>20</v>
      </c>
    </row>
    <row r="14" spans="1:62" s="197" customFormat="1">
      <c r="A14" s="211" t="s">
        <v>204</v>
      </c>
      <c r="B14" s="206">
        <f>'Pré-dimensionamento de Lajes'!BI15</f>
        <v>10</v>
      </c>
      <c r="C14" s="211">
        <f t="shared" si="9"/>
        <v>7.5</v>
      </c>
      <c r="D14" s="211">
        <v>2</v>
      </c>
      <c r="E14" s="212">
        <f t="shared" si="10"/>
        <v>1.4285714285714286</v>
      </c>
      <c r="F14" s="212">
        <f t="shared" si="11"/>
        <v>43.478260869565219</v>
      </c>
      <c r="G14" s="212">
        <f>('Momentos Fletores'!Z14)*100</f>
        <v>107.05877909999997</v>
      </c>
      <c r="H14" s="213">
        <f t="shared" si="12"/>
        <v>0.14811342694702398</v>
      </c>
      <c r="I14" s="213">
        <f t="shared" si="13"/>
        <v>1.9748456926269864E-2</v>
      </c>
      <c r="J14" s="213">
        <f t="shared" si="14"/>
        <v>0.33092771392163645</v>
      </c>
      <c r="K14" s="214">
        <f>('Momentos Fletores'!AB14)*100</f>
        <v>34.114585049999988</v>
      </c>
      <c r="L14" s="215">
        <f t="shared" si="15"/>
        <v>4.6941460301786961E-2</v>
      </c>
      <c r="M14" s="215">
        <f t="shared" si="16"/>
        <v>6.2588613735715948E-3</v>
      </c>
      <c r="N14" s="215">
        <f t="shared" si="17"/>
        <v>0.10488063415999258</v>
      </c>
      <c r="O14" s="216">
        <f t="shared" si="18"/>
        <v>383.13927585860012</v>
      </c>
      <c r="P14" s="216">
        <f t="shared" si="19"/>
        <v>0.54151693567273429</v>
      </c>
      <c r="Q14" s="216">
        <f t="shared" si="20"/>
        <v>1.2099035534173661</v>
      </c>
      <c r="R14" s="206">
        <v>2</v>
      </c>
      <c r="S14" s="217">
        <f t="shared" si="21"/>
        <v>0.12099035534173662</v>
      </c>
      <c r="T14" s="210">
        <f t="shared" si="22"/>
        <v>0.15</v>
      </c>
      <c r="U14" s="209">
        <f t="shared" si="23"/>
        <v>3.3092771392163642E-2</v>
      </c>
      <c r="V14" s="209">
        <f t="shared" si="24"/>
        <v>1.0488063415999256E-2</v>
      </c>
      <c r="W14" s="218">
        <f t="shared" si="25"/>
        <v>0.10050000000000001</v>
      </c>
      <c r="X14" s="210" t="str">
        <f t="shared" si="26"/>
        <v>-</v>
      </c>
      <c r="Y14" s="210" t="str">
        <f t="shared" si="27"/>
        <v>-</v>
      </c>
      <c r="Z14" s="210" t="str">
        <f t="shared" si="28"/>
        <v>-</v>
      </c>
      <c r="AA14" s="210">
        <f t="shared" si="29"/>
        <v>0.10050000000000001</v>
      </c>
      <c r="AC14" s="211" t="s">
        <v>204</v>
      </c>
      <c r="AD14" s="216">
        <f t="shared" si="30"/>
        <v>1.0050000000000001</v>
      </c>
      <c r="AE14" s="210">
        <f t="shared" si="31"/>
        <v>12.5</v>
      </c>
      <c r="AF14" s="210">
        <f t="shared" si="32"/>
        <v>20</v>
      </c>
      <c r="AG14" s="210">
        <v>6.3</v>
      </c>
      <c r="AH14" s="210">
        <v>20</v>
      </c>
      <c r="AI14" s="216">
        <f t="shared" si="33"/>
        <v>1.0050000000000001</v>
      </c>
      <c r="AJ14" s="210">
        <f t="shared" si="34"/>
        <v>12.5</v>
      </c>
      <c r="AK14" s="210">
        <f t="shared" si="35"/>
        <v>20</v>
      </c>
      <c r="AL14" s="210">
        <v>6.3</v>
      </c>
      <c r="AM14" s="210">
        <v>20</v>
      </c>
      <c r="AO14" s="220" t="s">
        <v>276</v>
      </c>
      <c r="AP14" s="207">
        <f>('Compatibilização de Momentos'!B15)*100</f>
        <v>469.3923502099999</v>
      </c>
      <c r="AQ14" s="206">
        <v>7.5</v>
      </c>
      <c r="AR14" s="206">
        <v>7.5</v>
      </c>
      <c r="AS14" s="208">
        <f t="shared" si="0"/>
        <v>0.66806742794019014</v>
      </c>
      <c r="AT14" s="208">
        <f t="shared" si="1"/>
        <v>0.66806742794019014</v>
      </c>
      <c r="AU14" s="208">
        <f t="shared" ref="AU14:AV14" si="44">0.85*1.428571429*100*0.8*AS14/43.4782609</f>
        <v>1.4926535098293061</v>
      </c>
      <c r="AV14" s="208">
        <f t="shared" si="44"/>
        <v>1.4926535098293061</v>
      </c>
      <c r="AW14" s="208">
        <f t="shared" si="3"/>
        <v>1.4926535098293061</v>
      </c>
      <c r="AX14" s="206">
        <v>0.15</v>
      </c>
      <c r="AY14" s="206">
        <v>10</v>
      </c>
      <c r="AZ14" s="206">
        <v>10</v>
      </c>
      <c r="BA14" s="206">
        <v>10</v>
      </c>
      <c r="BB14" s="208">
        <f t="shared" si="4"/>
        <v>0.14926535098293059</v>
      </c>
      <c r="BC14" s="206">
        <f t="shared" si="5"/>
        <v>0.15</v>
      </c>
      <c r="BE14" s="220" t="s">
        <v>276</v>
      </c>
      <c r="BF14" s="209">
        <f t="shared" si="6"/>
        <v>1.5</v>
      </c>
      <c r="BG14" s="210">
        <f t="shared" si="7"/>
        <v>12.5</v>
      </c>
      <c r="BH14" s="210">
        <f t="shared" si="8"/>
        <v>20</v>
      </c>
      <c r="BI14" s="210">
        <v>8</v>
      </c>
      <c r="BJ14" s="210">
        <v>20</v>
      </c>
    </row>
    <row r="15" spans="1:62" s="197" customFormat="1">
      <c r="A15" s="211" t="s">
        <v>196</v>
      </c>
      <c r="B15" s="206">
        <f>'Pré-dimensionamento de Lajes'!BI16</f>
        <v>13</v>
      </c>
      <c r="C15" s="211">
        <f t="shared" si="9"/>
        <v>10.5</v>
      </c>
      <c r="D15" s="211">
        <v>2</v>
      </c>
      <c r="E15" s="212">
        <f t="shared" si="10"/>
        <v>1.4285714285714286</v>
      </c>
      <c r="F15" s="212">
        <f t="shared" si="11"/>
        <v>43.478260869565219</v>
      </c>
      <c r="G15" s="212">
        <f>('Momentos Fletores'!Z15)*100</f>
        <v>995.5150559715197</v>
      </c>
      <c r="H15" s="213">
        <f t="shared" si="12"/>
        <v>1.0152620905311474</v>
      </c>
      <c r="I15" s="213">
        <f t="shared" si="13"/>
        <v>9.6691627669633087E-2</v>
      </c>
      <c r="J15" s="213">
        <f t="shared" si="14"/>
        <v>2.2683855851295918</v>
      </c>
      <c r="K15" s="214">
        <f>('Momentos Fletores'!AB15)*100</f>
        <v>597.01493755455988</v>
      </c>
      <c r="L15" s="215">
        <f t="shared" si="15"/>
        <v>0.59897628976359019</v>
      </c>
      <c r="M15" s="215">
        <f t="shared" si="16"/>
        <v>5.7045360929865729E-2</v>
      </c>
      <c r="N15" s="215">
        <f t="shared" si="17"/>
        <v>1.3382841674146499</v>
      </c>
      <c r="O15" s="216">
        <f t="shared" si="18"/>
        <v>647.50537620103432</v>
      </c>
      <c r="P15" s="216">
        <f t="shared" si="19"/>
        <v>0.65095159137545022</v>
      </c>
      <c r="Q15" s="216">
        <f t="shared" si="20"/>
        <v>1.4544118413017202</v>
      </c>
      <c r="R15" s="206">
        <v>2</v>
      </c>
      <c r="S15" s="217">
        <f t="shared" si="21"/>
        <v>0.11187783394628617</v>
      </c>
      <c r="T15" s="210">
        <f t="shared" si="22"/>
        <v>0.15</v>
      </c>
      <c r="U15" s="209">
        <f t="shared" si="23"/>
        <v>0.17449119885612244</v>
      </c>
      <c r="V15" s="209">
        <f t="shared" si="24"/>
        <v>0.10294493595497307</v>
      </c>
      <c r="W15" s="218">
        <f t="shared" si="25"/>
        <v>0.17449119885612244</v>
      </c>
      <c r="X15" s="210" t="str">
        <f t="shared" si="26"/>
        <v>-</v>
      </c>
      <c r="Y15" s="210" t="str">
        <f t="shared" si="27"/>
        <v>-</v>
      </c>
      <c r="Z15" s="210" t="str">
        <f t="shared" si="28"/>
        <v>-</v>
      </c>
      <c r="AA15" s="209">
        <f t="shared" si="29"/>
        <v>0.10294493595497307</v>
      </c>
      <c r="AC15" s="211" t="s">
        <v>196</v>
      </c>
      <c r="AD15" s="216">
        <f t="shared" si="30"/>
        <v>2.2683855851295918</v>
      </c>
      <c r="AE15" s="210">
        <f t="shared" si="31"/>
        <v>16.25</v>
      </c>
      <c r="AF15" s="210">
        <f t="shared" si="32"/>
        <v>20</v>
      </c>
      <c r="AG15" s="210">
        <v>6.3</v>
      </c>
      <c r="AH15" s="210">
        <v>20</v>
      </c>
      <c r="AI15" s="216">
        <f t="shared" si="33"/>
        <v>1.3382841674146499</v>
      </c>
      <c r="AJ15" s="210">
        <f t="shared" si="34"/>
        <v>16.25</v>
      </c>
      <c r="AK15" s="210">
        <f t="shared" si="35"/>
        <v>20</v>
      </c>
      <c r="AL15" s="210">
        <v>6.3</v>
      </c>
      <c r="AM15" s="210">
        <v>20</v>
      </c>
      <c r="AO15" s="220" t="s">
        <v>277</v>
      </c>
      <c r="AP15" s="207">
        <f>('Compatibilização de Momentos'!B16)*100</f>
        <v>462.07781030599983</v>
      </c>
      <c r="AQ15" s="206">
        <v>7.5</v>
      </c>
      <c r="AR15" s="206">
        <v>7.5</v>
      </c>
      <c r="AS15" s="208">
        <f t="shared" si="0"/>
        <v>0.65726424751792156</v>
      </c>
      <c r="AT15" s="208">
        <f t="shared" si="1"/>
        <v>0.65726424751792156</v>
      </c>
      <c r="AU15" s="208">
        <f t="shared" ref="AU15:AV15" si="45">0.85*1.428571429*100*0.8*AS15/43.4782609</f>
        <v>1.4685161181526352</v>
      </c>
      <c r="AV15" s="208">
        <f t="shared" si="45"/>
        <v>1.4685161181526352</v>
      </c>
      <c r="AW15" s="208">
        <f t="shared" si="3"/>
        <v>1.4685161181526352</v>
      </c>
      <c r="AX15" s="206">
        <v>0.15</v>
      </c>
      <c r="AY15" s="206">
        <v>10</v>
      </c>
      <c r="AZ15" s="206">
        <v>10</v>
      </c>
      <c r="BA15" s="206">
        <v>10</v>
      </c>
      <c r="BB15" s="208">
        <f t="shared" si="4"/>
        <v>0.14685161181526352</v>
      </c>
      <c r="BC15" s="206">
        <f t="shared" si="5"/>
        <v>0.15</v>
      </c>
      <c r="BE15" s="220" t="s">
        <v>277</v>
      </c>
      <c r="BF15" s="209">
        <f t="shared" si="6"/>
        <v>1.5</v>
      </c>
      <c r="BG15" s="210">
        <f t="shared" si="7"/>
        <v>12.5</v>
      </c>
      <c r="BH15" s="210">
        <f t="shared" si="8"/>
        <v>20</v>
      </c>
      <c r="BI15" s="210">
        <v>8</v>
      </c>
      <c r="BJ15" s="210">
        <v>20</v>
      </c>
    </row>
    <row r="16" spans="1:62" s="197" customFormat="1">
      <c r="A16" s="211" t="s">
        <v>205</v>
      </c>
      <c r="B16" s="206">
        <f>'Pré-dimensionamento de Lajes'!BI17</f>
        <v>10</v>
      </c>
      <c r="C16" s="211">
        <f t="shared" si="9"/>
        <v>7.5</v>
      </c>
      <c r="D16" s="211">
        <v>2</v>
      </c>
      <c r="E16" s="212">
        <f t="shared" si="10"/>
        <v>1.4285714285714286</v>
      </c>
      <c r="F16" s="212">
        <f t="shared" si="11"/>
        <v>43.478260869565219</v>
      </c>
      <c r="G16" s="212">
        <f>('Momentos Fletores'!Z16)*100</f>
        <v>46.016336141999993</v>
      </c>
      <c r="H16" s="213">
        <f t="shared" si="12"/>
        <v>6.3373876966004924E-2</v>
      </c>
      <c r="I16" s="213">
        <f t="shared" si="13"/>
        <v>8.4498502621339899E-3</v>
      </c>
      <c r="J16" s="213">
        <f t="shared" si="14"/>
        <v>0.14159534796404527</v>
      </c>
      <c r="K16" s="214">
        <f>('Momentos Fletores'!AB16)*100</f>
        <v>9.7108814879999983</v>
      </c>
      <c r="L16" s="215">
        <f t="shared" si="15"/>
        <v>1.3338149197830024E-2</v>
      </c>
      <c r="M16" s="215">
        <f t="shared" si="16"/>
        <v>1.7784198930440032E-3</v>
      </c>
      <c r="N16" s="215">
        <f t="shared" si="17"/>
        <v>2.980123620772308E-2</v>
      </c>
      <c r="O16" s="216">
        <f t="shared" si="18"/>
        <v>383.13927585860012</v>
      </c>
      <c r="P16" s="216">
        <f t="shared" si="19"/>
        <v>0.54151693567273429</v>
      </c>
      <c r="Q16" s="216">
        <f t="shared" si="20"/>
        <v>1.2099035534173661</v>
      </c>
      <c r="R16" s="206">
        <v>2</v>
      </c>
      <c r="S16" s="217">
        <f t="shared" si="21"/>
        <v>0.12099035534173662</v>
      </c>
      <c r="T16" s="210">
        <f t="shared" si="22"/>
        <v>0.15</v>
      </c>
      <c r="U16" s="209">
        <f t="shared" si="23"/>
        <v>1.4159534796404527E-2</v>
      </c>
      <c r="V16" s="209">
        <f t="shared" si="24"/>
        <v>2.980123620772308E-3</v>
      </c>
      <c r="W16" s="218">
        <f t="shared" si="25"/>
        <v>0.10050000000000001</v>
      </c>
      <c r="X16" s="210" t="str">
        <f t="shared" si="26"/>
        <v>-</v>
      </c>
      <c r="Y16" s="210" t="str">
        <f t="shared" si="27"/>
        <v>-</v>
      </c>
      <c r="Z16" s="210" t="str">
        <f t="shared" si="28"/>
        <v>-</v>
      </c>
      <c r="AA16" s="210">
        <f t="shared" si="29"/>
        <v>0.10050000000000001</v>
      </c>
      <c r="AC16" s="211" t="s">
        <v>205</v>
      </c>
      <c r="AD16" s="216">
        <f t="shared" si="30"/>
        <v>1.0050000000000001</v>
      </c>
      <c r="AE16" s="210">
        <f t="shared" si="31"/>
        <v>12.5</v>
      </c>
      <c r="AF16" s="210">
        <f t="shared" si="32"/>
        <v>20</v>
      </c>
      <c r="AG16" s="210">
        <v>6.3</v>
      </c>
      <c r="AH16" s="210">
        <v>20</v>
      </c>
      <c r="AI16" s="216">
        <f t="shared" si="33"/>
        <v>1.0050000000000001</v>
      </c>
      <c r="AJ16" s="210">
        <f t="shared" si="34"/>
        <v>12.5</v>
      </c>
      <c r="AK16" s="210">
        <f t="shared" si="35"/>
        <v>20</v>
      </c>
      <c r="AL16" s="210">
        <v>6.3</v>
      </c>
      <c r="AM16" s="210">
        <v>20</v>
      </c>
      <c r="AO16" s="220" t="s">
        <v>278</v>
      </c>
      <c r="AP16" s="207">
        <f>('Compatibilização de Momentos'!B17)*100</f>
        <v>225.76644090000002</v>
      </c>
      <c r="AQ16" s="206">
        <v>7.5</v>
      </c>
      <c r="AR16" s="206">
        <v>7.5</v>
      </c>
      <c r="AS16" s="208">
        <f t="shared" si="0"/>
        <v>0.31517333260248531</v>
      </c>
      <c r="AT16" s="208">
        <f t="shared" si="1"/>
        <v>0.31517333260248531</v>
      </c>
      <c r="AU16" s="208">
        <f t="shared" ref="AU16:AV16" si="46">0.85*1.428571429*100*0.8*AS16/43.4782609</f>
        <v>0.70418727427587791</v>
      </c>
      <c r="AV16" s="208">
        <f t="shared" si="46"/>
        <v>0.70418727427587791</v>
      </c>
      <c r="AW16" s="208">
        <f t="shared" si="3"/>
        <v>0.70418727427587791</v>
      </c>
      <c r="AX16" s="206">
        <v>0.15</v>
      </c>
      <c r="AY16" s="206">
        <v>10</v>
      </c>
      <c r="AZ16" s="206">
        <v>10</v>
      </c>
      <c r="BA16" s="206">
        <v>10</v>
      </c>
      <c r="BB16" s="208">
        <f t="shared" si="4"/>
        <v>7.0418727427587799E-2</v>
      </c>
      <c r="BC16" s="206">
        <f t="shared" si="5"/>
        <v>0.15</v>
      </c>
      <c r="BE16" s="220" t="s">
        <v>278</v>
      </c>
      <c r="BF16" s="209">
        <f t="shared" si="6"/>
        <v>1.5</v>
      </c>
      <c r="BG16" s="210">
        <f t="shared" si="7"/>
        <v>12.5</v>
      </c>
      <c r="BH16" s="210">
        <f t="shared" si="8"/>
        <v>20</v>
      </c>
      <c r="BI16" s="210">
        <v>8</v>
      </c>
      <c r="BJ16" s="210">
        <v>20</v>
      </c>
    </row>
    <row r="17" spans="1:62" s="197" customFormat="1">
      <c r="A17" s="211" t="s">
        <v>206</v>
      </c>
      <c r="B17" s="206">
        <f>'Pré-dimensionamento de Lajes'!BI18</f>
        <v>10</v>
      </c>
      <c r="C17" s="211">
        <f t="shared" si="9"/>
        <v>7.5</v>
      </c>
      <c r="D17" s="211">
        <v>2</v>
      </c>
      <c r="E17" s="212">
        <f t="shared" si="10"/>
        <v>1.4285714285714286</v>
      </c>
      <c r="F17" s="212">
        <f t="shared" si="11"/>
        <v>43.478260869565219</v>
      </c>
      <c r="G17" s="212">
        <f>('Momentos Fletores'!Z17)*100</f>
        <v>315.04711615999992</v>
      </c>
      <c r="H17" s="213">
        <f t="shared" si="12"/>
        <v>0.44287848242614386</v>
      </c>
      <c r="I17" s="213">
        <f t="shared" si="13"/>
        <v>5.9050464323485846E-2</v>
      </c>
      <c r="J17" s="213">
        <f t="shared" si="14"/>
        <v>0.98951706644926984</v>
      </c>
      <c r="K17" s="214">
        <f>('Momentos Fletores'!AB17)*100</f>
        <v>226.14340940799994</v>
      </c>
      <c r="L17" s="215">
        <f t="shared" si="15"/>
        <v>0.31570875586187791</v>
      </c>
      <c r="M17" s="215">
        <f t="shared" si="16"/>
        <v>4.2094500781583721E-2</v>
      </c>
      <c r="N17" s="215">
        <f t="shared" si="17"/>
        <v>0.70538356309711003</v>
      </c>
      <c r="O17" s="216">
        <f t="shared" si="18"/>
        <v>383.13927585860012</v>
      </c>
      <c r="P17" s="216">
        <f t="shared" si="19"/>
        <v>0.54151693567273429</v>
      </c>
      <c r="Q17" s="216">
        <f t="shared" si="20"/>
        <v>1.2099035534173661</v>
      </c>
      <c r="R17" s="206">
        <v>2</v>
      </c>
      <c r="S17" s="217">
        <f t="shared" si="21"/>
        <v>0.12099035534173662</v>
      </c>
      <c r="T17" s="210">
        <f t="shared" si="22"/>
        <v>0.15</v>
      </c>
      <c r="U17" s="209">
        <f t="shared" si="23"/>
        <v>9.8951706644926973E-2</v>
      </c>
      <c r="V17" s="209">
        <f t="shared" si="24"/>
        <v>7.0538356309711003E-2</v>
      </c>
      <c r="W17" s="218">
        <f t="shared" si="25"/>
        <v>0.10050000000000001</v>
      </c>
      <c r="X17" s="210" t="str">
        <f t="shared" si="26"/>
        <v>-</v>
      </c>
      <c r="Y17" s="210" t="str">
        <f t="shared" si="27"/>
        <v>-</v>
      </c>
      <c r="Z17" s="210" t="str">
        <f t="shared" si="28"/>
        <v>-</v>
      </c>
      <c r="AA17" s="210">
        <f t="shared" si="29"/>
        <v>0.10050000000000001</v>
      </c>
      <c r="AC17" s="211" t="s">
        <v>206</v>
      </c>
      <c r="AD17" s="216">
        <f t="shared" si="30"/>
        <v>1.0050000000000001</v>
      </c>
      <c r="AE17" s="210">
        <f t="shared" si="31"/>
        <v>12.5</v>
      </c>
      <c r="AF17" s="210">
        <f t="shared" si="32"/>
        <v>20</v>
      </c>
      <c r="AG17" s="210">
        <v>6.3</v>
      </c>
      <c r="AH17" s="210">
        <v>20</v>
      </c>
      <c r="AI17" s="216">
        <f t="shared" si="33"/>
        <v>1.0050000000000001</v>
      </c>
      <c r="AJ17" s="210">
        <f t="shared" si="34"/>
        <v>12.5</v>
      </c>
      <c r="AK17" s="210">
        <f t="shared" si="35"/>
        <v>20</v>
      </c>
      <c r="AL17" s="210">
        <v>6.3</v>
      </c>
      <c r="AM17" s="210">
        <v>20</v>
      </c>
      <c r="AO17" s="220" t="s">
        <v>279</v>
      </c>
      <c r="AP17" s="207">
        <f>('Compatibilização de Momentos'!B18)*100</f>
        <v>101.10908518199999</v>
      </c>
      <c r="AQ17" s="206">
        <v>7.5</v>
      </c>
      <c r="AR17" s="206">
        <v>11.5</v>
      </c>
      <c r="AS17" s="208">
        <f t="shared" si="0"/>
        <v>0.13981982007629618</v>
      </c>
      <c r="AT17" s="208">
        <f t="shared" si="1"/>
        <v>9.0793583273320669E-2</v>
      </c>
      <c r="AU17" s="208">
        <f t="shared" ref="AU17:AV17" si="47">0.85*1.428571429*100*0.8*AS17/43.4782609</f>
        <v>0.31239742644550844</v>
      </c>
      <c r="AV17" s="208">
        <f t="shared" si="47"/>
        <v>0.20285880597524719</v>
      </c>
      <c r="AW17" s="208">
        <f t="shared" si="3"/>
        <v>0.31239742644550844</v>
      </c>
      <c r="AX17" s="206">
        <v>0.15</v>
      </c>
      <c r="AY17" s="206">
        <v>10</v>
      </c>
      <c r="AZ17" s="206">
        <v>13</v>
      </c>
      <c r="BA17" s="206">
        <v>10</v>
      </c>
      <c r="BB17" s="208">
        <f t="shared" si="4"/>
        <v>3.1239742644550841E-2</v>
      </c>
      <c r="BC17" s="206">
        <f t="shared" si="5"/>
        <v>0.15</v>
      </c>
      <c r="BE17" s="220" t="s">
        <v>279</v>
      </c>
      <c r="BF17" s="209">
        <f t="shared" si="6"/>
        <v>1.5</v>
      </c>
      <c r="BG17" s="210">
        <f t="shared" si="7"/>
        <v>12.5</v>
      </c>
      <c r="BH17" s="210">
        <f t="shared" si="8"/>
        <v>20</v>
      </c>
      <c r="BI17" s="210">
        <v>8</v>
      </c>
      <c r="BJ17" s="210">
        <v>20</v>
      </c>
    </row>
    <row r="18" spans="1:62" s="197" customFormat="1" ht="45">
      <c r="F18" s="221" t="s">
        <v>330</v>
      </c>
      <c r="G18" s="222"/>
      <c r="H18" s="222" t="s">
        <v>331</v>
      </c>
      <c r="I18" s="222" t="s">
        <v>332</v>
      </c>
      <c r="J18" s="302" t="s">
        <v>333</v>
      </c>
      <c r="O18" s="303" t="s">
        <v>334</v>
      </c>
      <c r="P18" s="300"/>
      <c r="Q18" s="223"/>
      <c r="S18" s="304" t="s">
        <v>335</v>
      </c>
      <c r="T18" s="300"/>
      <c r="U18" s="224" t="s">
        <v>336</v>
      </c>
      <c r="V18" s="225"/>
      <c r="W18" s="305" t="s">
        <v>337</v>
      </c>
      <c r="X18" s="300"/>
      <c r="Y18" s="306" t="s">
        <v>338</v>
      </c>
      <c r="Z18" s="300"/>
      <c r="AA18" s="301" t="s">
        <v>339</v>
      </c>
      <c r="AD18" s="226" t="s">
        <v>340</v>
      </c>
      <c r="AE18" s="227" t="s">
        <v>341</v>
      </c>
      <c r="AF18" s="300" t="s">
        <v>342</v>
      </c>
      <c r="AG18" s="300"/>
      <c r="AI18" s="299" t="s">
        <v>343</v>
      </c>
      <c r="AJ18" s="300"/>
      <c r="AL18" s="228" t="s">
        <v>344</v>
      </c>
      <c r="AO18" s="220" t="s">
        <v>280</v>
      </c>
      <c r="AP18" s="207">
        <f>('Compatibilização de Momentos'!B19)*100</f>
        <v>334.72893211799988</v>
      </c>
      <c r="AQ18" s="206">
        <v>7.5</v>
      </c>
      <c r="AR18" s="206">
        <v>7.5</v>
      </c>
      <c r="AS18" s="208">
        <f t="shared" si="0"/>
        <v>0.47127732435237774</v>
      </c>
      <c r="AT18" s="208">
        <f t="shared" si="1"/>
        <v>0.47127732435237774</v>
      </c>
      <c r="AU18" s="208">
        <f t="shared" ref="AU18:AV18" si="48">0.85*1.428571429*100*0.8*AS18/43.4782609</f>
        <v>1.052968192846125</v>
      </c>
      <c r="AV18" s="208">
        <f t="shared" si="48"/>
        <v>1.052968192846125</v>
      </c>
      <c r="AW18" s="208">
        <f t="shared" si="3"/>
        <v>1.052968192846125</v>
      </c>
      <c r="AX18" s="206">
        <v>0.15</v>
      </c>
      <c r="AY18" s="206">
        <v>10</v>
      </c>
      <c r="AZ18" s="206">
        <v>10</v>
      </c>
      <c r="BA18" s="206">
        <v>10</v>
      </c>
      <c r="BB18" s="208">
        <f t="shared" si="4"/>
        <v>0.1052968192846125</v>
      </c>
      <c r="BC18" s="206">
        <f t="shared" si="5"/>
        <v>0.15</v>
      </c>
      <c r="BE18" s="220" t="s">
        <v>280</v>
      </c>
      <c r="BF18" s="209">
        <f t="shared" si="6"/>
        <v>1.5</v>
      </c>
      <c r="BG18" s="210">
        <f t="shared" si="7"/>
        <v>12.5</v>
      </c>
      <c r="BH18" s="210">
        <f t="shared" si="8"/>
        <v>20</v>
      </c>
      <c r="BI18" s="210">
        <v>8</v>
      </c>
      <c r="BJ18" s="210">
        <v>20</v>
      </c>
    </row>
    <row r="19" spans="1:62" s="197" customFormat="1" ht="30">
      <c r="F19" s="222"/>
      <c r="G19" s="222"/>
      <c r="H19" s="229" t="s">
        <v>345</v>
      </c>
      <c r="I19" s="222"/>
      <c r="J19" s="300"/>
      <c r="O19" s="230" t="s">
        <v>346</v>
      </c>
      <c r="P19" s="223"/>
      <c r="Q19" s="223"/>
      <c r="S19" s="230" t="s">
        <v>347</v>
      </c>
      <c r="T19" s="222"/>
      <c r="U19" s="231" t="s">
        <v>348</v>
      </c>
      <c r="V19" s="225"/>
      <c r="W19" s="300"/>
      <c r="X19" s="300"/>
      <c r="Y19" s="300"/>
      <c r="Z19" s="300"/>
      <c r="AA19" s="300"/>
      <c r="AD19" s="232"/>
      <c r="AI19" s="232"/>
      <c r="AK19" s="301" t="s">
        <v>349</v>
      </c>
      <c r="AL19" s="300"/>
      <c r="AM19" s="300"/>
      <c r="AO19" s="220" t="s">
        <v>281</v>
      </c>
      <c r="AP19" s="207">
        <f>('Compatibilização de Momentos'!B20)*100</f>
        <v>156.9825621</v>
      </c>
      <c r="AQ19" s="206">
        <v>7.5</v>
      </c>
      <c r="AR19" s="206">
        <v>7.5</v>
      </c>
      <c r="AS19" s="208">
        <f t="shared" si="0"/>
        <v>0.21800089580507298</v>
      </c>
      <c r="AT19" s="208">
        <f t="shared" si="1"/>
        <v>0.21800089580507298</v>
      </c>
      <c r="AU19" s="208">
        <f t="shared" ref="AU19:AV19" si="49">0.85*1.428571429*100*0.8*AS19/43.4782609</f>
        <v>0.48707628700393252</v>
      </c>
      <c r="AV19" s="208">
        <f t="shared" si="49"/>
        <v>0.48707628700393252</v>
      </c>
      <c r="AW19" s="208">
        <f t="shared" si="3"/>
        <v>0.48707628700393252</v>
      </c>
      <c r="AX19" s="206">
        <v>0.15</v>
      </c>
      <c r="AY19" s="206">
        <v>10</v>
      </c>
      <c r="AZ19" s="206">
        <v>10</v>
      </c>
      <c r="BA19" s="206">
        <v>10</v>
      </c>
      <c r="BB19" s="208">
        <f t="shared" si="4"/>
        <v>4.8707628700393253E-2</v>
      </c>
      <c r="BC19" s="206">
        <f t="shared" si="5"/>
        <v>0.15</v>
      </c>
      <c r="BE19" s="220" t="s">
        <v>281</v>
      </c>
      <c r="BF19" s="209">
        <f t="shared" si="6"/>
        <v>1.5</v>
      </c>
      <c r="BG19" s="210">
        <f t="shared" si="7"/>
        <v>12.5</v>
      </c>
      <c r="BH19" s="210">
        <f t="shared" si="8"/>
        <v>20</v>
      </c>
      <c r="BI19" s="210">
        <v>8</v>
      </c>
      <c r="BJ19" s="210">
        <v>20</v>
      </c>
    </row>
    <row r="20" spans="1:62" s="197" customFormat="1">
      <c r="H20" s="197" t="s">
        <v>350</v>
      </c>
      <c r="O20" s="303" t="s">
        <v>351</v>
      </c>
      <c r="P20" s="300"/>
      <c r="Q20" s="300"/>
      <c r="S20" s="230" t="s">
        <v>352</v>
      </c>
      <c r="T20" s="222"/>
      <c r="Y20" s="300"/>
      <c r="Z20" s="300"/>
      <c r="AA20" s="300"/>
      <c r="AD20" s="232"/>
      <c r="AI20" s="232"/>
      <c r="AO20" s="220" t="s">
        <v>282</v>
      </c>
      <c r="AP20" s="207">
        <f>('Compatibilização de Momentos'!B21)*100</f>
        <v>91.922321357999976</v>
      </c>
      <c r="AQ20" s="206">
        <v>7.5</v>
      </c>
      <c r="AR20" s="206">
        <v>11.5</v>
      </c>
      <c r="AS20" s="208">
        <f t="shared" si="0"/>
        <v>0.1270284913617567</v>
      </c>
      <c r="AT20" s="208">
        <f t="shared" si="1"/>
        <v>8.2520263278848816E-2</v>
      </c>
      <c r="AU20" s="208">
        <f t="shared" ref="AU20:AV20" si="50">0.85*1.428571429*100*0.8*AS20/43.4782609</f>
        <v>0.28381794344331202</v>
      </c>
      <c r="AV20" s="208">
        <f t="shared" si="50"/>
        <v>0.18437384530927833</v>
      </c>
      <c r="AW20" s="208">
        <f t="shared" si="3"/>
        <v>0.28381794344331202</v>
      </c>
      <c r="AX20" s="206">
        <v>0.15</v>
      </c>
      <c r="AY20" s="206">
        <v>10</v>
      </c>
      <c r="AZ20" s="206">
        <v>13</v>
      </c>
      <c r="BA20" s="206">
        <v>10</v>
      </c>
      <c r="BB20" s="208">
        <f t="shared" si="4"/>
        <v>2.8381794344331204E-2</v>
      </c>
      <c r="BC20" s="206">
        <f t="shared" si="5"/>
        <v>0.15</v>
      </c>
      <c r="BE20" s="220" t="s">
        <v>282</v>
      </c>
      <c r="BF20" s="209">
        <f t="shared" si="6"/>
        <v>1.5</v>
      </c>
      <c r="BG20" s="210">
        <f t="shared" si="7"/>
        <v>12.5</v>
      </c>
      <c r="BH20" s="210">
        <f t="shared" si="8"/>
        <v>20</v>
      </c>
      <c r="BI20" s="210">
        <v>8</v>
      </c>
      <c r="BJ20" s="210">
        <v>20</v>
      </c>
    </row>
    <row r="21" spans="1:62" s="197" customFormat="1">
      <c r="Y21" s="300"/>
      <c r="Z21" s="300"/>
      <c r="AA21" s="300"/>
      <c r="AD21" s="232"/>
      <c r="AI21" s="232"/>
      <c r="AO21" s="220" t="s">
        <v>283</v>
      </c>
      <c r="AP21" s="207">
        <f>('Compatibilização de Momentos'!B22)*100</f>
        <v>658.57794419199968</v>
      </c>
      <c r="AQ21" s="206">
        <v>7.5</v>
      </c>
      <c r="AR21" s="206">
        <v>7.5</v>
      </c>
      <c r="AS21" s="208">
        <f t="shared" si="0"/>
        <v>0.95229687618587944</v>
      </c>
      <c r="AT21" s="208">
        <f t="shared" si="1"/>
        <v>0.95229687618587944</v>
      </c>
      <c r="AU21" s="208">
        <f t="shared" ref="AU21:AV21" si="51">0.85*1.428571429*100*0.8*AS21/43.4782609</f>
        <v>2.1277033053699403</v>
      </c>
      <c r="AV21" s="208">
        <f t="shared" si="51"/>
        <v>2.1277033053699403</v>
      </c>
      <c r="AW21" s="208">
        <f t="shared" si="3"/>
        <v>2.1277033053699403</v>
      </c>
      <c r="AX21" s="206">
        <v>0.15</v>
      </c>
      <c r="AY21" s="206">
        <v>10</v>
      </c>
      <c r="AZ21" s="206">
        <v>10</v>
      </c>
      <c r="BA21" s="206">
        <v>10</v>
      </c>
      <c r="BB21" s="208">
        <f t="shared" si="4"/>
        <v>0.21277033053699401</v>
      </c>
      <c r="BC21" s="208">
        <f t="shared" si="5"/>
        <v>0.21277033053699401</v>
      </c>
      <c r="BE21" s="220" t="s">
        <v>283</v>
      </c>
      <c r="BF21" s="209">
        <f t="shared" si="6"/>
        <v>2.1277033053699399</v>
      </c>
      <c r="BG21" s="210">
        <f t="shared" si="7"/>
        <v>12.5</v>
      </c>
      <c r="BH21" s="210">
        <f t="shared" si="8"/>
        <v>20</v>
      </c>
      <c r="BI21" s="210">
        <v>8</v>
      </c>
      <c r="BJ21" s="210">
        <v>20</v>
      </c>
    </row>
    <row r="22" spans="1:62" s="197" customFormat="1">
      <c r="Y22" s="300"/>
      <c r="Z22" s="300"/>
      <c r="AA22" s="300"/>
      <c r="AD22" s="232"/>
      <c r="AI22" s="232"/>
      <c r="AP22" s="232"/>
      <c r="BA22" s="197" t="s">
        <v>353</v>
      </c>
      <c r="BB22" s="233"/>
      <c r="BF22" s="234"/>
    </row>
    <row r="23" spans="1:62" s="197" customFormat="1">
      <c r="Y23" s="300"/>
      <c r="Z23" s="300"/>
      <c r="AA23" s="300"/>
      <c r="AD23" s="232"/>
      <c r="AI23" s="232"/>
      <c r="AP23" s="232"/>
      <c r="BB23" s="233"/>
      <c r="BF23" s="234"/>
    </row>
    <row r="24" spans="1:62" s="197" customFormat="1">
      <c r="Y24" s="300"/>
      <c r="Z24" s="300"/>
      <c r="AA24" s="300"/>
      <c r="AD24" s="232"/>
      <c r="AI24" s="232"/>
      <c r="AP24" s="232"/>
      <c r="BB24" s="233"/>
      <c r="BF24" s="234"/>
    </row>
    <row r="25" spans="1:62" s="197" customFormat="1">
      <c r="Y25" s="300"/>
      <c r="Z25" s="300"/>
      <c r="AA25" s="300"/>
      <c r="AD25" s="232"/>
      <c r="AI25" s="232"/>
      <c r="AP25" s="232"/>
      <c r="BB25" s="233"/>
      <c r="BF25" s="234"/>
    </row>
    <row r="26" spans="1:62">
      <c r="AD26" s="112"/>
      <c r="AI26" s="112"/>
      <c r="AP26" s="112"/>
      <c r="BB26" s="114"/>
      <c r="BF26" s="115"/>
    </row>
  </sheetData>
  <mergeCells count="35">
    <mergeCell ref="BE3:BJ3"/>
    <mergeCell ref="T4:T5"/>
    <mergeCell ref="W4:W5"/>
    <mergeCell ref="AA4:AA5"/>
    <mergeCell ref="AC3:AM4"/>
    <mergeCell ref="AQ4:AR4"/>
    <mergeCell ref="AS4:AT4"/>
    <mergeCell ref="AU4:AV4"/>
    <mergeCell ref="A1:N1"/>
    <mergeCell ref="O1:V1"/>
    <mergeCell ref="AB1:AG1"/>
    <mergeCell ref="AP1:AW1"/>
    <mergeCell ref="BC1:BH1"/>
    <mergeCell ref="A3:F4"/>
    <mergeCell ref="X4:Z4"/>
    <mergeCell ref="AY4:AZ4"/>
    <mergeCell ref="G4:J4"/>
    <mergeCell ref="K4:N4"/>
    <mergeCell ref="O4:O5"/>
    <mergeCell ref="P4:P5"/>
    <mergeCell ref="Q4:Q5"/>
    <mergeCell ref="R4:R5"/>
    <mergeCell ref="S4:S5"/>
    <mergeCell ref="G3:AA3"/>
    <mergeCell ref="AO3:BC3"/>
    <mergeCell ref="AI18:AJ18"/>
    <mergeCell ref="AK19:AM19"/>
    <mergeCell ref="J18:J19"/>
    <mergeCell ref="O18:P18"/>
    <mergeCell ref="S18:T18"/>
    <mergeCell ref="W18:X19"/>
    <mergeCell ref="Y18:Z25"/>
    <mergeCell ref="AA18:AA25"/>
    <mergeCell ref="AF18:AG18"/>
    <mergeCell ref="O20:Q20"/>
  </mergeCells>
  <pageMargins left="0.511811024" right="0.511811024" top="0.78740157499999996" bottom="0.78740157499999996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47"/>
  <sheetViews>
    <sheetView showGridLines="0" workbookViewId="0">
      <selection activeCell="A2" sqref="A2"/>
    </sheetView>
  </sheetViews>
  <sheetFormatPr defaultColWidth="14.42578125" defaultRowHeight="15" customHeight="1"/>
  <cols>
    <col min="1" max="5" width="8.7109375" customWidth="1"/>
    <col min="6" max="6" width="12.28515625" customWidth="1"/>
    <col min="7" max="7" width="10.85546875" customWidth="1"/>
    <col min="8" max="9" width="8.7109375" customWidth="1"/>
    <col min="10" max="10" width="16.85546875" customWidth="1"/>
    <col min="11" max="11" width="15.28515625" customWidth="1"/>
    <col min="12" max="12" width="10.85546875" customWidth="1"/>
    <col min="13" max="14" width="8.7109375" customWidth="1"/>
    <col min="15" max="15" width="17.42578125" customWidth="1"/>
    <col min="16" max="16" width="8.7109375" customWidth="1"/>
    <col min="17" max="17" width="6.7109375" customWidth="1"/>
    <col min="18" max="18" width="5.42578125" customWidth="1"/>
    <col min="19" max="20" width="9.7109375" customWidth="1"/>
    <col min="21" max="26" width="8.7109375" customWidth="1"/>
    <col min="27" max="27" width="12.85546875" customWidth="1"/>
    <col min="28" max="28" width="10.140625" customWidth="1"/>
    <col min="29" max="29" width="15.7109375" customWidth="1"/>
    <col min="30" max="30" width="18.5703125" customWidth="1"/>
    <col min="31" max="31" width="9.85546875" customWidth="1"/>
    <col min="32" max="40" width="8.7109375" customWidth="1"/>
    <col min="41" max="41" width="10" customWidth="1"/>
    <col min="42" max="42" width="17.5703125" customWidth="1"/>
    <col min="43" max="46" width="8.7109375" customWidth="1"/>
    <col min="47" max="47" width="18.42578125" customWidth="1"/>
    <col min="48" max="48" width="14.28515625" customWidth="1"/>
    <col min="49" max="50" width="8.7109375" customWidth="1"/>
    <col min="51" max="51" width="13.140625" customWidth="1"/>
    <col min="52" max="52" width="16.28515625" customWidth="1"/>
    <col min="53" max="53" width="15.5703125" customWidth="1"/>
  </cols>
  <sheetData>
    <row r="1" spans="1:53" ht="21" customHeight="1">
      <c r="A1" s="280" t="s">
        <v>354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89" t="s">
        <v>354</v>
      </c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89" t="s">
        <v>354</v>
      </c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</row>
    <row r="2" spans="1:53" s="197" customFormat="1" ht="28.5" customHeight="1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R2" s="199"/>
      <c r="AS2" s="199"/>
      <c r="AT2" s="199"/>
      <c r="AU2" s="199"/>
      <c r="AV2" s="199"/>
      <c r="AX2" s="199"/>
      <c r="AY2" s="199"/>
      <c r="AZ2" s="199"/>
      <c r="BA2" s="199"/>
    </row>
    <row r="3" spans="1:53" s="197" customFormat="1">
      <c r="A3" s="313" t="s">
        <v>355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5"/>
      <c r="P3" s="236"/>
      <c r="Q3" s="325" t="s">
        <v>356</v>
      </c>
      <c r="R3" s="314"/>
      <c r="S3" s="314"/>
      <c r="T3" s="314"/>
      <c r="U3" s="314"/>
      <c r="V3" s="314"/>
      <c r="W3" s="314"/>
      <c r="X3" s="314"/>
      <c r="Y3" s="314"/>
      <c r="Z3" s="314"/>
      <c r="AA3" s="314"/>
      <c r="AB3" s="314"/>
      <c r="AC3" s="314"/>
      <c r="AD3" s="314"/>
      <c r="AE3" s="314"/>
      <c r="AF3" s="314"/>
      <c r="AG3" s="314"/>
      <c r="AH3" s="314"/>
      <c r="AI3" s="314"/>
      <c r="AJ3" s="314"/>
      <c r="AK3" s="314"/>
      <c r="AL3" s="314"/>
      <c r="AM3" s="314"/>
      <c r="AN3" s="314"/>
      <c r="AO3" s="314"/>
      <c r="AP3" s="315"/>
      <c r="AQ3" s="236"/>
      <c r="AR3" s="313" t="s">
        <v>357</v>
      </c>
      <c r="AS3" s="314"/>
      <c r="AT3" s="314"/>
      <c r="AU3" s="314"/>
      <c r="AV3" s="315"/>
      <c r="AW3" s="236"/>
      <c r="AX3" s="313" t="s">
        <v>358</v>
      </c>
      <c r="AY3" s="314"/>
      <c r="AZ3" s="314"/>
      <c r="BA3" s="315"/>
    </row>
    <row r="4" spans="1:53" s="197" customFormat="1">
      <c r="A4" s="316" t="s">
        <v>151</v>
      </c>
      <c r="B4" s="316" t="s">
        <v>359</v>
      </c>
      <c r="C4" s="316" t="s">
        <v>360</v>
      </c>
      <c r="D4" s="316" t="s">
        <v>361</v>
      </c>
      <c r="E4" s="316" t="s">
        <v>362</v>
      </c>
      <c r="F4" s="313" t="s">
        <v>296</v>
      </c>
      <c r="G4" s="314"/>
      <c r="H4" s="314"/>
      <c r="I4" s="314"/>
      <c r="J4" s="315"/>
      <c r="K4" s="313" t="s">
        <v>290</v>
      </c>
      <c r="L4" s="314"/>
      <c r="M4" s="314"/>
      <c r="N4" s="314"/>
      <c r="O4" s="315"/>
      <c r="P4" s="236"/>
      <c r="Q4" s="325" t="s">
        <v>151</v>
      </c>
      <c r="R4" s="315"/>
      <c r="S4" s="323" t="s">
        <v>450</v>
      </c>
      <c r="T4" s="324"/>
      <c r="U4" s="313" t="s">
        <v>359</v>
      </c>
      <c r="V4" s="315"/>
      <c r="W4" s="313" t="s">
        <v>361</v>
      </c>
      <c r="X4" s="315"/>
      <c r="Y4" s="201" t="s">
        <v>363</v>
      </c>
      <c r="Z4" s="201" t="s">
        <v>364</v>
      </c>
      <c r="AA4" s="201" t="s">
        <v>365</v>
      </c>
      <c r="AB4" s="201" t="s">
        <v>366</v>
      </c>
      <c r="AC4" s="201" t="s">
        <v>367</v>
      </c>
      <c r="AD4" s="201" t="s">
        <v>368</v>
      </c>
      <c r="AE4" s="201" t="s">
        <v>369</v>
      </c>
      <c r="AF4" s="313" t="s">
        <v>370</v>
      </c>
      <c r="AG4" s="314"/>
      <c r="AH4" s="314"/>
      <c r="AI4" s="315"/>
      <c r="AJ4" s="313" t="s">
        <v>371</v>
      </c>
      <c r="AK4" s="315"/>
      <c r="AL4" s="201" t="s">
        <v>310</v>
      </c>
      <c r="AM4" s="201" t="s">
        <v>311</v>
      </c>
      <c r="AN4" s="313" t="s">
        <v>372</v>
      </c>
      <c r="AO4" s="315"/>
      <c r="AP4" s="201" t="s">
        <v>373</v>
      </c>
      <c r="AQ4" s="236"/>
      <c r="AR4" s="201" t="s">
        <v>374</v>
      </c>
      <c r="AS4" s="201" t="s">
        <v>310</v>
      </c>
      <c r="AT4" s="201" t="s">
        <v>375</v>
      </c>
      <c r="AU4" s="237" t="s">
        <v>376</v>
      </c>
      <c r="AV4" s="201" t="s">
        <v>377</v>
      </c>
      <c r="AW4" s="236"/>
      <c r="AX4" s="201" t="s">
        <v>310</v>
      </c>
      <c r="AY4" s="201" t="s">
        <v>378</v>
      </c>
      <c r="AZ4" s="201" t="s">
        <v>377</v>
      </c>
      <c r="BA4" s="238" t="s">
        <v>379</v>
      </c>
    </row>
    <row r="5" spans="1:53" s="197" customFormat="1">
      <c r="A5" s="317"/>
      <c r="B5" s="317"/>
      <c r="C5" s="317"/>
      <c r="D5" s="317"/>
      <c r="E5" s="317"/>
      <c r="F5" s="313" t="s">
        <v>371</v>
      </c>
      <c r="G5" s="315"/>
      <c r="H5" s="201" t="s">
        <v>310</v>
      </c>
      <c r="I5" s="201" t="s">
        <v>311</v>
      </c>
      <c r="J5" s="201" t="s">
        <v>380</v>
      </c>
      <c r="K5" s="313" t="s">
        <v>371</v>
      </c>
      <c r="L5" s="315"/>
      <c r="M5" s="201" t="s">
        <v>310</v>
      </c>
      <c r="N5" s="201" t="s">
        <v>311</v>
      </c>
      <c r="O5" s="201" t="s">
        <v>380</v>
      </c>
      <c r="P5" s="236"/>
      <c r="Q5" s="206" t="s">
        <v>185</v>
      </c>
      <c r="R5" s="206" t="s">
        <v>197</v>
      </c>
      <c r="S5" s="210" t="s">
        <v>381</v>
      </c>
      <c r="T5" s="210" t="s">
        <v>381</v>
      </c>
      <c r="U5" s="239">
        <f t="shared" ref="U5:V5" si="0">VLOOKUP(Q5,$A$6:$B$12,2,FALSE)</f>
        <v>289</v>
      </c>
      <c r="V5" s="239">
        <f t="shared" si="0"/>
        <v>137</v>
      </c>
      <c r="W5" s="239">
        <f t="shared" ref="W5:X5" si="1">VLOOKUP(Q5,$A$6:$D$12,4,FALSE)</f>
        <v>290</v>
      </c>
      <c r="X5" s="239">
        <f t="shared" si="1"/>
        <v>290</v>
      </c>
      <c r="Y5" s="239">
        <f>MIN(U5,X5)</f>
        <v>289</v>
      </c>
      <c r="Z5" s="218">
        <f>('Dimensionamento das Armaduras'!BI5/10/4)*(('Dimensionamento das Armaduras'!$F$6) *10/(2.55*1*1*(0.21/1.4)*(20)^(2/3)))</f>
        <v>30.854420194315516</v>
      </c>
      <c r="AA5" s="218">
        <f t="shared" ref="AA5:AA21" si="2">100*(PI()*(AL5/10/2)^2)/AM5</f>
        <v>2.5132741228718349</v>
      </c>
      <c r="AB5" s="218">
        <f>0.7*Z5*'Dimensionamento das Armaduras'!BF5/'Detalhamento das Armaduras'!AA5</f>
        <v>12.890412911669241</v>
      </c>
      <c r="AC5" s="210" t="str">
        <f>IF(AB5&gt;=MAXA(0.3*Z5,10*('Dimensionamento das Armaduras'!BG5/10),10),"SIM","NÃO")</f>
        <v>SIM</v>
      </c>
      <c r="AD5" s="218">
        <f>IF(AC5="NÃO",MAX(0.3*Z5,10*('Detalhamento das Armaduras'!BI5/10),10),AB5)</f>
        <v>12.890412911669241</v>
      </c>
      <c r="AE5" s="240">
        <f t="shared" ref="AE5:AE21" si="3">0.25*Y5+AD5</f>
        <v>85.140412911669245</v>
      </c>
      <c r="AF5" s="206" t="s">
        <v>153</v>
      </c>
      <c r="AG5" s="206" t="s">
        <v>154</v>
      </c>
      <c r="AH5" s="239">
        <f t="shared" ref="AH5:AI5" si="4">IF(AF5="Lx",U5,W5)</f>
        <v>289</v>
      </c>
      <c r="AI5" s="239">
        <f t="shared" si="4"/>
        <v>290</v>
      </c>
      <c r="AJ5" s="241" t="s">
        <v>382</v>
      </c>
      <c r="AK5" s="206">
        <f>ROUNDUP(IF(AH5&lt;AI5,((AH5/'Dimensionamento das Armaduras'!BJ5)+1),('Detalhamento das Armaduras'!AI5/'Dimensionamento das Armaduras'!BJ5)+1),0)</f>
        <v>16</v>
      </c>
      <c r="AL5" s="206">
        <f>'Dimensionamento das Armaduras'!BI5</f>
        <v>8</v>
      </c>
      <c r="AM5" s="206">
        <f>'Dimensionamento das Armaduras'!BJ5</f>
        <v>20</v>
      </c>
      <c r="AN5" s="206">
        <f>'Dimensionamento das Armaduras'!AY5-2*2</f>
        <v>6</v>
      </c>
      <c r="AO5" s="206">
        <f>'Dimensionamento das Armaduras'!AZ5-2*2</f>
        <v>6</v>
      </c>
      <c r="AP5" s="206">
        <f t="shared" ref="AP5:AP21" si="5">ROUNDUP(2*AE5+AN5+AO5,0)</f>
        <v>183</v>
      </c>
      <c r="AQ5" s="236"/>
      <c r="AR5" s="242" t="s">
        <v>383</v>
      </c>
      <c r="AS5" s="206">
        <f>H6</f>
        <v>6.3</v>
      </c>
      <c r="AT5" s="206">
        <f>G6</f>
        <v>16</v>
      </c>
      <c r="AU5" s="243">
        <f>J6/100</f>
        <v>2.99</v>
      </c>
      <c r="AV5" s="206">
        <f t="shared" ref="AV5:AV45" si="6">AT5*AU5</f>
        <v>47.84</v>
      </c>
      <c r="AW5" s="236"/>
      <c r="AX5" s="206">
        <v>6.3</v>
      </c>
      <c r="AY5" s="206">
        <v>0.245</v>
      </c>
      <c r="AZ5" s="206">
        <f t="shared" ref="AZ5:AZ6" si="7">SUMIF(AS:AS,AX5,AV:AV)</f>
        <v>1378.88</v>
      </c>
      <c r="BA5" s="244">
        <f t="shared" ref="BA5:BA6" si="8">(AY5*AZ5)*1.1</f>
        <v>371.60816000000005</v>
      </c>
    </row>
    <row r="6" spans="1:53" s="197" customFormat="1">
      <c r="A6" s="211" t="s">
        <v>185</v>
      </c>
      <c r="B6" s="239">
        <f>('Pré-dimensionamento de Lajes'!AM7)+100*(('Pré-dimensionamento de Lajes'!AN7)/2+('Pré-dimensionamento de Lajes'!AO7)/2)</f>
        <v>289</v>
      </c>
      <c r="C6" s="239">
        <f>'Pré-dimensionamento de Lajes'!AM7+100*('Pré-dimensionamento de Lajes'!AN7+'Pré-dimensionamento de Lajes'!AO7)</f>
        <v>303</v>
      </c>
      <c r="D6" s="239">
        <f>'Pré-dimensionamento de Lajes'!AS7+100*(('Pré-dimensionamento de Lajes'!AT7)/2+('Pré-dimensionamento de Lajes'!AU7)/2)</f>
        <v>290</v>
      </c>
      <c r="E6" s="245">
        <f>'Pré-dimensionamento de Lajes'!AS7+100*('Pré-dimensionamento de Lajes'!AT7+'Pré-dimensionamento de Lajes'!AU7)</f>
        <v>304</v>
      </c>
      <c r="F6" s="242" t="s">
        <v>383</v>
      </c>
      <c r="G6" s="246">
        <f>ROUNDUP(D6/'Dimensionamento das Armaduras'!AH6+1,0)</f>
        <v>16</v>
      </c>
      <c r="H6" s="210">
        <f>'Dimensionamento das Armaduras'!AG6</f>
        <v>6.3</v>
      </c>
      <c r="I6" s="210">
        <f>'Dimensionamento das Armaduras'!AH6</f>
        <v>20</v>
      </c>
      <c r="J6" s="247">
        <f t="shared" ref="J6:J17" si="9">C6-2*2</f>
        <v>299</v>
      </c>
      <c r="K6" s="241" t="s">
        <v>384</v>
      </c>
      <c r="L6" s="210">
        <f>ROUNDUP(B6/'Dimensionamento das Armaduras'!AM6+1,0)</f>
        <v>16</v>
      </c>
      <c r="M6" s="210">
        <f>'Dimensionamento das Armaduras'!AL6</f>
        <v>6.3</v>
      </c>
      <c r="N6" s="210">
        <f>'Dimensionamento das Armaduras'!AM6</f>
        <v>20</v>
      </c>
      <c r="O6" s="239">
        <f t="shared" ref="O6:O17" si="10">(E6-2*2)</f>
        <v>300</v>
      </c>
      <c r="Q6" s="206" t="s">
        <v>185</v>
      </c>
      <c r="R6" s="206" t="s">
        <v>201</v>
      </c>
      <c r="S6" s="210" t="s">
        <v>381</v>
      </c>
      <c r="T6" s="210" t="s">
        <v>381</v>
      </c>
      <c r="U6" s="239">
        <f t="shared" ref="U6:V6" si="11">VLOOKUP(Q6,$A$6:$B$12,2,FALSE)</f>
        <v>289</v>
      </c>
      <c r="V6" s="239">
        <f t="shared" si="11"/>
        <v>129</v>
      </c>
      <c r="W6" s="239">
        <f t="shared" ref="W6:X6" si="12">VLOOKUP(Q6,$A$6:$D$12,4,FALSE)</f>
        <v>290</v>
      </c>
      <c r="X6" s="239">
        <f t="shared" si="12"/>
        <v>239</v>
      </c>
      <c r="Y6" s="239">
        <f>MAX(U6,V6)</f>
        <v>289</v>
      </c>
      <c r="Z6" s="218">
        <f>('Dimensionamento das Armaduras'!BI6/10/4)*(('Dimensionamento das Armaduras'!$F$6) *10/(2.55*1*1*(0.21/1.4)*(20)^(2/3)))</f>
        <v>30.854420194315516</v>
      </c>
      <c r="AA6" s="218">
        <f t="shared" si="2"/>
        <v>2.5132741228718349</v>
      </c>
      <c r="AB6" s="218">
        <f>0.7*Z6*'Dimensionamento das Armaduras'!BF6/'Detalhamento das Armaduras'!AA6</f>
        <v>12.890412911669241</v>
      </c>
      <c r="AC6" s="210" t="str">
        <f>IF(AB6&gt;=MAXA(0.3*Z6,10*('Dimensionamento das Armaduras'!BG6/10),10),"SIM","NÃO")</f>
        <v>SIM</v>
      </c>
      <c r="AD6" s="218">
        <f>IF(AC6="NÃO",MAX(0.3*Z6,10*('Detalhamento das Armaduras'!BI6/10),10),AB6)</f>
        <v>12.890412911669241</v>
      </c>
      <c r="AE6" s="240">
        <f t="shared" si="3"/>
        <v>85.140412911669245</v>
      </c>
      <c r="AF6" s="206" t="s">
        <v>153</v>
      </c>
      <c r="AG6" s="206" t="s">
        <v>153</v>
      </c>
      <c r="AH6" s="239">
        <f t="shared" ref="AH6:AI6" si="13">IF(AF6="Lx",U6,W6)</f>
        <v>289</v>
      </c>
      <c r="AI6" s="239">
        <f t="shared" si="13"/>
        <v>129</v>
      </c>
      <c r="AJ6" s="241" t="s">
        <v>385</v>
      </c>
      <c r="AK6" s="206">
        <f>ROUNDUP(IF(AH6&lt;AI6,((AH6/'Dimensionamento das Armaduras'!BJ6)+1),('Detalhamento das Armaduras'!AI6/'Dimensionamento das Armaduras'!BJ6)+1),0)</f>
        <v>8</v>
      </c>
      <c r="AL6" s="206">
        <f>'Dimensionamento das Armaduras'!BI6</f>
        <v>8</v>
      </c>
      <c r="AM6" s="206">
        <f>'Dimensionamento das Armaduras'!BJ6</f>
        <v>20</v>
      </c>
      <c r="AN6" s="206">
        <f>'Dimensionamento das Armaduras'!AY6-2*2</f>
        <v>6</v>
      </c>
      <c r="AO6" s="206">
        <f>'Dimensionamento das Armaduras'!AZ6-2*2</f>
        <v>6</v>
      </c>
      <c r="AP6" s="206">
        <f t="shared" si="5"/>
        <v>183</v>
      </c>
      <c r="AR6" s="242" t="s">
        <v>384</v>
      </c>
      <c r="AS6" s="206">
        <f>M6</f>
        <v>6.3</v>
      </c>
      <c r="AT6" s="206">
        <f>L6</f>
        <v>16</v>
      </c>
      <c r="AU6" s="243">
        <f>O6/100</f>
        <v>3</v>
      </c>
      <c r="AV6" s="206">
        <f t="shared" si="6"/>
        <v>48</v>
      </c>
      <c r="AX6" s="239">
        <v>8</v>
      </c>
      <c r="AY6" s="206">
        <v>0.39500000000000002</v>
      </c>
      <c r="AZ6" s="206">
        <f t="shared" si="7"/>
        <v>441.67000000000007</v>
      </c>
      <c r="BA6" s="244">
        <f t="shared" si="8"/>
        <v>191.90561500000007</v>
      </c>
    </row>
    <row r="7" spans="1:53" s="197" customFormat="1">
      <c r="A7" s="211" t="s">
        <v>197</v>
      </c>
      <c r="B7" s="239">
        <f>('Pré-dimensionamento de Lajes'!AM8)+100*(('Pré-dimensionamento de Lajes'!AN8)/2+('Pré-dimensionamento de Lajes'!AO8)/2)</f>
        <v>137</v>
      </c>
      <c r="C7" s="239">
        <f>'Pré-dimensionamento de Lajes'!AM8+100*('Pré-dimensionamento de Lajes'!AN8+'Pré-dimensionamento de Lajes'!AO8)</f>
        <v>151</v>
      </c>
      <c r="D7" s="239">
        <f>'Pré-dimensionamento de Lajes'!AS8+100*(('Pré-dimensionamento de Lajes'!AT8)/2+('Pré-dimensionamento de Lajes'!AU8)/2)</f>
        <v>290</v>
      </c>
      <c r="E7" s="245">
        <f>'Pré-dimensionamento de Lajes'!AS8+100*('Pré-dimensionamento de Lajes'!AT8+'Pré-dimensionamento de Lajes'!AU8)</f>
        <v>304</v>
      </c>
      <c r="F7" s="242" t="s">
        <v>386</v>
      </c>
      <c r="G7" s="246">
        <f>ROUNDUP(D7/'Dimensionamento das Armaduras'!AH7+1,0)</f>
        <v>20</v>
      </c>
      <c r="H7" s="210">
        <f>'Dimensionamento das Armaduras'!AG7</f>
        <v>6.3</v>
      </c>
      <c r="I7" s="210">
        <f>'Dimensionamento das Armaduras'!AH7</f>
        <v>16</v>
      </c>
      <c r="J7" s="247">
        <f t="shared" si="9"/>
        <v>147</v>
      </c>
      <c r="K7" s="241" t="s">
        <v>387</v>
      </c>
      <c r="L7" s="210">
        <f>ROUNDUP(B7/'Dimensionamento das Armaduras'!AM7+1,0)</f>
        <v>8</v>
      </c>
      <c r="M7" s="210">
        <f>'Dimensionamento das Armaduras'!AL7</f>
        <v>6.3</v>
      </c>
      <c r="N7" s="210">
        <f>'Dimensionamento das Armaduras'!AM7</f>
        <v>20</v>
      </c>
      <c r="O7" s="239">
        <f t="shared" si="10"/>
        <v>300</v>
      </c>
      <c r="Q7" s="206" t="s">
        <v>197</v>
      </c>
      <c r="R7" s="206" t="s">
        <v>199</v>
      </c>
      <c r="S7" s="210" t="s">
        <v>381</v>
      </c>
      <c r="T7" s="210" t="s">
        <v>381</v>
      </c>
      <c r="U7" s="239">
        <f t="shared" ref="U7:V7" si="14">VLOOKUP(Q7,$A$6:$B$12,2,FALSE)</f>
        <v>137</v>
      </c>
      <c r="V7" s="239">
        <f t="shared" si="14"/>
        <v>259</v>
      </c>
      <c r="W7" s="239">
        <f t="shared" ref="W7:X7" si="15">VLOOKUP(Q7,$A$6:$D$12,4,FALSE)</f>
        <v>290</v>
      </c>
      <c r="X7" s="239">
        <f t="shared" si="15"/>
        <v>416</v>
      </c>
      <c r="Y7" s="239">
        <f>MIN(U7,X7)</f>
        <v>137</v>
      </c>
      <c r="Z7" s="218">
        <f>('Dimensionamento das Armaduras'!BI7/10/4)*(('Dimensionamento das Armaduras'!$F$6) *10/(2.55*1*1*(0.21/1.4)*(20)^(2/3)))</f>
        <v>30.854420194315516</v>
      </c>
      <c r="AA7" s="218">
        <f t="shared" si="2"/>
        <v>2.5132741228718349</v>
      </c>
      <c r="AB7" s="218">
        <f>0.7*Z7*'Dimensionamento das Armaduras'!BF7/'Detalhamento das Armaduras'!AA7</f>
        <v>16.867712064109956</v>
      </c>
      <c r="AC7" s="210" t="str">
        <f>IF(AB7&gt;=MAXA(0.3*Z7,10*('Dimensionamento das Armaduras'!BG7/10),10),"SIM","NÃO")</f>
        <v>SIM</v>
      </c>
      <c r="AD7" s="218">
        <f>IF(AC7="NÃO",MAX(0.3*Z7,10*('Detalhamento das Armaduras'!BE7/10),10),AB7)</f>
        <v>16.867712064109956</v>
      </c>
      <c r="AE7" s="240">
        <f t="shared" si="3"/>
        <v>51.117712064109952</v>
      </c>
      <c r="AF7" s="206" t="s">
        <v>153</v>
      </c>
      <c r="AG7" s="206" t="s">
        <v>154</v>
      </c>
      <c r="AH7" s="239">
        <f t="shared" ref="AH7:AI7" si="16">IF(AF7="Lx",U7,W7)</f>
        <v>137</v>
      </c>
      <c r="AI7" s="239">
        <f t="shared" si="16"/>
        <v>416</v>
      </c>
      <c r="AJ7" s="241" t="s">
        <v>388</v>
      </c>
      <c r="AK7" s="206">
        <f>ROUNDUP(IF(AH7&lt;AI7,((AH7/'Dimensionamento das Armaduras'!BJ7)+1),('Detalhamento das Armaduras'!AI7/'Dimensionamento das Armaduras'!BJ7)+1),0)</f>
        <v>8</v>
      </c>
      <c r="AL7" s="206">
        <f>'Dimensionamento das Armaduras'!BI7</f>
        <v>8</v>
      </c>
      <c r="AM7" s="206">
        <f>'Dimensionamento das Armaduras'!BJ7</f>
        <v>20</v>
      </c>
      <c r="AN7" s="206">
        <f>'Dimensionamento das Armaduras'!AY7-2*2</f>
        <v>6</v>
      </c>
      <c r="AO7" s="206">
        <f>'Dimensionamento das Armaduras'!AZ7-2*2</f>
        <v>6</v>
      </c>
      <c r="AP7" s="206">
        <f t="shared" si="5"/>
        <v>115</v>
      </c>
      <c r="AR7" s="242" t="s">
        <v>386</v>
      </c>
      <c r="AS7" s="206">
        <f>H7</f>
        <v>6.3</v>
      </c>
      <c r="AT7" s="206">
        <f>G7</f>
        <v>20</v>
      </c>
      <c r="AU7" s="243">
        <f>J7/100</f>
        <v>1.47</v>
      </c>
      <c r="AV7" s="206">
        <f t="shared" si="6"/>
        <v>29.4</v>
      </c>
      <c r="AY7" s="197" t="s">
        <v>389</v>
      </c>
    </row>
    <row r="8" spans="1:53" s="197" customFormat="1">
      <c r="A8" s="211" t="s">
        <v>199</v>
      </c>
      <c r="B8" s="239">
        <f>('Pré-dimensionamento de Lajes'!AM9)+100*(('Pré-dimensionamento de Lajes'!AN9)/2+('Pré-dimensionamento de Lajes'!AO9)/2)</f>
        <v>259</v>
      </c>
      <c r="C8" s="239">
        <f>'Pré-dimensionamento de Lajes'!AM9+100*('Pré-dimensionamento de Lajes'!AN9+'Pré-dimensionamento de Lajes'!AO9)</f>
        <v>273</v>
      </c>
      <c r="D8" s="239">
        <f>'Pré-dimensionamento de Lajes'!AS9+100*(('Pré-dimensionamento de Lajes'!AT9)/2+('Pré-dimensionamento de Lajes'!AU9)/2)</f>
        <v>416</v>
      </c>
      <c r="E8" s="245">
        <f>'Pré-dimensionamento de Lajes'!AS9+100*('Pré-dimensionamento de Lajes'!AT9+'Pré-dimensionamento de Lajes'!AU9)</f>
        <v>430</v>
      </c>
      <c r="F8" s="242" t="s">
        <v>390</v>
      </c>
      <c r="G8" s="246">
        <f>ROUNDUP(D8/'Dimensionamento das Armaduras'!AH8+1,0)</f>
        <v>27</v>
      </c>
      <c r="H8" s="210">
        <f>'Dimensionamento das Armaduras'!AG8</f>
        <v>6.3</v>
      </c>
      <c r="I8" s="210">
        <f>'Dimensionamento das Armaduras'!AH8</f>
        <v>16</v>
      </c>
      <c r="J8" s="247">
        <f t="shared" si="9"/>
        <v>269</v>
      </c>
      <c r="K8" s="241" t="s">
        <v>391</v>
      </c>
      <c r="L8" s="210">
        <f>ROUNDUP(B8/'Dimensionamento das Armaduras'!AM8+1,0)</f>
        <v>14</v>
      </c>
      <c r="M8" s="210">
        <f>'Dimensionamento das Armaduras'!AL8</f>
        <v>6.3</v>
      </c>
      <c r="N8" s="210">
        <f>'Dimensionamento das Armaduras'!AM8</f>
        <v>20</v>
      </c>
      <c r="O8" s="239">
        <f t="shared" si="10"/>
        <v>426</v>
      </c>
      <c r="Q8" s="206" t="s">
        <v>197</v>
      </c>
      <c r="R8" s="206" t="s">
        <v>184</v>
      </c>
      <c r="S8" s="210" t="s">
        <v>381</v>
      </c>
      <c r="T8" s="210" t="s">
        <v>381</v>
      </c>
      <c r="U8" s="239">
        <f t="shared" ref="U8:V8" si="17">VLOOKUP(Q8,$A$6:$B$12,2,FALSE)</f>
        <v>137</v>
      </c>
      <c r="V8" s="239">
        <f t="shared" si="17"/>
        <v>137</v>
      </c>
      <c r="W8" s="239">
        <f t="shared" ref="W8:X8" si="18">VLOOKUP(Q8,$A$6:$D$12,4,FALSE)</f>
        <v>290</v>
      </c>
      <c r="X8" s="239">
        <f t="shared" si="18"/>
        <v>622</v>
      </c>
      <c r="Y8" s="239">
        <f>MAX(U8,V8)</f>
        <v>137</v>
      </c>
      <c r="Z8" s="218">
        <f>('Dimensionamento das Armaduras'!BI8/10/4)*(('Dimensionamento das Armaduras'!$F$6) *10/(2.55*1*1*(0.21/1.4)*(20)^(2/3)))</f>
        <v>30.854420194315516</v>
      </c>
      <c r="AA8" s="218">
        <f t="shared" si="2"/>
        <v>2.5132741228718349</v>
      </c>
      <c r="AB8" s="218">
        <f>0.7*Z8*'Dimensionamento das Armaduras'!BF8/'Detalhamento das Armaduras'!AA8</f>
        <v>12.890412911669241</v>
      </c>
      <c r="AC8" s="210" t="str">
        <f>IF(AB8&gt;=MAXA(0.3*Z8,10*('Dimensionamento das Armaduras'!BG8/10),10),"SIM","NÃO")</f>
        <v>SIM</v>
      </c>
      <c r="AD8" s="218">
        <f>IF(AC8="NÃO",MAX(0.3*Z8,10*('Detalhamento das Armaduras'!BI8/10),10),AB8)</f>
        <v>12.890412911669241</v>
      </c>
      <c r="AE8" s="240">
        <f t="shared" si="3"/>
        <v>47.140412911669245</v>
      </c>
      <c r="AF8" s="206" t="s">
        <v>153</v>
      </c>
      <c r="AG8" s="206" t="s">
        <v>153</v>
      </c>
      <c r="AH8" s="239">
        <f t="shared" ref="AH8:AI8" si="19">IF(AF8="Lx",U8,W8)</f>
        <v>137</v>
      </c>
      <c r="AI8" s="239">
        <f t="shared" si="19"/>
        <v>137</v>
      </c>
      <c r="AJ8" s="241" t="s">
        <v>392</v>
      </c>
      <c r="AK8" s="206">
        <f>ROUNDUP(IF(AH8&lt;AI8,((AH8/'Dimensionamento das Armaduras'!BJ8)+1),('Detalhamento das Armaduras'!AI8/'Dimensionamento das Armaduras'!BJ8)+1),0)</f>
        <v>8</v>
      </c>
      <c r="AL8" s="206">
        <f>'Dimensionamento das Armaduras'!BI8</f>
        <v>8</v>
      </c>
      <c r="AM8" s="206">
        <f>'Dimensionamento das Armaduras'!BJ8</f>
        <v>20</v>
      </c>
      <c r="AN8" s="206">
        <f>'Dimensionamento das Armaduras'!AY8-2*2</f>
        <v>6</v>
      </c>
      <c r="AO8" s="206">
        <f>'Dimensionamento das Armaduras'!AZ8-2*2</f>
        <v>6</v>
      </c>
      <c r="AP8" s="206">
        <f t="shared" si="5"/>
        <v>107</v>
      </c>
      <c r="AR8" s="242" t="s">
        <v>387</v>
      </c>
      <c r="AS8" s="206">
        <f>M7</f>
        <v>6.3</v>
      </c>
      <c r="AT8" s="206">
        <f>L7</f>
        <v>8</v>
      </c>
      <c r="AU8" s="243">
        <f>O7/100</f>
        <v>3</v>
      </c>
      <c r="AV8" s="206">
        <f t="shared" si="6"/>
        <v>24</v>
      </c>
    </row>
    <row r="9" spans="1:53" s="197" customFormat="1">
      <c r="A9" s="211" t="s">
        <v>200</v>
      </c>
      <c r="B9" s="239">
        <f>('Pré-dimensionamento de Lajes'!AM10)+100*(('Pré-dimensionamento de Lajes'!AN10)/2+('Pré-dimensionamento de Lajes'!AO10)/2)</f>
        <v>160</v>
      </c>
      <c r="C9" s="239">
        <f>'Pré-dimensionamento de Lajes'!AM10+100*('Pré-dimensionamento de Lajes'!AN10+'Pré-dimensionamento de Lajes'!AO10)</f>
        <v>174</v>
      </c>
      <c r="D9" s="239">
        <f>'Pré-dimensionamento de Lajes'!AS10+100*(('Pré-dimensionamento de Lajes'!AT10)/2+('Pré-dimensionamento de Lajes'!AU10)/2)</f>
        <v>416</v>
      </c>
      <c r="E9" s="245">
        <f>'Pré-dimensionamento de Lajes'!AS10+100*('Pré-dimensionamento de Lajes'!AT10+'Pré-dimensionamento de Lajes'!AU10)</f>
        <v>430</v>
      </c>
      <c r="F9" s="242" t="s">
        <v>393</v>
      </c>
      <c r="G9" s="246">
        <f>ROUNDUP(D9/'Dimensionamento das Armaduras'!AH9+1,0)</f>
        <v>27</v>
      </c>
      <c r="H9" s="210">
        <f>'Dimensionamento das Armaduras'!AG9</f>
        <v>6.3</v>
      </c>
      <c r="I9" s="210">
        <f>'Dimensionamento das Armaduras'!AH9</f>
        <v>16</v>
      </c>
      <c r="J9" s="247">
        <f t="shared" si="9"/>
        <v>170</v>
      </c>
      <c r="K9" s="241" t="s">
        <v>394</v>
      </c>
      <c r="L9" s="210">
        <f>ROUNDUP(B9/'Dimensionamento das Armaduras'!AM9+1,0)</f>
        <v>9</v>
      </c>
      <c r="M9" s="210">
        <f>'Dimensionamento das Armaduras'!AL9</f>
        <v>6.3</v>
      </c>
      <c r="N9" s="210">
        <f>'Dimensionamento das Armaduras'!AM9</f>
        <v>20</v>
      </c>
      <c r="O9" s="239">
        <f t="shared" si="10"/>
        <v>426</v>
      </c>
      <c r="Q9" s="206" t="s">
        <v>199</v>
      </c>
      <c r="R9" s="206" t="s">
        <v>200</v>
      </c>
      <c r="S9" s="210" t="s">
        <v>381</v>
      </c>
      <c r="T9" s="210" t="s">
        <v>381</v>
      </c>
      <c r="U9" s="239">
        <f t="shared" ref="U9:V9" si="20">VLOOKUP(Q9,$A$6:$B$12,2,FALSE)</f>
        <v>259</v>
      </c>
      <c r="V9" s="239">
        <f t="shared" si="20"/>
        <v>160</v>
      </c>
      <c r="W9" s="239">
        <f t="shared" ref="W9:X9" si="21">VLOOKUP(Q9,$A$6:$D$12,4,FALSE)</f>
        <v>416</v>
      </c>
      <c r="X9" s="239">
        <f t="shared" si="21"/>
        <v>416</v>
      </c>
      <c r="Y9" s="239">
        <f>MAX(W9,X9)</f>
        <v>416</v>
      </c>
      <c r="Z9" s="218">
        <f>('Dimensionamento das Armaduras'!BI9/10/4)*(('Dimensionamento das Armaduras'!$F$6) *10/(2.55*1*1*(0.21/1.4)*(20)^(2/3)))</f>
        <v>30.854420194315516</v>
      </c>
      <c r="AA9" s="218">
        <f t="shared" si="2"/>
        <v>2.5132741228718349</v>
      </c>
      <c r="AB9" s="218">
        <f>0.7*Z9*'Dimensionamento das Armaduras'!BF9/'Detalhamento das Armaduras'!AA9</f>
        <v>12.890412911669241</v>
      </c>
      <c r="AC9" s="210" t="str">
        <f>IF(AB9&gt;=MAXA(0.3*Z9,10*('Dimensionamento das Armaduras'!BG9/10),10),"SIM","NÃO")</f>
        <v>SIM</v>
      </c>
      <c r="AD9" s="218">
        <f>IF(AC9="NÃO",MAX(0.3*Z9,10*('Detalhamento das Armaduras'!BI9/10),10),AB9)</f>
        <v>12.890412911669241</v>
      </c>
      <c r="AE9" s="240">
        <f t="shared" si="3"/>
        <v>116.89041291166924</v>
      </c>
      <c r="AF9" s="206" t="s">
        <v>154</v>
      </c>
      <c r="AG9" s="206" t="s">
        <v>154</v>
      </c>
      <c r="AH9" s="239">
        <f t="shared" ref="AH9:AI9" si="22">IF(AF9="Lx",U9,W9)</f>
        <v>416</v>
      </c>
      <c r="AI9" s="239">
        <f t="shared" si="22"/>
        <v>416</v>
      </c>
      <c r="AJ9" s="241" t="s">
        <v>395</v>
      </c>
      <c r="AK9" s="206">
        <f>ROUNDUP(IF(AH9&lt;AI9,((AH9/'Dimensionamento das Armaduras'!BJ9)+1),('Detalhamento das Armaduras'!AI9/'Dimensionamento das Armaduras'!BJ9)+1),0)</f>
        <v>22</v>
      </c>
      <c r="AL9" s="206">
        <f>'Dimensionamento das Armaduras'!BI9</f>
        <v>8</v>
      </c>
      <c r="AM9" s="206">
        <f>'Dimensionamento das Armaduras'!BJ9</f>
        <v>20</v>
      </c>
      <c r="AN9" s="206">
        <f>'Dimensionamento das Armaduras'!AY9-2*2</f>
        <v>6</v>
      </c>
      <c r="AO9" s="206">
        <f>'Dimensionamento das Armaduras'!AZ9-2*2</f>
        <v>6</v>
      </c>
      <c r="AP9" s="206">
        <f t="shared" si="5"/>
        <v>246</v>
      </c>
      <c r="AR9" s="242" t="s">
        <v>390</v>
      </c>
      <c r="AS9" s="206">
        <f>H8</f>
        <v>6.3</v>
      </c>
      <c r="AT9" s="206">
        <f>G8</f>
        <v>27</v>
      </c>
      <c r="AU9" s="243">
        <f>J8/100</f>
        <v>2.69</v>
      </c>
      <c r="AV9" s="206">
        <f t="shared" si="6"/>
        <v>72.63</v>
      </c>
      <c r="AZ9" s="322" t="s">
        <v>396</v>
      </c>
      <c r="BA9" s="259"/>
    </row>
    <row r="10" spans="1:53" s="197" customFormat="1">
      <c r="A10" s="211" t="s">
        <v>201</v>
      </c>
      <c r="B10" s="239">
        <f>('Pré-dimensionamento de Lajes'!AM11)+100*(('Pré-dimensionamento de Lajes'!AN11)/2+('Pré-dimensionamento de Lajes'!AO11)/2)</f>
        <v>129</v>
      </c>
      <c r="C10" s="239">
        <f>'Pré-dimensionamento de Lajes'!AM11+100*('Pré-dimensionamento de Lajes'!AN11+'Pré-dimensionamento de Lajes'!AO11)</f>
        <v>143</v>
      </c>
      <c r="D10" s="239">
        <f>'Pré-dimensionamento de Lajes'!AS11+100*(('Pré-dimensionamento de Lajes'!AT11)/2+('Pré-dimensionamento de Lajes'!AU11)/2)</f>
        <v>239</v>
      </c>
      <c r="E10" s="245">
        <f>'Pré-dimensionamento de Lajes'!AS11+100*('Pré-dimensionamento de Lajes'!AT11+'Pré-dimensionamento de Lajes'!AU11)</f>
        <v>253</v>
      </c>
      <c r="F10" s="242" t="s">
        <v>397</v>
      </c>
      <c r="G10" s="246">
        <f>ROUNDUP(D10/'Dimensionamento das Armaduras'!AH10+1,0)</f>
        <v>16</v>
      </c>
      <c r="H10" s="210">
        <f>'Dimensionamento das Armaduras'!AG10</f>
        <v>6.3</v>
      </c>
      <c r="I10" s="210">
        <f>'Dimensionamento das Armaduras'!AH10</f>
        <v>16</v>
      </c>
      <c r="J10" s="247">
        <f t="shared" si="9"/>
        <v>139</v>
      </c>
      <c r="K10" s="241" t="s">
        <v>398</v>
      </c>
      <c r="L10" s="210">
        <f>ROUNDUP(B10/'Dimensionamento das Armaduras'!AM10+1,0)</f>
        <v>8</v>
      </c>
      <c r="M10" s="210">
        <f>'Dimensionamento das Armaduras'!AL10</f>
        <v>6.3</v>
      </c>
      <c r="N10" s="210">
        <f>'Dimensionamento das Armaduras'!AM10</f>
        <v>20</v>
      </c>
      <c r="O10" s="239">
        <f t="shared" si="10"/>
        <v>249</v>
      </c>
      <c r="Q10" s="206" t="s">
        <v>200</v>
      </c>
      <c r="R10" s="206" t="s">
        <v>184</v>
      </c>
      <c r="S10" s="210" t="s">
        <v>381</v>
      </c>
      <c r="T10" s="210" t="s">
        <v>381</v>
      </c>
      <c r="U10" s="239">
        <f t="shared" ref="U10:V10" si="23">VLOOKUP(Q10,$A$6:$B$12,2,FALSE)</f>
        <v>160</v>
      </c>
      <c r="V10" s="239">
        <f t="shared" si="23"/>
        <v>137</v>
      </c>
      <c r="W10" s="239">
        <f t="shared" ref="W10:X10" si="24">VLOOKUP(Q10,$A$6:$D$12,4,FALSE)</f>
        <v>416</v>
      </c>
      <c r="X10" s="239">
        <f t="shared" si="24"/>
        <v>622</v>
      </c>
      <c r="Y10" s="239">
        <f>MAX(U10,V10)</f>
        <v>160</v>
      </c>
      <c r="Z10" s="218">
        <f>('Dimensionamento das Armaduras'!BI10/10/4)*(('Dimensionamento das Armaduras'!$F$6) *10/(2.55*1*1*(0.21/1.4)*(20)^(2/3)))</f>
        <v>30.854420194315516</v>
      </c>
      <c r="AA10" s="218">
        <f t="shared" si="2"/>
        <v>2.5132741228718349</v>
      </c>
      <c r="AB10" s="218">
        <f>0.7*Z10*'Dimensionamento das Armaduras'!BF10/'Detalhamento das Armaduras'!AA10</f>
        <v>12.890412911669241</v>
      </c>
      <c r="AC10" s="210" t="str">
        <f>IF(AB10&gt;=MAXA(0.3*Z10,10*('Dimensionamento das Armaduras'!BG10/10),10),"SIM","NÃO")</f>
        <v>SIM</v>
      </c>
      <c r="AD10" s="218">
        <f>IF(AC10="NÃO",MAX(0.3*Z10,10*('Detalhamento das Armaduras'!BI10/10),10),AB10)</f>
        <v>12.890412911669241</v>
      </c>
      <c r="AE10" s="240">
        <f t="shared" si="3"/>
        <v>52.890412911669245</v>
      </c>
      <c r="AF10" s="206" t="s">
        <v>153</v>
      </c>
      <c r="AG10" s="206" t="s">
        <v>153</v>
      </c>
      <c r="AH10" s="239">
        <f t="shared" ref="AH10:AI10" si="25">IF(AF10="Lx",U10,W10)</f>
        <v>160</v>
      </c>
      <c r="AI10" s="239">
        <f t="shared" si="25"/>
        <v>137</v>
      </c>
      <c r="AJ10" s="241" t="s">
        <v>399</v>
      </c>
      <c r="AK10" s="206">
        <f>ROUNDUP(IF(AH10&lt;AI10,((AH10/'Dimensionamento das Armaduras'!BJ10)+1),('Detalhamento das Armaduras'!AI10/'Dimensionamento das Armaduras'!BJ10)+1),0)</f>
        <v>8</v>
      </c>
      <c r="AL10" s="206">
        <f>'Dimensionamento das Armaduras'!BI10</f>
        <v>8</v>
      </c>
      <c r="AM10" s="206">
        <f>'Dimensionamento das Armaduras'!BJ10</f>
        <v>20</v>
      </c>
      <c r="AN10" s="206">
        <f>'Dimensionamento das Armaduras'!AY10-2*2</f>
        <v>6</v>
      </c>
      <c r="AO10" s="206">
        <f>'Dimensionamento das Armaduras'!AZ10-2*2</f>
        <v>6</v>
      </c>
      <c r="AP10" s="206">
        <f t="shared" si="5"/>
        <v>118</v>
      </c>
      <c r="AR10" s="242" t="s">
        <v>391</v>
      </c>
      <c r="AS10" s="206">
        <f>M8</f>
        <v>6.3</v>
      </c>
      <c r="AT10" s="206">
        <f>L8</f>
        <v>14</v>
      </c>
      <c r="AU10" s="243">
        <f>O8/100</f>
        <v>4.26</v>
      </c>
      <c r="AV10" s="206">
        <f t="shared" si="6"/>
        <v>59.64</v>
      </c>
      <c r="AZ10" s="259"/>
      <c r="BA10" s="259"/>
    </row>
    <row r="11" spans="1:53" s="197" customFormat="1">
      <c r="A11" s="211" t="s">
        <v>184</v>
      </c>
      <c r="B11" s="239">
        <f>('Pré-dimensionamento de Lajes'!AM12)+100*(('Pré-dimensionamento de Lajes'!AN12)/2+('Pré-dimensionamento de Lajes'!AO12)/2)</f>
        <v>137</v>
      </c>
      <c r="C11" s="239">
        <f>'Pré-dimensionamento de Lajes'!AM12+100*('Pré-dimensionamento de Lajes'!AN12+'Pré-dimensionamento de Lajes'!AO12)</f>
        <v>151</v>
      </c>
      <c r="D11" s="239">
        <f>'Pré-dimensionamento de Lajes'!AS12+100*(('Pré-dimensionamento de Lajes'!AT12)/2+('Pré-dimensionamento de Lajes'!AU12)/2)</f>
        <v>622</v>
      </c>
      <c r="E11" s="245">
        <f>'Pré-dimensionamento de Lajes'!AS12+100*('Pré-dimensionamento de Lajes'!AT12+'Pré-dimensionamento de Lajes'!AU12)</f>
        <v>636</v>
      </c>
      <c r="F11" s="242" t="s">
        <v>400</v>
      </c>
      <c r="G11" s="246">
        <f>ROUNDUP(D11/'Dimensionamento das Armaduras'!AH11+1,0)</f>
        <v>40</v>
      </c>
      <c r="H11" s="210">
        <f>'Dimensionamento das Armaduras'!AG11</f>
        <v>6.3</v>
      </c>
      <c r="I11" s="210">
        <f>'Dimensionamento das Armaduras'!AH11</f>
        <v>16</v>
      </c>
      <c r="J11" s="247">
        <f t="shared" si="9"/>
        <v>147</v>
      </c>
      <c r="K11" s="241" t="s">
        <v>401</v>
      </c>
      <c r="L11" s="210">
        <f>ROUNDUP(B11/'Dimensionamento das Armaduras'!AM11+1,0)</f>
        <v>8</v>
      </c>
      <c r="M11" s="210">
        <f>'Dimensionamento das Armaduras'!AL11</f>
        <v>6.3</v>
      </c>
      <c r="N11" s="210">
        <f>'Dimensionamento das Armaduras'!AM11</f>
        <v>20</v>
      </c>
      <c r="O11" s="239">
        <f t="shared" si="10"/>
        <v>632</v>
      </c>
      <c r="Q11" s="206" t="s">
        <v>200</v>
      </c>
      <c r="R11" s="206" t="str">
        <f>A13</f>
        <v>L8</v>
      </c>
      <c r="S11" s="210" t="s">
        <v>381</v>
      </c>
      <c r="T11" s="210" t="s">
        <v>381</v>
      </c>
      <c r="U11" s="239">
        <f t="shared" ref="U11:U14" si="26">VLOOKUP(Q11,$A$6:$B$12,2,FALSE)</f>
        <v>160</v>
      </c>
      <c r="V11" s="239">
        <f t="shared" ref="V11:V14" si="27">VLOOKUP(R11,$A$6:$B$17,2,FALSE)</f>
        <v>291</v>
      </c>
      <c r="W11" s="239">
        <f t="shared" ref="W11:X11" si="28">VLOOKUP(Q11,$A$6:$D$17,4,FALSE)</f>
        <v>416</v>
      </c>
      <c r="X11" s="239">
        <f t="shared" si="28"/>
        <v>416</v>
      </c>
      <c r="Y11" s="239">
        <f t="shared" ref="Y11:Y21" si="29">MIN(V11,W11)</f>
        <v>291</v>
      </c>
      <c r="Z11" s="218">
        <f>('Dimensionamento das Armaduras'!BI11/10/4)*(('Dimensionamento das Armaduras'!$F$6) *10/(2.55*1*1*(0.21/1.4)*(20)^(2/3)))</f>
        <v>30.854420194315516</v>
      </c>
      <c r="AA11" s="218">
        <f t="shared" si="2"/>
        <v>2.5132741228718349</v>
      </c>
      <c r="AB11" s="218">
        <f>0.7*Z11*'Dimensionamento das Armaduras'!BF11/'Detalhamento das Armaduras'!AA11</f>
        <v>12.890412911669241</v>
      </c>
      <c r="AC11" s="210" t="str">
        <f>IF(AB11&gt;=MAXA(0.3*Z11,10*('Dimensionamento das Armaduras'!BG11/10),10),"SIM","NÃO")</f>
        <v>SIM</v>
      </c>
      <c r="AD11" s="218">
        <f>IF(AC11="NÃO",MAX(0.3*Z11,10*('Detalhamento das Armaduras'!BI11/10),10),AB11)</f>
        <v>12.890412911669241</v>
      </c>
      <c r="AE11" s="240">
        <f t="shared" si="3"/>
        <v>85.640412911669245</v>
      </c>
      <c r="AF11" s="206" t="s">
        <v>154</v>
      </c>
      <c r="AG11" s="206" t="s">
        <v>153</v>
      </c>
      <c r="AH11" s="239">
        <f t="shared" ref="AH11:AI11" si="30">IF(AF11="Lx",U11,W11)</f>
        <v>416</v>
      </c>
      <c r="AI11" s="239">
        <f t="shared" si="30"/>
        <v>291</v>
      </c>
      <c r="AJ11" s="241" t="s">
        <v>402</v>
      </c>
      <c r="AK11" s="206">
        <f>ROUNDUP(IF(AH11&lt;AI11,((AH11/'Dimensionamento das Armaduras'!BJ11)+1),('Detalhamento das Armaduras'!AI11/'Dimensionamento das Armaduras'!BJ11)+1),0)</f>
        <v>16</v>
      </c>
      <c r="AL11" s="206">
        <f>'Dimensionamento das Armaduras'!BI11</f>
        <v>8</v>
      </c>
      <c r="AM11" s="206">
        <f>'Dimensionamento das Armaduras'!BJ11</f>
        <v>20</v>
      </c>
      <c r="AN11" s="206">
        <f>'Dimensionamento das Armaduras'!AY11-2*2</f>
        <v>6</v>
      </c>
      <c r="AO11" s="206">
        <f>'Dimensionamento das Armaduras'!AZ11-2*2</f>
        <v>6</v>
      </c>
      <c r="AP11" s="206">
        <f t="shared" si="5"/>
        <v>184</v>
      </c>
      <c r="AR11" s="242" t="s">
        <v>393</v>
      </c>
      <c r="AS11" s="206">
        <f>H9</f>
        <v>6.3</v>
      </c>
      <c r="AT11" s="206">
        <f>G9</f>
        <v>27</v>
      </c>
      <c r="AU11" s="243">
        <f>J9/100</f>
        <v>1.7</v>
      </c>
      <c r="AV11" s="206">
        <f t="shared" si="6"/>
        <v>45.9</v>
      </c>
      <c r="AZ11" s="259"/>
      <c r="BA11" s="259"/>
    </row>
    <row r="12" spans="1:53">
      <c r="A12" s="111" t="s">
        <v>202</v>
      </c>
      <c r="B12" s="117">
        <f>('Pré-dimensionamento de Lajes'!AM13)+100*(('Pré-dimensionamento de Lajes'!AN13)/2+('Pré-dimensionamento de Lajes'!AO13)/2)</f>
        <v>289</v>
      </c>
      <c r="C12" s="117">
        <f>'Pré-dimensionamento de Lajes'!AM13+100*('Pré-dimensionamento de Lajes'!AN13+'Pré-dimensionamento de Lajes'!AO13)</f>
        <v>303</v>
      </c>
      <c r="D12" s="117">
        <f>'Pré-dimensionamento de Lajes'!AS13+100*(('Pré-dimensionamento de Lajes'!AT13)/2+('Pré-dimensionamento de Lajes'!AU13)/2)</f>
        <v>487</v>
      </c>
      <c r="E12" s="120">
        <f>'Pré-dimensionamento de Lajes'!AS13+100*('Pré-dimensionamento de Lajes'!AT13+'Pré-dimensionamento de Lajes'!AU13)</f>
        <v>501</v>
      </c>
      <c r="F12" s="18" t="s">
        <v>403</v>
      </c>
      <c r="G12" s="121">
        <f>ROUNDUP(D12/'Dimensionamento das Armaduras'!AH12+1,0)</f>
        <v>26</v>
      </c>
      <c r="H12" s="7">
        <f>'Dimensionamento das Armaduras'!AG12</f>
        <v>6.3</v>
      </c>
      <c r="I12" s="7">
        <f>'Dimensionamento das Armaduras'!AH12</f>
        <v>20</v>
      </c>
      <c r="J12" s="76">
        <f t="shared" si="9"/>
        <v>299</v>
      </c>
      <c r="K12" s="122" t="s">
        <v>404</v>
      </c>
      <c r="L12" s="7">
        <f>ROUNDUP(B12/'Dimensionamento das Armaduras'!AM12+1,0)</f>
        <v>16</v>
      </c>
      <c r="M12" s="7">
        <f>'Dimensionamento das Armaduras'!AL12</f>
        <v>6.3</v>
      </c>
      <c r="N12" s="7">
        <f>'Dimensionamento das Armaduras'!AM12</f>
        <v>20</v>
      </c>
      <c r="O12" s="117">
        <f t="shared" si="10"/>
        <v>497</v>
      </c>
      <c r="Q12" s="25" t="s">
        <v>201</v>
      </c>
      <c r="R12" s="25" t="s">
        <v>184</v>
      </c>
      <c r="S12" s="7" t="s">
        <v>381</v>
      </c>
      <c r="T12" s="7" t="s">
        <v>381</v>
      </c>
      <c r="U12" s="117">
        <f t="shared" si="26"/>
        <v>129</v>
      </c>
      <c r="V12" s="117">
        <f t="shared" si="27"/>
        <v>137</v>
      </c>
      <c r="W12" s="117">
        <f t="shared" ref="W12:X12" si="31">VLOOKUP(Q12,$A$6:$D$17,4,FALSE)</f>
        <v>239</v>
      </c>
      <c r="X12" s="117">
        <f t="shared" si="31"/>
        <v>622</v>
      </c>
      <c r="Y12" s="117">
        <f t="shared" si="29"/>
        <v>137</v>
      </c>
      <c r="Z12" s="9">
        <f>('Dimensionamento das Armaduras'!BI12/10/4)*(('Dimensionamento das Armaduras'!$F$6) *10/(2.55*1*1*(0.21/1.4)*(20)^(2/3)))</f>
        <v>30.854420194315516</v>
      </c>
      <c r="AA12" s="9">
        <f t="shared" si="2"/>
        <v>2.5132741228718349</v>
      </c>
      <c r="AB12" s="9">
        <f>0.7*Z12*'Dimensionamento das Armaduras'!BF12/'Detalhamento das Armaduras'!AA12</f>
        <v>12.890412911669241</v>
      </c>
      <c r="AC12" s="7" t="str">
        <f>IF(AB12&gt;=MAXA(0.3*Z12,10*('Dimensionamento das Armaduras'!BG12/10),10),"SIM","NÃO")</f>
        <v>SIM</v>
      </c>
      <c r="AD12" s="9">
        <f>IF(AC12="NÃO",MAX(0.3*Z12,10*('Detalhamento das Armaduras'!BI12/10),10),AB12)</f>
        <v>12.890412911669241</v>
      </c>
      <c r="AE12" s="118">
        <f t="shared" si="3"/>
        <v>47.140412911669245</v>
      </c>
      <c r="AF12" s="16" t="s">
        <v>154</v>
      </c>
      <c r="AG12" s="16" t="s">
        <v>153</v>
      </c>
      <c r="AH12" s="117">
        <f t="shared" ref="AH12:AI12" si="32">IF(AF12="Lx",U12,W12)</f>
        <v>239</v>
      </c>
      <c r="AI12" s="117">
        <f t="shared" si="32"/>
        <v>137</v>
      </c>
      <c r="AJ12" s="119" t="s">
        <v>405</v>
      </c>
      <c r="AK12" s="16">
        <f>ROUNDUP(IF(AH12&lt;AI12,((AH12/'Dimensionamento das Armaduras'!BJ12)+1),('Detalhamento das Armaduras'!AI12/'Dimensionamento das Armaduras'!BJ12)+1),0)</f>
        <v>8</v>
      </c>
      <c r="AL12" s="16">
        <f>'Dimensionamento das Armaduras'!BI12</f>
        <v>8</v>
      </c>
      <c r="AM12" s="16">
        <f>'Dimensionamento das Armaduras'!BJ12</f>
        <v>20</v>
      </c>
      <c r="AN12" s="16">
        <f>'Dimensionamento das Armaduras'!AY12-2*2</f>
        <v>6</v>
      </c>
      <c r="AO12" s="16">
        <f>'Dimensionamento das Armaduras'!AZ12-2*2</f>
        <v>6</v>
      </c>
      <c r="AP12" s="16">
        <f t="shared" si="5"/>
        <v>107</v>
      </c>
      <c r="AR12" s="18" t="s">
        <v>394</v>
      </c>
      <c r="AS12" s="16">
        <f>M9</f>
        <v>6.3</v>
      </c>
      <c r="AT12" s="16">
        <f>L9</f>
        <v>9</v>
      </c>
      <c r="AU12" s="97">
        <f>O9/100</f>
        <v>4.26</v>
      </c>
      <c r="AV12" s="16">
        <f t="shared" si="6"/>
        <v>38.339999999999996</v>
      </c>
      <c r="AZ12" s="259"/>
      <c r="BA12" s="259"/>
    </row>
    <row r="13" spans="1:53">
      <c r="A13" s="111" t="s">
        <v>203</v>
      </c>
      <c r="B13" s="117">
        <f>('Pré-dimensionamento de Lajes'!AM14)+100*(('Pré-dimensionamento de Lajes'!AN14)/2+('Pré-dimensionamento de Lajes'!AO14)/2)</f>
        <v>291</v>
      </c>
      <c r="C13" s="117">
        <f>'Pré-dimensionamento de Lajes'!AM14+100*('Pré-dimensionamento de Lajes'!AN14+'Pré-dimensionamento de Lajes'!AO14)</f>
        <v>305</v>
      </c>
      <c r="D13" s="117">
        <f>'Pré-dimensionamento de Lajes'!AS14+100*(('Pré-dimensionamento de Lajes'!AT14)/2+('Pré-dimensionamento de Lajes'!AU14)/2)</f>
        <v>416</v>
      </c>
      <c r="E13" s="120">
        <f>'Pré-dimensionamento de Lajes'!AS14+100*('Pré-dimensionamento de Lajes'!AT14+'Pré-dimensionamento de Lajes'!AU14)</f>
        <v>430</v>
      </c>
      <c r="F13" s="26" t="s">
        <v>406</v>
      </c>
      <c r="G13" s="121">
        <f>ROUNDUP(D13/'Dimensionamento das Armaduras'!AH13+1,0)</f>
        <v>22</v>
      </c>
      <c r="H13" s="7">
        <f>'Dimensionamento das Armaduras'!AG13</f>
        <v>6.3</v>
      </c>
      <c r="I13" s="7">
        <f>'Dimensionamento das Armaduras'!AH13</f>
        <v>20</v>
      </c>
      <c r="J13" s="76">
        <f t="shared" si="9"/>
        <v>301</v>
      </c>
      <c r="K13" s="119" t="s">
        <v>407</v>
      </c>
      <c r="L13" s="7">
        <f>ROUNDUP(B13/'Dimensionamento das Armaduras'!AM13+1,0)</f>
        <v>16</v>
      </c>
      <c r="M13" s="7">
        <f>'Dimensionamento das Armaduras'!AL13</f>
        <v>6.3</v>
      </c>
      <c r="N13" s="7">
        <f>'Dimensionamento das Armaduras'!AM13</f>
        <v>20</v>
      </c>
      <c r="O13" s="117">
        <f t="shared" si="10"/>
        <v>426</v>
      </c>
      <c r="Q13" s="25" t="s">
        <v>201</v>
      </c>
      <c r="R13" s="25" t="s">
        <v>202</v>
      </c>
      <c r="S13" s="7" t="s">
        <v>381</v>
      </c>
      <c r="T13" s="7" t="s">
        <v>381</v>
      </c>
      <c r="U13" s="117">
        <f t="shared" si="26"/>
        <v>129</v>
      </c>
      <c r="V13" s="117">
        <f t="shared" si="27"/>
        <v>289</v>
      </c>
      <c r="W13" s="117">
        <f t="shared" ref="W13:X13" si="33">VLOOKUP(Q13,$A$6:$D$17,4,FALSE)</f>
        <v>239</v>
      </c>
      <c r="X13" s="117">
        <f t="shared" si="33"/>
        <v>487</v>
      </c>
      <c r="Y13" s="117">
        <f t="shared" si="29"/>
        <v>239</v>
      </c>
      <c r="Z13" s="9">
        <f>('Dimensionamento das Armaduras'!BI13/10/4)*(('Dimensionamento das Armaduras'!$F$6) *10/(2.55*1*1*(0.21/1.4)*(20)^(2/3)))</f>
        <v>30.854420194315516</v>
      </c>
      <c r="AA13" s="9">
        <f t="shared" si="2"/>
        <v>2.5132741228718349</v>
      </c>
      <c r="AB13" s="9">
        <f>0.7*Z13*'Dimensionamento das Armaduras'!BF13/'Detalhamento das Armaduras'!AA13</f>
        <v>17.821049085869685</v>
      </c>
      <c r="AC13" s="7" t="str">
        <f>IF(AB13&gt;=MAXA(0.3*Z13,10*('Dimensionamento das Armaduras'!BG13/10),10),"SIM","NÃO")</f>
        <v>SIM</v>
      </c>
      <c r="AD13" s="9">
        <f>IF(AC13="NÃO",MAX(0.3*Z13,10*('Detalhamento das Armaduras'!BI13/10),10),AB13)</f>
        <v>17.821049085869685</v>
      </c>
      <c r="AE13" s="118">
        <f t="shared" si="3"/>
        <v>77.571049085869689</v>
      </c>
      <c r="AF13" s="16" t="s">
        <v>154</v>
      </c>
      <c r="AG13" s="16" t="s">
        <v>153</v>
      </c>
      <c r="AH13" s="117">
        <f t="shared" ref="AH13:AI13" si="34">IF(AF13="Lx",U13,W13)</f>
        <v>239</v>
      </c>
      <c r="AI13" s="117">
        <f t="shared" si="34"/>
        <v>289</v>
      </c>
      <c r="AJ13" s="119" t="s">
        <v>408</v>
      </c>
      <c r="AK13" s="16">
        <f>ROUNDUP(IF(AH13&lt;AI13,((AH13/'Dimensionamento das Armaduras'!BJ13)+1),('Detalhamento das Armaduras'!AI13/'Dimensionamento das Armaduras'!BJ13)+1),0)</f>
        <v>13</v>
      </c>
      <c r="AL13" s="16">
        <f>'Dimensionamento das Armaduras'!BI13</f>
        <v>8</v>
      </c>
      <c r="AM13" s="16">
        <f>'Dimensionamento das Armaduras'!BJ13</f>
        <v>20</v>
      </c>
      <c r="AN13" s="16">
        <f>'Dimensionamento das Armaduras'!AY13-2*2</f>
        <v>6</v>
      </c>
      <c r="AO13" s="16">
        <f>'Dimensionamento das Armaduras'!AZ13-2*2</f>
        <v>6</v>
      </c>
      <c r="AP13" s="16">
        <f t="shared" si="5"/>
        <v>168</v>
      </c>
      <c r="AR13" s="18" t="s">
        <v>397</v>
      </c>
      <c r="AS13" s="16">
        <f>H10</f>
        <v>6.3</v>
      </c>
      <c r="AT13" s="16">
        <f>G10</f>
        <v>16</v>
      </c>
      <c r="AU13" s="97">
        <f>J10/100</f>
        <v>1.39</v>
      </c>
      <c r="AV13" s="16">
        <f t="shared" si="6"/>
        <v>22.24</v>
      </c>
      <c r="AZ13" s="259"/>
      <c r="BA13" s="259"/>
    </row>
    <row r="14" spans="1:53">
      <c r="A14" s="111" t="s">
        <v>204</v>
      </c>
      <c r="B14" s="117">
        <f>('Pré-dimensionamento de Lajes'!AM15)+100*(('Pré-dimensionamento de Lajes'!AN15)/2+('Pré-dimensionamento de Lajes'!AO15)/2)</f>
        <v>203</v>
      </c>
      <c r="C14" s="117">
        <f>'Pré-dimensionamento de Lajes'!AM15+100*('Pré-dimensionamento de Lajes'!AN15+'Pré-dimensionamento de Lajes'!AO15)</f>
        <v>217</v>
      </c>
      <c r="D14" s="117">
        <f>'Pré-dimensionamento de Lajes'!AS15+100*(('Pré-dimensionamento de Lajes'!AT15)/2+('Pré-dimensionamento de Lajes'!AU15)/2)</f>
        <v>321</v>
      </c>
      <c r="E14" s="120">
        <f>'Pré-dimensionamento de Lajes'!AS15+100*('Pré-dimensionamento de Lajes'!AT15+'Pré-dimensionamento de Lajes'!AU15)</f>
        <v>335</v>
      </c>
      <c r="F14" s="26" t="s">
        <v>409</v>
      </c>
      <c r="G14" s="121">
        <f>ROUNDUP(D14/'Dimensionamento das Armaduras'!AH14+1,0)</f>
        <v>18</v>
      </c>
      <c r="H14" s="7">
        <f>'Dimensionamento das Armaduras'!AG14</f>
        <v>6.3</v>
      </c>
      <c r="I14" s="7">
        <f>'Dimensionamento das Armaduras'!AH14</f>
        <v>20</v>
      </c>
      <c r="J14" s="76">
        <f t="shared" si="9"/>
        <v>213</v>
      </c>
      <c r="K14" s="119" t="s">
        <v>410</v>
      </c>
      <c r="L14" s="7">
        <f>ROUNDUP(B14/'Dimensionamento das Armaduras'!AM14+1,0)</f>
        <v>12</v>
      </c>
      <c r="M14" s="7">
        <f>'Dimensionamento das Armaduras'!AL14</f>
        <v>6.3</v>
      </c>
      <c r="N14" s="7">
        <f>'Dimensionamento das Armaduras'!AM14</f>
        <v>20</v>
      </c>
      <c r="O14" s="117">
        <f t="shared" si="10"/>
        <v>331</v>
      </c>
      <c r="Q14" s="25" t="s">
        <v>184</v>
      </c>
      <c r="R14" s="25" t="s">
        <v>202</v>
      </c>
      <c r="S14" s="7" t="s">
        <v>381</v>
      </c>
      <c r="T14" s="7" t="s">
        <v>381</v>
      </c>
      <c r="U14" s="117">
        <f t="shared" si="26"/>
        <v>137</v>
      </c>
      <c r="V14" s="117">
        <f t="shared" si="27"/>
        <v>289</v>
      </c>
      <c r="W14" s="117">
        <f t="shared" ref="W14:X14" si="35">VLOOKUP(Q14,$A$6:$D$17,4,FALSE)</f>
        <v>622</v>
      </c>
      <c r="X14" s="117">
        <f t="shared" si="35"/>
        <v>487</v>
      </c>
      <c r="Y14" s="117">
        <f t="shared" si="29"/>
        <v>289</v>
      </c>
      <c r="Z14" s="9">
        <f>('Dimensionamento das Armaduras'!BI14/10/4)*(('Dimensionamento das Armaduras'!$F$6) *10/(2.55*1*1*(0.21/1.4)*(20)^(2/3)))</f>
        <v>30.854420194315516</v>
      </c>
      <c r="AA14" s="9">
        <f t="shared" si="2"/>
        <v>2.5132741228718349</v>
      </c>
      <c r="AB14" s="9">
        <f>0.7*Z14*'Dimensionamento das Armaduras'!BF14/'Detalhamento das Armaduras'!AA14</f>
        <v>12.890412911669241</v>
      </c>
      <c r="AC14" s="7" t="str">
        <f>IF(AB14&gt;=MAXA(0.3*Z14,10*('Dimensionamento das Armaduras'!BG14/10),10),"SIM","NÃO")</f>
        <v>SIM</v>
      </c>
      <c r="AD14" s="9">
        <f>IF(AC14="NÃO",MAX(0.3*Z14,10*('Detalhamento das Armaduras'!BI14/10),10),AB14)</f>
        <v>12.890412911669241</v>
      </c>
      <c r="AE14" s="118">
        <f t="shared" si="3"/>
        <v>85.140412911669245</v>
      </c>
      <c r="AF14" s="16" t="s">
        <v>154</v>
      </c>
      <c r="AG14" s="16" t="s">
        <v>153</v>
      </c>
      <c r="AH14" s="117">
        <f t="shared" ref="AH14:AI14" si="36">IF(AF14="Lx",U14,W14)</f>
        <v>622</v>
      </c>
      <c r="AI14" s="117">
        <f t="shared" si="36"/>
        <v>289</v>
      </c>
      <c r="AJ14" s="119" t="s">
        <v>411</v>
      </c>
      <c r="AK14" s="16">
        <f>ROUNDUP(IF(AH14&lt;AI14,((AH14/'Dimensionamento das Armaduras'!BJ14)+1),('Detalhamento das Armaduras'!AI14/'Dimensionamento das Armaduras'!BJ14)+1),0)</f>
        <v>16</v>
      </c>
      <c r="AL14" s="16">
        <f>'Dimensionamento das Armaduras'!BI14</f>
        <v>8</v>
      </c>
      <c r="AM14" s="16">
        <f>'Dimensionamento das Armaduras'!BJ14</f>
        <v>20</v>
      </c>
      <c r="AN14" s="16">
        <f>'Dimensionamento das Armaduras'!AY14-2*2</f>
        <v>6</v>
      </c>
      <c r="AO14" s="16">
        <f>'Dimensionamento das Armaduras'!AZ14-2*2</f>
        <v>6</v>
      </c>
      <c r="AP14" s="16">
        <f t="shared" si="5"/>
        <v>183</v>
      </c>
      <c r="AR14" s="18" t="s">
        <v>398</v>
      </c>
      <c r="AS14" s="16">
        <f>M10</f>
        <v>6.3</v>
      </c>
      <c r="AT14" s="16">
        <f>L10</f>
        <v>8</v>
      </c>
      <c r="AU14" s="97">
        <f>O10/100</f>
        <v>2.4900000000000002</v>
      </c>
      <c r="AV14" s="16">
        <f t="shared" si="6"/>
        <v>19.920000000000002</v>
      </c>
    </row>
    <row r="15" spans="1:53">
      <c r="A15" s="111" t="s">
        <v>196</v>
      </c>
      <c r="B15" s="117">
        <f>('Pré-dimensionamento de Lajes'!AM16)+100*(('Pré-dimensionamento de Lajes'!AN16)/2+('Pré-dimensionamento de Lajes'!AO16)/2)</f>
        <v>426</v>
      </c>
      <c r="C15" s="117">
        <f>'Pré-dimensionamento de Lajes'!AM16+100*('Pré-dimensionamento de Lajes'!AN16+'Pré-dimensionamento de Lajes'!AO16)</f>
        <v>440</v>
      </c>
      <c r="D15" s="117">
        <f>'Pré-dimensionamento de Lajes'!AS16+100*(('Pré-dimensionamento de Lajes'!AT16)/2+('Pré-dimensionamento de Lajes'!AU16)/2)</f>
        <v>578</v>
      </c>
      <c r="E15" s="120">
        <f>'Pré-dimensionamento de Lajes'!AS16+100*('Pré-dimensionamento de Lajes'!AT16+'Pré-dimensionamento de Lajes'!AU16)</f>
        <v>592</v>
      </c>
      <c r="F15" s="26" t="s">
        <v>412</v>
      </c>
      <c r="G15" s="121">
        <f>ROUNDUP(D15/'Dimensionamento das Armaduras'!AH15+1,0)</f>
        <v>30</v>
      </c>
      <c r="H15" s="7">
        <f>'Dimensionamento das Armaduras'!AG15</f>
        <v>6.3</v>
      </c>
      <c r="I15" s="7">
        <f>'Dimensionamento das Armaduras'!AH15</f>
        <v>20</v>
      </c>
      <c r="J15" s="76">
        <f t="shared" si="9"/>
        <v>436</v>
      </c>
      <c r="K15" s="119" t="s">
        <v>413</v>
      </c>
      <c r="L15" s="7">
        <f>ROUNDUP(B15/'Dimensionamento das Armaduras'!AM15+1,0)</f>
        <v>23</v>
      </c>
      <c r="M15" s="7">
        <f>'Dimensionamento das Armaduras'!AL15</f>
        <v>6.3</v>
      </c>
      <c r="N15" s="7">
        <f>'Dimensionamento das Armaduras'!AM15</f>
        <v>20</v>
      </c>
      <c r="O15" s="117">
        <f t="shared" si="10"/>
        <v>588</v>
      </c>
      <c r="Q15" s="25" t="s">
        <v>184</v>
      </c>
      <c r="R15" s="25" t="s">
        <v>203</v>
      </c>
      <c r="S15" s="7" t="s">
        <v>381</v>
      </c>
      <c r="T15" s="7" t="s">
        <v>381</v>
      </c>
      <c r="U15" s="117">
        <f t="shared" ref="U15:V15" si="37">VLOOKUP(Q15,$A$6:$B$17,2,FALSE)</f>
        <v>137</v>
      </c>
      <c r="V15" s="117">
        <f t="shared" si="37"/>
        <v>291</v>
      </c>
      <c r="W15" s="117">
        <f t="shared" ref="W15:X15" si="38">VLOOKUP(Q15,$A$6:$D$17,4,FALSE)</f>
        <v>622</v>
      </c>
      <c r="X15" s="117">
        <f t="shared" si="38"/>
        <v>416</v>
      </c>
      <c r="Y15" s="117">
        <f t="shared" si="29"/>
        <v>291</v>
      </c>
      <c r="Z15" s="9">
        <f>('Dimensionamento das Armaduras'!BI15/10/4)*(('Dimensionamento das Armaduras'!$F$6) *10/(2.55*1*1*(0.21/1.4)*(20)^(2/3)))</f>
        <v>30.854420194315516</v>
      </c>
      <c r="AA15" s="9">
        <f t="shared" si="2"/>
        <v>2.5132741228718349</v>
      </c>
      <c r="AB15" s="9">
        <f>0.7*Z15*'Dimensionamento das Armaduras'!BF15/'Detalhamento das Armaduras'!AA15</f>
        <v>12.890412911669241</v>
      </c>
      <c r="AC15" s="7" t="str">
        <f>IF(AB15&gt;=MAXA(0.3*Z15,10*('Dimensionamento das Armaduras'!BG15/10),10),"SIM","NÃO")</f>
        <v>SIM</v>
      </c>
      <c r="AD15" s="9">
        <f>IF(AC15="NÃO",MAX(0.3*Z15,10*('Detalhamento das Armaduras'!BI15/10),10),AB15)</f>
        <v>12.890412911669241</v>
      </c>
      <c r="AE15" s="118">
        <f t="shared" si="3"/>
        <v>85.640412911669245</v>
      </c>
      <c r="AF15" s="16" t="s">
        <v>154</v>
      </c>
      <c r="AG15" s="16" t="s">
        <v>153</v>
      </c>
      <c r="AH15" s="117">
        <f t="shared" ref="AH15:AI15" si="39">IF(AF15="Lx",U15,W15)</f>
        <v>622</v>
      </c>
      <c r="AI15" s="117">
        <f t="shared" si="39"/>
        <v>291</v>
      </c>
      <c r="AJ15" s="119" t="s">
        <v>414</v>
      </c>
      <c r="AK15" s="16">
        <f>ROUNDUP(IF(AH15&lt;AI15,((AH15/'Dimensionamento das Armaduras'!BJ15)+1),('Detalhamento das Armaduras'!AI15/'Dimensionamento das Armaduras'!BJ15)+1),0)</f>
        <v>16</v>
      </c>
      <c r="AL15" s="16">
        <f>'Dimensionamento das Armaduras'!BI15</f>
        <v>8</v>
      </c>
      <c r="AM15" s="16">
        <f>'Dimensionamento das Armaduras'!BJ15</f>
        <v>20</v>
      </c>
      <c r="AN15" s="16">
        <f>'Dimensionamento das Armaduras'!AY15-2*2</f>
        <v>6</v>
      </c>
      <c r="AO15" s="16">
        <f>'Dimensionamento das Armaduras'!AZ15-2*2</f>
        <v>6</v>
      </c>
      <c r="AP15" s="16">
        <f t="shared" si="5"/>
        <v>184</v>
      </c>
      <c r="AR15" s="18" t="s">
        <v>400</v>
      </c>
      <c r="AS15" s="16">
        <f>H11</f>
        <v>6.3</v>
      </c>
      <c r="AT15" s="16">
        <f>G11</f>
        <v>40</v>
      </c>
      <c r="AU15" s="97">
        <f>J11/100</f>
        <v>1.47</v>
      </c>
      <c r="AV15" s="16">
        <f t="shared" si="6"/>
        <v>58.8</v>
      </c>
    </row>
    <row r="16" spans="1:53">
      <c r="A16" s="111" t="s">
        <v>205</v>
      </c>
      <c r="B16" s="117">
        <f>('Pré-dimensionamento de Lajes'!AM17)+100*(('Pré-dimensionamento de Lajes'!AN17)/2+('Pré-dimensionamento de Lajes'!AO17)/2)</f>
        <v>131</v>
      </c>
      <c r="C16" s="117">
        <f>'Pré-dimensionamento de Lajes'!AM17+100*('Pré-dimensionamento de Lajes'!AN17+'Pré-dimensionamento de Lajes'!AO17)</f>
        <v>145</v>
      </c>
      <c r="D16" s="117">
        <f>'Pré-dimensionamento de Lajes'!AS17+100*(('Pré-dimensionamento de Lajes'!AT17)/2+('Pré-dimensionamento de Lajes'!AU17)/2)</f>
        <v>416</v>
      </c>
      <c r="E16" s="120">
        <f>'Pré-dimensionamento de Lajes'!AS17+100*('Pré-dimensionamento de Lajes'!AT17+'Pré-dimensionamento de Lajes'!AU17)</f>
        <v>430</v>
      </c>
      <c r="F16" s="26" t="s">
        <v>415</v>
      </c>
      <c r="G16" s="121">
        <f>ROUNDUP(D16/'Dimensionamento das Armaduras'!AH16+1,0)</f>
        <v>22</v>
      </c>
      <c r="H16" s="7">
        <f>'Dimensionamento das Armaduras'!AG16</f>
        <v>6.3</v>
      </c>
      <c r="I16" s="7">
        <f>'Dimensionamento das Armaduras'!AH16</f>
        <v>20</v>
      </c>
      <c r="J16" s="76">
        <f t="shared" si="9"/>
        <v>141</v>
      </c>
      <c r="K16" s="119" t="s">
        <v>416</v>
      </c>
      <c r="L16" s="7">
        <f>ROUNDUP(B16/'Dimensionamento das Armaduras'!AM16+1,0)</f>
        <v>8</v>
      </c>
      <c r="M16" s="7">
        <f>'Dimensionamento das Armaduras'!AL16</f>
        <v>6.3</v>
      </c>
      <c r="N16" s="7">
        <f>'Dimensionamento das Armaduras'!AM16</f>
        <v>20</v>
      </c>
      <c r="O16" s="117">
        <f t="shared" si="10"/>
        <v>426</v>
      </c>
      <c r="Q16" s="25" t="s">
        <v>184</v>
      </c>
      <c r="R16" s="25" t="s">
        <v>204</v>
      </c>
      <c r="S16" s="7" t="s">
        <v>381</v>
      </c>
      <c r="T16" s="7" t="s">
        <v>381</v>
      </c>
      <c r="U16" s="117">
        <f t="shared" ref="U16:V16" si="40">VLOOKUP(Q16,$A$6:$B$17,2,FALSE)</f>
        <v>137</v>
      </c>
      <c r="V16" s="117">
        <f t="shared" si="40"/>
        <v>203</v>
      </c>
      <c r="W16" s="117">
        <f t="shared" ref="W16:X16" si="41">VLOOKUP(Q16,$A$6:$D$17,4,FALSE)</f>
        <v>622</v>
      </c>
      <c r="X16" s="117">
        <f t="shared" si="41"/>
        <v>321</v>
      </c>
      <c r="Y16" s="117">
        <f t="shared" si="29"/>
        <v>203</v>
      </c>
      <c r="Z16" s="9">
        <f>('Dimensionamento das Armaduras'!BI16/10/4)*(('Dimensionamento das Armaduras'!$F$6) *10/(2.55*1*1*(0.21/1.4)*(20)^(2/3)))</f>
        <v>30.854420194315516</v>
      </c>
      <c r="AA16" s="9">
        <f t="shared" si="2"/>
        <v>2.5132741228718349</v>
      </c>
      <c r="AB16" s="9">
        <f>0.7*Z16*'Dimensionamento das Armaduras'!BF16/'Detalhamento das Armaduras'!AA16</f>
        <v>12.890412911669241</v>
      </c>
      <c r="AC16" s="7" t="str">
        <f>IF(AB16&gt;=MAXA(0.3*Z16,10*('Dimensionamento das Armaduras'!BG16/10),10),"SIM","NÃO")</f>
        <v>SIM</v>
      </c>
      <c r="AD16" s="9">
        <f>IF(AC16="NÃO",MAX(0.3*Z16,10*('Detalhamento das Armaduras'!BI16/10),10),AB16)</f>
        <v>12.890412911669241</v>
      </c>
      <c r="AE16" s="118">
        <f t="shared" si="3"/>
        <v>63.640412911669245</v>
      </c>
      <c r="AF16" s="16" t="s">
        <v>154</v>
      </c>
      <c r="AG16" s="16" t="s">
        <v>153</v>
      </c>
      <c r="AH16" s="117">
        <f t="shared" ref="AH16:AI16" si="42">IF(AF16="Lx",U16,W16)</f>
        <v>622</v>
      </c>
      <c r="AI16" s="117">
        <f t="shared" si="42"/>
        <v>203</v>
      </c>
      <c r="AJ16" s="119" t="s">
        <v>417</v>
      </c>
      <c r="AK16" s="16">
        <f>ROUNDUP(IF(AH16&lt;AI16,((AH16/'Dimensionamento das Armaduras'!BJ16)+1),('Detalhamento das Armaduras'!AI16/'Dimensionamento das Armaduras'!BJ16)+1),0)</f>
        <v>12</v>
      </c>
      <c r="AL16" s="16">
        <f>'Dimensionamento das Armaduras'!BI16</f>
        <v>8</v>
      </c>
      <c r="AM16" s="16">
        <f>'Dimensionamento das Armaduras'!BJ16</f>
        <v>20</v>
      </c>
      <c r="AN16" s="16">
        <f>'Dimensionamento das Armaduras'!AY16-2*2</f>
        <v>6</v>
      </c>
      <c r="AO16" s="16">
        <f>'Dimensionamento das Armaduras'!AZ16-2*2</f>
        <v>6</v>
      </c>
      <c r="AP16" s="16">
        <f t="shared" si="5"/>
        <v>140</v>
      </c>
      <c r="AR16" s="18" t="s">
        <v>401</v>
      </c>
      <c r="AS16" s="16">
        <f>M11</f>
        <v>6.3</v>
      </c>
      <c r="AT16" s="16">
        <f>L11</f>
        <v>8</v>
      </c>
      <c r="AU16" s="97">
        <f>O11/100</f>
        <v>6.32</v>
      </c>
      <c r="AV16" s="16">
        <f t="shared" si="6"/>
        <v>50.56</v>
      </c>
    </row>
    <row r="17" spans="1:48">
      <c r="A17" s="111" t="s">
        <v>206</v>
      </c>
      <c r="B17" s="117">
        <f>('Pré-dimensionamento de Lajes'!AM18)+100*(('Pré-dimensionamento de Lajes'!AN18)/2+('Pré-dimensionamento de Lajes'!AO18)/2)</f>
        <v>352</v>
      </c>
      <c r="C17" s="117">
        <f>'Pré-dimensionamento de Lajes'!AM18+100*('Pré-dimensionamento de Lajes'!AN18+'Pré-dimensionamento de Lajes'!AO18)</f>
        <v>366</v>
      </c>
      <c r="D17" s="117">
        <f>'Pré-dimensionamento de Lajes'!AS18+100*(('Pré-dimensionamento de Lajes'!AT18)/2+('Pré-dimensionamento de Lajes'!AU18)/2)</f>
        <v>417</v>
      </c>
      <c r="E17" s="120">
        <f>'Pré-dimensionamento de Lajes'!AS18+100*('Pré-dimensionamento de Lajes'!AT18+'Pré-dimensionamento de Lajes'!AU18)</f>
        <v>431</v>
      </c>
      <c r="F17" s="26" t="s">
        <v>418</v>
      </c>
      <c r="G17" s="121">
        <f>ROUNDUP(D17/'Dimensionamento das Armaduras'!AH17+1,0)</f>
        <v>22</v>
      </c>
      <c r="H17" s="7">
        <f>'Dimensionamento das Armaduras'!AG17</f>
        <v>6.3</v>
      </c>
      <c r="I17" s="7">
        <f>'Dimensionamento das Armaduras'!AH17</f>
        <v>20</v>
      </c>
      <c r="J17" s="76">
        <f t="shared" si="9"/>
        <v>362</v>
      </c>
      <c r="K17" s="119" t="s">
        <v>419</v>
      </c>
      <c r="L17" s="7">
        <f>ROUNDUP(B17/'Dimensionamento das Armaduras'!AM17+1,0)</f>
        <v>19</v>
      </c>
      <c r="M17" s="7">
        <f>'Dimensionamento das Armaduras'!AL17</f>
        <v>6.3</v>
      </c>
      <c r="N17" s="7">
        <f>'Dimensionamento das Armaduras'!AM17</f>
        <v>20</v>
      </c>
      <c r="O17" s="117">
        <f t="shared" si="10"/>
        <v>427</v>
      </c>
      <c r="Q17" s="25" t="s">
        <v>184</v>
      </c>
      <c r="R17" s="25" t="s">
        <v>196</v>
      </c>
      <c r="S17" s="7" t="s">
        <v>381</v>
      </c>
      <c r="T17" s="10" t="s">
        <v>420</v>
      </c>
      <c r="U17" s="117">
        <f t="shared" ref="U17:V17" si="43">VLOOKUP(Q17,$A$6:$B$17,2,FALSE)</f>
        <v>137</v>
      </c>
      <c r="V17" s="117">
        <f t="shared" si="43"/>
        <v>426</v>
      </c>
      <c r="W17" s="117">
        <f t="shared" ref="W17:X17" si="44">VLOOKUP(Q17,$A$6:$D$17,4,FALSE)</f>
        <v>622</v>
      </c>
      <c r="X17" s="117">
        <f t="shared" si="44"/>
        <v>578</v>
      </c>
      <c r="Y17" s="117">
        <f t="shared" si="29"/>
        <v>426</v>
      </c>
      <c r="Z17" s="9">
        <f>('Dimensionamento das Armaduras'!BI17/10/4)*(('Dimensionamento das Armaduras'!$F$6) *10/(2.55*1*1*(0.21/1.4)*(20)^(2/3)))</f>
        <v>30.854420194315516</v>
      </c>
      <c r="AA17" s="9">
        <f t="shared" si="2"/>
        <v>2.5132741228718349</v>
      </c>
      <c r="AB17" s="9">
        <f>0.7*Z17*'Dimensionamento das Armaduras'!BF17/'Detalhamento das Armaduras'!AA17</f>
        <v>12.890412911669241</v>
      </c>
      <c r="AC17" s="7" t="str">
        <f>IF(AB17&gt;=MAXA(0.3*Z17,10*('Dimensionamento das Armaduras'!BG17/10),10),"SIM","NÃO")</f>
        <v>SIM</v>
      </c>
      <c r="AD17" s="9">
        <f>IF(AC17="NÃO",MAX(0.3*Z17,10*('Detalhamento das Armaduras'!BI17/10),10),AB17)</f>
        <v>12.890412911669241</v>
      </c>
      <c r="AE17" s="118">
        <f t="shared" si="3"/>
        <v>119.39041291166924</v>
      </c>
      <c r="AF17" s="16" t="s">
        <v>154</v>
      </c>
      <c r="AG17" s="16" t="s">
        <v>153</v>
      </c>
      <c r="AH17" s="117">
        <f t="shared" ref="AH17:AI17" si="45">IF(AF17="Lx",U17,W17)</f>
        <v>622</v>
      </c>
      <c r="AI17" s="117">
        <f t="shared" si="45"/>
        <v>426</v>
      </c>
      <c r="AJ17" s="119" t="s">
        <v>421</v>
      </c>
      <c r="AK17" s="16">
        <f>ROUNDUP(IF(AH17&lt;AI17,((AH17/'Dimensionamento das Armaduras'!BJ17)+1),('Detalhamento das Armaduras'!AI17/'Dimensionamento das Armaduras'!BJ17)+1),0)</f>
        <v>23</v>
      </c>
      <c r="AL17" s="16">
        <f>'Dimensionamento das Armaduras'!BI17</f>
        <v>8</v>
      </c>
      <c r="AM17" s="16">
        <f>'Dimensionamento das Armaduras'!BJ17</f>
        <v>20</v>
      </c>
      <c r="AN17" s="16">
        <f>'Dimensionamento das Armaduras'!AY17-2*2</f>
        <v>6</v>
      </c>
      <c r="AO17" s="16">
        <f>'Dimensionamento das Armaduras'!AZ17-2*2</f>
        <v>9</v>
      </c>
      <c r="AP17" s="16">
        <f t="shared" si="5"/>
        <v>254</v>
      </c>
      <c r="AR17" s="18" t="s">
        <v>403</v>
      </c>
      <c r="AS17" s="16">
        <f>H12</f>
        <v>6.3</v>
      </c>
      <c r="AT17" s="16">
        <f>G12</f>
        <v>26</v>
      </c>
      <c r="AU17" s="97">
        <f>J12/100</f>
        <v>2.99</v>
      </c>
      <c r="AV17" s="16">
        <f t="shared" si="6"/>
        <v>77.740000000000009</v>
      </c>
    </row>
    <row r="18" spans="1:48">
      <c r="F18" s="23"/>
      <c r="K18" s="23"/>
      <c r="Q18" s="25" t="s">
        <v>203</v>
      </c>
      <c r="R18" s="25" t="s">
        <v>204</v>
      </c>
      <c r="S18" s="7" t="s">
        <v>381</v>
      </c>
      <c r="T18" s="7" t="s">
        <v>381</v>
      </c>
      <c r="U18" s="117">
        <f t="shared" ref="U18:V18" si="46">VLOOKUP(Q18,$A$6:$B$17,2,FALSE)</f>
        <v>291</v>
      </c>
      <c r="V18" s="117">
        <f t="shared" si="46"/>
        <v>203</v>
      </c>
      <c r="W18" s="117">
        <f t="shared" ref="W18:X18" si="47">VLOOKUP(Q18,$A$6:$D$17,4,FALSE)</f>
        <v>416</v>
      </c>
      <c r="X18" s="117">
        <f t="shared" si="47"/>
        <v>321</v>
      </c>
      <c r="Y18" s="117">
        <f t="shared" si="29"/>
        <v>203</v>
      </c>
      <c r="Z18" s="9">
        <f>('Dimensionamento das Armaduras'!BI18/10/4)*(('Dimensionamento das Armaduras'!$F$6) *10/(2.55*1*1*(0.21/1.4)*(20)^(2/3)))</f>
        <v>30.854420194315516</v>
      </c>
      <c r="AA18" s="9">
        <f t="shared" si="2"/>
        <v>2.5132741228718349</v>
      </c>
      <c r="AB18" s="9">
        <f>0.7*Z18*'Dimensionamento das Armaduras'!BF18/'Detalhamento das Armaduras'!AA18</f>
        <v>12.890412911669241</v>
      </c>
      <c r="AC18" s="7" t="str">
        <f>IF(AB18&gt;=MAXA(0.3*Z18,10*('Dimensionamento das Armaduras'!BG18/10),10),"SIM","NÃO")</f>
        <v>SIM</v>
      </c>
      <c r="AD18" s="9">
        <f>IF(AC18="NÃO",MAX(0.3*Z18,10*('Detalhamento das Armaduras'!BI18/10),10),AB18)</f>
        <v>12.890412911669241</v>
      </c>
      <c r="AE18" s="118">
        <f t="shared" si="3"/>
        <v>63.640412911669245</v>
      </c>
      <c r="AF18" s="16" t="s">
        <v>154</v>
      </c>
      <c r="AG18" s="16" t="s">
        <v>153</v>
      </c>
      <c r="AH18" s="117">
        <f t="shared" ref="AH18:AI18" si="48">IF(AF18="Lx",U18,W18)</f>
        <v>416</v>
      </c>
      <c r="AI18" s="117">
        <f t="shared" si="48"/>
        <v>203</v>
      </c>
      <c r="AJ18" s="119" t="s">
        <v>422</v>
      </c>
      <c r="AK18" s="16">
        <f>ROUNDUP(IF(AH18&lt;AI18,((AH18/'Dimensionamento das Armaduras'!BJ18)+1),('Detalhamento das Armaduras'!AI18/'Dimensionamento das Armaduras'!BJ18)+1),0)</f>
        <v>12</v>
      </c>
      <c r="AL18" s="16">
        <f>'Dimensionamento das Armaduras'!BI18</f>
        <v>8</v>
      </c>
      <c r="AM18" s="16">
        <f>'Dimensionamento das Armaduras'!BJ18</f>
        <v>20</v>
      </c>
      <c r="AN18" s="16">
        <f>'Dimensionamento das Armaduras'!AY18-2*2</f>
        <v>6</v>
      </c>
      <c r="AO18" s="16">
        <f>'Dimensionamento das Armaduras'!AZ18-2*2</f>
        <v>6</v>
      </c>
      <c r="AP18" s="16">
        <f t="shared" si="5"/>
        <v>140</v>
      </c>
      <c r="AR18" s="18" t="s">
        <v>404</v>
      </c>
      <c r="AS18" s="16">
        <f>M12</f>
        <v>6.3</v>
      </c>
      <c r="AT18" s="16">
        <f>L12</f>
        <v>16</v>
      </c>
      <c r="AU18" s="97">
        <f>O12/100</f>
        <v>4.97</v>
      </c>
      <c r="AV18" s="16">
        <f t="shared" si="6"/>
        <v>79.52</v>
      </c>
    </row>
    <row r="19" spans="1:48">
      <c r="F19" s="23"/>
      <c r="K19" s="23"/>
      <c r="Q19" s="25" t="s">
        <v>204</v>
      </c>
      <c r="R19" s="25" t="s">
        <v>205</v>
      </c>
      <c r="S19" s="7" t="s">
        <v>381</v>
      </c>
      <c r="T19" s="7" t="s">
        <v>381</v>
      </c>
      <c r="U19" s="117">
        <f t="shared" ref="U19:V19" si="49">VLOOKUP(Q19,$A$6:$B$17,2,FALSE)</f>
        <v>203</v>
      </c>
      <c r="V19" s="117">
        <f t="shared" si="49"/>
        <v>131</v>
      </c>
      <c r="W19" s="117">
        <f t="shared" ref="W19:X19" si="50">VLOOKUP(Q19,$A$6:$D$17,4,FALSE)</f>
        <v>321</v>
      </c>
      <c r="X19" s="117">
        <f t="shared" si="50"/>
        <v>416</v>
      </c>
      <c r="Y19" s="117">
        <f t="shared" si="29"/>
        <v>131</v>
      </c>
      <c r="Z19" s="9">
        <f>('Dimensionamento das Armaduras'!BI19/10/4)*(('Dimensionamento das Armaduras'!$F$6) *10/(2.55*1*1*(0.21/1.4)*(20)^(2/3)))</f>
        <v>30.854420194315516</v>
      </c>
      <c r="AA19" s="9">
        <f t="shared" si="2"/>
        <v>2.5132741228718349</v>
      </c>
      <c r="AB19" s="9">
        <f>0.7*Z19*'Dimensionamento das Armaduras'!BF19/'Detalhamento das Armaduras'!AA19</f>
        <v>12.890412911669241</v>
      </c>
      <c r="AC19" s="7" t="str">
        <f>IF(AB19&gt;=MAXA(0.3*Z19,10*('Dimensionamento das Armaduras'!BG19/10),10),"SIM","NÃO")</f>
        <v>SIM</v>
      </c>
      <c r="AD19" s="9">
        <f>IF(AC19="NÃO",MAX(0.3*Z19,10*('Detalhamento das Armaduras'!BI19/10),10),AB19)</f>
        <v>12.890412911669241</v>
      </c>
      <c r="AE19" s="118">
        <f t="shared" si="3"/>
        <v>45.640412911669245</v>
      </c>
      <c r="AF19" s="16" t="s">
        <v>154</v>
      </c>
      <c r="AG19" s="16" t="s">
        <v>153</v>
      </c>
      <c r="AH19" s="117">
        <f t="shared" ref="AH19:AI19" si="51">IF(AF19="Lx",U19,W19)</f>
        <v>321</v>
      </c>
      <c r="AI19" s="117">
        <f t="shared" si="51"/>
        <v>131</v>
      </c>
      <c r="AJ19" s="119" t="s">
        <v>423</v>
      </c>
      <c r="AK19" s="16">
        <f>ROUNDUP(IF(AH19&lt;AI19,((AH19/'Dimensionamento das Armaduras'!BJ19)+1),('Detalhamento das Armaduras'!AI19/'Dimensionamento das Armaduras'!BJ19)+1),0)</f>
        <v>8</v>
      </c>
      <c r="AL19" s="16">
        <f>'Dimensionamento das Armaduras'!BI19</f>
        <v>8</v>
      </c>
      <c r="AM19" s="16">
        <f>'Dimensionamento das Armaduras'!BJ19</f>
        <v>20</v>
      </c>
      <c r="AN19" s="16">
        <f>'Dimensionamento das Armaduras'!AY19-2*2</f>
        <v>6</v>
      </c>
      <c r="AO19" s="16">
        <f>'Dimensionamento das Armaduras'!AZ19-2*2</f>
        <v>6</v>
      </c>
      <c r="AP19" s="16">
        <f t="shared" si="5"/>
        <v>104</v>
      </c>
      <c r="AR19" s="122" t="s">
        <v>406</v>
      </c>
      <c r="AS19" s="123">
        <f>H13</f>
        <v>6.3</v>
      </c>
      <c r="AT19" s="123">
        <f>G13</f>
        <v>22</v>
      </c>
      <c r="AU19" s="124">
        <f>J13/100</f>
        <v>3.01</v>
      </c>
      <c r="AV19" s="16">
        <f t="shared" si="6"/>
        <v>66.22</v>
      </c>
    </row>
    <row r="20" spans="1:48">
      <c r="F20" s="23"/>
      <c r="K20" s="23"/>
      <c r="Q20" s="25" t="s">
        <v>205</v>
      </c>
      <c r="R20" s="25" t="s">
        <v>196</v>
      </c>
      <c r="S20" s="7" t="s">
        <v>381</v>
      </c>
      <c r="T20" s="10" t="s">
        <v>420</v>
      </c>
      <c r="U20" s="117">
        <f t="shared" ref="U20:V20" si="52">VLOOKUP(Q20,$A$6:$B$17,2,FALSE)</f>
        <v>131</v>
      </c>
      <c r="V20" s="117">
        <f t="shared" si="52"/>
        <v>426</v>
      </c>
      <c r="W20" s="117">
        <f t="shared" ref="W20:X20" si="53">VLOOKUP(Q20,$A$6:$D$17,4,FALSE)</f>
        <v>416</v>
      </c>
      <c r="X20" s="117">
        <f t="shared" si="53"/>
        <v>578</v>
      </c>
      <c r="Y20" s="117">
        <f t="shared" si="29"/>
        <v>416</v>
      </c>
      <c r="Z20" s="9">
        <f>('Dimensionamento das Armaduras'!BI20/10/4)*(('Dimensionamento das Armaduras'!$F$6) *10/(2.55*1*1*(0.21/1.4)*(20)^(2/3)))</f>
        <v>30.854420194315516</v>
      </c>
      <c r="AA20" s="9">
        <f t="shared" si="2"/>
        <v>2.5132741228718349</v>
      </c>
      <c r="AB20" s="9">
        <f>0.7*Z20*'Dimensionamento das Armaduras'!BF20/'Detalhamento das Armaduras'!AA20</f>
        <v>12.890412911669241</v>
      </c>
      <c r="AC20" s="7" t="str">
        <f>IF(AB20&gt;=MAXA(0.3*Z20,10*('Dimensionamento das Armaduras'!BG20/10),10),"SIM","NÃO")</f>
        <v>SIM</v>
      </c>
      <c r="AD20" s="9">
        <f>IF(AC20="NÃO",MAX(0.3*Z20,10*('Detalhamento das Armaduras'!BI20/10),10),AB20)</f>
        <v>12.890412911669241</v>
      </c>
      <c r="AE20" s="118">
        <f t="shared" si="3"/>
        <v>116.89041291166924</v>
      </c>
      <c r="AF20" s="16" t="s">
        <v>154</v>
      </c>
      <c r="AG20" s="16" t="s">
        <v>153</v>
      </c>
      <c r="AH20" s="117">
        <f t="shared" ref="AH20:AI20" si="54">IF(AF20="Lx",U20,W20)</f>
        <v>416</v>
      </c>
      <c r="AI20" s="117">
        <f t="shared" si="54"/>
        <v>426</v>
      </c>
      <c r="AJ20" s="119" t="s">
        <v>424</v>
      </c>
      <c r="AK20" s="16">
        <f>ROUNDUP(IF(AH20&lt;AI20,((AH20/'Dimensionamento das Armaduras'!BJ20)+1),('Detalhamento das Armaduras'!AI20/'Dimensionamento das Armaduras'!BJ20)+1),0)</f>
        <v>22</v>
      </c>
      <c r="AL20" s="16">
        <f>'Dimensionamento das Armaduras'!BI20</f>
        <v>8</v>
      </c>
      <c r="AM20" s="16">
        <f>'Dimensionamento das Armaduras'!BJ20</f>
        <v>20</v>
      </c>
      <c r="AN20" s="16">
        <f>'Dimensionamento das Armaduras'!AY20-2*2</f>
        <v>6</v>
      </c>
      <c r="AO20" s="16">
        <f>'Dimensionamento das Armaduras'!AZ20-2*2</f>
        <v>9</v>
      </c>
      <c r="AP20" s="16">
        <f t="shared" si="5"/>
        <v>249</v>
      </c>
      <c r="AR20" s="18" t="s">
        <v>407</v>
      </c>
      <c r="AS20" s="16">
        <f>M13</f>
        <v>6.3</v>
      </c>
      <c r="AT20" s="16">
        <f>L13</f>
        <v>16</v>
      </c>
      <c r="AU20" s="97">
        <f>O13/100</f>
        <v>4.26</v>
      </c>
      <c r="AV20" s="16">
        <f t="shared" si="6"/>
        <v>68.16</v>
      </c>
    </row>
    <row r="21" spans="1:48">
      <c r="F21" s="23"/>
      <c r="K21" s="23"/>
      <c r="Q21" s="25" t="s">
        <v>205</v>
      </c>
      <c r="R21" s="25" t="s">
        <v>206</v>
      </c>
      <c r="S21" s="7" t="s">
        <v>381</v>
      </c>
      <c r="T21" s="7" t="s">
        <v>381</v>
      </c>
      <c r="U21" s="117">
        <f t="shared" ref="U21:V21" si="55">VLOOKUP(Q21,$A$6:$B$17,2,FALSE)</f>
        <v>131</v>
      </c>
      <c r="V21" s="117">
        <f t="shared" si="55"/>
        <v>352</v>
      </c>
      <c r="W21" s="117">
        <f t="shared" ref="W21:X21" si="56">VLOOKUP(Q21,$A$6:$D$17,4,FALSE)</f>
        <v>416</v>
      </c>
      <c r="X21" s="117">
        <f t="shared" si="56"/>
        <v>417</v>
      </c>
      <c r="Y21" s="117">
        <f t="shared" si="29"/>
        <v>352</v>
      </c>
      <c r="Z21" s="9">
        <f>('Dimensionamento das Armaduras'!BI21/10/4)*(('Dimensionamento das Armaduras'!$F$6) *10/(2.55*1*1*(0.21/1.4)*(20)^(2/3)))</f>
        <v>30.854420194315516</v>
      </c>
      <c r="AA21" s="9">
        <f t="shared" si="2"/>
        <v>2.5132741228718349</v>
      </c>
      <c r="AB21" s="9">
        <f>0.7*Z21*'Dimensionamento das Armaduras'!BF21/'Detalhamento das Armaduras'!AA21</f>
        <v>18.284649439827994</v>
      </c>
      <c r="AC21" s="7" t="str">
        <f>IF(AB21&gt;=MAXA(0.3*Z21,10*('Dimensionamento das Armaduras'!BG21/10),10),"SIM","NÃO")</f>
        <v>SIM</v>
      </c>
      <c r="AD21" s="9">
        <f>IF(AC21="NÃO",MAX(0.3*Z21,10*('Detalhamento das Armaduras'!BI21/10),10),AB21)</f>
        <v>18.284649439827994</v>
      </c>
      <c r="AE21" s="118">
        <f t="shared" si="3"/>
        <v>106.284649439828</v>
      </c>
      <c r="AF21" s="16" t="s">
        <v>154</v>
      </c>
      <c r="AG21" s="16" t="s">
        <v>153</v>
      </c>
      <c r="AH21" s="117">
        <f t="shared" ref="AH21:AI21" si="57">IF(AF21="Lx",U21,W21)</f>
        <v>416</v>
      </c>
      <c r="AI21" s="117">
        <f t="shared" si="57"/>
        <v>352</v>
      </c>
      <c r="AJ21" s="119" t="s">
        <v>425</v>
      </c>
      <c r="AK21" s="16">
        <f>ROUNDUP(IF(AH21&lt;AI21,((AH21/'Dimensionamento das Armaduras'!BJ21)+1),('Detalhamento das Armaduras'!AI21/'Dimensionamento das Armaduras'!BJ21)+1),0)</f>
        <v>19</v>
      </c>
      <c r="AL21" s="16">
        <f>'Dimensionamento das Armaduras'!BI21</f>
        <v>8</v>
      </c>
      <c r="AM21" s="16">
        <f>'Dimensionamento das Armaduras'!BJ21</f>
        <v>20</v>
      </c>
      <c r="AN21" s="16">
        <f>'Dimensionamento das Armaduras'!AY21-2*2</f>
        <v>6</v>
      </c>
      <c r="AO21" s="16">
        <f>'Dimensionamento das Armaduras'!AZ21-2*2</f>
        <v>6</v>
      </c>
      <c r="AP21" s="16">
        <f t="shared" si="5"/>
        <v>225</v>
      </c>
      <c r="AR21" s="122" t="s">
        <v>409</v>
      </c>
      <c r="AS21" s="16">
        <f>H14</f>
        <v>6.3</v>
      </c>
      <c r="AT21" s="16">
        <f>G14</f>
        <v>18</v>
      </c>
      <c r="AU21" s="97">
        <f>J14/100</f>
        <v>2.13</v>
      </c>
      <c r="AV21" s="16">
        <f t="shared" si="6"/>
        <v>38.339999999999996</v>
      </c>
    </row>
    <row r="22" spans="1:48">
      <c r="F22" s="23"/>
      <c r="K22" s="23"/>
      <c r="S22" s="291" t="s">
        <v>426</v>
      </c>
      <c r="T22" s="259"/>
      <c r="AR22" s="18" t="s">
        <v>410</v>
      </c>
      <c r="AS22" s="16">
        <f>M14</f>
        <v>6.3</v>
      </c>
      <c r="AT22" s="16">
        <f>L14</f>
        <v>12</v>
      </c>
      <c r="AU22" s="97">
        <f>O14/100</f>
        <v>3.31</v>
      </c>
      <c r="AV22" s="16">
        <f t="shared" si="6"/>
        <v>39.72</v>
      </c>
    </row>
    <row r="23" spans="1:48" ht="15.75" customHeight="1">
      <c r="F23" s="23"/>
      <c r="K23" s="23"/>
      <c r="S23" s="101" t="s">
        <v>427</v>
      </c>
      <c r="AR23" s="122" t="s">
        <v>412</v>
      </c>
      <c r="AS23" s="16">
        <f>H15</f>
        <v>6.3</v>
      </c>
      <c r="AT23" s="16">
        <f>G15</f>
        <v>30</v>
      </c>
      <c r="AU23" s="97">
        <f>J15/100</f>
        <v>4.3600000000000003</v>
      </c>
      <c r="AV23" s="16">
        <f t="shared" si="6"/>
        <v>130.80000000000001</v>
      </c>
    </row>
    <row r="24" spans="1:48" ht="15.75" customHeight="1">
      <c r="F24" s="23"/>
      <c r="K24" s="23"/>
      <c r="AR24" s="18" t="s">
        <v>413</v>
      </c>
      <c r="AS24" s="16">
        <f>M15</f>
        <v>6.3</v>
      </c>
      <c r="AT24" s="16">
        <f>L15</f>
        <v>23</v>
      </c>
      <c r="AU24" s="97">
        <f>O15/100</f>
        <v>5.88</v>
      </c>
      <c r="AV24" s="16">
        <f t="shared" si="6"/>
        <v>135.24</v>
      </c>
    </row>
    <row r="25" spans="1:48" ht="15.75" customHeight="1">
      <c r="F25" s="23"/>
      <c r="K25" s="23"/>
      <c r="AR25" s="122" t="s">
        <v>415</v>
      </c>
      <c r="AS25" s="16">
        <f>H16</f>
        <v>6.3</v>
      </c>
      <c r="AT25" s="16">
        <f>G16</f>
        <v>22</v>
      </c>
      <c r="AU25" s="97">
        <f>J16/100</f>
        <v>1.41</v>
      </c>
      <c r="AV25" s="16">
        <f t="shared" si="6"/>
        <v>31.02</v>
      </c>
    </row>
    <row r="26" spans="1:48" ht="15.75" customHeight="1">
      <c r="F26" s="23"/>
      <c r="K26" s="23"/>
      <c r="AR26" s="18" t="s">
        <v>416</v>
      </c>
      <c r="AS26" s="16">
        <f>M16</f>
        <v>6.3</v>
      </c>
      <c r="AT26" s="16">
        <f>L16</f>
        <v>8</v>
      </c>
      <c r="AU26" s="97">
        <f>O16/100</f>
        <v>4.26</v>
      </c>
      <c r="AV26" s="16">
        <f t="shared" si="6"/>
        <v>34.08</v>
      </c>
    </row>
    <row r="27" spans="1:48" ht="15.75" customHeight="1">
      <c r="F27" s="23"/>
      <c r="K27" s="23"/>
      <c r="AR27" s="122" t="s">
        <v>418</v>
      </c>
      <c r="AS27" s="16">
        <f>H17</f>
        <v>6.3</v>
      </c>
      <c r="AT27" s="16">
        <f>G17</f>
        <v>22</v>
      </c>
      <c r="AU27" s="97">
        <f>J17/100</f>
        <v>3.62</v>
      </c>
      <c r="AV27" s="16">
        <f t="shared" si="6"/>
        <v>79.64</v>
      </c>
    </row>
    <row r="28" spans="1:48" ht="15.75" customHeight="1">
      <c r="F28" s="23"/>
      <c r="K28" s="23"/>
      <c r="AR28" s="18" t="s">
        <v>419</v>
      </c>
      <c r="AS28" s="16">
        <f>M17</f>
        <v>6.3</v>
      </c>
      <c r="AT28" s="16">
        <f>L17</f>
        <v>19</v>
      </c>
      <c r="AU28" s="97">
        <f>O17/100</f>
        <v>4.2699999999999996</v>
      </c>
      <c r="AV28" s="16">
        <f t="shared" si="6"/>
        <v>81.13</v>
      </c>
    </row>
    <row r="29" spans="1:48" ht="15.75" customHeight="1">
      <c r="F29" s="23"/>
      <c r="K29" s="23"/>
      <c r="AR29" s="122" t="s">
        <v>382</v>
      </c>
      <c r="AS29" s="16">
        <f t="shared" ref="AS29:AS45" si="58">AL5</f>
        <v>8</v>
      </c>
      <c r="AT29" s="16">
        <f t="shared" ref="AT29:AT45" si="59">AK5</f>
        <v>16</v>
      </c>
      <c r="AU29" s="97">
        <f t="shared" ref="AU29:AU45" si="60">AP5/100</f>
        <v>1.83</v>
      </c>
      <c r="AV29" s="16">
        <f t="shared" si="6"/>
        <v>29.28</v>
      </c>
    </row>
    <row r="30" spans="1:48" ht="15.75" customHeight="1">
      <c r="F30" s="23"/>
      <c r="K30" s="23"/>
      <c r="AR30" s="122" t="s">
        <v>385</v>
      </c>
      <c r="AS30" s="16">
        <f t="shared" si="58"/>
        <v>8</v>
      </c>
      <c r="AT30" s="16">
        <f t="shared" si="59"/>
        <v>8</v>
      </c>
      <c r="AU30" s="97">
        <f t="shared" si="60"/>
        <v>1.83</v>
      </c>
      <c r="AV30" s="16">
        <f t="shared" si="6"/>
        <v>14.64</v>
      </c>
    </row>
    <row r="31" spans="1:48" ht="15.75" customHeight="1">
      <c r="F31" s="23"/>
      <c r="K31" s="23"/>
      <c r="AR31" s="122" t="s">
        <v>388</v>
      </c>
      <c r="AS31" s="16">
        <f t="shared" si="58"/>
        <v>8</v>
      </c>
      <c r="AT31" s="16">
        <f t="shared" si="59"/>
        <v>8</v>
      </c>
      <c r="AU31" s="97">
        <f t="shared" si="60"/>
        <v>1.1499999999999999</v>
      </c>
      <c r="AV31" s="16">
        <f t="shared" si="6"/>
        <v>9.1999999999999993</v>
      </c>
    </row>
    <row r="32" spans="1:48" ht="15.75" customHeight="1">
      <c r="F32" s="23"/>
      <c r="K32" s="23"/>
      <c r="AR32" s="122" t="s">
        <v>392</v>
      </c>
      <c r="AS32" s="16">
        <f t="shared" si="58"/>
        <v>8</v>
      </c>
      <c r="AT32" s="16">
        <f t="shared" si="59"/>
        <v>8</v>
      </c>
      <c r="AU32" s="97">
        <f t="shared" si="60"/>
        <v>1.07</v>
      </c>
      <c r="AV32" s="16">
        <f t="shared" si="6"/>
        <v>8.56</v>
      </c>
    </row>
    <row r="33" spans="6:48" ht="15.75" customHeight="1">
      <c r="F33" s="23"/>
      <c r="K33" s="23"/>
      <c r="AR33" s="122" t="s">
        <v>395</v>
      </c>
      <c r="AS33" s="16">
        <f t="shared" si="58"/>
        <v>8</v>
      </c>
      <c r="AT33" s="16">
        <f t="shared" si="59"/>
        <v>22</v>
      </c>
      <c r="AU33" s="97">
        <f t="shared" si="60"/>
        <v>2.46</v>
      </c>
      <c r="AV33" s="16">
        <f t="shared" si="6"/>
        <v>54.12</v>
      </c>
    </row>
    <row r="34" spans="6:48" ht="15.75" customHeight="1">
      <c r="F34" s="23"/>
      <c r="K34" s="23"/>
      <c r="AR34" s="122" t="s">
        <v>399</v>
      </c>
      <c r="AS34" s="16">
        <f t="shared" si="58"/>
        <v>8</v>
      </c>
      <c r="AT34" s="16">
        <f t="shared" si="59"/>
        <v>8</v>
      </c>
      <c r="AU34" s="97">
        <f t="shared" si="60"/>
        <v>1.18</v>
      </c>
      <c r="AV34" s="16">
        <f t="shared" si="6"/>
        <v>9.44</v>
      </c>
    </row>
    <row r="35" spans="6:48" ht="15.75" customHeight="1">
      <c r="F35" s="23"/>
      <c r="K35" s="23"/>
      <c r="AR35" s="122" t="s">
        <v>402</v>
      </c>
      <c r="AS35" s="16">
        <f t="shared" si="58"/>
        <v>8</v>
      </c>
      <c r="AT35" s="16">
        <f t="shared" si="59"/>
        <v>16</v>
      </c>
      <c r="AU35" s="97">
        <f t="shared" si="60"/>
        <v>1.84</v>
      </c>
      <c r="AV35" s="16">
        <f t="shared" si="6"/>
        <v>29.44</v>
      </c>
    </row>
    <row r="36" spans="6:48" ht="15.75" customHeight="1">
      <c r="F36" s="23"/>
      <c r="K36" s="23"/>
      <c r="AR36" s="122" t="s">
        <v>405</v>
      </c>
      <c r="AS36" s="16">
        <f t="shared" si="58"/>
        <v>8</v>
      </c>
      <c r="AT36" s="16">
        <f t="shared" si="59"/>
        <v>8</v>
      </c>
      <c r="AU36" s="97">
        <f t="shared" si="60"/>
        <v>1.07</v>
      </c>
      <c r="AV36" s="16">
        <f t="shared" si="6"/>
        <v>8.56</v>
      </c>
    </row>
    <row r="37" spans="6:48" ht="15.75" customHeight="1">
      <c r="F37" s="23"/>
      <c r="K37" s="23"/>
      <c r="AR37" s="122" t="s">
        <v>408</v>
      </c>
      <c r="AS37" s="16">
        <f t="shared" si="58"/>
        <v>8</v>
      </c>
      <c r="AT37" s="16">
        <f t="shared" si="59"/>
        <v>13</v>
      </c>
      <c r="AU37" s="97">
        <f t="shared" si="60"/>
        <v>1.68</v>
      </c>
      <c r="AV37" s="16">
        <f t="shared" si="6"/>
        <v>21.84</v>
      </c>
    </row>
    <row r="38" spans="6:48" ht="15.75" customHeight="1">
      <c r="F38" s="23"/>
      <c r="K38" s="23"/>
      <c r="AR38" s="122" t="s">
        <v>411</v>
      </c>
      <c r="AS38" s="16">
        <f t="shared" si="58"/>
        <v>8</v>
      </c>
      <c r="AT38" s="16">
        <f t="shared" si="59"/>
        <v>16</v>
      </c>
      <c r="AU38" s="97">
        <f t="shared" si="60"/>
        <v>1.83</v>
      </c>
      <c r="AV38" s="16">
        <f t="shared" si="6"/>
        <v>29.28</v>
      </c>
    </row>
    <row r="39" spans="6:48" ht="15.75" customHeight="1">
      <c r="F39" s="23"/>
      <c r="K39" s="23"/>
      <c r="AR39" s="122" t="s">
        <v>414</v>
      </c>
      <c r="AS39" s="16">
        <f t="shared" si="58"/>
        <v>8</v>
      </c>
      <c r="AT39" s="16">
        <f t="shared" si="59"/>
        <v>16</v>
      </c>
      <c r="AU39" s="97">
        <f t="shared" si="60"/>
        <v>1.84</v>
      </c>
      <c r="AV39" s="16">
        <f t="shared" si="6"/>
        <v>29.44</v>
      </c>
    </row>
    <row r="40" spans="6:48" ht="15.75" customHeight="1">
      <c r="F40" s="23"/>
      <c r="K40" s="23"/>
      <c r="AR40" s="122" t="s">
        <v>417</v>
      </c>
      <c r="AS40" s="16">
        <f t="shared" si="58"/>
        <v>8</v>
      </c>
      <c r="AT40" s="16">
        <f t="shared" si="59"/>
        <v>12</v>
      </c>
      <c r="AU40" s="97">
        <f t="shared" si="60"/>
        <v>1.4</v>
      </c>
      <c r="AV40" s="16">
        <f t="shared" si="6"/>
        <v>16.799999999999997</v>
      </c>
    </row>
    <row r="41" spans="6:48" ht="15.75" customHeight="1">
      <c r="F41" s="23"/>
      <c r="K41" s="23"/>
      <c r="AR41" s="122" t="s">
        <v>421</v>
      </c>
      <c r="AS41" s="16">
        <f t="shared" si="58"/>
        <v>8</v>
      </c>
      <c r="AT41" s="16">
        <f t="shared" si="59"/>
        <v>23</v>
      </c>
      <c r="AU41" s="97">
        <f t="shared" si="60"/>
        <v>2.54</v>
      </c>
      <c r="AV41" s="16">
        <f t="shared" si="6"/>
        <v>58.42</v>
      </c>
    </row>
    <row r="42" spans="6:48" ht="15.75" customHeight="1">
      <c r="F42" s="23"/>
      <c r="K42" s="23"/>
      <c r="AR42" s="122" t="s">
        <v>422</v>
      </c>
      <c r="AS42" s="16">
        <f t="shared" si="58"/>
        <v>8</v>
      </c>
      <c r="AT42" s="16">
        <f t="shared" si="59"/>
        <v>12</v>
      </c>
      <c r="AU42" s="97">
        <f t="shared" si="60"/>
        <v>1.4</v>
      </c>
      <c r="AV42" s="16">
        <f t="shared" si="6"/>
        <v>16.799999999999997</v>
      </c>
    </row>
    <row r="43" spans="6:48" ht="15.75" customHeight="1">
      <c r="F43" s="23"/>
      <c r="K43" s="23"/>
      <c r="AR43" s="122" t="s">
        <v>423</v>
      </c>
      <c r="AS43" s="16">
        <f t="shared" si="58"/>
        <v>8</v>
      </c>
      <c r="AT43" s="16">
        <f t="shared" si="59"/>
        <v>8</v>
      </c>
      <c r="AU43" s="97">
        <f t="shared" si="60"/>
        <v>1.04</v>
      </c>
      <c r="AV43" s="16">
        <f t="shared" si="6"/>
        <v>8.32</v>
      </c>
    </row>
    <row r="44" spans="6:48" ht="15.75" customHeight="1">
      <c r="F44" s="23"/>
      <c r="K44" s="23"/>
      <c r="AR44" s="122" t="s">
        <v>424</v>
      </c>
      <c r="AS44" s="16">
        <f t="shared" si="58"/>
        <v>8</v>
      </c>
      <c r="AT44" s="16">
        <f t="shared" si="59"/>
        <v>22</v>
      </c>
      <c r="AU44" s="97">
        <f t="shared" si="60"/>
        <v>2.4900000000000002</v>
      </c>
      <c r="AV44" s="16">
        <f t="shared" si="6"/>
        <v>54.78</v>
      </c>
    </row>
    <row r="45" spans="6:48" ht="15.75" customHeight="1">
      <c r="F45" s="23"/>
      <c r="K45" s="23"/>
      <c r="AR45" s="122" t="s">
        <v>425</v>
      </c>
      <c r="AS45" s="16">
        <f t="shared" si="58"/>
        <v>8</v>
      </c>
      <c r="AT45" s="16">
        <f t="shared" si="59"/>
        <v>19</v>
      </c>
      <c r="AU45" s="97">
        <f t="shared" si="60"/>
        <v>2.25</v>
      </c>
      <c r="AV45" s="16">
        <f t="shared" si="6"/>
        <v>42.75</v>
      </c>
    </row>
    <row r="46" spans="6:48" ht="15.75" customHeight="1">
      <c r="F46" s="23"/>
      <c r="K46" s="23"/>
      <c r="AU46" s="125"/>
    </row>
    <row r="47" spans="6:48" ht="15.75" customHeight="1">
      <c r="F47" s="23"/>
      <c r="K47" s="23"/>
      <c r="AU47" s="125"/>
    </row>
  </sheetData>
  <mergeCells count="25">
    <mergeCell ref="A1:N1"/>
    <mergeCell ref="O1:AI1"/>
    <mergeCell ref="AJ1:BA1"/>
    <mergeCell ref="A3:O3"/>
    <mergeCell ref="Q3:AP3"/>
    <mergeCell ref="AR3:AV3"/>
    <mergeCell ref="AX3:BA3"/>
    <mergeCell ref="AN4:AO4"/>
    <mergeCell ref="AZ9:BA13"/>
    <mergeCell ref="F5:G5"/>
    <mergeCell ref="K5:L5"/>
    <mergeCell ref="S22:T22"/>
    <mergeCell ref="F4:J4"/>
    <mergeCell ref="K4:O4"/>
    <mergeCell ref="S4:T4"/>
    <mergeCell ref="Q4:R4"/>
    <mergeCell ref="U4:V4"/>
    <mergeCell ref="W4:X4"/>
    <mergeCell ref="AF4:AI4"/>
    <mergeCell ref="AJ4:AK4"/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" footer="0"/>
  <pageSetup orientation="portrait"/>
  <ignoredErrors>
    <ignoredError sqref="Y6 Y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1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3.85546875" customWidth="1"/>
    <col min="4" max="4" width="16.42578125" customWidth="1"/>
    <col min="5" max="5" width="15.5703125" customWidth="1"/>
    <col min="6" max="6" width="10.7109375" customWidth="1"/>
    <col min="7" max="7" width="8.7109375" customWidth="1"/>
    <col min="8" max="8" width="13.85546875" customWidth="1"/>
    <col min="9" max="9" width="16.42578125" customWidth="1"/>
    <col min="10" max="10" width="15.5703125" customWidth="1"/>
    <col min="11" max="11" width="8.7109375" customWidth="1"/>
  </cols>
  <sheetData>
    <row r="1" spans="2:10" ht="24" customHeight="1">
      <c r="B1" s="334" t="s">
        <v>428</v>
      </c>
      <c r="C1" s="335"/>
      <c r="D1" s="335"/>
      <c r="E1" s="336"/>
      <c r="F1" s="126"/>
      <c r="G1" s="337" t="s">
        <v>429</v>
      </c>
      <c r="H1" s="335"/>
      <c r="I1" s="335"/>
      <c r="J1" s="336"/>
    </row>
    <row r="2" spans="2:10" ht="24" customHeight="1">
      <c r="B2" s="127"/>
      <c r="C2" s="126"/>
      <c r="D2" s="126"/>
      <c r="E2" s="128"/>
      <c r="F2" s="126"/>
      <c r="G2" s="127"/>
      <c r="H2" s="126"/>
      <c r="I2" s="126"/>
      <c r="J2" s="128"/>
    </row>
    <row r="3" spans="2:10">
      <c r="B3" s="338" t="s">
        <v>430</v>
      </c>
      <c r="C3" s="251"/>
      <c r="D3" s="251"/>
      <c r="E3" s="333"/>
      <c r="F3" s="23"/>
      <c r="G3" s="339" t="s">
        <v>430</v>
      </c>
      <c r="H3" s="251"/>
      <c r="I3" s="251"/>
      <c r="J3" s="333"/>
    </row>
    <row r="4" spans="2:10">
      <c r="B4" s="129" t="s">
        <v>151</v>
      </c>
      <c r="C4" s="14" t="str">
        <f>'Pré-dimensionamento de Lajes'!BN6</f>
        <v xml:space="preserve">Área (m²) </v>
      </c>
      <c r="D4" s="70" t="s">
        <v>166</v>
      </c>
      <c r="E4" s="130" t="s">
        <v>431</v>
      </c>
      <c r="F4" s="23"/>
      <c r="G4" s="338" t="s">
        <v>432</v>
      </c>
      <c r="H4" s="251"/>
      <c r="I4" s="249"/>
      <c r="J4" s="131">
        <f>4*E17</f>
        <v>48.049325279999998</v>
      </c>
    </row>
    <row r="5" spans="2:10">
      <c r="B5" s="132" t="s">
        <v>185</v>
      </c>
      <c r="C5" s="9">
        <f>'Pré-dimensionamento de Lajes'!BN7</f>
        <v>7.9241999999999972</v>
      </c>
      <c r="D5" s="16">
        <f>'Pré-dimensionamento de Lajes'!BI7</f>
        <v>10</v>
      </c>
      <c r="E5" s="133">
        <f t="shared" ref="E5:E16" si="0">C5*(D5/100)</f>
        <v>0.79241999999999979</v>
      </c>
      <c r="F5" s="23"/>
      <c r="G5" s="340" t="s">
        <v>433</v>
      </c>
      <c r="H5" s="259"/>
      <c r="I5" s="259"/>
      <c r="J5" s="327"/>
    </row>
    <row r="6" spans="2:10">
      <c r="B6" s="132" t="s">
        <v>197</v>
      </c>
      <c r="C6" s="9">
        <f>'Pré-dimensionamento de Lajes'!BN8</f>
        <v>3.6377999999999995</v>
      </c>
      <c r="D6" s="16">
        <f>'Pré-dimensionamento de Lajes'!BI8</f>
        <v>10</v>
      </c>
      <c r="E6" s="133">
        <f t="shared" si="0"/>
        <v>0.36377999999999999</v>
      </c>
      <c r="F6" s="23"/>
      <c r="G6" s="135"/>
      <c r="H6" s="23"/>
      <c r="I6" s="23"/>
      <c r="J6" s="136"/>
    </row>
    <row r="7" spans="2:10">
      <c r="B7" s="132" t="s">
        <v>199</v>
      </c>
      <c r="C7" s="9">
        <f>'Pré-dimensionamento de Lajes'!BN9</f>
        <v>10.2408</v>
      </c>
      <c r="D7" s="16">
        <f>'Pré-dimensionamento de Lajes'!BI9</f>
        <v>10</v>
      </c>
      <c r="E7" s="133">
        <f t="shared" si="0"/>
        <v>1.0240800000000001</v>
      </c>
      <c r="F7" s="23"/>
      <c r="G7" s="339" t="s">
        <v>434</v>
      </c>
      <c r="H7" s="251"/>
      <c r="I7" s="251"/>
      <c r="J7" s="333"/>
    </row>
    <row r="8" spans="2:10">
      <c r="B8" s="132" t="s">
        <v>200</v>
      </c>
      <c r="C8" s="9">
        <f>'Pré-dimensionamento de Lajes'!BN10</f>
        <v>6.2016</v>
      </c>
      <c r="D8" s="84">
        <f>'Pré-dimensionamento de Lajes'!BI10</f>
        <v>10</v>
      </c>
      <c r="E8" s="133">
        <f t="shared" si="0"/>
        <v>0.62016000000000004</v>
      </c>
      <c r="F8" s="23"/>
      <c r="G8" s="137" t="s">
        <v>310</v>
      </c>
      <c r="H8" s="138" t="s">
        <v>378</v>
      </c>
      <c r="I8" s="138" t="s">
        <v>377</v>
      </c>
      <c r="J8" s="139" t="s">
        <v>379</v>
      </c>
    </row>
    <row r="9" spans="2:10">
      <c r="B9" s="132" t="s">
        <v>201</v>
      </c>
      <c r="C9" s="9">
        <f>'Pré-dimensionamento de Lajes'!BN11</f>
        <v>2.7950999999999993</v>
      </c>
      <c r="D9" s="84">
        <f>'Pré-dimensionamento de Lajes'!BI11</f>
        <v>10</v>
      </c>
      <c r="E9" s="133">
        <f t="shared" si="0"/>
        <v>0.27950999999999993</v>
      </c>
      <c r="F9" s="23"/>
      <c r="G9" s="140">
        <v>6.3</v>
      </c>
      <c r="H9" s="141">
        <v>0.245</v>
      </c>
      <c r="I9" s="141">
        <f t="shared" ref="I9:J9" si="1">4*D22</f>
        <v>5515.52</v>
      </c>
      <c r="J9" s="142">
        <f t="shared" si="1"/>
        <v>1486.4326400000002</v>
      </c>
    </row>
    <row r="10" spans="2:10">
      <c r="B10" s="132" t="s">
        <v>184</v>
      </c>
      <c r="C10" s="9">
        <f>'Pré-dimensionamento de Lajes'!BN12</f>
        <v>7.9206000000000012</v>
      </c>
      <c r="D10" s="16">
        <f>'Pré-dimensionamento de Lajes'!BI12</f>
        <v>10</v>
      </c>
      <c r="E10" s="133">
        <f t="shared" si="0"/>
        <v>0.79206000000000021</v>
      </c>
      <c r="F10" s="23"/>
      <c r="G10" s="140">
        <v>8</v>
      </c>
      <c r="H10" s="141">
        <v>0.39500000000000002</v>
      </c>
      <c r="I10" s="141">
        <f t="shared" ref="I10:J10" si="2">4*D23</f>
        <v>1766.6800000000003</v>
      </c>
      <c r="J10" s="142">
        <f t="shared" si="2"/>
        <v>767.62246000000027</v>
      </c>
    </row>
    <row r="11" spans="2:10">
      <c r="B11" s="132" t="s">
        <v>202</v>
      </c>
      <c r="C11" s="9">
        <f>'Pré-dimensionamento de Lajes'!BN13</f>
        <v>13.459900000000001</v>
      </c>
      <c r="D11" s="16">
        <f>'Pré-dimensionamento de Lajes'!BI13</f>
        <v>10</v>
      </c>
      <c r="E11" s="133">
        <f t="shared" si="0"/>
        <v>1.3459900000000002</v>
      </c>
      <c r="F11" s="23"/>
      <c r="G11" s="143"/>
      <c r="H11" s="92"/>
      <c r="I11" s="144" t="s">
        <v>435</v>
      </c>
      <c r="J11" s="145">
        <f>SUM(J9:J10)</f>
        <v>2254.0551000000005</v>
      </c>
    </row>
    <row r="12" spans="2:10">
      <c r="B12" s="132" t="s">
        <v>203</v>
      </c>
      <c r="C12" s="9">
        <f>'Pré-dimensionamento de Lajes'!BN14</f>
        <v>11.546399999999998</v>
      </c>
      <c r="D12" s="16">
        <f>'Pré-dimensionamento de Lajes'!BI14</f>
        <v>10</v>
      </c>
      <c r="E12" s="133">
        <f t="shared" si="0"/>
        <v>1.1546399999999999</v>
      </c>
      <c r="F12" s="23"/>
      <c r="G12" s="146"/>
      <c r="H12" s="101" t="s">
        <v>436</v>
      </c>
      <c r="J12" s="147"/>
    </row>
    <row r="13" spans="2:10">
      <c r="B13" s="132" t="s">
        <v>204</v>
      </c>
      <c r="C13" s="9">
        <f>'Pré-dimensionamento de Lajes'!BN15</f>
        <v>6.1034999999999986</v>
      </c>
      <c r="D13" s="16">
        <f>'Pré-dimensionamento de Lajes'!BI15</f>
        <v>10</v>
      </c>
      <c r="E13" s="133">
        <f t="shared" si="0"/>
        <v>0.61034999999999995</v>
      </c>
      <c r="F13" s="23"/>
      <c r="G13" s="146"/>
      <c r="J13" s="147"/>
    </row>
    <row r="14" spans="2:10">
      <c r="B14" s="132" t="s">
        <v>196</v>
      </c>
      <c r="C14" s="9">
        <f>'Pré-dimensionamento de Lajes'!BN16</f>
        <v>24.004163999999992</v>
      </c>
      <c r="D14" s="16">
        <f>'Pré-dimensionamento de Lajes'!BI16</f>
        <v>13</v>
      </c>
      <c r="E14" s="133">
        <f t="shared" si="0"/>
        <v>3.1205413199999992</v>
      </c>
      <c r="F14" s="23"/>
      <c r="G14" s="326" t="s">
        <v>396</v>
      </c>
      <c r="H14" s="259"/>
      <c r="I14" s="259"/>
      <c r="J14" s="327"/>
    </row>
    <row r="15" spans="2:10">
      <c r="B15" s="132" t="s">
        <v>205</v>
      </c>
      <c r="C15" s="9">
        <f>'Pré-dimensionamento de Lajes'!BN17</f>
        <v>5.0183999999999997</v>
      </c>
      <c r="D15" s="16">
        <f>'Pré-dimensionamento de Lajes'!BI17</f>
        <v>10</v>
      </c>
      <c r="E15" s="133">
        <f t="shared" si="0"/>
        <v>0.50183999999999995</v>
      </c>
      <c r="F15" s="23"/>
      <c r="G15" s="328"/>
      <c r="H15" s="259"/>
      <c r="I15" s="259"/>
      <c r="J15" s="327"/>
    </row>
    <row r="16" spans="2:10">
      <c r="B16" s="132" t="s">
        <v>206</v>
      </c>
      <c r="C16" s="9">
        <f>'Pré-dimensionamento de Lajes'!BN18</f>
        <v>14.069600000000001</v>
      </c>
      <c r="D16" s="16">
        <f>'Pré-dimensionamento de Lajes'!BI18</f>
        <v>10</v>
      </c>
      <c r="E16" s="133">
        <f t="shared" si="0"/>
        <v>1.4069600000000002</v>
      </c>
      <c r="F16" s="23"/>
      <c r="G16" s="328"/>
      <c r="H16" s="259"/>
      <c r="I16" s="259"/>
      <c r="J16" s="327"/>
    </row>
    <row r="17" spans="2:10">
      <c r="B17" s="135"/>
      <c r="C17" s="23"/>
      <c r="D17" s="116" t="s">
        <v>437</v>
      </c>
      <c r="E17" s="131">
        <f>SUM(E5:E16)</f>
        <v>12.012331319999999</v>
      </c>
      <c r="F17" s="23"/>
      <c r="G17" s="328"/>
      <c r="H17" s="259"/>
      <c r="I17" s="259"/>
      <c r="J17" s="327"/>
    </row>
    <row r="18" spans="2:10">
      <c r="B18" s="135"/>
      <c r="C18" s="23"/>
      <c r="E18" s="147"/>
      <c r="F18" s="23"/>
      <c r="G18" s="329"/>
      <c r="H18" s="330"/>
      <c r="I18" s="330"/>
      <c r="J18" s="331"/>
    </row>
    <row r="19" spans="2:10">
      <c r="B19" s="135"/>
      <c r="C19" s="23"/>
      <c r="D19" s="23"/>
      <c r="E19" s="136"/>
      <c r="F19" s="23"/>
    </row>
    <row r="20" spans="2:10">
      <c r="B20" s="332" t="s">
        <v>434</v>
      </c>
      <c r="C20" s="251"/>
      <c r="D20" s="251"/>
      <c r="E20" s="333"/>
      <c r="F20" s="23"/>
    </row>
    <row r="21" spans="2:10">
      <c r="B21" s="137" t="str">
        <f>'Detalhamento das Armaduras'!AX4</f>
        <v>ϕ (mm)</v>
      </c>
      <c r="C21" s="138" t="str">
        <f>'Detalhamento das Armaduras'!AY4</f>
        <v>massa (kg/m)</v>
      </c>
      <c r="D21" s="138" t="str">
        <f>'Detalhamento das Armaduras'!AZ4</f>
        <v>Compr. Total (m)</v>
      </c>
      <c r="E21" s="139" t="str">
        <f>'Detalhamento das Armaduras'!BA4</f>
        <v>massa total (kg)</v>
      </c>
      <c r="F21" s="23"/>
    </row>
    <row r="22" spans="2:10">
      <c r="B22" s="140">
        <f>'Detalhamento das Armaduras'!AX5</f>
        <v>6.3</v>
      </c>
      <c r="C22" s="141">
        <f>'Detalhamento das Armaduras'!AY5</f>
        <v>0.245</v>
      </c>
      <c r="D22" s="141">
        <f>'Detalhamento das Armaduras'!AZ5</f>
        <v>1378.88</v>
      </c>
      <c r="E22" s="142">
        <f>'Detalhamento das Armaduras'!BA5</f>
        <v>371.60816000000005</v>
      </c>
      <c r="F22" s="23"/>
    </row>
    <row r="23" spans="2:10">
      <c r="B23" s="148">
        <f>'Detalhamento das Armaduras'!AX6</f>
        <v>8</v>
      </c>
      <c r="C23" s="141">
        <f>'Detalhamento das Armaduras'!AY6</f>
        <v>0.39500000000000002</v>
      </c>
      <c r="D23" s="141">
        <f>'Detalhamento das Armaduras'!AZ6</f>
        <v>441.67000000000007</v>
      </c>
      <c r="E23" s="142">
        <f>'Detalhamento das Armaduras'!BA6</f>
        <v>191.90561500000007</v>
      </c>
      <c r="F23" s="23"/>
    </row>
    <row r="24" spans="2:10">
      <c r="B24" s="143"/>
      <c r="C24" s="92"/>
      <c r="D24" s="144" t="s">
        <v>435</v>
      </c>
      <c r="E24" s="149">
        <f>SUM(E22:E23)</f>
        <v>563.51377500000012</v>
      </c>
      <c r="F24" s="23"/>
    </row>
    <row r="25" spans="2:10">
      <c r="B25" s="146"/>
      <c r="C25" s="101" t="s">
        <v>436</v>
      </c>
      <c r="E25" s="147"/>
      <c r="F25" s="23"/>
    </row>
    <row r="26" spans="2:10">
      <c r="B26" s="146"/>
      <c r="E26" s="147"/>
      <c r="F26" s="23"/>
    </row>
    <row r="27" spans="2:10">
      <c r="B27" s="326" t="s">
        <v>396</v>
      </c>
      <c r="C27" s="259"/>
      <c r="D27" s="259"/>
      <c r="E27" s="327"/>
      <c r="F27" s="23"/>
    </row>
    <row r="28" spans="2:10">
      <c r="B28" s="328"/>
      <c r="C28" s="259"/>
      <c r="D28" s="259"/>
      <c r="E28" s="327"/>
      <c r="F28" s="23"/>
    </row>
    <row r="29" spans="2:10" ht="15.75" customHeight="1">
      <c r="B29" s="329"/>
      <c r="C29" s="330"/>
      <c r="D29" s="330"/>
      <c r="E29" s="331"/>
      <c r="F29" s="23"/>
    </row>
    <row r="30" spans="2:10" ht="15.75" customHeight="1">
      <c r="F30" s="23"/>
    </row>
    <row r="31" spans="2:10" ht="15.75" customHeight="1">
      <c r="F31" s="23"/>
    </row>
  </sheetData>
  <mergeCells count="10">
    <mergeCell ref="G14:J18"/>
    <mergeCell ref="B20:E20"/>
    <mergeCell ref="B27:E29"/>
    <mergeCell ref="B1:E1"/>
    <mergeCell ref="G1:J1"/>
    <mergeCell ref="B3:E3"/>
    <mergeCell ref="G3:J3"/>
    <mergeCell ref="G4:I4"/>
    <mergeCell ref="G5:J5"/>
    <mergeCell ref="G7:J7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Pré-dimencionamento das Vigas</vt:lpstr>
      <vt:lpstr>Cálculo das Armaduras das Vigas</vt:lpstr>
      <vt:lpstr>Pré-dimensionamento de Lajes</vt:lpstr>
      <vt:lpstr>Momentos Fletores</vt:lpstr>
      <vt:lpstr>Cargas Atuantes</vt:lpstr>
      <vt:lpstr>Compatibilização de Momentos</vt:lpstr>
      <vt:lpstr>Dimensionamento das Armaduras</vt:lpstr>
      <vt:lpstr>Detalhamento das Armaduras</vt:lpstr>
      <vt:lpstr>Quantitativo - Lajes</vt:lpstr>
      <vt:lpstr>Quantitativo - Vigas</vt:lpstr>
      <vt:lpstr>Quantitativo -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Silva</cp:lastModifiedBy>
  <dcterms:modified xsi:type="dcterms:W3CDTF">2024-05-27T22:01:34Z</dcterms:modified>
</cp:coreProperties>
</file>